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769215DD-AA3C-410F-A72E-FC87EAD5FD3B}" xr6:coauthVersionLast="47" xr6:coauthVersionMax="47" xr10:uidLastSave="{00000000-0000-0000-0000-000000000000}"/>
  <bookViews>
    <workbookView xWindow="26055" yWindow="495" windowWidth="25110" windowHeight="14280" activeTab="4" xr2:uid="{4CFB4A6A-60C6-4091-BCA5-480044B61D33}"/>
  </bookViews>
  <sheets>
    <sheet name="Rotation" sheetId="8" r:id="rId1"/>
    <sheet name="Affliction" sheetId="1" state="hidden" r:id="rId2"/>
    <sheet name="Equips" sheetId="6" state="hidden" r:id="rId3"/>
    <sheet name="Steps" sheetId="4" state="hidden" r:id="rId4"/>
    <sheet name="Damage" sheetId="12" r:id="rId5"/>
    <sheet name="Enmity" sheetId="13" r:id="rId6"/>
    <sheet name="Dragon" sheetId="9" r:id="rId7"/>
    <sheet name="CRT effect" sheetId="10" r:id="rId8"/>
    <sheet name="Dragon Aura" sheetId="14" r:id="rId9"/>
    <sheet name="Dragon Aura Chart" sheetId="16" r:id="rId10"/>
    <sheet name="Corrosion" sheetId="11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2" l="1"/>
  <c r="I22" i="14"/>
  <c r="H22" i="14"/>
  <c r="G22" i="14"/>
  <c r="F22" i="14"/>
  <c r="I21" i="14"/>
  <c r="H21" i="14"/>
  <c r="G21" i="14"/>
  <c r="F21" i="14"/>
  <c r="I20" i="14"/>
  <c r="H20" i="14"/>
  <c r="G20" i="14"/>
  <c r="F20" i="14"/>
  <c r="B20" i="14" s="1"/>
  <c r="I19" i="14"/>
  <c r="H19" i="14"/>
  <c r="G19" i="14"/>
  <c r="F19" i="14"/>
  <c r="I18" i="14"/>
  <c r="H18" i="14"/>
  <c r="G18" i="14"/>
  <c r="F18" i="14"/>
  <c r="I17" i="14"/>
  <c r="H17" i="14"/>
  <c r="D17" i="14" s="1"/>
  <c r="G17" i="14"/>
  <c r="F17" i="14"/>
  <c r="E17" i="14" s="1"/>
  <c r="I16" i="14"/>
  <c r="H16" i="14"/>
  <c r="G16" i="14"/>
  <c r="F16" i="14"/>
  <c r="I15" i="14"/>
  <c r="E15" i="14" s="1"/>
  <c r="H15" i="14"/>
  <c r="G15" i="14"/>
  <c r="C15" i="14" s="1"/>
  <c r="F15" i="14"/>
  <c r="I14" i="14"/>
  <c r="E14" i="14" s="1"/>
  <c r="H14" i="14"/>
  <c r="D14" i="14" s="1"/>
  <c r="G14" i="14"/>
  <c r="F14" i="14"/>
  <c r="I13" i="14"/>
  <c r="H13" i="14"/>
  <c r="G13" i="14"/>
  <c r="F13" i="14"/>
  <c r="I12" i="14"/>
  <c r="E12" i="14" s="1"/>
  <c r="H12" i="14"/>
  <c r="G12" i="14"/>
  <c r="F12" i="14"/>
  <c r="I11" i="14"/>
  <c r="H11" i="14"/>
  <c r="D11" i="14" s="1"/>
  <c r="G11" i="14"/>
  <c r="F11" i="14"/>
  <c r="E11" i="14" s="1"/>
  <c r="I10" i="14"/>
  <c r="H10" i="14"/>
  <c r="G10" i="14"/>
  <c r="F10" i="14"/>
  <c r="I9" i="14"/>
  <c r="H9" i="14"/>
  <c r="G9" i="14"/>
  <c r="F9" i="14"/>
  <c r="E9" i="14" s="1"/>
  <c r="I8" i="14"/>
  <c r="E8" i="14" s="1"/>
  <c r="H8" i="14"/>
  <c r="D8" i="14" s="1"/>
  <c r="G8" i="14"/>
  <c r="F8" i="14"/>
  <c r="B8" i="14" s="1"/>
  <c r="I7" i="14"/>
  <c r="H7" i="14"/>
  <c r="G7" i="14"/>
  <c r="F7" i="14"/>
  <c r="I6" i="14"/>
  <c r="H6" i="14"/>
  <c r="G6" i="14"/>
  <c r="C6" i="14" s="1"/>
  <c r="F6" i="14"/>
  <c r="I5" i="14"/>
  <c r="E5" i="14" s="1"/>
  <c r="H5" i="14"/>
  <c r="D5" i="14" s="1"/>
  <c r="G5" i="14"/>
  <c r="F5" i="14"/>
  <c r="B5" i="14" s="1"/>
  <c r="I4" i="14"/>
  <c r="H4" i="14"/>
  <c r="G4" i="14"/>
  <c r="C4" i="14" s="1"/>
  <c r="F4" i="14"/>
  <c r="I3" i="14"/>
  <c r="H3" i="14"/>
  <c r="G3" i="14"/>
  <c r="C3" i="14" s="1"/>
  <c r="F3" i="14"/>
  <c r="E3" i="14" s="1"/>
  <c r="I2" i="14"/>
  <c r="H2" i="14"/>
  <c r="D2" i="14" s="1"/>
  <c r="G2" i="14"/>
  <c r="F2" i="14"/>
  <c r="D7" i="14"/>
  <c r="E10" i="14"/>
  <c r="B13" i="14"/>
  <c r="E16" i="14"/>
  <c r="B19" i="14"/>
  <c r="E22" i="14"/>
  <c r="D22" i="14"/>
  <c r="E21" i="14"/>
  <c r="E18" i="14"/>
  <c r="B22" i="14"/>
  <c r="C21" i="14"/>
  <c r="E19" i="14"/>
  <c r="D19" i="14"/>
  <c r="C19" i="14"/>
  <c r="C18" i="14"/>
  <c r="B16" i="14"/>
  <c r="E13" i="14"/>
  <c r="D13" i="14"/>
  <c r="C13" i="14"/>
  <c r="C12" i="14"/>
  <c r="D10" i="14"/>
  <c r="C10" i="14"/>
  <c r="C9" i="14"/>
  <c r="E7" i="14"/>
  <c r="E4" i="14"/>
  <c r="D4" i="14"/>
  <c r="B4" i="14"/>
  <c r="A3" i="14"/>
  <c r="B4" i="10"/>
  <c r="H38" i="12"/>
  <c r="H37" i="12"/>
  <c r="H34" i="12"/>
  <c r="G33" i="12"/>
  <c r="H33" i="12" s="1"/>
  <c r="H32" i="12"/>
  <c r="H30" i="12"/>
  <c r="G30" i="12"/>
  <c r="G26" i="12"/>
  <c r="H25" i="12"/>
  <c r="H23" i="12"/>
  <c r="H19" i="12"/>
  <c r="H17" i="12"/>
  <c r="H16" i="12"/>
  <c r="H11" i="12"/>
  <c r="H10" i="12"/>
  <c r="G9" i="12"/>
  <c r="H9" i="12" s="1"/>
  <c r="E30" i="12"/>
  <c r="E18" i="12"/>
  <c r="F17" i="12"/>
  <c r="F38" i="12"/>
  <c r="F37" i="12"/>
  <c r="F34" i="12"/>
  <c r="E33" i="12"/>
  <c r="F33" i="12" s="1"/>
  <c r="F32" i="12"/>
  <c r="F30" i="12"/>
  <c r="F27" i="12"/>
  <c r="E26" i="12"/>
  <c r="F25" i="12" s="1"/>
  <c r="F23" i="12"/>
  <c r="F19" i="12"/>
  <c r="F16" i="12"/>
  <c r="F11" i="12"/>
  <c r="F10" i="12"/>
  <c r="E9" i="12"/>
  <c r="F9" i="12" s="1"/>
  <c r="C18" i="12"/>
  <c r="C30" i="12"/>
  <c r="D30" i="12" s="1"/>
  <c r="C33" i="12"/>
  <c r="C9" i="12"/>
  <c r="C26" i="12"/>
  <c r="B11" i="14" l="1"/>
  <c r="E20" i="14"/>
  <c r="C2" i="14"/>
  <c r="E2" i="14"/>
  <c r="B2" i="14"/>
  <c r="D20" i="14"/>
  <c r="B10" i="14"/>
  <c r="B14" i="14"/>
  <c r="C16" i="14"/>
  <c r="C22" i="14"/>
  <c r="D16" i="14"/>
  <c r="B7" i="14"/>
  <c r="C7" i="14"/>
  <c r="B17" i="14"/>
  <c r="C5" i="14"/>
  <c r="C8" i="14"/>
  <c r="C14" i="14"/>
  <c r="C17" i="14"/>
  <c r="C20" i="14"/>
  <c r="C11" i="14"/>
  <c r="B3" i="14"/>
  <c r="B6" i="14"/>
  <c r="B9" i="14"/>
  <c r="B12" i="14"/>
  <c r="B15" i="14"/>
  <c r="B18" i="14"/>
  <c r="B21" i="14"/>
  <c r="D3" i="14"/>
  <c r="D6" i="14"/>
  <c r="D9" i="14"/>
  <c r="D12" i="14"/>
  <c r="D15" i="14"/>
  <c r="D18" i="14"/>
  <c r="D21" i="14"/>
  <c r="E6" i="14"/>
  <c r="A4" i="14"/>
  <c r="G2" i="12"/>
  <c r="H4" i="12" s="1"/>
  <c r="E2" i="12"/>
  <c r="D38" i="12"/>
  <c r="D37" i="12"/>
  <c r="D34" i="12"/>
  <c r="D33" i="12"/>
  <c r="D32" i="12"/>
  <c r="D27" i="12"/>
  <c r="D25" i="12"/>
  <c r="D23" i="12"/>
  <c r="D19" i="12"/>
  <c r="D17" i="12"/>
  <c r="D16" i="12"/>
  <c r="D11" i="12"/>
  <c r="D10" i="12"/>
  <c r="D9" i="12"/>
  <c r="B4" i="13"/>
  <c r="A5" i="14" l="1"/>
  <c r="H5" i="12"/>
  <c r="H7" i="12"/>
  <c r="H6" i="12"/>
  <c r="H3" i="12"/>
  <c r="F5" i="12"/>
  <c r="F4" i="12"/>
  <c r="F3" i="12"/>
  <c r="F7" i="12"/>
  <c r="F6" i="12"/>
  <c r="C2" i="12"/>
  <c r="D5" i="12" s="1"/>
  <c r="A6" i="14" l="1"/>
  <c r="D6" i="12"/>
  <c r="D7" i="12"/>
  <c r="D3" i="12"/>
  <c r="D4" i="12"/>
  <c r="D4" i="10"/>
  <c r="C7" i="10" s="1"/>
  <c r="C6" i="10"/>
  <c r="A7" i="14" l="1"/>
  <c r="E6" i="10"/>
  <c r="F6" i="10"/>
  <c r="E7" i="10"/>
  <c r="F7" i="10"/>
  <c r="C20" i="9"/>
  <c r="C18" i="9"/>
  <c r="A8" i="14" l="1"/>
  <c r="D20" i="9"/>
  <c r="C21" i="9" s="1"/>
  <c r="A9" i="14" l="1"/>
  <c r="D18" i="9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A10" i="14" l="1"/>
  <c r="C19" i="9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D21" i="9"/>
  <c r="D19" i="9"/>
  <c r="A11" i="14" l="1"/>
  <c r="C9" i="10"/>
  <c r="C8" i="10"/>
  <c r="D42" i="1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B21" i="9"/>
  <c r="B19" i="9"/>
  <c r="A12" i="14" l="1"/>
  <c r="F8" i="10"/>
  <c r="H8" i="10"/>
  <c r="E8" i="10"/>
  <c r="G8" i="10"/>
  <c r="G7" i="10"/>
  <c r="G6" i="10"/>
  <c r="H9" i="10"/>
  <c r="G9" i="10"/>
  <c r="E9" i="10"/>
  <c r="F9" i="10"/>
  <c r="H6" i="10"/>
  <c r="H7" i="10"/>
  <c r="H41" i="1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A13" i="14" l="1"/>
  <c r="H6" i="11"/>
  <c r="I6" i="11" s="1"/>
  <c r="J6" i="11" s="1"/>
  <c r="D8" i="11"/>
  <c r="E7" i="11"/>
  <c r="F7" i="11" s="1"/>
  <c r="G7" i="11" s="1"/>
  <c r="A14" i="14" l="1"/>
  <c r="E8" i="11"/>
  <c r="F8" i="11" s="1"/>
  <c r="G8" i="11" s="1"/>
  <c r="D9" i="11"/>
  <c r="H7" i="11"/>
  <c r="I7" i="11" s="1"/>
  <c r="J7" i="11" s="1"/>
  <c r="M8" i="8"/>
  <c r="A15" i="14" l="1"/>
  <c r="H8" i="1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A16" i="14" l="1"/>
  <c r="D11" i="11"/>
  <c r="E10" i="11"/>
  <c r="F10" i="11" s="1"/>
  <c r="G10" i="11" s="1"/>
  <c r="H9" i="11"/>
  <c r="I9" i="11" s="1"/>
  <c r="J9" i="11" s="1"/>
  <c r="A11" i="4"/>
  <c r="A8" i="4"/>
  <c r="A2" i="4"/>
  <c r="A17" i="14" l="1"/>
  <c r="H10" i="1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A18" i="14" l="1"/>
  <c r="H11" i="11"/>
  <c r="I11" i="11" s="1"/>
  <c r="J11" i="11" s="1"/>
  <c r="G11" i="11"/>
  <c r="E12" i="11"/>
  <c r="F12" i="11" s="1"/>
  <c r="D13" i="11"/>
  <c r="V3" i="8"/>
  <c r="X3" i="8" s="1"/>
  <c r="V4" i="8"/>
  <c r="Y3" i="8" s="1"/>
  <c r="A19" i="14" l="1"/>
  <c r="H12" i="1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A20" i="14" l="1"/>
  <c r="H13" i="1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A21" i="14" l="1"/>
  <c r="H14" i="11"/>
  <c r="I14" i="11" s="1"/>
  <c r="J14" i="11" s="1"/>
  <c r="G14" i="11"/>
  <c r="E15" i="11"/>
  <c r="F15" i="11" s="1"/>
  <c r="G15" i="11" s="1"/>
  <c r="D16" i="11"/>
  <c r="J3" i="1"/>
  <c r="J4" i="1"/>
  <c r="A22" i="14" l="1"/>
  <c r="H15" i="1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tc={ED694F4C-CBA5-4DCA-BDE8-23901C6128BC}</author>
    <author>tc={DFE1C7C2-B602-406E-BFFD-8570BFC5E5EA}</author>
  </authors>
  <commentList>
    <comment ref="B12" authorId="0" shapeId="0" xr:uid="{ED694F4C-CBA5-4DCA-BDE8-23901C6128BC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13" authorId="1" shapeId="0" xr:uid="{DFE1C7C2-B602-406E-BFFD-8570BFC5E5EA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<sst xmlns="http://schemas.openxmlformats.org/spreadsheetml/2006/main" count="382" uniqueCount="193">
  <si>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</si>
  <si>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</si>
  <si>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</si>
  <si>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</si>
  <si>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</si>
  <si>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</si>
  <si>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</si>
  <si>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</si>
  <si>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</si>
  <si>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</si>
  <si>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</si>
  <si>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</si>
  <si>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</si>
  <si>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</si>
  <si>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</si>
  <si>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</si>
  <si>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</si>
  <si>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</si>
  <si>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</si>
  <si>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</si>
  <si>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</si>
  <si>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</si>
  <si>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</si>
  <si>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</si>
  <si>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</si>
  <si>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</si>
  <si>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</si>
  <si>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</si>
  <si>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</si>
  <si>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</si>
  <si>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</si>
  <si>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</si>
  <si>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</si>
  <si>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</si>
  <si>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</si>
  <si>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</si>
  <si>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</si>
  <si>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</si>
  <si>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</si>
  <si>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</si>
  <si>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</si>
  <si>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</si>
  <si>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</si>
  <si>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ATK</t>
  </si>
  <si>
    <t>CRT</t>
  </si>
  <si>
    <t>SDMG</t>
  </si>
  <si>
    <t>CRT ?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</si>
  <si>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</si>
  <si>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</si>
  <si>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</si>
  <si>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</si>
  <si>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</si>
  <si>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</si>
  <si>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</si>
  <si>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</si>
  <si>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</si>
  <si>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</si>
  <si>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</si>
  <si>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</si>
  <si>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</si>
  <si>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</si>
  <si>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</si>
  <si>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</si>
  <si>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</si>
  <si>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</si>
  <si>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</si>
  <si>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</si>
  <si>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</si>
  <si>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</si>
  <si>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</si>
  <si>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</si>
  <si>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</si>
  <si>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</si>
  <si>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</si>
  <si>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</si>
  <si>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</si>
  <si>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</si>
  <si>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</si>
  <si>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</si>
  <si>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</si>
  <si>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</si>
  <si>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</si>
  <si>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</si>
  <si>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</si>
  <si>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</si>
  <si>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</si>
  <si>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</si>
  <si>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</si>
  <si>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</si>
  <si>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</si>
  <si>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</si>
  <si>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</si>
  <si>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</si>
  <si>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</si>
  <si>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</si>
  <si>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</si>
  <si>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</si>
  <si>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</si>
  <si>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</si>
  <si>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</si>
  <si>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</si>
  <si>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</si>
  <si>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</si>
  <si>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</si>
  <si>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</si>
  <si>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三葉 C</t>
  </si>
  <si>
    <t>D</t>
  </si>
  <si>
    <t>U</t>
  </si>
  <si>
    <t>轉P</t>
  </si>
  <si>
    <t>P1</t>
  </si>
  <si>
    <t>P2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</si>
  <si>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</si>
  <si>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</si>
  <si>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</si>
  <si>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</si>
  <si>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</si>
  <si>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</si>
  <si>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</si>
  <si>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</si>
  <si>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</si>
  <si>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</si>
  <si>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</si>
  <si>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</si>
  <si>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</si>
  <si>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</si>
  <si>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</si>
  <si>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</si>
  <si>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</si>
  <si>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</si>
  <si>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</si>
  <si>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</si>
  <si>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</si>
  <si>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</si>
  <si>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</si>
  <si>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</si>
  <si>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</si>
  <si>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</si>
  <si>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</si>
  <si>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</si>
  <si>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</si>
  <si>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</si>
  <si>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</si>
  <si>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</si>
  <si>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</si>
  <si>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</si>
  <si>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</si>
  <si>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</si>
  <si>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機關</t>
  </si>
  <si>
    <t>散彈</t>
  </si>
  <si>
    <t>勇</t>
  </si>
  <si>
    <t>亞森</t>
  </si>
  <si>
    <t>DEF -</t>
  </si>
  <si>
    <t>Mod</t>
  </si>
  <si>
    <t>Current HP%</t>
  </si>
  <si>
    <t>Effectiveness</t>
  </si>
  <si>
    <t>Constant</t>
  </si>
  <si>
    <t>Damage Reduction</t>
  </si>
  <si>
    <t>In-Game</t>
  </si>
  <si>
    <t>Passive incl. in-game</t>
  </si>
  <si>
    <t>Passive excl. in-game</t>
  </si>
  <si>
    <t>Buff %</t>
  </si>
  <si>
    <t>Blade Co-ab</t>
  </si>
  <si>
    <t>Skill mods</t>
  </si>
  <si>
    <t>Passive</t>
  </si>
  <si>
    <t>Energize</t>
  </si>
  <si>
    <t>Wand Co-ab</t>
  </si>
  <si>
    <t>BK Punisher</t>
  </si>
  <si>
    <t>Other Punishers</t>
  </si>
  <si>
    <t>Punishers</t>
  </si>
  <si>
    <t>Elemental</t>
  </si>
  <si>
    <t>Rate (1.5 / 1 / 0.5)</t>
  </si>
  <si>
    <t>Elemental Damage</t>
  </si>
  <si>
    <t>Shapeshift? (0 / 1)</t>
  </si>
  <si>
    <t>Facility</t>
  </si>
  <si>
    <t>Dragon</t>
  </si>
  <si>
    <t>Enmity</t>
  </si>
  <si>
    <t>Variant (0.95~1.05)</t>
  </si>
  <si>
    <t>Break? (0 / 1)</t>
  </si>
  <si>
    <t>Change Rate</t>
  </si>
  <si>
    <t>DEF Var</t>
  </si>
  <si>
    <t>Bog? (0 / 1)</t>
  </si>
  <si>
    <t>Other Bracket</t>
  </si>
  <si>
    <t>Damage</t>
  </si>
  <si>
    <t>-</t>
  </si>
  <si>
    <t>- / -</t>
  </si>
  <si>
    <t>- / +</t>
  </si>
  <si>
    <t>+ / -</t>
  </si>
  <si>
    <t>+ / +</t>
  </si>
  <si>
    <t>風牙 / Volk</t>
  </si>
  <si>
    <t>不動明王 / Fudo Myo-o</t>
  </si>
  <si>
    <t>雷鷹．勇 / GR Zephyr</t>
  </si>
  <si>
    <t>夢零 / Mid0</t>
  </si>
  <si>
    <t>SD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</si>
</sst>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  <font>
      <b/>
      <sz val="20"/>
      <color theme="7" tint="0.59999389629810485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242300"/>
        <bgColor rgb="FFEAD1DC"/>
      </patternFill>
    </fill>
    <fill>
      <patternFill patternType="solid">
        <fgColor rgb="FF242300"/>
        <bgColor rgb="FFD9D9D9"/>
      </patternFill>
    </fill>
    <fill>
      <patternFill patternType="solid">
        <fgColor rgb="FF242300"/>
        <bgColor rgb="FFEFEFEF"/>
      </patternFill>
    </fill>
    <fill>
      <patternFill patternType="solid">
        <fgColor rgb="FF242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E6B00"/>
        <bgColor rgb="FFEAD1DC"/>
      </patternFill>
    </fill>
    <fill>
      <patternFill patternType="solid">
        <fgColor rgb="FF6E6B00"/>
        <bgColor rgb="FFD9D9D9"/>
      </patternFill>
    </fill>
    <fill>
      <patternFill patternType="solid">
        <fgColor rgb="FF6E6B00"/>
        <bgColor indexed="64"/>
      </patternFill>
    </fill>
    <fill>
      <patternFill patternType="solid">
        <fgColor rgb="FF006E32"/>
        <bgColor rgb="FFEAD1DC"/>
      </patternFill>
    </fill>
    <fill>
      <patternFill patternType="solid">
        <fgColor rgb="FF006E32"/>
        <bgColor rgb="FFD9D9D9"/>
      </patternFill>
    </fill>
    <fill>
      <patternFill patternType="solid">
        <fgColor rgb="FF006E32"/>
        <bgColor indexed="64"/>
      </patternFill>
    </fill>
    <fill>
      <patternFill patternType="solid">
        <fgColor rgb="FF3B1A54"/>
        <bgColor rgb="FFEAD1DC"/>
      </patternFill>
    </fill>
    <fill>
      <patternFill patternType="solid">
        <fgColor rgb="FF3B1A54"/>
        <bgColor rgb="FFD9D9D9"/>
      </patternFill>
    </fill>
    <fill>
      <patternFill patternType="solid">
        <fgColor rgb="FF3B1A54"/>
        <bgColor indexed="64"/>
      </patternFill>
    </fill>
    <fill>
      <patternFill patternType="solid">
        <fgColor rgb="FF6E0000"/>
        <bgColor rgb="FFEAD1DC"/>
      </patternFill>
    </fill>
    <fill>
      <patternFill patternType="solid">
        <fgColor rgb="FF6E0000"/>
        <bgColor rgb="FFD9D9D9"/>
      </patternFill>
    </fill>
    <fill>
      <patternFill patternType="solid">
        <fgColor rgb="FF6E0000"/>
        <bgColor indexed="64"/>
      </patternFill>
    </fill>
  </fills>
  <borders count="2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2"/>
      </left>
      <right/>
      <top/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/>
      <diagonal/>
    </border>
    <border>
      <left style="medium">
        <color theme="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0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0"/>
      </right>
      <top/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7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7" fillId="4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0" fontId="7" fillId="4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quotePrefix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9" fontId="13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7" fillId="45" borderId="1" xfId="0" applyFont="1" applyFill="1" applyBorder="1" applyAlignment="1">
      <alignment horizontal="center" vertical="center"/>
    </xf>
    <xf numFmtId="2" fontId="7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7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9" fontId="5" fillId="15" borderId="12" xfId="0" applyNumberFormat="1" applyFont="1" applyFill="1" applyBorder="1" applyAlignment="1">
      <alignment horizontal="center" vertical="center"/>
    </xf>
    <xf numFmtId="9" fontId="5" fillId="15" borderId="12" xfId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9" fontId="2" fillId="15" borderId="1" xfId="0" applyNumberFormat="1" applyFont="1" applyFill="1" applyBorder="1" applyAlignment="1">
      <alignment horizontal="center" vertical="center"/>
    </xf>
    <xf numFmtId="10" fontId="2" fillId="15" borderId="1" xfId="1" applyNumberFormat="1" applyFont="1" applyFill="1" applyBorder="1" applyAlignment="1">
      <alignment horizontal="center" vertical="center"/>
    </xf>
    <xf numFmtId="0" fontId="5" fillId="49" borderId="1" xfId="0" applyFont="1" applyFill="1" applyBorder="1" applyAlignment="1">
      <alignment horizontal="center" vertical="center"/>
    </xf>
    <xf numFmtId="0" fontId="5" fillId="47" borderId="22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9" fontId="5" fillId="47" borderId="22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0" fontId="5" fillId="15" borderId="12" xfId="0" applyNumberFormat="1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 vertical="center"/>
    </xf>
    <xf numFmtId="9" fontId="5" fillId="37" borderId="1" xfId="0" applyNumberFormat="1" applyFont="1" applyFill="1" applyBorder="1" applyAlignment="1">
      <alignment horizontal="center" vertical="center"/>
    </xf>
    <xf numFmtId="0" fontId="5" fillId="50" borderId="9" xfId="0" applyFont="1" applyFill="1" applyBorder="1" applyAlignment="1">
      <alignment horizontal="center" vertical="center"/>
    </xf>
    <xf numFmtId="9" fontId="5" fillId="50" borderId="10" xfId="0" applyNumberFormat="1" applyFont="1" applyFill="1" applyBorder="1" applyAlignment="1">
      <alignment horizontal="center" vertical="center"/>
    </xf>
    <xf numFmtId="0" fontId="5" fillId="50" borderId="1" xfId="0" applyFont="1" applyFill="1" applyBorder="1" applyAlignment="1">
      <alignment horizontal="center" vertical="center"/>
    </xf>
    <xf numFmtId="0" fontId="5" fillId="51" borderId="12" xfId="0" applyFont="1" applyFill="1" applyBorder="1" applyAlignment="1">
      <alignment horizontal="center" vertical="center"/>
    </xf>
    <xf numFmtId="9" fontId="5" fillId="52" borderId="1" xfId="0" applyNumberFormat="1" applyFont="1" applyFill="1" applyBorder="1" applyAlignment="1">
      <alignment horizontal="center" vertical="center"/>
    </xf>
    <xf numFmtId="0" fontId="5" fillId="53" borderId="1" xfId="0" applyFont="1" applyFill="1" applyBorder="1" applyAlignment="1">
      <alignment horizontal="center" vertical="center"/>
    </xf>
    <xf numFmtId="0" fontId="5" fillId="54" borderId="12" xfId="0" applyFont="1" applyFill="1" applyBorder="1" applyAlignment="1">
      <alignment horizontal="center" vertical="center"/>
    </xf>
    <xf numFmtId="9" fontId="5" fillId="55" borderId="1" xfId="0" applyNumberFormat="1" applyFont="1" applyFill="1" applyBorder="1" applyAlignment="1">
      <alignment horizontal="center" vertical="center"/>
    </xf>
    <xf numFmtId="0" fontId="5" fillId="56" borderId="1" xfId="0" applyFont="1" applyFill="1" applyBorder="1" applyAlignment="1">
      <alignment horizontal="center" vertical="center"/>
    </xf>
    <xf numFmtId="0" fontId="5" fillId="57" borderId="12" xfId="0" applyFont="1" applyFill="1" applyBorder="1" applyAlignment="1">
      <alignment horizontal="center" vertical="center"/>
    </xf>
    <xf numFmtId="9" fontId="5" fillId="58" borderId="1" xfId="0" applyNumberFormat="1" applyFont="1" applyFill="1" applyBorder="1" applyAlignment="1">
      <alignment horizontal="center" vertical="center"/>
    </xf>
    <xf numFmtId="0" fontId="5" fillId="59" borderId="1" xfId="0" applyFont="1" applyFill="1" applyBorder="1" applyAlignment="1">
      <alignment horizontal="center" vertical="center"/>
    </xf>
    <xf numFmtId="0" fontId="5" fillId="60" borderId="12" xfId="0" applyFont="1" applyFill="1" applyBorder="1" applyAlignment="1">
      <alignment horizontal="center" vertical="center"/>
    </xf>
    <xf numFmtId="9" fontId="5" fillId="61" borderId="1" xfId="0" applyNumberFormat="1" applyFont="1" applyFill="1" applyBorder="1" applyAlignment="1">
      <alignment horizontal="center" vertical="center"/>
    </xf>
    <xf numFmtId="0" fontId="5" fillId="62" borderId="1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/>
    </xf>
    <xf numFmtId="0" fontId="7" fillId="33" borderId="1" xfId="0" quotePrefix="1" applyFont="1" applyFill="1" applyBorder="1" applyAlignment="1">
      <alignment horizontal="center" vertical="center"/>
    </xf>
    <xf numFmtId="10" fontId="2" fillId="15" borderId="1" xfId="1" quotePrefix="1" applyNumberFormat="1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/>
    </xf>
    <xf numFmtId="9" fontId="2" fillId="26" borderId="1" xfId="0" applyNumberFormat="1" applyFont="1" applyFill="1" applyBorder="1" applyAlignment="1">
      <alignment horizontal="center" vertical="center"/>
    </xf>
    <xf numFmtId="9" fontId="2" fillId="8" borderId="1" xfId="0" applyNumberFormat="1" applyFont="1" applyFill="1" applyBorder="1" applyAlignment="1">
      <alignment horizontal="center" vertical="center"/>
    </xf>
    <xf numFmtId="0" fontId="2" fillId="15" borderId="1" xfId="0" applyFont="1" applyFill="1" applyBorder="1"/>
    <xf numFmtId="10" fontId="2" fillId="15" borderId="1" xfId="1" applyNumberFormat="1" applyFont="1" applyFill="1" applyBorder="1"/>
    <xf numFmtId="9" fontId="2" fillId="15" borderId="1" xfId="0" applyNumberFormat="1" applyFont="1" applyFill="1" applyBorder="1"/>
    <xf numFmtId="10" fontId="2" fillId="15" borderId="1" xfId="0" applyNumberFormat="1" applyFont="1" applyFill="1" applyBorder="1"/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48" borderId="23" xfId="0" applyFont="1" applyFill="1" applyBorder="1" applyAlignment="1">
      <alignment horizontal="center" vertical="center"/>
    </xf>
    <xf numFmtId="0" fontId="5" fillId="48" borderId="24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0" fontId="5" fillId="11" borderId="2" xfId="0" quotePrefix="1" applyNumberFormat="1" applyFont="1" applyFill="1" applyBorder="1" applyAlignment="1">
      <alignment horizontal="center" vertical="center"/>
    </xf>
    <xf numFmtId="0" fontId="5" fillId="11" borderId="3" xfId="0" applyNumberFormat="1" applyFont="1" applyFill="1" applyBorder="1" applyAlignment="1">
      <alignment horizontal="center" vertical="center"/>
    </xf>
    <xf numFmtId="3" fontId="14" fillId="11" borderId="2" xfId="0" applyNumberFormat="1" applyFont="1" applyFill="1" applyBorder="1" applyAlignment="1">
      <alignment horizontal="center" vertical="center"/>
    </xf>
    <xf numFmtId="3" fontId="14" fillId="11" borderId="3" xfId="0" applyNumberFormat="1" applyFont="1" applyFill="1" applyBorder="1" applyAlignment="1">
      <alignment horizontal="center" vertical="center"/>
    </xf>
    <xf numFmtId="9" fontId="5" fillId="50" borderId="2" xfId="0" applyNumberFormat="1" applyFont="1" applyFill="1" applyBorder="1" applyAlignment="1">
      <alignment horizontal="center" vertical="center"/>
    </xf>
    <xf numFmtId="9" fontId="5" fillId="50" borderId="3" xfId="0" applyNumberFormat="1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46" borderId="21" xfId="0" applyFont="1" applyFill="1" applyBorder="1" applyAlignment="1">
      <alignment horizontal="center" vertical="center"/>
    </xf>
    <xf numFmtId="0" fontId="5" fillId="46" borderId="2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10" fontId="2" fillId="33" borderId="1" xfId="0" applyNumberFormat="1" applyFont="1" applyFill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B0C26"/>
      <color rgb="FF323100"/>
      <color rgb="FF001132"/>
      <color rgb="FF006E32"/>
      <color rgb="FF6E0000"/>
      <color rgb="FF3B1A54"/>
      <color rgb="FF6E6B00"/>
      <color rgb="FF787500"/>
      <color rgb="FF500000"/>
      <color rgb="FF2B1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'Dragon Aura'!$B$1</c:f>
              <c:strCache>
                <c:ptCount val="1"/>
                <c:pt idx="0">
                  <c:v>風牙 / Volk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'Dragon Aura'!$A$2:$A$22</c:f>
              <c:numCache>
                <c:formatCode>0.00%</c:formatCode>
                <c:ptCount val="21"/>
                <c:pt idx="0" formatCode="0%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'Dragon Aura'!$B$2:$B$22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0-4E03-9E33-08B2C7F1F39C}"/>
            </c:ext>
          </c:extLst>
        </c:ser>
        <c:ser>
          <c:idx val="2"/>
          <c:order val="2"/>
          <c:tx>
            <c:strRef>
              <c:f>'Dragon Aura'!$C$1</c:f>
              <c:strCache>
                <c:ptCount val="1"/>
                <c:pt idx="0">
                  <c:v>不動明王 / Fudo Myo-o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'Dragon Aura'!$A$2:$A$22</c:f>
              <c:numCache>
                <c:formatCode>0.00%</c:formatCode>
                <c:ptCount val="21"/>
                <c:pt idx="0" formatCode="0%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'Dragon Aura'!$C$2:$C$22</c:f>
              <c:numCache>
                <c:formatCode>0.00%</c:formatCode>
                <c:ptCount val="21"/>
                <c:pt idx="0">
                  <c:v>-1.2126574973550075E-2</c:v>
                </c:pt>
                <c:pt idx="1">
                  <c:v>-1.2126574973550297E-2</c:v>
                </c:pt>
                <c:pt idx="2">
                  <c:v>-1.2126574973550297E-2</c:v>
                </c:pt>
                <c:pt idx="3">
                  <c:v>-1.2126574973549964E-2</c:v>
                </c:pt>
                <c:pt idx="4">
                  <c:v>-1.2126574973550075E-2</c:v>
                </c:pt>
                <c:pt idx="5">
                  <c:v>-1.2126574973550075E-2</c:v>
                </c:pt>
                <c:pt idx="6">
                  <c:v>-1.2126574973550186E-2</c:v>
                </c:pt>
                <c:pt idx="7">
                  <c:v>-1.2126574973550297E-2</c:v>
                </c:pt>
                <c:pt idx="8">
                  <c:v>-1.2126574973549964E-2</c:v>
                </c:pt>
                <c:pt idx="9">
                  <c:v>-1.2126574973550075E-2</c:v>
                </c:pt>
                <c:pt idx="10">
                  <c:v>-1.2126574973550186E-2</c:v>
                </c:pt>
                <c:pt idx="11">
                  <c:v>-1.2126574973550186E-2</c:v>
                </c:pt>
                <c:pt idx="12">
                  <c:v>-1.2126574973550075E-2</c:v>
                </c:pt>
                <c:pt idx="13">
                  <c:v>-1.2126574973549964E-2</c:v>
                </c:pt>
                <c:pt idx="14">
                  <c:v>-1.2126574973550075E-2</c:v>
                </c:pt>
                <c:pt idx="15">
                  <c:v>-1.2126574973550186E-2</c:v>
                </c:pt>
                <c:pt idx="16">
                  <c:v>-1.2126574973550186E-2</c:v>
                </c:pt>
                <c:pt idx="17">
                  <c:v>-1.2126574973550075E-2</c:v>
                </c:pt>
                <c:pt idx="18">
                  <c:v>-1.2126574973550075E-2</c:v>
                </c:pt>
                <c:pt idx="19">
                  <c:v>-1.2126574973550075E-2</c:v>
                </c:pt>
                <c:pt idx="20">
                  <c:v>-1.2126574973550186E-2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90-4E03-9E33-08B2C7F1F39C}"/>
            </c:ext>
          </c:extLst>
        </c:ser>
        <c:ser>
          <c:idx val="3"/>
          <c:order val="3"/>
          <c:tx>
            <c:strRef>
              <c:f>'Dragon Aura'!$D$1</c:f>
              <c:strCache>
                <c:ptCount val="1"/>
                <c:pt idx="0">
                  <c:v>雷鷹．勇 / GR Zephyr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'Dragon Aura'!$A$2:$A$22</c:f>
              <c:numCache>
                <c:formatCode>0.00%</c:formatCode>
                <c:ptCount val="21"/>
                <c:pt idx="0" formatCode="0%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'Dragon Aura'!$D$2:$D$22</c:f>
              <c:numCache>
                <c:formatCode>0.00%</c:formatCode>
                <c:ptCount val="21"/>
                <c:pt idx="0">
                  <c:v>-0.10193324997595476</c:v>
                </c:pt>
                <c:pt idx="1">
                  <c:v>-0.10193324997595488</c:v>
                </c:pt>
                <c:pt idx="2">
                  <c:v>-0.10193324997595476</c:v>
                </c:pt>
                <c:pt idx="3">
                  <c:v>-0.10193324997595465</c:v>
                </c:pt>
                <c:pt idx="4">
                  <c:v>-0.10193324997595476</c:v>
                </c:pt>
                <c:pt idx="5">
                  <c:v>-0.10193324997595476</c:v>
                </c:pt>
                <c:pt idx="6">
                  <c:v>-0.10193324997595476</c:v>
                </c:pt>
                <c:pt idx="7">
                  <c:v>-0.10193324997595476</c:v>
                </c:pt>
                <c:pt idx="8">
                  <c:v>-0.10193324997595465</c:v>
                </c:pt>
                <c:pt idx="9">
                  <c:v>-0.10193324997595476</c:v>
                </c:pt>
                <c:pt idx="10">
                  <c:v>-0.10193324997595488</c:v>
                </c:pt>
                <c:pt idx="11">
                  <c:v>-0.10193324997595465</c:v>
                </c:pt>
                <c:pt idx="12">
                  <c:v>-0.10193324997595476</c:v>
                </c:pt>
                <c:pt idx="13">
                  <c:v>-0.10193324997595465</c:v>
                </c:pt>
                <c:pt idx="14">
                  <c:v>-0.10193324997595476</c:v>
                </c:pt>
                <c:pt idx="15">
                  <c:v>-0.10193324997595476</c:v>
                </c:pt>
                <c:pt idx="16">
                  <c:v>-0.10193324997595465</c:v>
                </c:pt>
                <c:pt idx="17">
                  <c:v>-0.10193324997595476</c:v>
                </c:pt>
                <c:pt idx="18">
                  <c:v>-0.10193324997595465</c:v>
                </c:pt>
                <c:pt idx="19">
                  <c:v>-0.10193324997595476</c:v>
                </c:pt>
                <c:pt idx="20">
                  <c:v>-0.10193324997595476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90-4E03-9E33-08B2C7F1F39C}"/>
            </c:ext>
          </c:extLst>
        </c:ser>
        <c:ser>
          <c:idx val="4"/>
          <c:order val="4"/>
          <c:tx>
            <c:strRef>
              <c:f>'Dragon Aura'!$E$1</c:f>
              <c:strCache>
                <c:ptCount val="1"/>
                <c:pt idx="0">
                  <c:v>夢零 / Mid0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'Dragon Aura'!$E$2:$E$22</c:f>
              <c:numCache>
                <c:formatCode>0.00%</c:formatCode>
                <c:ptCount val="21"/>
                <c:pt idx="0">
                  <c:v>-0.35596806771183997</c:v>
                </c:pt>
                <c:pt idx="1">
                  <c:v>-0.33386893278038354</c:v>
                </c:pt>
                <c:pt idx="2">
                  <c:v>-0.31261976457705998</c:v>
                </c:pt>
                <c:pt idx="3">
                  <c:v>-0.2921724517776354</c:v>
                </c:pt>
                <c:pt idx="4">
                  <c:v>-0.27248244685967105</c:v>
                </c:pt>
                <c:pt idx="5">
                  <c:v>-0.25350844212054191</c:v>
                </c:pt>
                <c:pt idx="6">
                  <c:v>-0.23521208040780994</c:v>
                </c:pt>
                <c:pt idx="7">
                  <c:v>-0.21755769629903365</c:v>
                </c:pt>
                <c:pt idx="8">
                  <c:v>-0.20051208405607712</c:v>
                </c:pt>
                <c:pt idx="9">
                  <c:v>-0.18404428917728866</c:v>
                </c:pt>
                <c:pt idx="10">
                  <c:v>-0.16812542079446002</c:v>
                </c:pt>
                <c:pt idx="11">
                  <c:v>-0.15272848252254367</c:v>
                </c:pt>
                <c:pt idx="12">
                  <c:v>-0.13782821967875336</c:v>
                </c:pt>
                <c:pt idx="13">
                  <c:v>-0.12340098105222652</c:v>
                </c:pt>
                <c:pt idx="14">
                  <c:v>-0.10942459363277879</c:v>
                </c:pt>
                <c:pt idx="15">
                  <c:v>-9.587824890315999E-2</c:v>
                </c:pt>
                <c:pt idx="16">
                  <c:v>-8.2742399468378136E-2</c:v>
                </c:pt>
                <c:pt idx="17">
                  <c:v>-6.9998664942097277E-2</c:v>
                </c:pt>
                <c:pt idx="18">
                  <c:v>-5.7629746137177529E-2</c:v>
                </c:pt>
                <c:pt idx="19">
                  <c:v>-4.5619346717907683E-2</c:v>
                </c:pt>
                <c:pt idx="20">
                  <c:v>-3.3952101567759851E-2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90-45F6-AA2F-9D1B3C6F4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807184"/>
        <c:axId val="15798084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'Dragon Aura'!$A$1</c15:sqref>
                        </c15:formulaRef>
                      </c:ext>
                    </c:extLst>
                    <c:strCache>
                      <c:ptCount val="1"/>
                      <c:pt idx="0">
                        <c:v>SD %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'Dragon Aura'!$A$2:$A$22</c15:sqref>
                        </c15:formulaRef>
                      </c:ext>
                    </c:extLst>
                    <c:numCache>
                      <c:formatCode>0.00%</c:formatCode>
                      <c:ptCount val="21"/>
                      <c:pt idx="0" formatCode="0%">
                        <c:v>0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0.15000000000000002</c:v>
                      </c:pt>
                      <c:pt idx="4">
                        <c:v>0.2</c:v>
                      </c:pt>
                      <c:pt idx="5">
                        <c:v>0.25</c:v>
                      </c:pt>
                      <c:pt idx="6">
                        <c:v>0.3</c:v>
                      </c:pt>
                      <c:pt idx="7">
                        <c:v>0.35</c:v>
                      </c:pt>
                      <c:pt idx="8">
                        <c:v>0.39999999999999997</c:v>
                      </c:pt>
                      <c:pt idx="9">
                        <c:v>0.44999999999999996</c:v>
                      </c:pt>
                      <c:pt idx="10">
                        <c:v>0.49999999999999994</c:v>
                      </c:pt>
                      <c:pt idx="11">
                        <c:v>0.54999999999999993</c:v>
                      </c:pt>
                      <c:pt idx="12">
                        <c:v>0.6</c:v>
                      </c:pt>
                      <c:pt idx="13">
                        <c:v>0.65</c:v>
                      </c:pt>
                      <c:pt idx="14">
                        <c:v>0.70000000000000007</c:v>
                      </c:pt>
                      <c:pt idx="15">
                        <c:v>0.75000000000000011</c:v>
                      </c:pt>
                      <c:pt idx="16">
                        <c:v>0.80000000000000016</c:v>
                      </c:pt>
                      <c:pt idx="17">
                        <c:v>0.8500000000000002</c:v>
                      </c:pt>
                      <c:pt idx="18">
                        <c:v>0.90000000000000024</c:v>
                      </c:pt>
                      <c:pt idx="19">
                        <c:v>0.95000000000000029</c:v>
                      </c:pt>
                      <c:pt idx="20">
                        <c:v>1.0000000000000002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'Dragon Aura'!$A$2:$A$22</c15:sqref>
                        </c15:formulaRef>
                      </c:ext>
                    </c:extLst>
                    <c:numCache>
                      <c:formatCode>0.00%</c:formatCode>
                      <c:ptCount val="21"/>
                      <c:pt idx="0" formatCode="0%">
                        <c:v>0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0.15000000000000002</c:v>
                      </c:pt>
                      <c:pt idx="4">
                        <c:v>0.2</c:v>
                      </c:pt>
                      <c:pt idx="5">
                        <c:v>0.25</c:v>
                      </c:pt>
                      <c:pt idx="6">
                        <c:v>0.3</c:v>
                      </c:pt>
                      <c:pt idx="7">
                        <c:v>0.35</c:v>
                      </c:pt>
                      <c:pt idx="8">
                        <c:v>0.39999999999999997</c:v>
                      </c:pt>
                      <c:pt idx="9">
                        <c:v>0.44999999999999996</c:v>
                      </c:pt>
                      <c:pt idx="10">
                        <c:v>0.49999999999999994</c:v>
                      </c:pt>
                      <c:pt idx="11">
                        <c:v>0.54999999999999993</c:v>
                      </c:pt>
                      <c:pt idx="12">
                        <c:v>0.6</c:v>
                      </c:pt>
                      <c:pt idx="13">
                        <c:v>0.65</c:v>
                      </c:pt>
                      <c:pt idx="14">
                        <c:v>0.70000000000000007</c:v>
                      </c:pt>
                      <c:pt idx="15">
                        <c:v>0.75000000000000011</c:v>
                      </c:pt>
                      <c:pt idx="16">
                        <c:v>0.80000000000000016</c:v>
                      </c:pt>
                      <c:pt idx="17">
                        <c:v>0.8500000000000002</c:v>
                      </c:pt>
                      <c:pt idx="18">
                        <c:v>0.90000000000000024</c:v>
                      </c:pt>
                      <c:pt idx="19">
                        <c:v>0.95000000000000029</c:v>
                      </c:pt>
                      <c:pt idx="20">
                        <c:v>1.0000000000000002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290-4E03-9E33-08B2C7F1F39C}"/>
                  </c:ext>
                </c:extLst>
              </c15:ser>
            </c15:filteredLineSeries>
          </c:ext>
        </c:extLst>
      </c:lineChart>
      <c:catAx>
        <c:axId val="1579807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1579808432"/>
        <c:crosses val="autoZero"/>
        <c:auto val="1"/>
        <c:lblAlgn val="ctr"/>
        <c:lblOffset val="0"/>
        <c:tickLblSkip val="4"/>
        <c:tickMarkSkip val="4"/>
        <c:noMultiLvlLbl val="0"/>
      </c:catAx>
      <c:valAx>
        <c:axId val="157980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157980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ea typeface="Microsoft JhengHei" panose="020B0604030504040204" pitchFamily="34" charset="-12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8B7F6B-A6C5-4AA0-AB34-245E72F43534}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45625-0112-46A1-BD3C-6997AC28FB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0-10-09T14:25:11.51" personId="{ABEC8F12-B0D3-44BC-AF35-B8DCE860105B}" id="{ED694F4C-CBA5-4DCA-BDE8-23901C6128BC}">
    <text>【護符被動、龍被動】
裝備時，遊戲內顯示出的改變後的 ATK，例如: 滿血
【主條件】
滿血、0 Combo</text>
  </threadedComment>
  <threadedComment ref="B13" dT="2020-10-10T04:01:10.20" personId="{ABEC8F12-B0D3-44BC-AF35-B8DCE860105B}" id="{DFE1C7C2-B602-406E-BFFD-8570BFC5E5EA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opLeftCell="F1" workbookViewId="0">
      <selection activeCell="M26" sqref="M26"/>
    </sheetView>
  </sheetViews>
  <sheetFormatPr defaultRowHeight="19.5" customHeight="1" x14ac:dyDescent="0.25"/>
  <cols>
    <col min="1" max="14" width="5.85546875" style="51" customWidth="1"/>
    <col min="15" max="15" width="5.85546875" style="70" customWidth="1"/>
    <col min="16" max="16" width="5.85546875" style="72" customWidth="1"/>
    <col min="17" max="17" width="5.85546875" style="57" customWidth="1"/>
    <col min="18" max="18" width="5.85546875" style="65" customWidth="1"/>
    <col min="19" max="19" width="11" style="58" customWidth="1"/>
    <col min="20" max="20" width="9.140625" style="13" customWidth="1"/>
    <col min="21" max="21" width="11" style="63" customWidth="1"/>
    <col min="22" max="22" width="10.5703125" style="15" customWidth="1"/>
    <col min="23" max="16384" width="9.140625" style="51"/>
  </cols>
  <sheetData>
    <row r="1" spans="1:25" ht="28.5" customHeight="1" x14ac:dyDescent="0.25">
      <c r="A1" s="164" t="s">
        <v>62</v>
      </c>
      <c r="B1" s="165"/>
      <c r="C1" s="165"/>
      <c r="D1" s="165"/>
      <c r="E1" s="165"/>
      <c r="F1" s="165"/>
      <c r="G1" s="166"/>
      <c r="H1" s="164" t="s">
        <v>61</v>
      </c>
      <c r="I1" s="165"/>
      <c r="J1" s="165"/>
      <c r="K1" s="165"/>
      <c r="L1" s="165"/>
      <c r="M1" s="165"/>
      <c r="N1" s="166"/>
      <c r="O1" s="167" t="s">
        <v>63</v>
      </c>
      <c r="P1" s="168"/>
      <c r="Q1" s="158">
        <v>50</v>
      </c>
      <c r="R1" s="159"/>
      <c r="S1" s="160" t="s">
        <v>58</v>
      </c>
      <c r="T1" s="161"/>
      <c r="U1" s="162" t="s">
        <v>59</v>
      </c>
      <c r="V1" s="163"/>
    </row>
    <row r="2" spans="1:25" s="55" customFormat="1" ht="19.5" customHeight="1" x14ac:dyDescent="0.25">
      <c r="A2" s="62" t="s">
        <v>16</v>
      </c>
      <c r="B2" s="60" t="s">
        <v>72</v>
      </c>
      <c r="C2" s="60" t="s">
        <v>73</v>
      </c>
      <c r="D2" s="60" t="s">
        <v>74</v>
      </c>
      <c r="E2" s="60" t="s">
        <v>75</v>
      </c>
      <c r="F2" s="60" t="s">
        <v>76</v>
      </c>
      <c r="G2" s="61" t="s">
        <v>39</v>
      </c>
      <c r="H2" s="62" t="s">
        <v>16</v>
      </c>
      <c r="I2" s="60" t="s">
        <v>72</v>
      </c>
      <c r="J2" s="60" t="s">
        <v>73</v>
      </c>
      <c r="K2" s="60" t="s">
        <v>74</v>
      </c>
      <c r="L2" s="60" t="s">
        <v>75</v>
      </c>
      <c r="M2" s="60" t="s">
        <v>76</v>
      </c>
      <c r="N2" s="61" t="s">
        <v>39</v>
      </c>
      <c r="O2" s="70" t="s">
        <v>55</v>
      </c>
      <c r="P2" s="71">
        <v>0</v>
      </c>
      <c r="Q2" s="57" t="s">
        <v>55</v>
      </c>
      <c r="R2" s="64">
        <v>0.5</v>
      </c>
      <c r="S2" s="58" t="s">
        <v>9</v>
      </c>
      <c r="T2" s="12"/>
      <c r="U2" s="66" t="s">
        <v>60</v>
      </c>
      <c r="V2" s="67">
        <f>VLOOKUP(T3,$H$3:$M$13,6,FALSE)</f>
        <v>2958</v>
      </c>
      <c r="X2" s="55" t="s">
        <v>40</v>
      </c>
      <c r="Y2" s="55" t="s">
        <v>38</v>
      </c>
    </row>
    <row r="3" spans="1:25" ht="19.5" customHeight="1" x14ac:dyDescent="0.25">
      <c r="A3" s="3" t="s">
        <v>48</v>
      </c>
      <c r="B3" s="59">
        <v>150</v>
      </c>
      <c r="C3" s="59">
        <v>300</v>
      </c>
      <c r="D3" s="59">
        <v>496</v>
      </c>
      <c r="E3" s="59">
        <v>761</v>
      </c>
      <c r="F3" s="59">
        <v>1152</v>
      </c>
      <c r="G3" s="56">
        <v>345</v>
      </c>
      <c r="H3" s="3" t="s">
        <v>48</v>
      </c>
      <c r="I3" s="59">
        <f>B3 * (1+SUM($R:$R))</f>
        <v>225</v>
      </c>
      <c r="J3" s="59">
        <f t="shared" ref="J3:J13" si="0">C3 * (1+SUM($R:$R))</f>
        <v>450</v>
      </c>
      <c r="K3" s="59">
        <f t="shared" ref="K3:M10" si="1">D3 * (1+SUM($R:$R))</f>
        <v>744</v>
      </c>
      <c r="L3" s="59">
        <f t="shared" si="1"/>
        <v>1141.5</v>
      </c>
      <c r="M3" s="59">
        <f t="shared" si="1"/>
        <v>1728</v>
      </c>
      <c r="N3" s="56">
        <f t="shared" ref="N3:N13" si="2">G3 * (1+SUM($R:$R))</f>
        <v>517.5</v>
      </c>
      <c r="O3" s="70" t="s">
        <v>17</v>
      </c>
      <c r="P3" s="71">
        <v>0</v>
      </c>
      <c r="Q3" s="57" t="s">
        <v>17</v>
      </c>
      <c r="R3" s="64">
        <v>0</v>
      </c>
      <c r="S3" s="58" t="s">
        <v>47</v>
      </c>
      <c r="T3" s="13" t="s">
        <v>53</v>
      </c>
      <c r="U3" s="66" t="s">
        <v>69</v>
      </c>
      <c r="V3" s="67">
        <f>MOD(T6, V2)</f>
        <v>0</v>
      </c>
      <c r="W3" s="55" t="s">
        <v>39</v>
      </c>
      <c r="X3" s="55" t="b">
        <f>AND(V3 &gt; 0, V3 &lt;= VLOOKUP($T$3,$H$3:$N$13,7,FALSE))</f>
        <v>0</v>
      </c>
      <c r="Y3" s="55" t="b">
        <f>AND(V4 &gt; 0, V4 &lt;= VLOOKUP($T$3,$H$3:$N$13,7,FALSE))</f>
        <v>0</v>
      </c>
    </row>
    <row r="4" spans="1:25" ht="19.5" customHeight="1" x14ac:dyDescent="0.25">
      <c r="A4" s="3" t="s">
        <v>30</v>
      </c>
      <c r="B4" s="59">
        <v>130</v>
      </c>
      <c r="C4" s="59">
        <v>260</v>
      </c>
      <c r="D4" s="59">
        <v>480</v>
      </c>
      <c r="E4" s="59">
        <v>840</v>
      </c>
      <c r="F4" s="59">
        <v>1740</v>
      </c>
      <c r="G4" s="56">
        <v>200</v>
      </c>
      <c r="H4" s="3" t="s">
        <v>30</v>
      </c>
      <c r="I4" s="59">
        <f t="shared" ref="I4:I13" si="3">B4 * (1+SUM($R:$R))</f>
        <v>195</v>
      </c>
      <c r="J4" s="59">
        <f t="shared" si="0"/>
        <v>390</v>
      </c>
      <c r="K4" s="59">
        <f t="shared" si="1"/>
        <v>720</v>
      </c>
      <c r="L4" s="59">
        <f t="shared" si="1"/>
        <v>1260</v>
      </c>
      <c r="M4" s="59">
        <f t="shared" si="1"/>
        <v>2610</v>
      </c>
      <c r="N4" s="56">
        <f t="shared" si="2"/>
        <v>300</v>
      </c>
      <c r="O4" s="70" t="s">
        <v>56</v>
      </c>
      <c r="P4" s="71">
        <v>0</v>
      </c>
      <c r="Q4" s="57" t="s">
        <v>56</v>
      </c>
      <c r="R4" s="64">
        <v>0</v>
      </c>
      <c r="S4" s="58" t="s">
        <v>64</v>
      </c>
      <c r="T4" s="13">
        <v>47328</v>
      </c>
      <c r="U4" s="66" t="s">
        <v>70</v>
      </c>
      <c r="V4" s="67">
        <f>MOD(T7, V2)</f>
        <v>1574</v>
      </c>
      <c r="W4" s="55" t="s">
        <v>72</v>
      </c>
      <c r="X4" s="55" t="b">
        <f>AND(V3 &gt; VLOOKUP($T$3,$H$3:$M$13,1,FALSE),V3 &lt;= VLOOKUP($T$3,$H$3:$M$13,2,FALSE))</f>
        <v>0</v>
      </c>
      <c r="Y4" s="55" t="b">
        <f>AND(V4 &gt; VLOOKUP($T$3,$H$3:$M$13,1,FALSE),V4 &lt;= VLOOKUP($T$3,$H$3:$M$13,2,FALSE))</f>
        <v>0</v>
      </c>
    </row>
    <row r="5" spans="1:25" ht="19.5" customHeight="1" x14ac:dyDescent="0.25">
      <c r="A5" s="3" t="s">
        <v>49</v>
      </c>
      <c r="B5" s="59">
        <v>144</v>
      </c>
      <c r="C5" s="59">
        <v>288</v>
      </c>
      <c r="D5" s="59">
        <v>552</v>
      </c>
      <c r="E5" s="59">
        <v>840</v>
      </c>
      <c r="F5" s="59">
        <v>1320</v>
      </c>
      <c r="G5" s="56">
        <v>288</v>
      </c>
      <c r="H5" s="3" t="s">
        <v>49</v>
      </c>
      <c r="I5" s="59">
        <f t="shared" si="3"/>
        <v>216</v>
      </c>
      <c r="J5" s="59">
        <f t="shared" si="0"/>
        <v>432</v>
      </c>
      <c r="K5" s="59">
        <f t="shared" si="1"/>
        <v>828</v>
      </c>
      <c r="L5" s="59">
        <f t="shared" si="1"/>
        <v>1260</v>
      </c>
      <c r="M5" s="59">
        <f t="shared" si="1"/>
        <v>1980</v>
      </c>
      <c r="N5" s="56">
        <f t="shared" si="2"/>
        <v>432</v>
      </c>
      <c r="O5" s="70" t="s">
        <v>57</v>
      </c>
      <c r="P5" s="71">
        <v>0</v>
      </c>
      <c r="Q5" s="57" t="s">
        <v>57</v>
      </c>
      <c r="R5" s="64">
        <v>0</v>
      </c>
      <c r="S5" s="58" t="s">
        <v>66</v>
      </c>
      <c r="T5" s="13">
        <v>7490</v>
      </c>
      <c r="U5" s="68" t="s">
        <v>67</v>
      </c>
      <c r="V5" s="69" t="str" cm="1">
        <f t="array" ref="V5">(ROUNDDOWN(T6/V2, 0) + IF(X8,1,0)) &amp; _xlfn.IFS(X3, " + FS", X4, " + C1", X5, " + C2", X6, " + C3", X7, " + C4", TRUE, "")</f>
        <v>16</v>
      </c>
      <c r="W5" s="55" t="s">
        <v>73</v>
      </c>
      <c r="X5" s="55" t="b">
        <f>AND(V3&gt;VLOOKUP($T$3,$H$3:$M$13,2,FALSE),V3&lt;=VLOOKUP($T$3,$H$3:$M$13,3,FALSE))</f>
        <v>0</v>
      </c>
      <c r="Y5" s="55" t="b">
        <f>AND(V4&gt;=VLOOKUP($T$3,$H$3:$M$13,2,FALSE),V4&lt;VLOOKUP($T$3,$H$3:$M$13,3,FALSE))</f>
        <v>0</v>
      </c>
    </row>
    <row r="6" spans="1:25" ht="19.5" customHeight="1" x14ac:dyDescent="0.25">
      <c r="A6" s="3" t="s">
        <v>50</v>
      </c>
      <c r="B6" s="59">
        <v>200</v>
      </c>
      <c r="C6" s="59">
        <v>440</v>
      </c>
      <c r="D6" s="59">
        <v>800</v>
      </c>
      <c r="E6" s="59">
        <v>1180</v>
      </c>
      <c r="F6" s="59">
        <v>1600</v>
      </c>
      <c r="G6" s="56">
        <v>300</v>
      </c>
      <c r="H6" s="3" t="s">
        <v>50</v>
      </c>
      <c r="I6" s="59">
        <f t="shared" si="3"/>
        <v>300</v>
      </c>
      <c r="J6" s="59">
        <f t="shared" si="0"/>
        <v>660</v>
      </c>
      <c r="K6" s="59">
        <f t="shared" si="1"/>
        <v>1200</v>
      </c>
      <c r="L6" s="59">
        <f t="shared" si="1"/>
        <v>1770</v>
      </c>
      <c r="M6" s="59">
        <f t="shared" si="1"/>
        <v>2400</v>
      </c>
      <c r="N6" s="56">
        <f t="shared" si="2"/>
        <v>450</v>
      </c>
      <c r="S6" s="73" t="s">
        <v>65</v>
      </c>
      <c r="T6" s="74">
        <f>T4 * (1 - SUM(P:P))</f>
        <v>47328</v>
      </c>
      <c r="U6" s="75" t="s">
        <v>68</v>
      </c>
      <c r="V6" s="69" t="str" cm="1">
        <f t="array" ref="V6">(ROUNDDOWN(T7/V2, 0) + IF(Y8,1,0)) &amp; _xlfn.IFS(Y3, " + FS", Y4, " + C1", Y5, " + C2", Y6, " + C3", Y7, " + C4", TRUE, "")</f>
        <v>2 + C4</v>
      </c>
      <c r="W6" s="55" t="s">
        <v>74</v>
      </c>
      <c r="X6" s="55" t="b">
        <f>AND(V3 &gt; VLOOKUP($T$3,$H$3:$M$13,3,FALSE),V3 &lt;= VLOOKUP($T$3,$H$3:$M$13,4,FALSE))</f>
        <v>0</v>
      </c>
      <c r="Y6" s="55" t="b">
        <f>AND(V4 &gt; VLOOKUP($T$3,$H$3:$M$13,3,FALSE),V4 &lt;= VLOOKUP($T$3,$H$3:$M$13,4,FALSE))</f>
        <v>0</v>
      </c>
    </row>
    <row r="7" spans="1:25" ht="19.5" customHeight="1" x14ac:dyDescent="0.25">
      <c r="A7" s="3" t="s">
        <v>51</v>
      </c>
      <c r="B7" s="59">
        <v>120</v>
      </c>
      <c r="C7" s="59">
        <v>360</v>
      </c>
      <c r="D7" s="59">
        <v>480</v>
      </c>
      <c r="E7" s="59">
        <v>960</v>
      </c>
      <c r="F7" s="59">
        <v>1560</v>
      </c>
      <c r="G7" s="56">
        <v>400</v>
      </c>
      <c r="H7" s="3" t="s">
        <v>51</v>
      </c>
      <c r="I7" s="59">
        <f t="shared" si="3"/>
        <v>180</v>
      </c>
      <c r="J7" s="59">
        <f t="shared" si="0"/>
        <v>540</v>
      </c>
      <c r="K7" s="59">
        <f t="shared" si="1"/>
        <v>720</v>
      </c>
      <c r="L7" s="59">
        <f t="shared" si="1"/>
        <v>1440</v>
      </c>
      <c r="M7" s="59">
        <f t="shared" si="1"/>
        <v>2340</v>
      </c>
      <c r="N7" s="56">
        <f t="shared" si="2"/>
        <v>600</v>
      </c>
      <c r="S7" s="73" t="s">
        <v>71</v>
      </c>
      <c r="T7" s="74">
        <f>T5 * (1 - SUM(P:P))</f>
        <v>7490</v>
      </c>
      <c r="W7" s="55" t="s">
        <v>75</v>
      </c>
      <c r="X7" s="55" t="b">
        <f>AND(V3 &gt; VLOOKUP($T$3,$H$3:$M$13,4,FALSE),V3 &lt;= VLOOKUP($T$3,$H$3:$M$13,5,FALSE))</f>
        <v>0</v>
      </c>
      <c r="Y7" s="55" t="b">
        <f>AND(V4 &gt; VLOOKUP($T$3,$H$3:$M$13,4,FALSE),V4 &lt;= VLOOKUP($T$3,$H$3:$M$13,5,FALSE))</f>
        <v>1</v>
      </c>
    </row>
    <row r="8" spans="1:25" ht="19.5" customHeight="1" x14ac:dyDescent="0.25">
      <c r="A8" s="3" t="s">
        <v>52</v>
      </c>
      <c r="B8" s="59">
        <v>184</v>
      </c>
      <c r="C8" s="59">
        <v>276</v>
      </c>
      <c r="D8" s="59">
        <v>552</v>
      </c>
      <c r="E8" s="59">
        <v>966</v>
      </c>
      <c r="F8" s="59">
        <v>1495</v>
      </c>
      <c r="G8" s="56">
        <v>460</v>
      </c>
      <c r="H8" s="3" t="s">
        <v>52</v>
      </c>
      <c r="I8" s="59">
        <f t="shared" si="3"/>
        <v>276</v>
      </c>
      <c r="J8" s="59">
        <f t="shared" si="0"/>
        <v>414</v>
      </c>
      <c r="K8" s="59">
        <f t="shared" si="1"/>
        <v>828</v>
      </c>
      <c r="L8" s="59">
        <f t="shared" si="1"/>
        <v>1449</v>
      </c>
      <c r="M8" s="59">
        <f t="shared" si="1"/>
        <v>2242.5</v>
      </c>
      <c r="N8" s="56">
        <f t="shared" si="2"/>
        <v>690</v>
      </c>
      <c r="W8" s="55" t="s">
        <v>76</v>
      </c>
      <c r="X8" s="55" t="b">
        <f>V3&gt;VLOOKUP($T$3,$H$3:$M$13,5,FALSE)</f>
        <v>0</v>
      </c>
      <c r="Y8" s="55" t="b">
        <f>V4&gt;VLOOKUP($T$3,$H$3:$M$13,5,FALSE)</f>
        <v>0</v>
      </c>
    </row>
    <row r="9" spans="1:25" ht="19.5" customHeight="1" x14ac:dyDescent="0.25">
      <c r="A9" s="3" t="s">
        <v>29</v>
      </c>
      <c r="B9" s="59">
        <v>130</v>
      </c>
      <c r="C9" s="59">
        <v>330</v>
      </c>
      <c r="D9" s="59">
        <v>570</v>
      </c>
      <c r="E9" s="59">
        <v>1000</v>
      </c>
      <c r="F9" s="59">
        <v>1600</v>
      </c>
      <c r="G9" s="56">
        <v>400</v>
      </c>
      <c r="H9" s="3" t="s">
        <v>29</v>
      </c>
      <c r="I9" s="59">
        <f t="shared" si="3"/>
        <v>195</v>
      </c>
      <c r="J9" s="59">
        <f t="shared" si="0"/>
        <v>495</v>
      </c>
      <c r="K9" s="59">
        <f t="shared" si="1"/>
        <v>855</v>
      </c>
      <c r="L9" s="59">
        <f t="shared" si="1"/>
        <v>1500</v>
      </c>
      <c r="M9" s="59">
        <f t="shared" si="1"/>
        <v>2400</v>
      </c>
      <c r="N9" s="56">
        <f t="shared" si="2"/>
        <v>600</v>
      </c>
      <c r="W9" s="55"/>
      <c r="X9" s="55"/>
      <c r="Y9" s="55"/>
    </row>
    <row r="10" spans="1:25" ht="19.5" customHeight="1" x14ac:dyDescent="0.25">
      <c r="A10" s="3" t="s">
        <v>53</v>
      </c>
      <c r="B10" s="59">
        <v>232</v>
      </c>
      <c r="C10" s="59">
        <v>464</v>
      </c>
      <c r="D10" s="59">
        <v>812</v>
      </c>
      <c r="E10" s="59">
        <v>1276</v>
      </c>
      <c r="F10" s="59">
        <v>1972</v>
      </c>
      <c r="G10" s="56">
        <v>580</v>
      </c>
      <c r="H10" s="3" t="s">
        <v>53</v>
      </c>
      <c r="I10" s="59">
        <f t="shared" si="3"/>
        <v>348</v>
      </c>
      <c r="J10" s="59">
        <f t="shared" si="0"/>
        <v>696</v>
      </c>
      <c r="K10" s="59">
        <f t="shared" si="1"/>
        <v>1218</v>
      </c>
      <c r="L10" s="59">
        <f t="shared" si="1"/>
        <v>1914</v>
      </c>
      <c r="M10" s="59">
        <f t="shared" si="1"/>
        <v>2958</v>
      </c>
      <c r="N10" s="56">
        <f t="shared" si="2"/>
        <v>870</v>
      </c>
    </row>
    <row r="11" spans="1:25" ht="19.5" customHeight="1" x14ac:dyDescent="0.25">
      <c r="A11" s="3" t="s">
        <v>54</v>
      </c>
      <c r="B11" s="59">
        <v>545</v>
      </c>
      <c r="C11" s="59">
        <v>1090</v>
      </c>
      <c r="D11" s="59"/>
      <c r="E11" s="59"/>
      <c r="F11" s="59"/>
      <c r="G11" s="56">
        <v>400</v>
      </c>
      <c r="H11" s="3" t="s">
        <v>54</v>
      </c>
      <c r="I11" s="59">
        <f t="shared" si="3"/>
        <v>817.5</v>
      </c>
      <c r="J11" s="59">
        <f t="shared" si="0"/>
        <v>1635</v>
      </c>
      <c r="K11" s="59"/>
      <c r="L11" s="59"/>
      <c r="M11" s="59"/>
      <c r="N11" s="56">
        <f t="shared" si="2"/>
        <v>600</v>
      </c>
    </row>
    <row r="12" spans="1:25" ht="19.5" customHeight="1" x14ac:dyDescent="0.25">
      <c r="A12" s="3" t="s">
        <v>148</v>
      </c>
      <c r="B12" s="59">
        <v>340</v>
      </c>
      <c r="C12" s="59">
        <v>680</v>
      </c>
      <c r="D12" s="59"/>
      <c r="E12" s="59"/>
      <c r="F12" s="59"/>
      <c r="G12" s="56">
        <v>400</v>
      </c>
      <c r="H12" s="3" t="s">
        <v>148</v>
      </c>
      <c r="I12" s="59">
        <f t="shared" si="3"/>
        <v>510</v>
      </c>
      <c r="J12" s="59">
        <f t="shared" si="0"/>
        <v>1020</v>
      </c>
      <c r="K12" s="59"/>
      <c r="L12" s="59"/>
      <c r="M12" s="59"/>
      <c r="N12" s="56">
        <f t="shared" si="2"/>
        <v>600</v>
      </c>
    </row>
    <row r="13" spans="1:25" ht="19.5" customHeight="1" x14ac:dyDescent="0.25">
      <c r="A13" s="3" t="s">
        <v>147</v>
      </c>
      <c r="B13" s="59">
        <v>200</v>
      </c>
      <c r="C13" s="59">
        <v>400</v>
      </c>
      <c r="D13" s="59">
        <v>600</v>
      </c>
      <c r="E13" s="59"/>
      <c r="F13" s="59"/>
      <c r="G13" s="56">
        <v>90</v>
      </c>
      <c r="H13" s="3" t="s">
        <v>147</v>
      </c>
      <c r="I13" s="59">
        <f t="shared" si="3"/>
        <v>300</v>
      </c>
      <c r="J13" s="59">
        <f t="shared" si="0"/>
        <v>600</v>
      </c>
      <c r="K13" s="59">
        <f>D13 * (1+SUM($R:$R))</f>
        <v>900</v>
      </c>
      <c r="L13" s="59"/>
      <c r="M13" s="59"/>
      <c r="N13" s="56">
        <f t="shared" si="2"/>
        <v>135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1"/>
    <col min="4" max="4" width="13.28515625" style="51" customWidth="1"/>
    <col min="5" max="5" width="10.85546875" style="53"/>
    <col min="6" max="6" width="18.42578125" style="51" customWidth="1"/>
    <col min="7" max="7" width="10.85546875" style="51"/>
    <col min="8" max="9" width="13.28515625" style="51" customWidth="1"/>
    <col min="10" max="16384" width="10.85546875" style="51"/>
  </cols>
  <sheetData>
    <row r="1" spans="1:10" ht="18" customHeight="1" x14ac:dyDescent="0.25">
      <c r="A1" s="51" t="s">
        <v>0</v>
      </c>
      <c r="B1" s="52">
        <v>0.99</v>
      </c>
      <c r="D1" s="51" t="s">
        <v>5</v>
      </c>
      <c r="E1" s="53" t="s">
        <v>4</v>
      </c>
      <c r="F1" s="51" t="s">
        <v>9</v>
      </c>
      <c r="J1" s="51" t="s">
        <v>4</v>
      </c>
    </row>
    <row r="2" spans="1:10" ht="18" customHeight="1" x14ac:dyDescent="0.25">
      <c r="A2" s="51" t="s">
        <v>1</v>
      </c>
      <c r="B2" s="52">
        <v>0.99</v>
      </c>
      <c r="D2" s="51" t="s">
        <v>12</v>
      </c>
      <c r="E2" s="53">
        <f>B4-B2</f>
        <v>0.81</v>
      </c>
      <c r="H2" s="51" t="s">
        <v>14</v>
      </c>
      <c r="I2" s="51" t="s">
        <v>12</v>
      </c>
      <c r="J2" s="54">
        <f>VLOOKUP(H2,$D:$E,2,FALSE)*VLOOKUP(I2,$D:$E,2,FALSE)</f>
        <v>8.9100000000000082E-2</v>
      </c>
    </row>
    <row r="3" spans="1:10" ht="18" customHeight="1" x14ac:dyDescent="0.25">
      <c r="A3" s="51" t="s">
        <v>2</v>
      </c>
      <c r="B3" s="52">
        <v>1.1000000000000001</v>
      </c>
      <c r="D3" s="51" t="s">
        <v>13</v>
      </c>
      <c r="E3" s="53">
        <f>1-E2</f>
        <v>0.18999999999999995</v>
      </c>
      <c r="H3" s="51" t="s">
        <v>6</v>
      </c>
      <c r="I3" s="51" t="s">
        <v>12</v>
      </c>
      <c r="J3" s="54">
        <f>VLOOKUP(H3,$D:$E,2,FALSE)*VLOOKUP(I3,$D:$E,2,FALSE)</f>
        <v>0.16839900000000016</v>
      </c>
    </row>
    <row r="4" spans="1:10" ht="18" customHeight="1" x14ac:dyDescent="0.25">
      <c r="A4" s="51" t="s">
        <v>3</v>
      </c>
      <c r="B4" s="52">
        <v>1.8</v>
      </c>
      <c r="D4" s="51" t="s">
        <v>11</v>
      </c>
      <c r="E4" s="53">
        <f>1-E5</f>
        <v>0.96389999999999998</v>
      </c>
      <c r="F4" s="51" t="s">
        <v>8</v>
      </c>
      <c r="H4" s="51" t="s">
        <v>6</v>
      </c>
      <c r="I4" s="51" t="s">
        <v>11</v>
      </c>
      <c r="J4" s="54">
        <f>VLOOKUP(H4,$D:$E,2,FALSE)*VLOOKUP(I4,$D:$E,2,FALSE)</f>
        <v>0.20039481000000017</v>
      </c>
    </row>
    <row r="5" spans="1:10" ht="18" customHeight="1" x14ac:dyDescent="0.25">
      <c r="D5" s="51" t="s">
        <v>10</v>
      </c>
      <c r="E5" s="53">
        <f>E3*E3</f>
        <v>3.6099999999999979E-2</v>
      </c>
      <c r="H5" s="51" t="s">
        <v>41</v>
      </c>
      <c r="I5" s="51" t="s">
        <v>12</v>
      </c>
      <c r="J5" s="54">
        <f>VLOOKUP(H5,$D:$E,2,FALSE)*VLOOKUP(I5,$D:$E,2,FALSE)</f>
        <v>9.801000000000018E-3</v>
      </c>
    </row>
    <row r="6" spans="1:10" ht="18" customHeight="1" x14ac:dyDescent="0.25">
      <c r="D6" s="51" t="s">
        <v>14</v>
      </c>
      <c r="E6" s="53">
        <f>B3-B1</f>
        <v>0.1100000000000001</v>
      </c>
    </row>
    <row r="7" spans="1:10" ht="18" customHeight="1" x14ac:dyDescent="0.25">
      <c r="D7" s="51" t="s">
        <v>15</v>
      </c>
      <c r="E7" s="53">
        <f>1-E6</f>
        <v>0.8899999999999999</v>
      </c>
    </row>
    <row r="8" spans="1:10" ht="18" customHeight="1" x14ac:dyDescent="0.25">
      <c r="D8" s="51" t="s">
        <v>6</v>
      </c>
      <c r="E8" s="53">
        <f>1-E9</f>
        <v>0.2079000000000002</v>
      </c>
      <c r="F8" s="51" t="s">
        <v>8</v>
      </c>
    </row>
    <row r="9" spans="1:10" ht="18" customHeight="1" x14ac:dyDescent="0.25">
      <c r="D9" s="51" t="s">
        <v>7</v>
      </c>
      <c r="E9" s="53">
        <f>E7*E7</f>
        <v>0.7920999999999998</v>
      </c>
    </row>
    <row r="10" spans="1:10" ht="18" customHeight="1" x14ac:dyDescent="0.25">
      <c r="D10" s="51" t="s">
        <v>41</v>
      </c>
      <c r="E10" s="53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83</v>
      </c>
      <c r="C1" s="1" t="s">
        <v>83</v>
      </c>
      <c r="D1" s="1" t="s">
        <v>85</v>
      </c>
      <c r="E1" s="1" t="s">
        <v>105</v>
      </c>
      <c r="H1" s="1" t="s">
        <v>83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86</v>
      </c>
      <c r="C3" s="8" t="s">
        <v>86</v>
      </c>
      <c r="D3" s="8" t="s">
        <v>79</v>
      </c>
      <c r="E3" s="8" t="s">
        <v>79</v>
      </c>
      <c r="G3" s="7" t="s">
        <v>17</v>
      </c>
      <c r="H3" s="8" t="s">
        <v>86</v>
      </c>
      <c r="I3" s="8" t="s">
        <v>79</v>
      </c>
    </row>
    <row r="4" spans="1:9" ht="20.25" customHeight="1" x14ac:dyDescent="0.25">
      <c r="A4" s="10" t="s">
        <v>18</v>
      </c>
      <c r="B4" s="11" t="s">
        <v>80</v>
      </c>
      <c r="C4" s="11" t="s">
        <v>80</v>
      </c>
      <c r="D4" s="11" t="s">
        <v>100</v>
      </c>
      <c r="E4" s="11" t="s">
        <v>100</v>
      </c>
      <c r="G4" s="10" t="s">
        <v>18</v>
      </c>
      <c r="H4" s="11" t="s">
        <v>80</v>
      </c>
      <c r="I4" s="11" t="s">
        <v>91</v>
      </c>
    </row>
    <row r="5" spans="1:9" ht="20.25" customHeight="1" x14ac:dyDescent="0.25">
      <c r="A5" s="10" t="s">
        <v>19</v>
      </c>
      <c r="B5" s="11" t="s">
        <v>77</v>
      </c>
      <c r="C5" s="11" t="s">
        <v>77</v>
      </c>
      <c r="D5" s="11" t="s">
        <v>92</v>
      </c>
      <c r="E5" s="11" t="s">
        <v>92</v>
      </c>
      <c r="G5" s="10" t="s">
        <v>19</v>
      </c>
      <c r="H5" s="11" t="s">
        <v>77</v>
      </c>
      <c r="I5" s="11" t="s">
        <v>92</v>
      </c>
    </row>
    <row r="6" spans="1:9" ht="20.25" customHeight="1" x14ac:dyDescent="0.25">
      <c r="A6" s="10" t="s">
        <v>20</v>
      </c>
      <c r="B6" s="11" t="s">
        <v>78</v>
      </c>
      <c r="C6" s="11" t="s">
        <v>78</v>
      </c>
      <c r="D6" s="11" t="s">
        <v>93</v>
      </c>
      <c r="E6" s="11" t="s">
        <v>93</v>
      </c>
      <c r="G6" s="10" t="s">
        <v>20</v>
      </c>
      <c r="H6" s="11" t="s">
        <v>78</v>
      </c>
      <c r="I6" s="11" t="s">
        <v>93</v>
      </c>
    </row>
    <row r="7" spans="1:9" ht="20.25" customHeight="1" x14ac:dyDescent="0.25">
      <c r="A7" s="12" t="s">
        <v>21</v>
      </c>
      <c r="B7" s="13" t="s">
        <v>82</v>
      </c>
      <c r="C7" s="13" t="s">
        <v>82</v>
      </c>
      <c r="D7" s="13" t="s">
        <v>87</v>
      </c>
      <c r="E7" s="13" t="s">
        <v>87</v>
      </c>
      <c r="G7" s="12" t="s">
        <v>21</v>
      </c>
      <c r="H7" s="13" t="s">
        <v>87</v>
      </c>
      <c r="I7" s="13" t="s">
        <v>87</v>
      </c>
    </row>
    <row r="8" spans="1:9" ht="20.25" customHeight="1" x14ac:dyDescent="0.25">
      <c r="A8" s="12" t="s">
        <v>22</v>
      </c>
      <c r="B8" s="13" t="s">
        <v>101</v>
      </c>
      <c r="C8" s="13" t="s">
        <v>101</v>
      </c>
      <c r="D8" s="13" t="s">
        <v>92</v>
      </c>
      <c r="E8" s="13" t="s">
        <v>92</v>
      </c>
      <c r="G8" s="12" t="s">
        <v>22</v>
      </c>
      <c r="H8" s="13" t="s">
        <v>82</v>
      </c>
      <c r="I8" s="13" t="s">
        <v>92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99</v>
      </c>
      <c r="C11" s="17" t="s">
        <v>99</v>
      </c>
      <c r="D11" s="17" t="s">
        <v>94</v>
      </c>
      <c r="E11" s="17" t="s">
        <v>94</v>
      </c>
      <c r="G11" s="16" t="s">
        <v>25</v>
      </c>
      <c r="H11" s="17" t="s">
        <v>88</v>
      </c>
      <c r="I11" s="17" t="s">
        <v>94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89</v>
      </c>
      <c r="C15" s="4" t="s">
        <v>89</v>
      </c>
      <c r="D15" s="4" t="s">
        <v>95</v>
      </c>
      <c r="E15" s="4" t="s">
        <v>89</v>
      </c>
      <c r="G15" s="3" t="s">
        <v>31</v>
      </c>
      <c r="H15" s="4" t="s">
        <v>89</v>
      </c>
      <c r="I15" s="4" t="s">
        <v>89</v>
      </c>
    </row>
    <row r="16" spans="1:9" ht="20.25" customHeight="1" x14ac:dyDescent="0.25">
      <c r="A16" s="3" t="s">
        <v>32</v>
      </c>
      <c r="B16" s="4" t="s">
        <v>90</v>
      </c>
      <c r="C16" s="4" t="s">
        <v>90</v>
      </c>
      <c r="D16" s="4" t="s">
        <v>37</v>
      </c>
      <c r="E16" s="4" t="s">
        <v>89</v>
      </c>
      <c r="G16" s="3" t="s">
        <v>32</v>
      </c>
      <c r="H16" s="4" t="s">
        <v>90</v>
      </c>
      <c r="I16" s="4" t="s">
        <v>89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83</v>
      </c>
      <c r="B18" s="170" t="s">
        <v>102</v>
      </c>
      <c r="C18" s="170"/>
      <c r="D18" s="170"/>
      <c r="E18" s="171"/>
    </row>
    <row r="19" spans="1:5" ht="20.25" customHeight="1" x14ac:dyDescent="0.25">
      <c r="A19" s="1" t="s">
        <v>84</v>
      </c>
      <c r="B19" s="169" t="s">
        <v>104</v>
      </c>
      <c r="C19" s="170"/>
      <c r="D19" s="170"/>
      <c r="E19" s="171"/>
    </row>
    <row r="20" spans="1:5" ht="20.25" customHeight="1" x14ac:dyDescent="0.25">
      <c r="A20" s="1" t="s">
        <v>85</v>
      </c>
      <c r="B20" s="169" t="s">
        <v>103</v>
      </c>
      <c r="C20" s="170"/>
      <c r="D20" s="170"/>
      <c r="E20" s="171"/>
    </row>
    <row r="21" spans="1:5" ht="20.25" customHeight="1" x14ac:dyDescent="0.25">
      <c r="E21" s="78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7" t="s">
        <v>96</v>
      </c>
      <c r="D1" s="77" t="s">
        <v>97</v>
      </c>
      <c r="E1" s="1" t="s">
        <v>109</v>
      </c>
      <c r="I1" s="1" t="s">
        <v>108</v>
      </c>
      <c r="N1" s="1" t="s">
        <v>110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6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98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98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106</v>
      </c>
      <c r="J8" s="9" t="s">
        <v>107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98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106</v>
      </c>
      <c r="J11" s="15" t="s">
        <v>107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98</v>
      </c>
      <c r="B13" s="4"/>
      <c r="C13" s="4"/>
      <c r="D13" s="4"/>
    </row>
    <row r="14" spans="1:24" s="4" customFormat="1" ht="20.25" customHeight="1" x14ac:dyDescent="0.25">
      <c r="A14" s="4" t="s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A2B4-C5A4-4AEF-AEDA-53C74517CB8F}">
  <dimension ref="A1:H45"/>
  <sheetViews>
    <sheetView tabSelected="1" workbookViewId="0">
      <pane ySplit="1" topLeftCell="A8" activePane="bottomLeft" state="frozen"/>
      <selection pane="bottomLeft" activeCell="N21" sqref="N20:N21"/>
    </sheetView>
  </sheetViews>
  <sheetFormatPr defaultRowHeight="18" customHeight="1" x14ac:dyDescent="0.25"/>
  <cols>
    <col min="1" max="1" width="9.85546875" style="49" customWidth="1"/>
    <col min="2" max="2" width="20.42578125" style="50" customWidth="1"/>
    <col min="3" max="3" width="9.140625" style="20"/>
    <col min="4" max="4" width="12" style="20" customWidth="1"/>
    <col min="5" max="5" width="9.140625" style="20"/>
    <col min="6" max="6" width="12" style="20" customWidth="1"/>
    <col min="7" max="7" width="9.140625" style="20"/>
    <col min="8" max="8" width="12" style="20" customWidth="1"/>
    <col min="9" max="16384" width="9.140625" style="20"/>
  </cols>
  <sheetData>
    <row r="1" spans="1:8" ht="18" customHeight="1" x14ac:dyDescent="0.25">
      <c r="A1" s="225"/>
      <c r="B1" s="226"/>
      <c r="C1" s="177">
        <v>12212906</v>
      </c>
      <c r="D1" s="178"/>
      <c r="E1" s="177">
        <v>2600000</v>
      </c>
      <c r="F1" s="178"/>
      <c r="G1" s="177">
        <v>2394628</v>
      </c>
      <c r="H1" s="178"/>
    </row>
    <row r="2" spans="1:8" ht="36" customHeight="1" x14ac:dyDescent="0.25">
      <c r="A2" s="200" t="s">
        <v>182</v>
      </c>
      <c r="B2" s="201"/>
      <c r="C2" s="179">
        <f>D9*D10*D11*D16*D17*D19*D23*D25*D27*D30*D32/D33/D34*D37*D38</f>
        <v>12212458.407330755</v>
      </c>
      <c r="D2" s="180"/>
      <c r="E2" s="179">
        <f>F9*F10*F11*F16*F17*F19*F23*F25*F27*F30*F32/F33/F34*F37*F38</f>
        <v>2591654.800424519</v>
      </c>
      <c r="F2" s="180"/>
      <c r="G2" s="179">
        <f>H9*H10*H11*H16*H17*H19*H23*H25*H27*H30*H32/H33/H34*H37*H38</f>
        <v>2373208.4569377811</v>
      </c>
      <c r="H2" s="180"/>
    </row>
    <row r="3" spans="1:8" ht="18" customHeight="1" x14ac:dyDescent="0.25">
      <c r="C3" s="117">
        <v>-0.1</v>
      </c>
      <c r="D3" s="127">
        <f>C$2*(1+C3)</f>
        <v>10991212.56659768</v>
      </c>
      <c r="E3" s="117">
        <v>-0.1</v>
      </c>
      <c r="F3" s="127">
        <f>E$2*(1+E3)</f>
        <v>2332489.320382067</v>
      </c>
      <c r="G3" s="117">
        <v>-0.1</v>
      </c>
      <c r="H3" s="127">
        <f>G$2*(1+G3)</f>
        <v>2135887.6112440028</v>
      </c>
    </row>
    <row r="4" spans="1:8" ht="18" customHeight="1" x14ac:dyDescent="0.25">
      <c r="B4" s="118"/>
      <c r="C4" s="117">
        <v>-0.05</v>
      </c>
      <c r="D4" s="127">
        <f>C$2*(1+C4)</f>
        <v>11601835.486964216</v>
      </c>
      <c r="E4" s="117">
        <v>-0.05</v>
      </c>
      <c r="F4" s="127">
        <f>E$2*(1+E4)</f>
        <v>2462072.060403293</v>
      </c>
      <c r="G4" s="117">
        <v>-0.05</v>
      </c>
      <c r="H4" s="127">
        <f>G$2*(1+G4)</f>
        <v>2254548.0340908919</v>
      </c>
    </row>
    <row r="5" spans="1:8" ht="18" customHeight="1" x14ac:dyDescent="0.25">
      <c r="C5" s="117">
        <v>0</v>
      </c>
      <c r="D5" s="127">
        <f>C$2*(1+C5)</f>
        <v>12212458.407330755</v>
      </c>
      <c r="E5" s="117">
        <v>0</v>
      </c>
      <c r="F5" s="127">
        <f>E$2*(1+E5)</f>
        <v>2591654.800424519</v>
      </c>
      <c r="G5" s="117">
        <v>0</v>
      </c>
      <c r="H5" s="127">
        <f>G$2*(1+G5)</f>
        <v>2373208.4569377811</v>
      </c>
    </row>
    <row r="6" spans="1:8" ht="18" customHeight="1" x14ac:dyDescent="0.25">
      <c r="B6" s="128"/>
      <c r="C6" s="117">
        <v>0.05</v>
      </c>
      <c r="D6" s="127">
        <f>C$2*(1+C6)</f>
        <v>12823081.327697294</v>
      </c>
      <c r="E6" s="117">
        <v>0.05</v>
      </c>
      <c r="F6" s="127">
        <f>E$2*(1+E6)</f>
        <v>2721237.540445745</v>
      </c>
      <c r="G6" s="117">
        <v>0.05</v>
      </c>
      <c r="H6" s="127">
        <f>G$2*(1+G6)</f>
        <v>2491868.8797846702</v>
      </c>
    </row>
    <row r="7" spans="1:8" ht="18" customHeight="1" x14ac:dyDescent="0.25">
      <c r="B7" s="118"/>
      <c r="C7" s="117">
        <v>0.1</v>
      </c>
      <c r="D7" s="127">
        <f>C$2*(1+C7)</f>
        <v>13433704.248063833</v>
      </c>
      <c r="E7" s="117">
        <v>0.1</v>
      </c>
      <c r="F7" s="127">
        <f>E$2*(1+E7)</f>
        <v>2850820.280466971</v>
      </c>
      <c r="G7" s="117">
        <v>0.1</v>
      </c>
      <c r="H7" s="127">
        <f>G$2*(1+G7)</f>
        <v>2610529.3026315593</v>
      </c>
    </row>
    <row r="8" spans="1:8" s="134" customFormat="1" ht="7.5" customHeight="1" x14ac:dyDescent="0.25">
      <c r="A8" s="132"/>
      <c r="B8" s="133"/>
      <c r="C8" s="181" t="s">
        <v>183</v>
      </c>
      <c r="D8" s="182"/>
      <c r="E8" s="181" t="s">
        <v>183</v>
      </c>
      <c r="F8" s="182"/>
      <c r="G8" s="181" t="s">
        <v>183</v>
      </c>
      <c r="H8" s="182"/>
    </row>
    <row r="9" spans="1:8" ht="18" customHeight="1" x14ac:dyDescent="0.25">
      <c r="A9" s="209" t="s">
        <v>155</v>
      </c>
      <c r="B9" s="210"/>
      <c r="C9" s="21">
        <f>5/3</f>
        <v>1.6666666666666667</v>
      </c>
      <c r="D9" s="22">
        <f t="shared" ref="D9" si="0">C9</f>
        <v>1.6666666666666667</v>
      </c>
      <c r="E9" s="21">
        <f>5/3</f>
        <v>1.6666666666666667</v>
      </c>
      <c r="F9" s="22">
        <f t="shared" ref="F9" si="1">E9</f>
        <v>1.6666666666666667</v>
      </c>
      <c r="G9" s="21">
        <f>5/3</f>
        <v>1.6666666666666667</v>
      </c>
      <c r="H9" s="22">
        <f t="shared" ref="H9" si="2">G9</f>
        <v>1.6666666666666667</v>
      </c>
    </row>
    <row r="10" spans="1:8" ht="18" customHeight="1" x14ac:dyDescent="0.25">
      <c r="A10" s="209" t="s">
        <v>156</v>
      </c>
      <c r="B10" s="210"/>
      <c r="C10" s="116">
        <v>0</v>
      </c>
      <c r="D10" s="22">
        <f t="shared" ref="D10" si="3">1-C10</f>
        <v>1</v>
      </c>
      <c r="E10" s="116">
        <v>0</v>
      </c>
      <c r="F10" s="22">
        <f t="shared" ref="F10" si="4">1-E10</f>
        <v>1</v>
      </c>
      <c r="G10" s="116">
        <v>0</v>
      </c>
      <c r="H10" s="22">
        <f t="shared" ref="H10" si="5">1-G10</f>
        <v>1</v>
      </c>
    </row>
    <row r="11" spans="1:8" s="25" customFormat="1" ht="18" customHeight="1" x14ac:dyDescent="0.25">
      <c r="A11" s="215" t="s">
        <v>43</v>
      </c>
      <c r="B11" s="43" t="s">
        <v>157</v>
      </c>
      <c r="C11" s="24">
        <v>9600</v>
      </c>
      <c r="D11" s="183">
        <f t="shared" ref="D11" si="6">C11/(1+C12)*(1+C12+C13)*(1+C14)*(1+C15)</f>
        <v>31680.000000000004</v>
      </c>
      <c r="E11" s="24">
        <v>9600</v>
      </c>
      <c r="F11" s="183">
        <f t="shared" ref="F11" si="7">E11/(1+E12)*(1+E12+E13)*(1+E14)*(1+E15)</f>
        <v>19958.400000000001</v>
      </c>
      <c r="G11" s="24">
        <v>9600</v>
      </c>
      <c r="H11" s="183">
        <f t="shared" ref="H11" si="8">G11/(1+G12)*(1+G12+G13)*(1+G14)*(1+G15)</f>
        <v>15417.6</v>
      </c>
    </row>
    <row r="12" spans="1:8" s="25" customFormat="1" ht="18" customHeight="1" x14ac:dyDescent="0.25">
      <c r="A12" s="216"/>
      <c r="B12" s="43" t="s">
        <v>158</v>
      </c>
      <c r="C12" s="26">
        <v>0.85</v>
      </c>
      <c r="D12" s="184"/>
      <c r="E12" s="26">
        <v>0.85</v>
      </c>
      <c r="F12" s="184"/>
      <c r="G12" s="26">
        <v>0.85</v>
      </c>
      <c r="H12" s="184"/>
    </row>
    <row r="13" spans="1:8" s="25" customFormat="1" ht="18" customHeight="1" x14ac:dyDescent="0.25">
      <c r="A13" s="216"/>
      <c r="B13" s="43" t="s">
        <v>159</v>
      </c>
      <c r="C13" s="26">
        <v>0</v>
      </c>
      <c r="D13" s="184"/>
      <c r="E13" s="26">
        <v>0</v>
      </c>
      <c r="F13" s="184"/>
      <c r="G13" s="26">
        <v>0</v>
      </c>
      <c r="H13" s="184"/>
    </row>
    <row r="14" spans="1:8" s="25" customFormat="1" ht="18" customHeight="1" x14ac:dyDescent="0.25">
      <c r="A14" s="216"/>
      <c r="B14" s="43" t="s">
        <v>160</v>
      </c>
      <c r="C14" s="26">
        <v>2</v>
      </c>
      <c r="D14" s="184"/>
      <c r="E14" s="26">
        <v>0.89</v>
      </c>
      <c r="F14" s="184"/>
      <c r="G14" s="26">
        <v>0.46</v>
      </c>
      <c r="H14" s="184"/>
    </row>
    <row r="15" spans="1:8" s="25" customFormat="1" ht="18" customHeight="1" x14ac:dyDescent="0.25">
      <c r="A15" s="217"/>
      <c r="B15" s="43" t="s">
        <v>161</v>
      </c>
      <c r="C15" s="26">
        <v>0.1</v>
      </c>
      <c r="D15" s="185"/>
      <c r="E15" s="26">
        <v>0.1</v>
      </c>
      <c r="F15" s="185"/>
      <c r="G15" s="26">
        <v>0.1</v>
      </c>
      <c r="H15" s="185"/>
    </row>
    <row r="16" spans="1:8" s="29" customFormat="1" ht="18" customHeight="1" x14ac:dyDescent="0.25">
      <c r="A16" s="227" t="s">
        <v>162</v>
      </c>
      <c r="B16" s="228"/>
      <c r="C16" s="27">
        <v>58.41</v>
      </c>
      <c r="D16" s="28">
        <f t="shared" ref="D16" si="9">C16</f>
        <v>58.41</v>
      </c>
      <c r="E16" s="27">
        <v>47</v>
      </c>
      <c r="F16" s="28">
        <f t="shared" ref="F16" si="10">E16</f>
        <v>47</v>
      </c>
      <c r="G16" s="27">
        <v>58.41</v>
      </c>
      <c r="H16" s="28">
        <f t="shared" ref="H16" si="11">G16</f>
        <v>58.41</v>
      </c>
    </row>
    <row r="17" spans="1:8" s="31" customFormat="1" ht="18" customHeight="1" x14ac:dyDescent="0.25">
      <c r="A17" s="220" t="s">
        <v>44</v>
      </c>
      <c r="B17" s="44" t="s">
        <v>46</v>
      </c>
      <c r="C17" s="30">
        <v>1</v>
      </c>
      <c r="D17" s="186">
        <f t="shared" ref="D17" si="12">1+((0.7+C18)*C17)</f>
        <v>4.8499999999999996</v>
      </c>
      <c r="E17" s="30">
        <v>1</v>
      </c>
      <c r="F17" s="186">
        <f t="shared" ref="F17" si="13">1+((0.7+E18)*E17)</f>
        <v>3.25</v>
      </c>
      <c r="G17" s="30">
        <v>1</v>
      </c>
      <c r="H17" s="186">
        <f t="shared" ref="H17" si="14">1+((0.7+G18)*G17)</f>
        <v>3.0999999999999996</v>
      </c>
    </row>
    <row r="18" spans="1:8" s="137" customFormat="1" ht="18" customHeight="1" x14ac:dyDescent="0.25">
      <c r="A18" s="221"/>
      <c r="B18" s="135" t="s">
        <v>42</v>
      </c>
      <c r="C18" s="136">
        <f>(15%+50%)*2*2+25%+15%*2</f>
        <v>3.15</v>
      </c>
      <c r="D18" s="187"/>
      <c r="E18" s="136">
        <f>(15%+50%)*2+25%</f>
        <v>1.55</v>
      </c>
      <c r="F18" s="187"/>
      <c r="G18" s="136">
        <v>1.4</v>
      </c>
      <c r="H18" s="187"/>
    </row>
    <row r="19" spans="1:8" s="33" customFormat="1" ht="18" customHeight="1" x14ac:dyDescent="0.25">
      <c r="A19" s="222" t="s">
        <v>45</v>
      </c>
      <c r="B19" s="45" t="s">
        <v>163</v>
      </c>
      <c r="C19" s="32">
        <v>0.4</v>
      </c>
      <c r="D19" s="188">
        <f t="shared" ref="D19" si="15">(1+C19+C20)*(1+C21)*(1+C22)</f>
        <v>3.4959999999999996</v>
      </c>
      <c r="E19" s="32">
        <v>0.4</v>
      </c>
      <c r="F19" s="188">
        <f t="shared" ref="F19" si="16">(1+E19+E20)*(1+E21)*(1+E22)</f>
        <v>2.2539999999999996</v>
      </c>
      <c r="G19" s="32">
        <v>0.4</v>
      </c>
      <c r="H19" s="188">
        <f t="shared" ref="H19" si="17">(1+G19+G20)*(1+G21)*(1+G22)</f>
        <v>2.2539999999999996</v>
      </c>
    </row>
    <row r="20" spans="1:8" s="33" customFormat="1" ht="18" customHeight="1" x14ac:dyDescent="0.25">
      <c r="A20" s="223"/>
      <c r="B20" s="45" t="s">
        <v>164</v>
      </c>
      <c r="C20" s="32">
        <v>0.5</v>
      </c>
      <c r="D20" s="189"/>
      <c r="E20" s="32">
        <v>0</v>
      </c>
      <c r="F20" s="189"/>
      <c r="G20" s="32">
        <v>0</v>
      </c>
      <c r="H20" s="189"/>
    </row>
    <row r="21" spans="1:8" s="33" customFormat="1" ht="18" customHeight="1" x14ac:dyDescent="0.25">
      <c r="A21" s="223"/>
      <c r="B21" s="45" t="s">
        <v>165</v>
      </c>
      <c r="C21" s="32">
        <v>0.15</v>
      </c>
      <c r="D21" s="189"/>
      <c r="E21" s="32">
        <v>0.15</v>
      </c>
      <c r="F21" s="189"/>
      <c r="G21" s="32">
        <v>0.15</v>
      </c>
      <c r="H21" s="189"/>
    </row>
    <row r="22" spans="1:8" s="140" customFormat="1" ht="18" customHeight="1" x14ac:dyDescent="0.25">
      <c r="A22" s="224"/>
      <c r="B22" s="138" t="s">
        <v>160</v>
      </c>
      <c r="C22" s="139">
        <v>0.6</v>
      </c>
      <c r="D22" s="190"/>
      <c r="E22" s="139">
        <v>0.4</v>
      </c>
      <c r="F22" s="190"/>
      <c r="G22" s="139">
        <v>0.4</v>
      </c>
      <c r="H22" s="190"/>
    </row>
    <row r="23" spans="1:8" s="35" customFormat="1" ht="18" customHeight="1" x14ac:dyDescent="0.25">
      <c r="A23" s="218" t="s">
        <v>168</v>
      </c>
      <c r="B23" s="46" t="s">
        <v>166</v>
      </c>
      <c r="C23" s="34">
        <v>0</v>
      </c>
      <c r="D23" s="191">
        <f t="shared" ref="D23" si="18">(1+C23)*(1+C24)</f>
        <v>1</v>
      </c>
      <c r="E23" s="34">
        <v>0</v>
      </c>
      <c r="F23" s="191">
        <f t="shared" ref="F23" si="19">(1+E23)*(1+E24)</f>
        <v>1</v>
      </c>
      <c r="G23" s="34">
        <v>0</v>
      </c>
      <c r="H23" s="191">
        <f t="shared" ref="H23" si="20">(1+G23)*(1+G24)</f>
        <v>1</v>
      </c>
    </row>
    <row r="24" spans="1:8" s="143" customFormat="1" ht="18" customHeight="1" x14ac:dyDescent="0.25">
      <c r="A24" s="219"/>
      <c r="B24" s="141" t="s">
        <v>167</v>
      </c>
      <c r="C24" s="142">
        <v>0</v>
      </c>
      <c r="D24" s="192"/>
      <c r="E24" s="142">
        <v>0</v>
      </c>
      <c r="F24" s="192"/>
      <c r="G24" s="142">
        <v>0</v>
      </c>
      <c r="H24" s="192"/>
    </row>
    <row r="25" spans="1:8" s="37" customFormat="1" ht="18" customHeight="1" x14ac:dyDescent="0.25">
      <c r="A25" s="204" t="s">
        <v>169</v>
      </c>
      <c r="B25" s="47" t="s">
        <v>170</v>
      </c>
      <c r="C25" s="36">
        <v>1</v>
      </c>
      <c r="D25" s="193">
        <f t="shared" ref="D25" si="21">C25+C26</f>
        <v>1.5</v>
      </c>
      <c r="E25" s="36">
        <v>1</v>
      </c>
      <c r="F25" s="193">
        <f t="shared" ref="F25" si="22">E25+E26</f>
        <v>1.5</v>
      </c>
      <c r="G25" s="36">
        <v>1</v>
      </c>
      <c r="H25" s="193">
        <f t="shared" ref="H25" si="23">G25+G26</f>
        <v>1.5</v>
      </c>
    </row>
    <row r="26" spans="1:8" s="37" customFormat="1" ht="18" customHeight="1" x14ac:dyDescent="0.25">
      <c r="A26" s="205"/>
      <c r="B26" s="47" t="s">
        <v>171</v>
      </c>
      <c r="C26" s="38">
        <f>30%+20%</f>
        <v>0.5</v>
      </c>
      <c r="D26" s="194"/>
      <c r="E26" s="38">
        <f>30%+20%</f>
        <v>0.5</v>
      </c>
      <c r="F26" s="194"/>
      <c r="G26" s="38">
        <f>30%+20%</f>
        <v>0.5</v>
      </c>
      <c r="H26" s="194"/>
    </row>
    <row r="27" spans="1:8" s="40" customFormat="1" ht="18" customHeight="1" x14ac:dyDescent="0.25">
      <c r="A27" s="206" t="s">
        <v>174</v>
      </c>
      <c r="B27" s="48" t="s">
        <v>172</v>
      </c>
      <c r="C27" s="39">
        <v>0</v>
      </c>
      <c r="D27" s="195">
        <f t="shared" ref="D27" si="24">1+C27*(0.2+C28+C29)</f>
        <v>1</v>
      </c>
      <c r="E27" s="39">
        <v>0</v>
      </c>
      <c r="F27" s="195">
        <f t="shared" ref="F27" si="25">1+E27*(0.2+E28+E29)</f>
        <v>1</v>
      </c>
      <c r="G27" s="39">
        <v>0</v>
      </c>
      <c r="H27" s="195">
        <f>1+G27*(0.2+G28+G29)</f>
        <v>1</v>
      </c>
    </row>
    <row r="28" spans="1:8" s="40" customFormat="1" ht="18" customHeight="1" x14ac:dyDescent="0.25">
      <c r="A28" s="207"/>
      <c r="B28" s="48" t="s">
        <v>173</v>
      </c>
      <c r="C28" s="39">
        <v>0.5</v>
      </c>
      <c r="D28" s="196"/>
      <c r="E28" s="39">
        <v>0.5</v>
      </c>
      <c r="F28" s="196"/>
      <c r="G28" s="39">
        <v>0.5</v>
      </c>
      <c r="H28" s="196"/>
    </row>
    <row r="29" spans="1:8" s="40" customFormat="1" ht="18" customHeight="1" x14ac:dyDescent="0.25">
      <c r="A29" s="208"/>
      <c r="B29" s="48" t="s">
        <v>163</v>
      </c>
      <c r="C29" s="131">
        <v>0</v>
      </c>
      <c r="D29" s="197"/>
      <c r="E29" s="131">
        <v>0</v>
      </c>
      <c r="F29" s="197"/>
      <c r="G29" s="131">
        <v>0</v>
      </c>
      <c r="H29" s="197"/>
    </row>
    <row r="30" spans="1:8" s="123" customFormat="1" ht="18" customHeight="1" x14ac:dyDescent="0.25">
      <c r="A30" s="211" t="s">
        <v>175</v>
      </c>
      <c r="B30" s="125" t="s">
        <v>153</v>
      </c>
      <c r="C30" s="126">
        <f>164/4489</f>
        <v>3.6533749164624638E-2</v>
      </c>
      <c r="D30" s="172">
        <f>(1 - C30) ^ 2 * (C31 - 1) + 1</f>
        <v>1.5569603298992649</v>
      </c>
      <c r="E30" s="126">
        <f>356/4489</f>
        <v>7.930496769881934E-2</v>
      </c>
      <c r="F30" s="172">
        <f>(1 - E30) ^ 2 * (E31 - 1) + 1</f>
        <v>1.5086076055024433</v>
      </c>
      <c r="G30" s="126">
        <f>356/4489</f>
        <v>7.930496769881934E-2</v>
      </c>
      <c r="H30" s="172">
        <f>(1 - G30) ^ 2 * (G31 - 1) + 1</f>
        <v>1.5086076055024433</v>
      </c>
    </row>
    <row r="31" spans="1:8" s="123" customFormat="1" ht="18" customHeight="1" x14ac:dyDescent="0.25">
      <c r="A31" s="212"/>
      <c r="B31" s="125" t="s">
        <v>152</v>
      </c>
      <c r="C31" s="124">
        <v>1.6</v>
      </c>
      <c r="D31" s="173"/>
      <c r="E31" s="124">
        <v>1.6</v>
      </c>
      <c r="F31" s="173"/>
      <c r="G31" s="124">
        <v>1.6</v>
      </c>
      <c r="H31" s="173"/>
    </row>
    <row r="32" spans="1:8" ht="18" customHeight="1" x14ac:dyDescent="0.25">
      <c r="A32" s="209" t="s">
        <v>176</v>
      </c>
      <c r="B32" s="210"/>
      <c r="C32" s="21">
        <v>1</v>
      </c>
      <c r="D32" s="23">
        <f t="shared" ref="D32:D33" si="26">C32</f>
        <v>1</v>
      </c>
      <c r="E32" s="21">
        <v>1</v>
      </c>
      <c r="F32" s="23">
        <f t="shared" ref="F32:F33" si="27">E32</f>
        <v>1</v>
      </c>
      <c r="G32" s="21">
        <v>1</v>
      </c>
      <c r="H32" s="23">
        <f t="shared" ref="H32:H33" si="28">G32</f>
        <v>1</v>
      </c>
    </row>
    <row r="33" spans="1:8" s="40" customFormat="1" ht="18" customHeight="1" x14ac:dyDescent="0.25">
      <c r="A33" s="213" t="s">
        <v>34</v>
      </c>
      <c r="B33" s="214"/>
      <c r="C33" s="39">
        <f>10</f>
        <v>10</v>
      </c>
      <c r="D33" s="41">
        <f t="shared" si="26"/>
        <v>10</v>
      </c>
      <c r="E33" s="39">
        <f>10</f>
        <v>10</v>
      </c>
      <c r="F33" s="41">
        <f t="shared" si="27"/>
        <v>10</v>
      </c>
      <c r="G33" s="39">
        <f>10</f>
        <v>10</v>
      </c>
      <c r="H33" s="41">
        <f t="shared" si="28"/>
        <v>10</v>
      </c>
    </row>
    <row r="34" spans="1:8" s="25" customFormat="1" ht="18" customHeight="1" x14ac:dyDescent="0.25">
      <c r="A34" s="215" t="s">
        <v>179</v>
      </c>
      <c r="B34" s="43" t="s">
        <v>177</v>
      </c>
      <c r="C34" s="24">
        <v>0</v>
      </c>
      <c r="D34" s="174">
        <f t="shared" ref="D34" si="29">(1-(1-C35)*C34)*(1-C36)</f>
        <v>1</v>
      </c>
      <c r="E34" s="24">
        <v>0</v>
      </c>
      <c r="F34" s="174">
        <f t="shared" ref="F34" si="30">(1-(1-E35)*E34)*(1-E36)</f>
        <v>1</v>
      </c>
      <c r="G34" s="24">
        <v>0</v>
      </c>
      <c r="H34" s="174">
        <f t="shared" ref="H34" si="31">(1-(1-G35)*G34)*(1-G36)</f>
        <v>1</v>
      </c>
    </row>
    <row r="35" spans="1:8" s="25" customFormat="1" ht="18" customHeight="1" x14ac:dyDescent="0.25">
      <c r="A35" s="216"/>
      <c r="B35" s="43" t="s">
        <v>178</v>
      </c>
      <c r="C35" s="24">
        <v>0.8</v>
      </c>
      <c r="D35" s="175"/>
      <c r="E35" s="24">
        <v>0.8</v>
      </c>
      <c r="F35" s="175"/>
      <c r="G35" s="24">
        <v>0.8</v>
      </c>
      <c r="H35" s="175"/>
    </row>
    <row r="36" spans="1:8" s="146" customFormat="1" ht="18" customHeight="1" x14ac:dyDescent="0.25">
      <c r="A36" s="217"/>
      <c r="B36" s="144" t="s">
        <v>151</v>
      </c>
      <c r="C36" s="145">
        <v>0</v>
      </c>
      <c r="D36" s="176"/>
      <c r="E36" s="145">
        <v>0</v>
      </c>
      <c r="F36" s="176"/>
      <c r="G36" s="145">
        <v>0</v>
      </c>
      <c r="H36" s="176"/>
    </row>
    <row r="37" spans="1:8" s="37" customFormat="1" ht="18" customHeight="1" x14ac:dyDescent="0.25">
      <c r="A37" s="198" t="s">
        <v>180</v>
      </c>
      <c r="B37" s="199"/>
      <c r="C37" s="36">
        <v>0</v>
      </c>
      <c r="D37" s="42">
        <f t="shared" ref="D37" si="32">C37*0.5+1</f>
        <v>1</v>
      </c>
      <c r="E37" s="36">
        <v>0</v>
      </c>
      <c r="F37" s="42">
        <f t="shared" ref="F37" si="33">E37*0.5+1</f>
        <v>1</v>
      </c>
      <c r="G37" s="36">
        <v>0</v>
      </c>
      <c r="H37" s="42">
        <f t="shared" ref="H37" si="34">G37*0.5+1</f>
        <v>1</v>
      </c>
    </row>
    <row r="38" spans="1:8" s="35" customFormat="1" ht="18" customHeight="1" x14ac:dyDescent="0.25">
      <c r="A38" s="202" t="s">
        <v>181</v>
      </c>
      <c r="B38" s="203"/>
      <c r="C38" s="129">
        <v>1</v>
      </c>
      <c r="D38" s="130">
        <f t="shared" ref="D38" si="35">C38</f>
        <v>1</v>
      </c>
      <c r="E38" s="129">
        <v>1</v>
      </c>
      <c r="F38" s="130">
        <f t="shared" ref="F38" si="36">E38</f>
        <v>1</v>
      </c>
      <c r="G38" s="129">
        <v>1</v>
      </c>
      <c r="H38" s="130">
        <f t="shared" ref="H38" si="37">G38</f>
        <v>1</v>
      </c>
    </row>
    <row r="39" spans="1:8" ht="18" customHeight="1" x14ac:dyDescent="0.25">
      <c r="B39" s="118"/>
    </row>
    <row r="40" spans="1:8" ht="18" customHeight="1" x14ac:dyDescent="0.25">
      <c r="B40" s="119"/>
    </row>
    <row r="42" spans="1:8" ht="18" customHeight="1" x14ac:dyDescent="0.25">
      <c r="B42" s="118"/>
    </row>
    <row r="43" spans="1:8" ht="18" customHeight="1" x14ac:dyDescent="0.25">
      <c r="B43" s="118"/>
    </row>
    <row r="44" spans="1:8" ht="18" customHeight="1" x14ac:dyDescent="0.25">
      <c r="B44" s="118"/>
    </row>
    <row r="45" spans="1:8" ht="18" customHeight="1" x14ac:dyDescent="0.25">
      <c r="B45" s="118"/>
    </row>
  </sheetData>
  <mergeCells count="50">
    <mergeCell ref="H34:H36"/>
    <mergeCell ref="F25:F26"/>
    <mergeCell ref="F27:F29"/>
    <mergeCell ref="F30:F31"/>
    <mergeCell ref="H27:H29"/>
    <mergeCell ref="H30:H31"/>
    <mergeCell ref="F34:F36"/>
    <mergeCell ref="H25:H26"/>
    <mergeCell ref="A1:B1"/>
    <mergeCell ref="A9:B9"/>
    <mergeCell ref="A10:B10"/>
    <mergeCell ref="A11:A15"/>
    <mergeCell ref="A16:B16"/>
    <mergeCell ref="A37:B37"/>
    <mergeCell ref="A2:B2"/>
    <mergeCell ref="A38:B38"/>
    <mergeCell ref="A25:A26"/>
    <mergeCell ref="A27:A29"/>
    <mergeCell ref="A32:B32"/>
    <mergeCell ref="A30:A31"/>
    <mergeCell ref="A33:B33"/>
    <mergeCell ref="A34:A36"/>
    <mergeCell ref="A23:A24"/>
    <mergeCell ref="A17:A18"/>
    <mergeCell ref="A19:A22"/>
    <mergeCell ref="E1:F1"/>
    <mergeCell ref="E2:F2"/>
    <mergeCell ref="E8:F8"/>
    <mergeCell ref="H23:H24"/>
    <mergeCell ref="H19:H22"/>
    <mergeCell ref="H17:H18"/>
    <mergeCell ref="H11:H15"/>
    <mergeCell ref="G8:H8"/>
    <mergeCell ref="G2:H2"/>
    <mergeCell ref="F19:F22"/>
    <mergeCell ref="F23:F24"/>
    <mergeCell ref="G1:H1"/>
    <mergeCell ref="F11:F15"/>
    <mergeCell ref="F17:F18"/>
    <mergeCell ref="D30:D31"/>
    <mergeCell ref="D34:D36"/>
    <mergeCell ref="C1:D1"/>
    <mergeCell ref="C2:D2"/>
    <mergeCell ref="C8:D8"/>
    <mergeCell ref="D11:D15"/>
    <mergeCell ref="D17:D18"/>
    <mergeCell ref="D19:D22"/>
    <mergeCell ref="D23:D24"/>
    <mergeCell ref="D25:D26"/>
    <mergeCell ref="D27:D29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1AF8-810B-4DAC-B025-C63593F088B5}">
  <dimension ref="A1:B4"/>
  <sheetViews>
    <sheetView workbookViewId="0">
      <selection activeCell="F7" sqref="F7"/>
    </sheetView>
  </sheetViews>
  <sheetFormatPr defaultRowHeight="18" customHeight="1" x14ac:dyDescent="0.25"/>
  <cols>
    <col min="1" max="1" width="15.5703125" style="120" customWidth="1"/>
    <col min="2" max="16384" width="9.140625" style="120"/>
  </cols>
  <sheetData>
    <row r="1" spans="1:2" ht="18" customHeight="1" x14ac:dyDescent="0.25">
      <c r="A1" s="120" t="s">
        <v>152</v>
      </c>
      <c r="B1" s="120">
        <v>1.6</v>
      </c>
    </row>
    <row r="2" spans="1:2" ht="18" customHeight="1" x14ac:dyDescent="0.25">
      <c r="A2" s="120" t="s">
        <v>153</v>
      </c>
      <c r="B2" s="121">
        <v>0.22</v>
      </c>
    </row>
    <row r="4" spans="1:2" ht="18" customHeight="1" x14ac:dyDescent="0.25">
      <c r="A4" s="120" t="s">
        <v>154</v>
      </c>
      <c r="B4" s="122">
        <f>((1-B2)^2*(B1-1)+1) - 1</f>
        <v>0.36504000000000003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D21"/>
  <sheetViews>
    <sheetView workbookViewId="0">
      <selection activeCell="E8" sqref="E8"/>
    </sheetView>
  </sheetViews>
  <sheetFormatPr defaultRowHeight="18" customHeight="1" x14ac:dyDescent="0.25"/>
  <cols>
    <col min="1" max="1" width="9.7109375" style="79" customWidth="1"/>
    <col min="2" max="2" width="10.140625" style="79" customWidth="1"/>
    <col min="3" max="4" width="10.42578125" style="79" customWidth="1"/>
    <col min="5" max="16384" width="9.140625" style="79"/>
  </cols>
  <sheetData>
    <row r="1" spans="1:4" ht="18" customHeight="1" x14ac:dyDescent="0.25">
      <c r="C1" s="79" t="s">
        <v>149</v>
      </c>
      <c r="D1" s="79" t="s">
        <v>150</v>
      </c>
    </row>
    <row r="2" spans="1:4" s="80" customFormat="1" ht="18" customHeight="1" x14ac:dyDescent="0.25">
      <c r="A2" s="80" t="s">
        <v>43</v>
      </c>
      <c r="B2" s="80" t="s">
        <v>111</v>
      </c>
      <c r="C2" s="81">
        <v>0.8</v>
      </c>
      <c r="D2" s="81">
        <v>0</v>
      </c>
    </row>
    <row r="3" spans="1:4" s="80" customFormat="1" ht="18" customHeight="1" x14ac:dyDescent="0.25">
      <c r="B3" s="80" t="s">
        <v>56</v>
      </c>
      <c r="C3" s="229">
        <v>0.1</v>
      </c>
      <c r="D3" s="229"/>
    </row>
    <row r="4" spans="1:4" s="114" customFormat="1" ht="18" customHeight="1" x14ac:dyDescent="0.25">
      <c r="B4" s="114" t="s">
        <v>144</v>
      </c>
      <c r="C4" s="237">
        <v>0</v>
      </c>
      <c r="D4" s="238"/>
    </row>
    <row r="5" spans="1:4" s="97" customFormat="1" ht="18" customHeight="1" x14ac:dyDescent="0.25">
      <c r="B5" s="97" t="s">
        <v>145</v>
      </c>
      <c r="C5" s="96">
        <v>0</v>
      </c>
      <c r="D5" s="96">
        <v>0</v>
      </c>
    </row>
    <row r="6" spans="1:4" s="82" customFormat="1" ht="18" customHeight="1" x14ac:dyDescent="0.25">
      <c r="A6" s="82" t="s">
        <v>122</v>
      </c>
      <c r="B6" s="82" t="s">
        <v>111</v>
      </c>
      <c r="C6" s="83">
        <v>0</v>
      </c>
      <c r="D6" s="83">
        <v>1.8</v>
      </c>
    </row>
    <row r="7" spans="1:4" s="82" customFormat="1" ht="18" customHeight="1" x14ac:dyDescent="0.25">
      <c r="B7" s="82" t="s">
        <v>56</v>
      </c>
      <c r="C7" s="234">
        <v>0.4</v>
      </c>
      <c r="D7" s="234"/>
    </row>
    <row r="8" spans="1:4" s="82" customFormat="1" ht="18" customHeight="1" x14ac:dyDescent="0.25">
      <c r="B8" s="82" t="s">
        <v>144</v>
      </c>
      <c r="C8" s="234">
        <v>0</v>
      </c>
      <c r="D8" s="234"/>
    </row>
    <row r="9" spans="1:4" s="94" customFormat="1" ht="18" customHeight="1" x14ac:dyDescent="0.25">
      <c r="B9" s="94" t="s">
        <v>145</v>
      </c>
      <c r="C9" s="93">
        <v>0</v>
      </c>
      <c r="D9" s="93">
        <v>0</v>
      </c>
    </row>
    <row r="10" spans="1:4" s="84" customFormat="1" ht="18" customHeight="1" x14ac:dyDescent="0.25">
      <c r="A10" s="84" t="s">
        <v>112</v>
      </c>
      <c r="B10" s="84" t="s">
        <v>111</v>
      </c>
      <c r="C10" s="85">
        <v>0.3</v>
      </c>
      <c r="D10" s="85">
        <v>0</v>
      </c>
    </row>
    <row r="11" spans="1:4" s="84" customFormat="1" ht="18" customHeight="1" x14ac:dyDescent="0.25">
      <c r="B11" s="84" t="s">
        <v>113</v>
      </c>
      <c r="C11" s="235">
        <v>0</v>
      </c>
      <c r="D11" s="236"/>
    </row>
    <row r="12" spans="1:4" s="84" customFormat="1" ht="18" customHeight="1" x14ac:dyDescent="0.25">
      <c r="B12" s="84" t="s">
        <v>123</v>
      </c>
      <c r="C12" s="233">
        <v>0.5</v>
      </c>
      <c r="D12" s="233"/>
    </row>
    <row r="13" spans="1:4" s="86" customFormat="1" ht="18" customHeight="1" x14ac:dyDescent="0.25">
      <c r="A13" s="86" t="s">
        <v>55</v>
      </c>
      <c r="B13" s="86" t="s">
        <v>125</v>
      </c>
      <c r="C13" s="232">
        <v>0</v>
      </c>
      <c r="D13" s="232"/>
    </row>
    <row r="14" spans="1:4" s="115" customFormat="1" ht="18" customHeight="1" x14ac:dyDescent="0.25">
      <c r="B14" s="115" t="s">
        <v>146</v>
      </c>
      <c r="C14" s="232">
        <v>0</v>
      </c>
      <c r="D14" s="232"/>
    </row>
    <row r="15" spans="1:4" s="86" customFormat="1" ht="18" customHeight="1" x14ac:dyDescent="0.25">
      <c r="B15" s="86" t="s">
        <v>124</v>
      </c>
      <c r="C15" s="232">
        <v>0</v>
      </c>
      <c r="D15" s="232"/>
    </row>
    <row r="16" spans="1:4" s="87" customFormat="1" ht="18" customHeight="1" x14ac:dyDescent="0.25">
      <c r="A16" s="87" t="s">
        <v>115</v>
      </c>
      <c r="B16" s="87" t="s">
        <v>114</v>
      </c>
      <c r="C16" s="230">
        <v>1</v>
      </c>
      <c r="D16" s="230"/>
    </row>
    <row r="17" spans="1:4" s="87" customFormat="1" ht="18" customHeight="1" x14ac:dyDescent="0.25">
      <c r="B17" s="87" t="s">
        <v>122</v>
      </c>
      <c r="C17" s="231">
        <v>1</v>
      </c>
      <c r="D17" s="231"/>
    </row>
    <row r="18" spans="1:4" s="88" customFormat="1" ht="18" customHeight="1" x14ac:dyDescent="0.25">
      <c r="A18" s="88" t="s">
        <v>116</v>
      </c>
      <c r="B18" s="88" t="s">
        <v>114</v>
      </c>
      <c r="C18" s="90">
        <f>(1+C2+$C3)*(1+$C4+C5)*(1+C10+$C11+$C12)*(1+$C13)*$C16</f>
        <v>3.4200000000000004</v>
      </c>
      <c r="D18" s="90">
        <f>(1+D2+$C3)*(1+$C4+D5)*(1+D10+$C11+$C12)*(1+$C13)*$C16</f>
        <v>1.6500000000000001</v>
      </c>
    </row>
    <row r="19" spans="1:4" s="88" customFormat="1" ht="18" customHeight="1" x14ac:dyDescent="0.25">
      <c r="B19" s="95">
        <f>-(1-MAX(C18:D18)/MAX(C20:D20))</f>
        <v>-0.35227272727272718</v>
      </c>
      <c r="C19" s="89">
        <f>-(1-(C18/MAX($C18:$D18)))</f>
        <v>0</v>
      </c>
      <c r="D19" s="89">
        <f>-(1-(D18/MAX($C18:$D18)))</f>
        <v>-0.51754385964912286</v>
      </c>
    </row>
    <row r="20" spans="1:4" s="88" customFormat="1" ht="18" customHeight="1" x14ac:dyDescent="0.25">
      <c r="B20" s="88" t="s">
        <v>122</v>
      </c>
      <c r="C20" s="90">
        <f>(1+C2+$C3)*(1+$C4+C5)*(1+C6+$C7+$C14)*(1+$C8+C9)*(1+C10+$C11+$C12)*(1+$C15)*$C17</f>
        <v>4.7880000000000003</v>
      </c>
      <c r="D20" s="90">
        <f>(1+D2+$C3)*(1+$C4+D5)*(1+D6+$C7+$C14)*(1+$C8+D9)*(1+D10+$C11+$C12)*(1+$C15)*$C17</f>
        <v>5.28</v>
      </c>
    </row>
    <row r="21" spans="1:4" s="88" customFormat="1" ht="18" customHeight="1" x14ac:dyDescent="0.25">
      <c r="B21" s="95">
        <f>-(1-MAX(C20:D20)/MAX(C18:D18))</f>
        <v>0.54385964912280693</v>
      </c>
      <c r="C21" s="89">
        <f>-(1-(C20/MAX($C20:$D20)))</f>
        <v>-9.3181818181818143E-2</v>
      </c>
      <c r="D21" s="89">
        <f>-(1-(D20/MAX($C20:$D20)))</f>
        <v>0</v>
      </c>
    </row>
  </sheetData>
  <mergeCells count="11">
    <mergeCell ref="C3:D3"/>
    <mergeCell ref="C16:D16"/>
    <mergeCell ref="C17:D17"/>
    <mergeCell ref="C13:D13"/>
    <mergeCell ref="C15:D15"/>
    <mergeCell ref="C12:D12"/>
    <mergeCell ref="C8:D8"/>
    <mergeCell ref="C11:D11"/>
    <mergeCell ref="C7:D7"/>
    <mergeCell ref="C4:D4"/>
    <mergeCell ref="C14:D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H9"/>
  <sheetViews>
    <sheetView workbookViewId="0">
      <selection activeCell="D4" sqref="D4"/>
    </sheetView>
  </sheetViews>
  <sheetFormatPr defaultRowHeight="18.75" customHeight="1" x14ac:dyDescent="0.25"/>
  <cols>
    <col min="1" max="2" width="9.140625" style="120"/>
    <col min="3" max="3" width="9.140625" style="120" customWidth="1"/>
    <col min="4" max="4" width="9.140625" style="120"/>
    <col min="5" max="8" width="9.5703125" style="122" customWidth="1"/>
    <col min="9" max="16384" width="9.140625" style="120"/>
  </cols>
  <sheetData>
    <row r="1" spans="1:8" ht="18.75" customHeight="1" x14ac:dyDescent="0.25">
      <c r="A1" s="240" t="s">
        <v>44</v>
      </c>
      <c r="B1" s="241"/>
      <c r="C1" s="239" t="s">
        <v>42</v>
      </c>
      <c r="D1" s="239"/>
    </row>
    <row r="2" spans="1:8" ht="18.75" customHeight="1" x14ac:dyDescent="0.25">
      <c r="A2" s="151" t="s">
        <v>117</v>
      </c>
      <c r="B2" s="152">
        <v>0.14000000000000001</v>
      </c>
      <c r="C2" s="58" t="s">
        <v>117</v>
      </c>
      <c r="D2" s="153">
        <v>1.7</v>
      </c>
    </row>
    <row r="3" spans="1:8" ht="18.75" customHeight="1" x14ac:dyDescent="0.25">
      <c r="A3" s="151" t="s">
        <v>118</v>
      </c>
      <c r="B3" s="152">
        <v>0.03</v>
      </c>
      <c r="C3" s="58" t="s">
        <v>118</v>
      </c>
      <c r="D3" s="153">
        <v>0.15</v>
      </c>
    </row>
    <row r="4" spans="1:8" ht="18.75" customHeight="1" x14ac:dyDescent="0.25">
      <c r="A4" s="151" t="s">
        <v>119</v>
      </c>
      <c r="B4" s="152">
        <f>B2+B3</f>
        <v>0.17</v>
      </c>
      <c r="C4" s="58" t="s">
        <v>119</v>
      </c>
      <c r="D4" s="153">
        <f>D2+D3</f>
        <v>1.8499999999999999</v>
      </c>
    </row>
    <row r="5" spans="1:8" ht="18.75" customHeight="1" x14ac:dyDescent="0.25">
      <c r="A5" s="147" t="s">
        <v>44</v>
      </c>
      <c r="B5" s="147" t="s">
        <v>42</v>
      </c>
      <c r="C5" s="243" t="s">
        <v>121</v>
      </c>
      <c r="D5" s="243"/>
      <c r="E5" s="150" t="s">
        <v>184</v>
      </c>
      <c r="F5" s="150" t="s">
        <v>185</v>
      </c>
      <c r="G5" s="150" t="s">
        <v>186</v>
      </c>
      <c r="H5" s="150" t="s">
        <v>187</v>
      </c>
    </row>
    <row r="6" spans="1:8" ht="18.75" customHeight="1" x14ac:dyDescent="0.25">
      <c r="A6" s="148" t="s">
        <v>117</v>
      </c>
      <c r="B6" s="148" t="s">
        <v>117</v>
      </c>
      <c r="C6" s="242">
        <f>1*(1-B2)+D2*(B2)</f>
        <v>1.0980000000000001</v>
      </c>
      <c r="D6" s="242"/>
      <c r="E6" s="122">
        <f>$C6 / C$6 - 1</f>
        <v>0</v>
      </c>
      <c r="F6" s="122">
        <f>$C6 / C$7 - 1</f>
        <v>-1.8766756032171483E-2</v>
      </c>
      <c r="G6" s="122">
        <f>$C6 / C$8 - 1</f>
        <v>-1.8766756032171483E-2</v>
      </c>
      <c r="H6" s="122">
        <f>$C6 / C$9 - 1</f>
        <v>-4.0629095674967086E-2</v>
      </c>
    </row>
    <row r="7" spans="1:8" ht="18.75" customHeight="1" x14ac:dyDescent="0.25">
      <c r="A7" s="148" t="s">
        <v>117</v>
      </c>
      <c r="B7" s="149" t="s">
        <v>120</v>
      </c>
      <c r="C7" s="242">
        <f>1*(1-B2)+D4*(B2)</f>
        <v>1.119</v>
      </c>
      <c r="D7" s="242"/>
      <c r="E7" s="122">
        <f>$C7 / C$6 - 1</f>
        <v>1.91256830601092E-2</v>
      </c>
      <c r="F7" s="122">
        <f>$C7 / C$7 - 1</f>
        <v>0</v>
      </c>
      <c r="G7" s="122">
        <f>$C7 / C$8 - 1</f>
        <v>0</v>
      </c>
      <c r="H7" s="122">
        <f>$C7 / C$9 - 1</f>
        <v>-2.2280471821756076E-2</v>
      </c>
    </row>
    <row r="8" spans="1:8" ht="18.75" customHeight="1" x14ac:dyDescent="0.25">
      <c r="A8" s="149" t="s">
        <v>120</v>
      </c>
      <c r="B8" s="148" t="s">
        <v>117</v>
      </c>
      <c r="C8" s="242">
        <f>1*(1-B4)+D2*(B4)</f>
        <v>1.119</v>
      </c>
      <c r="D8" s="242"/>
      <c r="E8" s="122">
        <f>$C8 / C$6 - 1</f>
        <v>1.91256830601092E-2</v>
      </c>
      <c r="F8" s="122">
        <f>$C8 / C$7 - 1</f>
        <v>0</v>
      </c>
      <c r="G8" s="122">
        <f>$C8 / C$8 - 1</f>
        <v>0</v>
      </c>
      <c r="H8" s="122">
        <f>$C8 / C$9 - 1</f>
        <v>-2.2280471821756076E-2</v>
      </c>
    </row>
    <row r="9" spans="1:8" ht="18.75" customHeight="1" x14ac:dyDescent="0.25">
      <c r="A9" s="149" t="s">
        <v>120</v>
      </c>
      <c r="B9" s="149" t="s">
        <v>120</v>
      </c>
      <c r="C9" s="242">
        <f>1*(1-B4)+D4*(B4)</f>
        <v>1.1444999999999999</v>
      </c>
      <c r="D9" s="242"/>
      <c r="E9" s="122">
        <f>$C9 / C$6 - 1</f>
        <v>4.2349726775956054E-2</v>
      </c>
      <c r="F9" s="122">
        <f>$C9 / C$7 - 1</f>
        <v>2.2788203753351111E-2</v>
      </c>
      <c r="G9" s="122">
        <f>$C9 / C$8 - 1</f>
        <v>2.2788203753351111E-2</v>
      </c>
      <c r="H9" s="122">
        <f>$C9 / C$9 - 1</f>
        <v>0</v>
      </c>
    </row>
  </sheetData>
  <mergeCells count="7">
    <mergeCell ref="C1:D1"/>
    <mergeCell ref="A1:B1"/>
    <mergeCell ref="C9:D9"/>
    <mergeCell ref="C8:D8"/>
    <mergeCell ref="C7:D7"/>
    <mergeCell ref="C6:D6"/>
    <mergeCell ref="C5:D5"/>
  </mergeCells>
  <conditionalFormatting sqref="E6:H9">
    <cfRule type="colorScale" priority="1">
      <colorScale>
        <cfvo type="min"/>
        <cfvo type="num" val="0"/>
        <cfvo type="max"/>
        <color rgb="FF6E0000"/>
        <color theme="1" tint="0.14999847407452621"/>
        <color rgb="FF006E32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C167-66FD-41AC-BB6C-03071F715A38}">
  <dimension ref="A1:I22"/>
  <sheetViews>
    <sheetView workbookViewId="0">
      <selection activeCell="E14" sqref="E14"/>
    </sheetView>
  </sheetViews>
  <sheetFormatPr defaultRowHeight="15" x14ac:dyDescent="0.25"/>
  <cols>
    <col min="1" max="1" width="9.140625" style="154"/>
    <col min="2" max="4" width="9.28515625" style="157" bestFit="1" customWidth="1"/>
    <col min="5" max="5" width="9.28515625" style="157" customWidth="1"/>
    <col min="6" max="7" width="9.140625" style="155"/>
    <col min="8" max="16384" width="9.140625" style="154"/>
  </cols>
  <sheetData>
    <row r="1" spans="1:9" x14ac:dyDescent="0.25">
      <c r="A1" s="154" t="s">
        <v>192</v>
      </c>
      <c r="B1" s="155" t="s">
        <v>188</v>
      </c>
      <c r="C1" s="155" t="s">
        <v>189</v>
      </c>
      <c r="D1" s="155" t="s">
        <v>190</v>
      </c>
      <c r="E1" s="154" t="s">
        <v>191</v>
      </c>
      <c r="F1" s="155" t="s">
        <v>188</v>
      </c>
      <c r="G1" s="155" t="s">
        <v>189</v>
      </c>
      <c r="H1" s="155" t="s">
        <v>190</v>
      </c>
      <c r="I1" s="154" t="s">
        <v>191</v>
      </c>
    </row>
    <row r="2" spans="1:9" x14ac:dyDescent="0.25">
      <c r="A2" s="156">
        <v>0</v>
      </c>
      <c r="B2" s="155">
        <f>F2/MAX($F2:$I2) - 1</f>
        <v>0</v>
      </c>
      <c r="C2" s="155">
        <f>G2/MAX($F2:$I2) - 1</f>
        <v>-1.2126574973550075E-2</v>
      </c>
      <c r="D2" s="155">
        <f>H2/MAX($F2:$I2) - 1</f>
        <v>-0.10193324997595476</v>
      </c>
      <c r="E2" s="155">
        <f>I2/MAX($F2:$I2) - 1</f>
        <v>-0.35596806771183997</v>
      </c>
      <c r="F2" s="154">
        <f>(1+1+0.2+0.61)*(1+0.55+0.3)*(1.5)*(1+0.4*A2)</f>
        <v>7.7977500000000006</v>
      </c>
      <c r="G2" s="154">
        <f>(1+0.7+0.2+0.61)*(1+0.55)*(1.5+0.3)*(1+0.4*A2)*1.1</f>
        <v>7.7031900000000002</v>
      </c>
      <c r="H2" s="154">
        <f>(1+0.7+0.2+0.61)*(1+0.55)*(1.5+0.3)*(1+(0.4)*A2)</f>
        <v>7.0028999999999995</v>
      </c>
      <c r="I2" s="154">
        <f>(1+0.35+0.2+0.61)*(1+0.55)*(1.5)*(1+(0.4+0.7)*A2)</f>
        <v>5.0220000000000002</v>
      </c>
    </row>
    <row r="3" spans="1:9" x14ac:dyDescent="0.25">
      <c r="A3" s="157">
        <f>A2+5%</f>
        <v>0.05</v>
      </c>
      <c r="B3" s="155">
        <f t="shared" ref="B3:B22" si="0">F3/MAX($F3:$I3) - 1</f>
        <v>0</v>
      </c>
      <c r="C3" s="155">
        <f t="shared" ref="C3:C22" si="1">G3/MAX($F3:$I3) - 1</f>
        <v>-1.2126574973550297E-2</v>
      </c>
      <c r="D3" s="155">
        <f t="shared" ref="D3:D22" si="2">H3/MAX($F3:$I3) - 1</f>
        <v>-0.10193324997595488</v>
      </c>
      <c r="E3" s="155">
        <f t="shared" ref="E3:E22" si="3">I3/MAX($F3:$I3) - 1</f>
        <v>-0.33386893278038354</v>
      </c>
      <c r="F3" s="154">
        <f t="shared" ref="F3:F22" si="4">(1+1+0.2+0.61)*(1+0.55+0.3)*(1.5)*(1+0.4*A3)</f>
        <v>7.9537050000000011</v>
      </c>
      <c r="G3" s="154">
        <f t="shared" ref="G3:G22" si="5">(1+0.7+0.2+0.61)*(1+0.55)*(1.5+0.3)*(1+0.4*A3)*1.1</f>
        <v>7.8572537999999996</v>
      </c>
      <c r="H3" s="154">
        <f t="shared" ref="H3:H22" si="6">(1+0.7+0.2+0.61)*(1+0.55)*(1.5+0.3)*(1+(0.4)*A3)</f>
        <v>7.1429579999999993</v>
      </c>
      <c r="I3" s="154">
        <f t="shared" ref="I3:I22" si="7">(1+0.35+0.2+0.61)*(1+0.55)*(1.5)*(1+(0.4+0.7)*A3)</f>
        <v>5.2982100000000001</v>
      </c>
    </row>
    <row r="4" spans="1:9" x14ac:dyDescent="0.25">
      <c r="A4" s="157">
        <f t="shared" ref="A4:A22" si="8">A3+5%</f>
        <v>0.1</v>
      </c>
      <c r="B4" s="155">
        <f t="shared" si="0"/>
        <v>0</v>
      </c>
      <c r="C4" s="155">
        <f t="shared" si="1"/>
        <v>-1.2126574973550297E-2</v>
      </c>
      <c r="D4" s="155">
        <f t="shared" si="2"/>
        <v>-0.10193324997595476</v>
      </c>
      <c r="E4" s="155">
        <f t="shared" si="3"/>
        <v>-0.31261976457705998</v>
      </c>
      <c r="F4" s="154">
        <f t="shared" si="4"/>
        <v>8.1096600000000016</v>
      </c>
      <c r="G4" s="154">
        <f t="shared" si="5"/>
        <v>8.0113175999999999</v>
      </c>
      <c r="H4" s="154">
        <f t="shared" si="6"/>
        <v>7.2830159999999999</v>
      </c>
      <c r="I4" s="154">
        <f t="shared" si="7"/>
        <v>5.5744200000000008</v>
      </c>
    </row>
    <row r="5" spans="1:9" x14ac:dyDescent="0.25">
      <c r="A5" s="157">
        <f t="shared" si="8"/>
        <v>0.15000000000000002</v>
      </c>
      <c r="B5" s="155">
        <f t="shared" si="0"/>
        <v>0</v>
      </c>
      <c r="C5" s="155">
        <f t="shared" si="1"/>
        <v>-1.2126574973549964E-2</v>
      </c>
      <c r="D5" s="155">
        <f t="shared" si="2"/>
        <v>-0.10193324997595465</v>
      </c>
      <c r="E5" s="155">
        <f t="shared" si="3"/>
        <v>-0.2921724517776354</v>
      </c>
      <c r="F5" s="154">
        <f t="shared" si="4"/>
        <v>8.2656150000000004</v>
      </c>
      <c r="G5" s="154">
        <f t="shared" si="5"/>
        <v>8.1653814000000011</v>
      </c>
      <c r="H5" s="154">
        <f t="shared" si="6"/>
        <v>7.4230739999999997</v>
      </c>
      <c r="I5" s="154">
        <f t="shared" si="7"/>
        <v>5.8506300000000007</v>
      </c>
    </row>
    <row r="6" spans="1:9" x14ac:dyDescent="0.25">
      <c r="A6" s="157">
        <f t="shared" si="8"/>
        <v>0.2</v>
      </c>
      <c r="B6" s="155">
        <f t="shared" si="0"/>
        <v>0</v>
      </c>
      <c r="C6" s="155">
        <f t="shared" si="1"/>
        <v>-1.2126574973550075E-2</v>
      </c>
      <c r="D6" s="155">
        <f t="shared" si="2"/>
        <v>-0.10193324997595476</v>
      </c>
      <c r="E6" s="155">
        <f t="shared" si="3"/>
        <v>-0.27248244685967105</v>
      </c>
      <c r="F6" s="154">
        <f t="shared" si="4"/>
        <v>8.4215700000000009</v>
      </c>
      <c r="G6" s="154">
        <f t="shared" si="5"/>
        <v>8.3194452000000005</v>
      </c>
      <c r="H6" s="154">
        <f t="shared" si="6"/>
        <v>7.5631319999999995</v>
      </c>
      <c r="I6" s="154">
        <f t="shared" si="7"/>
        <v>6.1268400000000005</v>
      </c>
    </row>
    <row r="7" spans="1:9" x14ac:dyDescent="0.25">
      <c r="A7" s="157">
        <f t="shared" si="8"/>
        <v>0.25</v>
      </c>
      <c r="B7" s="155">
        <f t="shared" si="0"/>
        <v>0</v>
      </c>
      <c r="C7" s="155">
        <f t="shared" si="1"/>
        <v>-1.2126574973550075E-2</v>
      </c>
      <c r="D7" s="155">
        <f t="shared" si="2"/>
        <v>-0.10193324997595476</v>
      </c>
      <c r="E7" s="155">
        <f t="shared" si="3"/>
        <v>-0.25350844212054191</v>
      </c>
      <c r="F7" s="154">
        <f t="shared" si="4"/>
        <v>8.5775250000000014</v>
      </c>
      <c r="G7" s="154">
        <f t="shared" si="5"/>
        <v>8.4735090000000017</v>
      </c>
      <c r="H7" s="154">
        <f t="shared" si="6"/>
        <v>7.7031900000000002</v>
      </c>
      <c r="I7" s="154">
        <f t="shared" si="7"/>
        <v>6.4030499999999995</v>
      </c>
    </row>
    <row r="8" spans="1:9" x14ac:dyDescent="0.25">
      <c r="A8" s="157">
        <f t="shared" si="8"/>
        <v>0.3</v>
      </c>
      <c r="B8" s="155">
        <f t="shared" si="0"/>
        <v>0</v>
      </c>
      <c r="C8" s="155">
        <f t="shared" si="1"/>
        <v>-1.2126574973550186E-2</v>
      </c>
      <c r="D8" s="155">
        <f t="shared" si="2"/>
        <v>-0.10193324997595476</v>
      </c>
      <c r="E8" s="155">
        <f t="shared" si="3"/>
        <v>-0.23521208040780994</v>
      </c>
      <c r="F8" s="154">
        <f t="shared" si="4"/>
        <v>8.7334800000000019</v>
      </c>
      <c r="G8" s="154">
        <f t="shared" si="5"/>
        <v>8.6275728000000012</v>
      </c>
      <c r="H8" s="154">
        <f t="shared" si="6"/>
        <v>7.843248</v>
      </c>
      <c r="I8" s="154">
        <f t="shared" si="7"/>
        <v>6.6792600000000011</v>
      </c>
    </row>
    <row r="9" spans="1:9" x14ac:dyDescent="0.25">
      <c r="A9" s="157">
        <f t="shared" si="8"/>
        <v>0.35</v>
      </c>
      <c r="B9" s="155">
        <f t="shared" si="0"/>
        <v>0</v>
      </c>
      <c r="C9" s="155">
        <f t="shared" si="1"/>
        <v>-1.2126574973550297E-2</v>
      </c>
      <c r="D9" s="155">
        <f t="shared" si="2"/>
        <v>-0.10193324997595476</v>
      </c>
      <c r="E9" s="155">
        <f t="shared" si="3"/>
        <v>-0.21755769629903365</v>
      </c>
      <c r="F9" s="154">
        <f t="shared" si="4"/>
        <v>8.8894350000000006</v>
      </c>
      <c r="G9" s="154">
        <f t="shared" si="5"/>
        <v>8.7816365999999988</v>
      </c>
      <c r="H9" s="154">
        <f t="shared" si="6"/>
        <v>7.9833059999999989</v>
      </c>
      <c r="I9" s="154">
        <f t="shared" si="7"/>
        <v>6.95547</v>
      </c>
    </row>
    <row r="10" spans="1:9" x14ac:dyDescent="0.25">
      <c r="A10" s="157">
        <f t="shared" si="8"/>
        <v>0.39999999999999997</v>
      </c>
      <c r="B10" s="155">
        <f t="shared" si="0"/>
        <v>0</v>
      </c>
      <c r="C10" s="155">
        <f t="shared" si="1"/>
        <v>-1.2126574973549964E-2</v>
      </c>
      <c r="D10" s="155">
        <f t="shared" si="2"/>
        <v>-0.10193324997595465</v>
      </c>
      <c r="E10" s="155">
        <f t="shared" si="3"/>
        <v>-0.20051208405607712</v>
      </c>
      <c r="F10" s="154">
        <f t="shared" si="4"/>
        <v>9.0453899999999994</v>
      </c>
      <c r="G10" s="154">
        <f t="shared" si="5"/>
        <v>8.9357004</v>
      </c>
      <c r="H10" s="154">
        <f t="shared" si="6"/>
        <v>8.1233639999999987</v>
      </c>
      <c r="I10" s="154">
        <f t="shared" si="7"/>
        <v>7.2316799999999999</v>
      </c>
    </row>
    <row r="11" spans="1:9" x14ac:dyDescent="0.25">
      <c r="A11" s="157">
        <f t="shared" si="8"/>
        <v>0.44999999999999996</v>
      </c>
      <c r="B11" s="155">
        <f t="shared" si="0"/>
        <v>0</v>
      </c>
      <c r="C11" s="155">
        <f t="shared" si="1"/>
        <v>-1.2126574973550075E-2</v>
      </c>
      <c r="D11" s="155">
        <f t="shared" si="2"/>
        <v>-0.10193324997595476</v>
      </c>
      <c r="E11" s="155">
        <f t="shared" si="3"/>
        <v>-0.18404428917728866</v>
      </c>
      <c r="F11" s="154">
        <f t="shared" si="4"/>
        <v>9.2013449999999999</v>
      </c>
      <c r="G11" s="154">
        <f t="shared" si="5"/>
        <v>9.0897641999999994</v>
      </c>
      <c r="H11" s="154">
        <f t="shared" si="6"/>
        <v>8.2634219999999985</v>
      </c>
      <c r="I11" s="154">
        <f t="shared" si="7"/>
        <v>7.5078900000000006</v>
      </c>
    </row>
    <row r="12" spans="1:9" x14ac:dyDescent="0.25">
      <c r="A12" s="157">
        <f t="shared" si="8"/>
        <v>0.49999999999999994</v>
      </c>
      <c r="B12" s="155">
        <f t="shared" si="0"/>
        <v>0</v>
      </c>
      <c r="C12" s="155">
        <f t="shared" si="1"/>
        <v>-1.2126574973550186E-2</v>
      </c>
      <c r="D12" s="155">
        <f t="shared" si="2"/>
        <v>-0.10193324997595488</v>
      </c>
      <c r="E12" s="155">
        <f t="shared" si="3"/>
        <v>-0.16812542079446002</v>
      </c>
      <c r="F12" s="154">
        <f t="shared" si="4"/>
        <v>9.3573000000000004</v>
      </c>
      <c r="G12" s="154">
        <f t="shared" si="5"/>
        <v>9.2438279999999988</v>
      </c>
      <c r="H12" s="154">
        <f t="shared" si="6"/>
        <v>8.4034799999999983</v>
      </c>
      <c r="I12" s="154">
        <f t="shared" si="7"/>
        <v>7.7840999999999996</v>
      </c>
    </row>
    <row r="13" spans="1:9" x14ac:dyDescent="0.25">
      <c r="A13" s="157">
        <f t="shared" si="8"/>
        <v>0.54999999999999993</v>
      </c>
      <c r="B13" s="155">
        <f t="shared" si="0"/>
        <v>0</v>
      </c>
      <c r="C13" s="155">
        <f t="shared" si="1"/>
        <v>-1.2126574973550186E-2</v>
      </c>
      <c r="D13" s="155">
        <f t="shared" si="2"/>
        <v>-0.10193324997595465</v>
      </c>
      <c r="E13" s="155">
        <f t="shared" si="3"/>
        <v>-0.15272848252254367</v>
      </c>
      <c r="F13" s="154">
        <f t="shared" si="4"/>
        <v>9.5132550000000009</v>
      </c>
      <c r="G13" s="154">
        <f t="shared" si="5"/>
        <v>9.3978918</v>
      </c>
      <c r="H13" s="154">
        <f t="shared" si="6"/>
        <v>8.5435379999999999</v>
      </c>
      <c r="I13" s="154">
        <f t="shared" si="7"/>
        <v>8.0603099999999994</v>
      </c>
    </row>
    <row r="14" spans="1:9" x14ac:dyDescent="0.25">
      <c r="A14" s="157">
        <f t="shared" si="8"/>
        <v>0.6</v>
      </c>
      <c r="B14" s="155">
        <f t="shared" si="0"/>
        <v>0</v>
      </c>
      <c r="C14" s="155">
        <f t="shared" si="1"/>
        <v>-1.2126574973550075E-2</v>
      </c>
      <c r="D14" s="155">
        <f t="shared" si="2"/>
        <v>-0.10193324997595476</v>
      </c>
      <c r="E14" s="155">
        <f t="shared" si="3"/>
        <v>-0.13782821967875336</v>
      </c>
      <c r="F14" s="154">
        <f t="shared" si="4"/>
        <v>9.6692100000000014</v>
      </c>
      <c r="G14" s="154">
        <f t="shared" si="5"/>
        <v>9.5519556000000012</v>
      </c>
      <c r="H14" s="154">
        <f t="shared" si="6"/>
        <v>8.6835959999999996</v>
      </c>
      <c r="I14" s="154">
        <f t="shared" si="7"/>
        <v>8.3365200000000019</v>
      </c>
    </row>
    <row r="15" spans="1:9" x14ac:dyDescent="0.25">
      <c r="A15" s="157">
        <f t="shared" si="8"/>
        <v>0.65</v>
      </c>
      <c r="B15" s="155">
        <f t="shared" si="0"/>
        <v>0</v>
      </c>
      <c r="C15" s="155">
        <f t="shared" si="1"/>
        <v>-1.2126574973549964E-2</v>
      </c>
      <c r="D15" s="155">
        <f t="shared" si="2"/>
        <v>-0.10193324997595465</v>
      </c>
      <c r="E15" s="155">
        <f t="shared" si="3"/>
        <v>-0.12340098105222652</v>
      </c>
      <c r="F15" s="154">
        <f t="shared" si="4"/>
        <v>9.8251650000000001</v>
      </c>
      <c r="G15" s="154">
        <f t="shared" si="5"/>
        <v>9.7060194000000006</v>
      </c>
      <c r="H15" s="154">
        <f t="shared" si="6"/>
        <v>8.8236539999999994</v>
      </c>
      <c r="I15" s="154">
        <f t="shared" si="7"/>
        <v>8.6127300000000009</v>
      </c>
    </row>
    <row r="16" spans="1:9" x14ac:dyDescent="0.25">
      <c r="A16" s="157">
        <f t="shared" si="8"/>
        <v>0.70000000000000007</v>
      </c>
      <c r="B16" s="155">
        <f t="shared" si="0"/>
        <v>0</v>
      </c>
      <c r="C16" s="155">
        <f t="shared" si="1"/>
        <v>-1.2126574973550075E-2</v>
      </c>
      <c r="D16" s="155">
        <f t="shared" si="2"/>
        <v>-0.10193324997595476</v>
      </c>
      <c r="E16" s="155">
        <f t="shared" si="3"/>
        <v>-0.10942459363277879</v>
      </c>
      <c r="F16" s="154">
        <f t="shared" si="4"/>
        <v>9.9811200000000007</v>
      </c>
      <c r="G16" s="154">
        <f t="shared" si="5"/>
        <v>9.8600832</v>
      </c>
      <c r="H16" s="154">
        <f t="shared" si="6"/>
        <v>8.9637119999999992</v>
      </c>
      <c r="I16" s="154">
        <f t="shared" si="7"/>
        <v>8.8889399999999998</v>
      </c>
    </row>
    <row r="17" spans="1:9" x14ac:dyDescent="0.25">
      <c r="A17" s="157">
        <f t="shared" si="8"/>
        <v>0.75000000000000011</v>
      </c>
      <c r="B17" s="155">
        <f t="shared" si="0"/>
        <v>0</v>
      </c>
      <c r="C17" s="155">
        <f t="shared" si="1"/>
        <v>-1.2126574973550186E-2</v>
      </c>
      <c r="D17" s="155">
        <f t="shared" si="2"/>
        <v>-0.10193324997595476</v>
      </c>
      <c r="E17" s="155">
        <f t="shared" si="3"/>
        <v>-9.587824890315999E-2</v>
      </c>
      <c r="F17" s="154">
        <f t="shared" si="4"/>
        <v>10.137075000000001</v>
      </c>
      <c r="G17" s="154">
        <f t="shared" si="5"/>
        <v>10.014146999999999</v>
      </c>
      <c r="H17" s="154">
        <f t="shared" si="6"/>
        <v>9.103769999999999</v>
      </c>
      <c r="I17" s="154">
        <f t="shared" si="7"/>
        <v>9.1651500000000006</v>
      </c>
    </row>
    <row r="18" spans="1:9" x14ac:dyDescent="0.25">
      <c r="A18" s="157">
        <f t="shared" si="8"/>
        <v>0.80000000000000016</v>
      </c>
      <c r="B18" s="155">
        <f t="shared" si="0"/>
        <v>0</v>
      </c>
      <c r="C18" s="155">
        <f t="shared" si="1"/>
        <v>-1.2126574973550186E-2</v>
      </c>
      <c r="D18" s="155">
        <f t="shared" si="2"/>
        <v>-0.10193324997595465</v>
      </c>
      <c r="E18" s="155">
        <f t="shared" si="3"/>
        <v>-8.2742399468378136E-2</v>
      </c>
      <c r="F18" s="154">
        <f t="shared" si="4"/>
        <v>10.293030000000002</v>
      </c>
      <c r="G18" s="154">
        <f t="shared" si="5"/>
        <v>10.168210800000001</v>
      </c>
      <c r="H18" s="154">
        <f t="shared" si="6"/>
        <v>9.2438280000000006</v>
      </c>
      <c r="I18" s="154">
        <f t="shared" si="7"/>
        <v>9.4413600000000013</v>
      </c>
    </row>
    <row r="19" spans="1:9" x14ac:dyDescent="0.25">
      <c r="A19" s="157">
        <f t="shared" si="8"/>
        <v>0.8500000000000002</v>
      </c>
      <c r="B19" s="155">
        <f t="shared" si="0"/>
        <v>0</v>
      </c>
      <c r="C19" s="155">
        <f t="shared" si="1"/>
        <v>-1.2126574973550075E-2</v>
      </c>
      <c r="D19" s="155">
        <f t="shared" si="2"/>
        <v>-0.10193324997595476</v>
      </c>
      <c r="E19" s="155">
        <f t="shared" si="3"/>
        <v>-6.9998664942097277E-2</v>
      </c>
      <c r="F19" s="154">
        <f t="shared" si="4"/>
        <v>10.448985000000002</v>
      </c>
      <c r="G19" s="154">
        <f t="shared" si="5"/>
        <v>10.322274600000002</v>
      </c>
      <c r="H19" s="154">
        <f t="shared" si="6"/>
        <v>9.3838860000000004</v>
      </c>
      <c r="I19" s="154">
        <f t="shared" si="7"/>
        <v>9.717570000000002</v>
      </c>
    </row>
    <row r="20" spans="1:9" x14ac:dyDescent="0.25">
      <c r="A20" s="157">
        <f t="shared" si="8"/>
        <v>0.90000000000000024</v>
      </c>
      <c r="B20" s="155">
        <f t="shared" si="0"/>
        <v>0</v>
      </c>
      <c r="C20" s="155">
        <f t="shared" si="1"/>
        <v>-1.2126574973550075E-2</v>
      </c>
      <c r="D20" s="155">
        <f t="shared" si="2"/>
        <v>-0.10193324997595465</v>
      </c>
      <c r="E20" s="155">
        <f t="shared" si="3"/>
        <v>-5.7629746137177529E-2</v>
      </c>
      <c r="F20" s="154">
        <f t="shared" si="4"/>
        <v>10.604940000000001</v>
      </c>
      <c r="G20" s="154">
        <f t="shared" si="5"/>
        <v>10.476338400000001</v>
      </c>
      <c r="H20" s="154">
        <f t="shared" si="6"/>
        <v>9.5239440000000002</v>
      </c>
      <c r="I20" s="154">
        <f t="shared" si="7"/>
        <v>9.993780000000001</v>
      </c>
    </row>
    <row r="21" spans="1:9" x14ac:dyDescent="0.25">
      <c r="A21" s="157">
        <f t="shared" si="8"/>
        <v>0.95000000000000029</v>
      </c>
      <c r="B21" s="155">
        <f t="shared" si="0"/>
        <v>0</v>
      </c>
      <c r="C21" s="155">
        <f t="shared" si="1"/>
        <v>-1.2126574973550075E-2</v>
      </c>
      <c r="D21" s="155">
        <f t="shared" si="2"/>
        <v>-0.10193324997595476</v>
      </c>
      <c r="E21" s="155">
        <f t="shared" si="3"/>
        <v>-4.5619346717907683E-2</v>
      </c>
      <c r="F21" s="154">
        <f t="shared" si="4"/>
        <v>10.760895000000001</v>
      </c>
      <c r="G21" s="154">
        <f t="shared" si="5"/>
        <v>10.630402200000001</v>
      </c>
      <c r="H21" s="154">
        <f t="shared" si="6"/>
        <v>9.664002</v>
      </c>
      <c r="I21" s="154">
        <f t="shared" si="7"/>
        <v>10.269990000000002</v>
      </c>
    </row>
    <row r="22" spans="1:9" x14ac:dyDescent="0.25">
      <c r="A22" s="157">
        <f t="shared" si="8"/>
        <v>1.0000000000000002</v>
      </c>
      <c r="B22" s="155">
        <f t="shared" si="0"/>
        <v>0</v>
      </c>
      <c r="C22" s="155">
        <f t="shared" si="1"/>
        <v>-1.2126574973550186E-2</v>
      </c>
      <c r="D22" s="155">
        <f t="shared" si="2"/>
        <v>-0.10193324997595476</v>
      </c>
      <c r="E22" s="155">
        <f t="shared" si="3"/>
        <v>-3.3952101567759851E-2</v>
      </c>
      <c r="F22" s="154">
        <f t="shared" si="4"/>
        <v>10.916850000000002</v>
      </c>
      <c r="G22" s="154">
        <f t="shared" si="5"/>
        <v>10.784466</v>
      </c>
      <c r="H22" s="154">
        <f t="shared" si="6"/>
        <v>9.8040599999999998</v>
      </c>
      <c r="I22" s="154">
        <f t="shared" si="7"/>
        <v>10.546200000000002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98" customWidth="1"/>
    <col min="2" max="2" width="9.140625" style="91"/>
    <col min="3" max="3" width="2.42578125" style="91" customWidth="1"/>
    <col min="4" max="4" width="4.140625" style="99" customWidth="1"/>
    <col min="5" max="5" width="7.28515625" style="99" customWidth="1"/>
    <col min="6" max="6" width="8.5703125" style="99" customWidth="1"/>
    <col min="7" max="7" width="8.140625" style="99" customWidth="1"/>
    <col min="8" max="9" width="10.5703125" style="99" customWidth="1"/>
    <col min="10" max="10" width="6.85546875" style="100" customWidth="1"/>
    <col min="11" max="11" width="10.5703125" style="111" customWidth="1"/>
    <col min="12" max="12" width="7.28515625" style="113" customWidth="1"/>
    <col min="13" max="16384" width="9.140625" style="91"/>
  </cols>
  <sheetData>
    <row r="1" spans="1:12" s="98" customFormat="1" ht="18.75" customHeight="1" x14ac:dyDescent="0.25">
      <c r="A1" s="105" t="s">
        <v>133</v>
      </c>
      <c r="B1" s="105">
        <v>3</v>
      </c>
      <c r="D1" s="105" t="s">
        <v>128</v>
      </c>
      <c r="E1" s="105" t="s">
        <v>129</v>
      </c>
      <c r="F1" s="105" t="s">
        <v>130</v>
      </c>
      <c r="G1" s="105" t="s">
        <v>142</v>
      </c>
      <c r="H1" s="105" t="s">
        <v>131</v>
      </c>
      <c r="I1" s="105" t="s">
        <v>135</v>
      </c>
      <c r="J1" s="106" t="s">
        <v>136</v>
      </c>
      <c r="K1" s="110" t="s">
        <v>143</v>
      </c>
      <c r="L1" s="112" t="s">
        <v>136</v>
      </c>
    </row>
    <row r="2" spans="1:12" ht="18.75" customHeight="1" x14ac:dyDescent="0.25">
      <c r="A2" s="105" t="s">
        <v>132</v>
      </c>
      <c r="B2" s="107">
        <v>0.09</v>
      </c>
      <c r="D2" s="99">
        <v>1</v>
      </c>
      <c r="E2" s="99">
        <f>$B$1*D2</f>
        <v>3</v>
      </c>
      <c r="F2" s="101">
        <f t="shared" ref="F2:F42" si="0">$B$2+$B$6*_xlfn.FLOOR.MATH(E2/$B$3)</f>
        <v>0.09</v>
      </c>
      <c r="G2" s="101">
        <f>F2/$B$1</f>
        <v>0.03</v>
      </c>
      <c r="H2" s="101">
        <f>SUM($F$2:F2)</f>
        <v>0.09</v>
      </c>
      <c r="I2" s="102">
        <f>H2/E2</f>
        <v>0.03</v>
      </c>
      <c r="J2" s="100">
        <f>1/I2</f>
        <v>33.333333333333336</v>
      </c>
      <c r="K2" s="111">
        <f>IF($B$13-G2&gt;0,"",$B$13-G2)</f>
        <v>-1.9230769230769232E-2</v>
      </c>
      <c r="L2" s="113">
        <f>IF(ISNUMBER(K2),-1/K2,"")</f>
        <v>52</v>
      </c>
    </row>
    <row r="3" spans="1:12" ht="18.75" customHeight="1" x14ac:dyDescent="0.25">
      <c r="A3" s="105" t="s">
        <v>126</v>
      </c>
      <c r="B3" s="99">
        <v>12.2</v>
      </c>
      <c r="D3" s="99">
        <f>D2+1</f>
        <v>2</v>
      </c>
      <c r="E3" s="99">
        <f>$B$1*D3</f>
        <v>6</v>
      </c>
      <c r="F3" s="101">
        <f t="shared" si="0"/>
        <v>0.09</v>
      </c>
      <c r="G3" s="101">
        <f t="shared" ref="G3:G42" si="1">F3/$B$1</f>
        <v>0.03</v>
      </c>
      <c r="H3" s="101">
        <f>SUM($F$2:F3)</f>
        <v>0.18</v>
      </c>
      <c r="I3" s="102">
        <f t="shared" ref="I3:I35" si="2">H3/E3</f>
        <v>0.03</v>
      </c>
      <c r="J3" s="100">
        <f t="shared" ref="J3:J42" si="3">1/I3</f>
        <v>33.333333333333336</v>
      </c>
      <c r="K3" s="111">
        <f t="shared" ref="K3:K35" si="4">IF($B$13-G3&gt;0,"",$B$13-G3)</f>
        <v>-1.9230769230769232E-2</v>
      </c>
      <c r="L3" s="113">
        <f t="shared" ref="L3:L42" si="5">IF(ISNUMBER(K3),-1/K3,"")</f>
        <v>52</v>
      </c>
    </row>
    <row r="4" spans="1:12" ht="18.75" customHeight="1" x14ac:dyDescent="0.25">
      <c r="A4" s="105" t="s">
        <v>127</v>
      </c>
      <c r="B4" s="107">
        <v>0.3</v>
      </c>
      <c r="D4" s="99">
        <f t="shared" ref="D4:D15" si="6">D3+1</f>
        <v>3</v>
      </c>
      <c r="E4" s="99">
        <f t="shared" ref="E4:E20" si="7">$B$1*D4</f>
        <v>9</v>
      </c>
      <c r="F4" s="101">
        <f t="shared" si="0"/>
        <v>0.09</v>
      </c>
      <c r="G4" s="101">
        <f t="shared" si="1"/>
        <v>0.03</v>
      </c>
      <c r="H4" s="101">
        <f>SUM($F$2:F4)</f>
        <v>0.27</v>
      </c>
      <c r="I4" s="102">
        <f t="shared" si="2"/>
        <v>3.0000000000000002E-2</v>
      </c>
      <c r="J4" s="100">
        <f t="shared" si="3"/>
        <v>33.333333333333329</v>
      </c>
      <c r="K4" s="111">
        <f t="shared" si="4"/>
        <v>-1.9230769230769232E-2</v>
      </c>
      <c r="L4" s="113">
        <f t="shared" si="5"/>
        <v>52</v>
      </c>
    </row>
    <row r="5" spans="1:12" ht="18.75" customHeight="1" x14ac:dyDescent="0.25">
      <c r="D5" s="99">
        <f t="shared" si="6"/>
        <v>4</v>
      </c>
      <c r="E5" s="99">
        <f t="shared" si="7"/>
        <v>12</v>
      </c>
      <c r="F5" s="101">
        <f t="shared" si="0"/>
        <v>0.09</v>
      </c>
      <c r="G5" s="101">
        <f t="shared" si="1"/>
        <v>0.03</v>
      </c>
      <c r="H5" s="101">
        <f>SUM($F$2:F5)</f>
        <v>0.36</v>
      </c>
      <c r="I5" s="102">
        <f t="shared" si="2"/>
        <v>0.03</v>
      </c>
      <c r="J5" s="100">
        <f t="shared" si="3"/>
        <v>33.333333333333336</v>
      </c>
      <c r="K5" s="111">
        <f t="shared" si="4"/>
        <v>-1.9230769230769232E-2</v>
      </c>
      <c r="L5" s="113">
        <f t="shared" si="5"/>
        <v>52</v>
      </c>
    </row>
    <row r="6" spans="1:12" ht="18.75" customHeight="1" x14ac:dyDescent="0.25">
      <c r="A6" s="98" t="s">
        <v>134</v>
      </c>
      <c r="B6" s="92">
        <f>B2*B4</f>
        <v>2.7E-2</v>
      </c>
      <c r="D6" s="99">
        <f t="shared" si="6"/>
        <v>5</v>
      </c>
      <c r="E6" s="99">
        <f t="shared" si="7"/>
        <v>15</v>
      </c>
      <c r="F6" s="101">
        <f t="shared" si="0"/>
        <v>0.11699999999999999</v>
      </c>
      <c r="G6" s="101">
        <f t="shared" si="1"/>
        <v>3.9E-2</v>
      </c>
      <c r="H6" s="101">
        <f>SUM($F$2:F6)</f>
        <v>0.47699999999999998</v>
      </c>
      <c r="I6" s="102">
        <f t="shared" si="2"/>
        <v>3.1800000000000002E-2</v>
      </c>
      <c r="J6" s="100">
        <f t="shared" si="3"/>
        <v>31.446540880503143</v>
      </c>
      <c r="K6" s="111">
        <f t="shared" si="4"/>
        <v>-2.8230769230769233E-2</v>
      </c>
      <c r="L6" s="113">
        <f t="shared" si="5"/>
        <v>35.422343324250676</v>
      </c>
    </row>
    <row r="7" spans="1:12" ht="18.75" customHeight="1" x14ac:dyDescent="0.25">
      <c r="D7" s="99">
        <f t="shared" si="6"/>
        <v>6</v>
      </c>
      <c r="E7" s="99">
        <f t="shared" si="7"/>
        <v>18</v>
      </c>
      <c r="F7" s="101">
        <f t="shared" si="0"/>
        <v>0.11699999999999999</v>
      </c>
      <c r="G7" s="101">
        <f t="shared" si="1"/>
        <v>3.9E-2</v>
      </c>
      <c r="H7" s="101">
        <f>SUM($F$2:F7)</f>
        <v>0.59399999999999997</v>
      </c>
      <c r="I7" s="102">
        <f t="shared" si="2"/>
        <v>3.3000000000000002E-2</v>
      </c>
      <c r="J7" s="100">
        <f t="shared" si="3"/>
        <v>30.303030303030301</v>
      </c>
      <c r="K7" s="111">
        <f t="shared" si="4"/>
        <v>-2.8230769230769233E-2</v>
      </c>
      <c r="L7" s="113">
        <f t="shared" si="5"/>
        <v>35.422343324250676</v>
      </c>
    </row>
    <row r="8" spans="1:12" ht="18.75" customHeight="1" x14ac:dyDescent="0.25">
      <c r="A8" s="63" t="s">
        <v>137</v>
      </c>
      <c r="B8" s="108">
        <v>3.9</v>
      </c>
      <c r="C8" s="92"/>
      <c r="D8" s="99">
        <f t="shared" si="6"/>
        <v>7</v>
      </c>
      <c r="E8" s="99">
        <f t="shared" si="7"/>
        <v>21</v>
      </c>
      <c r="F8" s="101">
        <f t="shared" si="0"/>
        <v>0.11699999999999999</v>
      </c>
      <c r="G8" s="101">
        <f t="shared" si="1"/>
        <v>3.9E-2</v>
      </c>
      <c r="H8" s="101">
        <f>SUM($F$2:F8)</f>
        <v>0.71099999999999997</v>
      </c>
      <c r="I8" s="102">
        <f t="shared" si="2"/>
        <v>3.3857142857142856E-2</v>
      </c>
      <c r="J8" s="100">
        <f t="shared" si="3"/>
        <v>29.535864978902953</v>
      </c>
      <c r="K8" s="111">
        <f t="shared" si="4"/>
        <v>-2.8230769230769233E-2</v>
      </c>
      <c r="L8" s="113">
        <f t="shared" si="5"/>
        <v>35.422343324250676</v>
      </c>
    </row>
    <row r="9" spans="1:12" ht="18.75" customHeight="1" x14ac:dyDescent="0.25">
      <c r="A9" s="63" t="s">
        <v>138</v>
      </c>
      <c r="B9" s="109">
        <v>0.06</v>
      </c>
      <c r="D9" s="99">
        <f t="shared" si="6"/>
        <v>8</v>
      </c>
      <c r="E9" s="99">
        <f t="shared" si="7"/>
        <v>24</v>
      </c>
      <c r="F9" s="101">
        <f t="shared" si="0"/>
        <v>0.11699999999999999</v>
      </c>
      <c r="G9" s="101">
        <f t="shared" si="1"/>
        <v>3.9E-2</v>
      </c>
      <c r="H9" s="101">
        <f>SUM($F$2:F9)</f>
        <v>0.82799999999999996</v>
      </c>
      <c r="I9" s="102">
        <f t="shared" si="2"/>
        <v>3.4499999999999996E-2</v>
      </c>
      <c r="J9" s="100">
        <f t="shared" si="3"/>
        <v>28.985507246376816</v>
      </c>
      <c r="K9" s="111">
        <f t="shared" si="4"/>
        <v>-2.8230769230769233E-2</v>
      </c>
      <c r="L9" s="113">
        <f t="shared" si="5"/>
        <v>35.422343324250676</v>
      </c>
    </row>
    <row r="10" spans="1:12" ht="18.75" customHeight="1" x14ac:dyDescent="0.25">
      <c r="A10" s="63" t="s">
        <v>139</v>
      </c>
      <c r="B10" s="109">
        <v>0.3</v>
      </c>
      <c r="D10" s="99">
        <f t="shared" si="6"/>
        <v>9</v>
      </c>
      <c r="E10" s="99">
        <f t="shared" si="7"/>
        <v>27</v>
      </c>
      <c r="F10" s="101">
        <f t="shared" si="0"/>
        <v>0.14399999999999999</v>
      </c>
      <c r="G10" s="101">
        <f t="shared" si="1"/>
        <v>4.7999999999999994E-2</v>
      </c>
      <c r="H10" s="101">
        <f>SUM($F$2:F10)</f>
        <v>0.97199999999999998</v>
      </c>
      <c r="I10" s="102">
        <f t="shared" si="2"/>
        <v>3.5999999999999997E-2</v>
      </c>
      <c r="J10" s="100">
        <f t="shared" si="3"/>
        <v>27.777777777777779</v>
      </c>
      <c r="K10" s="111">
        <f t="shared" si="4"/>
        <v>-3.7230769230769227E-2</v>
      </c>
      <c r="L10" s="113">
        <f t="shared" si="5"/>
        <v>26.859504132231407</v>
      </c>
    </row>
    <row r="11" spans="1:12" ht="18.75" customHeight="1" x14ac:dyDescent="0.25">
      <c r="B11" s="103"/>
      <c r="D11" s="99">
        <f t="shared" si="6"/>
        <v>10</v>
      </c>
      <c r="E11" s="99">
        <f t="shared" si="7"/>
        <v>30</v>
      </c>
      <c r="F11" s="101">
        <f t="shared" si="0"/>
        <v>0.14399999999999999</v>
      </c>
      <c r="G11" s="101">
        <f t="shared" si="1"/>
        <v>4.7999999999999994E-2</v>
      </c>
      <c r="H11" s="101">
        <f>SUM($F$2:F11)</f>
        <v>1.1159999999999999</v>
      </c>
      <c r="I11" s="102">
        <f t="shared" si="2"/>
        <v>3.7199999999999997E-2</v>
      </c>
      <c r="J11" s="100">
        <f t="shared" si="3"/>
        <v>26.881720430107528</v>
      </c>
      <c r="K11" s="111">
        <f t="shared" si="4"/>
        <v>-3.7230769230769227E-2</v>
      </c>
      <c r="L11" s="113">
        <f t="shared" si="5"/>
        <v>26.859504132231407</v>
      </c>
    </row>
    <row r="12" spans="1:12" ht="18.75" customHeight="1" x14ac:dyDescent="0.25">
      <c r="A12" s="98" t="s">
        <v>140</v>
      </c>
      <c r="B12" s="92">
        <f>B9*(1-B10)</f>
        <v>4.1999999999999996E-2</v>
      </c>
      <c r="D12" s="99">
        <f t="shared" si="6"/>
        <v>11</v>
      </c>
      <c r="E12" s="99">
        <f t="shared" si="7"/>
        <v>33</v>
      </c>
      <c r="F12" s="101">
        <f t="shared" si="0"/>
        <v>0.14399999999999999</v>
      </c>
      <c r="G12" s="101">
        <f t="shared" si="1"/>
        <v>4.7999999999999994E-2</v>
      </c>
      <c r="H12" s="101">
        <f>SUM($F$2:F12)</f>
        <v>1.2599999999999998</v>
      </c>
      <c r="I12" s="102">
        <f t="shared" si="2"/>
        <v>3.8181818181818178E-2</v>
      </c>
      <c r="J12" s="100">
        <f t="shared" si="3"/>
        <v>26.190476190476193</v>
      </c>
      <c r="K12" s="111">
        <f t="shared" si="4"/>
        <v>-3.7230769230769227E-2</v>
      </c>
      <c r="L12" s="113">
        <f t="shared" si="5"/>
        <v>26.859504132231407</v>
      </c>
    </row>
    <row r="13" spans="1:12" ht="18.75" customHeight="1" x14ac:dyDescent="0.25">
      <c r="A13" s="98" t="s">
        <v>141</v>
      </c>
      <c r="B13" s="104">
        <f>B12/B8</f>
        <v>1.0769230769230769E-2</v>
      </c>
      <c r="D13" s="99">
        <f t="shared" si="6"/>
        <v>12</v>
      </c>
      <c r="E13" s="99">
        <f t="shared" si="7"/>
        <v>36</v>
      </c>
      <c r="F13" s="101">
        <f t="shared" si="0"/>
        <v>0.14399999999999999</v>
      </c>
      <c r="G13" s="101">
        <f t="shared" si="1"/>
        <v>4.7999999999999994E-2</v>
      </c>
      <c r="H13" s="101">
        <f>SUM($F$2:F13)</f>
        <v>1.4039999999999997</v>
      </c>
      <c r="I13" s="102">
        <f t="shared" si="2"/>
        <v>3.8999999999999993E-2</v>
      </c>
      <c r="J13" s="100">
        <f t="shared" si="3"/>
        <v>25.641025641025646</v>
      </c>
      <c r="K13" s="111">
        <f t="shared" si="4"/>
        <v>-3.7230769230769227E-2</v>
      </c>
      <c r="L13" s="113">
        <f t="shared" si="5"/>
        <v>26.859504132231407</v>
      </c>
    </row>
    <row r="14" spans="1:12" ht="18.75" customHeight="1" x14ac:dyDescent="0.25">
      <c r="D14" s="99">
        <f t="shared" si="6"/>
        <v>13</v>
      </c>
      <c r="E14" s="99">
        <f t="shared" si="7"/>
        <v>39</v>
      </c>
      <c r="F14" s="101">
        <f t="shared" si="0"/>
        <v>0.17099999999999999</v>
      </c>
      <c r="G14" s="101">
        <f t="shared" si="1"/>
        <v>5.6999999999999995E-2</v>
      </c>
      <c r="H14" s="101">
        <f>SUM($F$2:F14)</f>
        <v>1.5749999999999997</v>
      </c>
      <c r="I14" s="102">
        <f t="shared" si="2"/>
        <v>4.038461538461538E-2</v>
      </c>
      <c r="J14" s="100">
        <f t="shared" si="3"/>
        <v>24.761904761904766</v>
      </c>
      <c r="K14" s="111">
        <f t="shared" si="4"/>
        <v>-4.6230769230769228E-2</v>
      </c>
      <c r="L14" s="113">
        <f t="shared" si="5"/>
        <v>21.630615640599004</v>
      </c>
    </row>
    <row r="15" spans="1:12" ht="18.75" customHeight="1" x14ac:dyDescent="0.25">
      <c r="D15" s="99">
        <f t="shared" si="6"/>
        <v>14</v>
      </c>
      <c r="E15" s="99">
        <f t="shared" si="7"/>
        <v>42</v>
      </c>
      <c r="F15" s="101">
        <f t="shared" si="0"/>
        <v>0.17099999999999999</v>
      </c>
      <c r="G15" s="101">
        <f t="shared" si="1"/>
        <v>5.6999999999999995E-2</v>
      </c>
      <c r="H15" s="101">
        <f>SUM($F$2:F15)</f>
        <v>1.7459999999999998</v>
      </c>
      <c r="I15" s="102">
        <f t="shared" si="2"/>
        <v>4.1571428571428565E-2</v>
      </c>
      <c r="J15" s="100">
        <f t="shared" si="3"/>
        <v>24.054982817869419</v>
      </c>
      <c r="K15" s="111">
        <f t="shared" si="4"/>
        <v>-4.6230769230769228E-2</v>
      </c>
      <c r="L15" s="113">
        <f t="shared" si="5"/>
        <v>21.630615640599004</v>
      </c>
    </row>
    <row r="16" spans="1:12" ht="18.75" customHeight="1" x14ac:dyDescent="0.25">
      <c r="D16" s="99">
        <f t="shared" ref="D16:D42" si="8">D15+1</f>
        <v>15</v>
      </c>
      <c r="E16" s="99">
        <f t="shared" si="7"/>
        <v>45</v>
      </c>
      <c r="F16" s="101">
        <f t="shared" si="0"/>
        <v>0.17099999999999999</v>
      </c>
      <c r="G16" s="101">
        <f t="shared" si="1"/>
        <v>5.6999999999999995E-2</v>
      </c>
      <c r="H16" s="101">
        <f>SUM($F$2:F16)</f>
        <v>1.9169999999999998</v>
      </c>
      <c r="I16" s="102">
        <f t="shared" si="2"/>
        <v>4.2599999999999999E-2</v>
      </c>
      <c r="J16" s="100">
        <f t="shared" si="3"/>
        <v>23.474178403755868</v>
      </c>
      <c r="K16" s="111">
        <f t="shared" si="4"/>
        <v>-4.6230769230769228E-2</v>
      </c>
      <c r="L16" s="113">
        <f t="shared" si="5"/>
        <v>21.630615640599004</v>
      </c>
    </row>
    <row r="17" spans="4:12" ht="18.75" customHeight="1" x14ac:dyDescent="0.25">
      <c r="D17" s="99">
        <f t="shared" si="8"/>
        <v>16</v>
      </c>
      <c r="E17" s="99">
        <f t="shared" si="7"/>
        <v>48</v>
      </c>
      <c r="F17" s="101">
        <f t="shared" si="0"/>
        <v>0.17099999999999999</v>
      </c>
      <c r="G17" s="101">
        <f t="shared" si="1"/>
        <v>5.6999999999999995E-2</v>
      </c>
      <c r="H17" s="101">
        <f>SUM($F$2:F17)</f>
        <v>2.0879999999999996</v>
      </c>
      <c r="I17" s="102">
        <f t="shared" si="2"/>
        <v>4.349999999999999E-2</v>
      </c>
      <c r="J17" s="100">
        <f t="shared" si="3"/>
        <v>22.988505747126442</v>
      </c>
      <c r="K17" s="111">
        <f t="shared" si="4"/>
        <v>-4.6230769230769228E-2</v>
      </c>
      <c r="L17" s="113">
        <f t="shared" si="5"/>
        <v>21.630615640599004</v>
      </c>
    </row>
    <row r="18" spans="4:12" ht="18.75" customHeight="1" x14ac:dyDescent="0.25">
      <c r="D18" s="99">
        <f t="shared" si="8"/>
        <v>17</v>
      </c>
      <c r="E18" s="99">
        <f t="shared" si="7"/>
        <v>51</v>
      </c>
      <c r="F18" s="101">
        <f t="shared" si="0"/>
        <v>0.19800000000000001</v>
      </c>
      <c r="G18" s="101">
        <f t="shared" si="1"/>
        <v>6.6000000000000003E-2</v>
      </c>
      <c r="H18" s="101">
        <f>SUM($F$2:F18)</f>
        <v>2.2859999999999996</v>
      </c>
      <c r="I18" s="102">
        <f t="shared" si="2"/>
        <v>4.48235294117647E-2</v>
      </c>
      <c r="J18" s="100">
        <f t="shared" si="3"/>
        <v>22.309711286089243</v>
      </c>
      <c r="K18" s="111">
        <f t="shared" si="4"/>
        <v>-5.5230769230769236E-2</v>
      </c>
      <c r="L18" s="113">
        <f t="shared" si="5"/>
        <v>18.105849582172699</v>
      </c>
    </row>
    <row r="19" spans="4:12" ht="18.75" customHeight="1" x14ac:dyDescent="0.25">
      <c r="D19" s="99">
        <f t="shared" si="8"/>
        <v>18</v>
      </c>
      <c r="E19" s="99">
        <f t="shared" si="7"/>
        <v>54</v>
      </c>
      <c r="F19" s="101">
        <f t="shared" si="0"/>
        <v>0.19800000000000001</v>
      </c>
      <c r="G19" s="101">
        <f t="shared" si="1"/>
        <v>6.6000000000000003E-2</v>
      </c>
      <c r="H19" s="101">
        <f>SUM($F$2:F19)</f>
        <v>2.4839999999999995</v>
      </c>
      <c r="I19" s="102">
        <f t="shared" si="2"/>
        <v>4.5999999999999992E-2</v>
      </c>
      <c r="J19" s="100">
        <f t="shared" si="3"/>
        <v>21.739130434782613</v>
      </c>
      <c r="K19" s="111">
        <f t="shared" si="4"/>
        <v>-5.5230769230769236E-2</v>
      </c>
      <c r="L19" s="113">
        <f t="shared" si="5"/>
        <v>18.105849582172699</v>
      </c>
    </row>
    <row r="20" spans="4:12" ht="18.75" customHeight="1" x14ac:dyDescent="0.25">
      <c r="D20" s="99">
        <f t="shared" si="8"/>
        <v>19</v>
      </c>
      <c r="E20" s="99">
        <f t="shared" si="7"/>
        <v>57</v>
      </c>
      <c r="F20" s="101">
        <f t="shared" si="0"/>
        <v>0.19800000000000001</v>
      </c>
      <c r="G20" s="101">
        <f t="shared" si="1"/>
        <v>6.6000000000000003E-2</v>
      </c>
      <c r="H20" s="101">
        <f>SUM($F$2:F20)</f>
        <v>2.6819999999999995</v>
      </c>
      <c r="I20" s="102">
        <f t="shared" si="2"/>
        <v>4.705263157894736E-2</v>
      </c>
      <c r="J20" s="100">
        <f t="shared" si="3"/>
        <v>21.25279642058166</v>
      </c>
      <c r="K20" s="111">
        <f t="shared" si="4"/>
        <v>-5.5230769230769236E-2</v>
      </c>
      <c r="L20" s="113">
        <f t="shared" si="5"/>
        <v>18.105849582172699</v>
      </c>
    </row>
    <row r="21" spans="4:12" ht="18.75" customHeight="1" x14ac:dyDescent="0.25">
      <c r="D21" s="99">
        <f t="shared" si="8"/>
        <v>20</v>
      </c>
      <c r="E21" s="99">
        <f t="shared" ref="E21:E28" si="9">$B$1*D21</f>
        <v>60</v>
      </c>
      <c r="F21" s="101">
        <f t="shared" si="0"/>
        <v>0.19800000000000001</v>
      </c>
      <c r="G21" s="101">
        <f t="shared" si="1"/>
        <v>6.6000000000000003E-2</v>
      </c>
      <c r="H21" s="101">
        <f>SUM($F$2:F21)</f>
        <v>2.8799999999999994</v>
      </c>
      <c r="I21" s="102">
        <f t="shared" si="2"/>
        <v>4.7999999999999994E-2</v>
      </c>
      <c r="J21" s="100">
        <f t="shared" si="3"/>
        <v>20.833333333333336</v>
      </c>
      <c r="K21" s="111">
        <f t="shared" si="4"/>
        <v>-5.5230769230769236E-2</v>
      </c>
      <c r="L21" s="113">
        <f t="shared" si="5"/>
        <v>18.105849582172699</v>
      </c>
    </row>
    <row r="22" spans="4:12" ht="18.75" customHeight="1" x14ac:dyDescent="0.25">
      <c r="D22" s="99">
        <f t="shared" si="8"/>
        <v>21</v>
      </c>
      <c r="E22" s="99">
        <f t="shared" si="9"/>
        <v>63</v>
      </c>
      <c r="F22" s="101">
        <f t="shared" si="0"/>
        <v>0.22500000000000001</v>
      </c>
      <c r="G22" s="101">
        <f t="shared" si="1"/>
        <v>7.4999999999999997E-2</v>
      </c>
      <c r="H22" s="101">
        <f>SUM($F$2:F22)</f>
        <v>3.1049999999999995</v>
      </c>
      <c r="I22" s="102">
        <f t="shared" si="2"/>
        <v>4.928571428571428E-2</v>
      </c>
      <c r="J22" s="100">
        <f t="shared" si="3"/>
        <v>20.289855072463769</v>
      </c>
      <c r="K22" s="111">
        <f t="shared" si="4"/>
        <v>-6.423076923076923E-2</v>
      </c>
      <c r="L22" s="113">
        <f t="shared" si="5"/>
        <v>15.568862275449101</v>
      </c>
    </row>
    <row r="23" spans="4:12" ht="18.75" customHeight="1" x14ac:dyDescent="0.25">
      <c r="D23" s="99">
        <f t="shared" si="8"/>
        <v>22</v>
      </c>
      <c r="E23" s="99">
        <f t="shared" si="9"/>
        <v>66</v>
      </c>
      <c r="F23" s="101">
        <f t="shared" si="0"/>
        <v>0.22500000000000001</v>
      </c>
      <c r="G23" s="101">
        <f t="shared" si="1"/>
        <v>7.4999999999999997E-2</v>
      </c>
      <c r="H23" s="101">
        <f>SUM($F$2:F23)</f>
        <v>3.3299999999999996</v>
      </c>
      <c r="I23" s="102">
        <f t="shared" si="2"/>
        <v>5.0454545454545446E-2</v>
      </c>
      <c r="J23" s="100">
        <f t="shared" si="3"/>
        <v>19.819819819819823</v>
      </c>
      <c r="K23" s="111">
        <f t="shared" si="4"/>
        <v>-6.423076923076923E-2</v>
      </c>
      <c r="L23" s="113">
        <f t="shared" si="5"/>
        <v>15.568862275449101</v>
      </c>
    </row>
    <row r="24" spans="4:12" ht="18.75" customHeight="1" x14ac:dyDescent="0.25">
      <c r="D24" s="99">
        <f t="shared" si="8"/>
        <v>23</v>
      </c>
      <c r="E24" s="99">
        <f t="shared" si="9"/>
        <v>69</v>
      </c>
      <c r="F24" s="101">
        <f t="shared" si="0"/>
        <v>0.22500000000000001</v>
      </c>
      <c r="G24" s="101">
        <f t="shared" si="1"/>
        <v>7.4999999999999997E-2</v>
      </c>
      <c r="H24" s="101">
        <f>SUM($F$2:F24)</f>
        <v>3.5549999999999997</v>
      </c>
      <c r="I24" s="102">
        <f t="shared" si="2"/>
        <v>5.1521739130434778E-2</v>
      </c>
      <c r="J24" s="100">
        <f t="shared" si="3"/>
        <v>19.409282700421944</v>
      </c>
      <c r="K24" s="111">
        <f t="shared" si="4"/>
        <v>-6.423076923076923E-2</v>
      </c>
      <c r="L24" s="113">
        <f t="shared" si="5"/>
        <v>15.568862275449101</v>
      </c>
    </row>
    <row r="25" spans="4:12" ht="18.75" customHeight="1" x14ac:dyDescent="0.25">
      <c r="D25" s="99">
        <f t="shared" si="8"/>
        <v>24</v>
      </c>
      <c r="E25" s="99">
        <f t="shared" si="9"/>
        <v>72</v>
      </c>
      <c r="F25" s="101">
        <f t="shared" si="0"/>
        <v>0.22500000000000001</v>
      </c>
      <c r="G25" s="101">
        <f t="shared" si="1"/>
        <v>7.4999999999999997E-2</v>
      </c>
      <c r="H25" s="101">
        <f>SUM($F$2:F25)</f>
        <v>3.78</v>
      </c>
      <c r="I25" s="102">
        <f t="shared" si="2"/>
        <v>5.2499999999999998E-2</v>
      </c>
      <c r="J25" s="100">
        <f t="shared" si="3"/>
        <v>19.047619047619047</v>
      </c>
      <c r="K25" s="111">
        <f t="shared" si="4"/>
        <v>-6.423076923076923E-2</v>
      </c>
      <c r="L25" s="113">
        <f t="shared" si="5"/>
        <v>15.568862275449101</v>
      </c>
    </row>
    <row r="26" spans="4:12" ht="18.75" customHeight="1" x14ac:dyDescent="0.25">
      <c r="D26" s="99">
        <f t="shared" si="8"/>
        <v>25</v>
      </c>
      <c r="E26" s="99">
        <f t="shared" si="9"/>
        <v>75</v>
      </c>
      <c r="F26" s="101">
        <f t="shared" si="0"/>
        <v>0.252</v>
      </c>
      <c r="G26" s="101">
        <f t="shared" si="1"/>
        <v>8.4000000000000005E-2</v>
      </c>
      <c r="H26" s="101">
        <f>SUM($F$2:F26)</f>
        <v>4.032</v>
      </c>
      <c r="I26" s="102">
        <f t="shared" si="2"/>
        <v>5.3760000000000002E-2</v>
      </c>
      <c r="J26" s="100">
        <f t="shared" si="3"/>
        <v>18.601190476190474</v>
      </c>
      <c r="K26" s="111">
        <f t="shared" si="4"/>
        <v>-7.3230769230769238E-2</v>
      </c>
      <c r="L26" s="113">
        <f t="shared" si="5"/>
        <v>13.655462184873949</v>
      </c>
    </row>
    <row r="27" spans="4:12" ht="18.75" customHeight="1" x14ac:dyDescent="0.25">
      <c r="D27" s="99">
        <f t="shared" si="8"/>
        <v>26</v>
      </c>
      <c r="E27" s="99">
        <f t="shared" si="9"/>
        <v>78</v>
      </c>
      <c r="F27" s="101">
        <f t="shared" si="0"/>
        <v>0.252</v>
      </c>
      <c r="G27" s="101">
        <f t="shared" si="1"/>
        <v>8.4000000000000005E-2</v>
      </c>
      <c r="H27" s="101">
        <f>SUM($F$2:F27)</f>
        <v>4.2839999999999998</v>
      </c>
      <c r="I27" s="102">
        <f t="shared" si="2"/>
        <v>5.4923076923076922E-2</v>
      </c>
      <c r="J27" s="100">
        <f t="shared" si="3"/>
        <v>18.207282913165265</v>
      </c>
      <c r="K27" s="111">
        <f t="shared" si="4"/>
        <v>-7.3230769230769238E-2</v>
      </c>
      <c r="L27" s="113">
        <f t="shared" si="5"/>
        <v>13.655462184873949</v>
      </c>
    </row>
    <row r="28" spans="4:12" ht="18.75" customHeight="1" x14ac:dyDescent="0.25">
      <c r="D28" s="99">
        <f t="shared" si="8"/>
        <v>27</v>
      </c>
      <c r="E28" s="99">
        <f t="shared" si="9"/>
        <v>81</v>
      </c>
      <c r="F28" s="101">
        <f t="shared" si="0"/>
        <v>0.252</v>
      </c>
      <c r="G28" s="101">
        <f t="shared" si="1"/>
        <v>8.4000000000000005E-2</v>
      </c>
      <c r="H28" s="101">
        <f>SUM($F$2:F28)</f>
        <v>4.5359999999999996</v>
      </c>
      <c r="I28" s="102">
        <f t="shared" si="2"/>
        <v>5.5999999999999994E-2</v>
      </c>
      <c r="J28" s="100">
        <f t="shared" si="3"/>
        <v>17.857142857142858</v>
      </c>
      <c r="K28" s="111">
        <f t="shared" si="4"/>
        <v>-7.3230769230769238E-2</v>
      </c>
      <c r="L28" s="113">
        <f t="shared" si="5"/>
        <v>13.655462184873949</v>
      </c>
    </row>
    <row r="29" spans="4:12" ht="18.75" customHeight="1" x14ac:dyDescent="0.25">
      <c r="D29" s="99">
        <f t="shared" si="8"/>
        <v>28</v>
      </c>
      <c r="E29" s="99">
        <f t="shared" ref="E29:E35" si="10">$B$1*D29</f>
        <v>84</v>
      </c>
      <c r="F29" s="101">
        <f t="shared" si="0"/>
        <v>0.252</v>
      </c>
      <c r="G29" s="101">
        <f t="shared" si="1"/>
        <v>8.4000000000000005E-2</v>
      </c>
      <c r="H29" s="101">
        <f>SUM($F$2:F29)</f>
        <v>4.7879999999999994</v>
      </c>
      <c r="I29" s="102">
        <f t="shared" si="2"/>
        <v>5.6999999999999995E-2</v>
      </c>
      <c r="J29" s="100">
        <f t="shared" si="3"/>
        <v>17.543859649122808</v>
      </c>
      <c r="K29" s="111">
        <f t="shared" si="4"/>
        <v>-7.3230769230769238E-2</v>
      </c>
      <c r="L29" s="113">
        <f t="shared" si="5"/>
        <v>13.655462184873949</v>
      </c>
    </row>
    <row r="30" spans="4:12" ht="18.75" customHeight="1" x14ac:dyDescent="0.25">
      <c r="D30" s="99">
        <f t="shared" si="8"/>
        <v>29</v>
      </c>
      <c r="E30" s="99">
        <f t="shared" si="10"/>
        <v>87</v>
      </c>
      <c r="F30" s="101">
        <f t="shared" si="0"/>
        <v>0.27900000000000003</v>
      </c>
      <c r="G30" s="101">
        <f t="shared" si="1"/>
        <v>9.3000000000000013E-2</v>
      </c>
      <c r="H30" s="101">
        <f>SUM($F$2:F30)</f>
        <v>5.0669999999999993</v>
      </c>
      <c r="I30" s="102">
        <f t="shared" si="2"/>
        <v>5.8241379310344822E-2</v>
      </c>
      <c r="J30" s="100">
        <f t="shared" si="3"/>
        <v>17.169923031379515</v>
      </c>
      <c r="K30" s="111">
        <f t="shared" si="4"/>
        <v>-8.2230769230769246E-2</v>
      </c>
      <c r="L30" s="113">
        <f t="shared" si="5"/>
        <v>12.160898035547238</v>
      </c>
    </row>
    <row r="31" spans="4:12" ht="18.75" customHeight="1" x14ac:dyDescent="0.25">
      <c r="D31" s="99">
        <f t="shared" si="8"/>
        <v>30</v>
      </c>
      <c r="E31" s="99">
        <f t="shared" si="10"/>
        <v>90</v>
      </c>
      <c r="F31" s="101">
        <f t="shared" si="0"/>
        <v>0.27900000000000003</v>
      </c>
      <c r="G31" s="101">
        <f t="shared" si="1"/>
        <v>9.3000000000000013E-2</v>
      </c>
      <c r="H31" s="101">
        <f>SUM($F$2:F31)</f>
        <v>5.3459999999999992</v>
      </c>
      <c r="I31" s="102">
        <f t="shared" si="2"/>
        <v>5.9399999999999994E-2</v>
      </c>
      <c r="J31" s="100">
        <f t="shared" si="3"/>
        <v>16.835016835016837</v>
      </c>
      <c r="K31" s="111">
        <f t="shared" si="4"/>
        <v>-8.2230769230769246E-2</v>
      </c>
      <c r="L31" s="113">
        <f t="shared" si="5"/>
        <v>12.160898035547238</v>
      </c>
    </row>
    <row r="32" spans="4:12" ht="18.75" customHeight="1" x14ac:dyDescent="0.25">
      <c r="D32" s="99">
        <f t="shared" si="8"/>
        <v>31</v>
      </c>
      <c r="E32" s="99">
        <f t="shared" si="10"/>
        <v>93</v>
      </c>
      <c r="F32" s="101">
        <f t="shared" si="0"/>
        <v>0.27900000000000003</v>
      </c>
      <c r="G32" s="101">
        <f t="shared" si="1"/>
        <v>9.3000000000000013E-2</v>
      </c>
      <c r="H32" s="101">
        <f>SUM($F$2:F32)</f>
        <v>5.6249999999999991</v>
      </c>
      <c r="I32" s="102">
        <f t="shared" si="2"/>
        <v>6.0483870967741923E-2</v>
      </c>
      <c r="J32" s="100">
        <f t="shared" si="3"/>
        <v>16.533333333333335</v>
      </c>
      <c r="K32" s="111">
        <f t="shared" si="4"/>
        <v>-8.2230769230769246E-2</v>
      </c>
      <c r="L32" s="113">
        <f t="shared" si="5"/>
        <v>12.160898035547238</v>
      </c>
    </row>
    <row r="33" spans="4:12" ht="18.75" customHeight="1" x14ac:dyDescent="0.25">
      <c r="D33" s="99">
        <f t="shared" si="8"/>
        <v>32</v>
      </c>
      <c r="E33" s="99">
        <f t="shared" si="10"/>
        <v>96</v>
      </c>
      <c r="F33" s="101">
        <f t="shared" si="0"/>
        <v>0.27900000000000003</v>
      </c>
      <c r="G33" s="101">
        <f t="shared" si="1"/>
        <v>9.3000000000000013E-2</v>
      </c>
      <c r="H33" s="101">
        <f>SUM($F$2:F33)</f>
        <v>5.903999999999999</v>
      </c>
      <c r="I33" s="102">
        <f t="shared" si="2"/>
        <v>6.1499999999999992E-2</v>
      </c>
      <c r="J33" s="100">
        <f t="shared" si="3"/>
        <v>16.260162601626018</v>
      </c>
      <c r="K33" s="111">
        <f t="shared" si="4"/>
        <v>-8.2230769230769246E-2</v>
      </c>
      <c r="L33" s="113">
        <f t="shared" si="5"/>
        <v>12.160898035547238</v>
      </c>
    </row>
    <row r="34" spans="4:12" ht="18.75" customHeight="1" x14ac:dyDescent="0.25">
      <c r="D34" s="99">
        <f t="shared" si="8"/>
        <v>33</v>
      </c>
      <c r="E34" s="99">
        <f t="shared" si="10"/>
        <v>99</v>
      </c>
      <c r="F34" s="101">
        <f t="shared" si="0"/>
        <v>0.30599999999999999</v>
      </c>
      <c r="G34" s="101">
        <f t="shared" si="1"/>
        <v>0.10199999999999999</v>
      </c>
      <c r="H34" s="101">
        <f>SUM($F$2:F34)</f>
        <v>6.2099999999999991</v>
      </c>
      <c r="I34" s="102">
        <f t="shared" si="2"/>
        <v>6.2727272727272715E-2</v>
      </c>
      <c r="J34" s="100">
        <f t="shared" si="3"/>
        <v>15.94202898550725</v>
      </c>
      <c r="K34" s="111">
        <f t="shared" si="4"/>
        <v>-9.1230769230769226E-2</v>
      </c>
      <c r="L34" s="113">
        <f t="shared" si="5"/>
        <v>10.961214165261383</v>
      </c>
    </row>
    <row r="35" spans="4:12" ht="18.75" customHeight="1" x14ac:dyDescent="0.25">
      <c r="D35" s="99">
        <f t="shared" si="8"/>
        <v>34</v>
      </c>
      <c r="E35" s="99">
        <f t="shared" si="10"/>
        <v>102</v>
      </c>
      <c r="F35" s="101">
        <f t="shared" si="0"/>
        <v>0.30599999999999999</v>
      </c>
      <c r="G35" s="101">
        <f t="shared" si="1"/>
        <v>0.10199999999999999</v>
      </c>
      <c r="H35" s="101">
        <f>SUM($F$2:F35)</f>
        <v>6.5159999999999991</v>
      </c>
      <c r="I35" s="102">
        <f t="shared" si="2"/>
        <v>6.388235294117646E-2</v>
      </c>
      <c r="J35" s="100">
        <f t="shared" si="3"/>
        <v>15.653775322283613</v>
      </c>
      <c r="K35" s="111">
        <f t="shared" si="4"/>
        <v>-9.1230769230769226E-2</v>
      </c>
      <c r="L35" s="113">
        <f t="shared" si="5"/>
        <v>10.961214165261383</v>
      </c>
    </row>
    <row r="36" spans="4:12" ht="18.75" customHeight="1" x14ac:dyDescent="0.25">
      <c r="D36" s="99">
        <f t="shared" si="8"/>
        <v>35</v>
      </c>
      <c r="E36" s="99">
        <f t="shared" ref="E36:E42" si="11">$B$1*D36</f>
        <v>105</v>
      </c>
      <c r="F36" s="101">
        <f t="shared" si="0"/>
        <v>0.30599999999999999</v>
      </c>
      <c r="G36" s="101">
        <f t="shared" si="1"/>
        <v>0.10199999999999999</v>
      </c>
      <c r="H36" s="101">
        <f>SUM($F$2:F36)</f>
        <v>6.8219999999999992</v>
      </c>
      <c r="I36" s="102">
        <f t="shared" ref="I36:I42" si="12">H36/E36</f>
        <v>6.4971428571428569E-2</v>
      </c>
      <c r="J36" s="100">
        <f t="shared" si="3"/>
        <v>15.391380826737027</v>
      </c>
      <c r="K36" s="111">
        <f t="shared" ref="K36:K42" si="13">IF($B$13-G36&gt;0,"",$B$13-G36)</f>
        <v>-9.1230769230769226E-2</v>
      </c>
      <c r="L36" s="113">
        <f t="shared" si="5"/>
        <v>10.961214165261383</v>
      </c>
    </row>
    <row r="37" spans="4:12" ht="18.75" customHeight="1" x14ac:dyDescent="0.25">
      <c r="D37" s="99">
        <f t="shared" si="8"/>
        <v>36</v>
      </c>
      <c r="E37" s="99">
        <f t="shared" si="11"/>
        <v>108</v>
      </c>
      <c r="F37" s="101">
        <f t="shared" si="0"/>
        <v>0.30599999999999999</v>
      </c>
      <c r="G37" s="101">
        <f t="shared" si="1"/>
        <v>0.10199999999999999</v>
      </c>
      <c r="H37" s="101">
        <f>SUM($F$2:F37)</f>
        <v>7.1279999999999992</v>
      </c>
      <c r="I37" s="102">
        <f t="shared" si="12"/>
        <v>6.5999999999999989E-2</v>
      </c>
      <c r="J37" s="100">
        <f t="shared" si="3"/>
        <v>15.151515151515154</v>
      </c>
      <c r="K37" s="111">
        <f t="shared" si="13"/>
        <v>-9.1230769230769226E-2</v>
      </c>
      <c r="L37" s="113">
        <f t="shared" si="5"/>
        <v>10.961214165261383</v>
      </c>
    </row>
    <row r="38" spans="4:12" ht="18.75" customHeight="1" x14ac:dyDescent="0.25">
      <c r="D38" s="99">
        <f t="shared" si="8"/>
        <v>37</v>
      </c>
      <c r="E38" s="99">
        <f t="shared" si="11"/>
        <v>111</v>
      </c>
      <c r="F38" s="101">
        <f t="shared" si="0"/>
        <v>0.33299999999999996</v>
      </c>
      <c r="G38" s="101">
        <f t="shared" si="1"/>
        <v>0.11099999999999999</v>
      </c>
      <c r="H38" s="101">
        <f>SUM($F$2:F38)</f>
        <v>7.4609999999999994</v>
      </c>
      <c r="I38" s="102">
        <f t="shared" si="12"/>
        <v>6.7216216216216207E-2</v>
      </c>
      <c r="J38" s="100">
        <f t="shared" si="3"/>
        <v>14.877362283876158</v>
      </c>
      <c r="K38" s="111">
        <f t="shared" si="13"/>
        <v>-0.10023076923076922</v>
      </c>
      <c r="L38" s="113">
        <f t="shared" si="5"/>
        <v>9.9769762087490417</v>
      </c>
    </row>
    <row r="39" spans="4:12" ht="18.75" customHeight="1" x14ac:dyDescent="0.25">
      <c r="D39" s="99">
        <f t="shared" si="8"/>
        <v>38</v>
      </c>
      <c r="E39" s="99">
        <f t="shared" si="11"/>
        <v>114</v>
      </c>
      <c r="F39" s="101">
        <f t="shared" si="0"/>
        <v>0.33299999999999996</v>
      </c>
      <c r="G39" s="101">
        <f t="shared" si="1"/>
        <v>0.11099999999999999</v>
      </c>
      <c r="H39" s="101">
        <f>SUM($F$2:F39)</f>
        <v>7.7939999999999996</v>
      </c>
      <c r="I39" s="102">
        <f t="shared" si="12"/>
        <v>6.8368421052631578E-2</v>
      </c>
      <c r="J39" s="100">
        <f t="shared" si="3"/>
        <v>14.626635873749038</v>
      </c>
      <c r="K39" s="111">
        <f t="shared" si="13"/>
        <v>-0.10023076923076922</v>
      </c>
      <c r="L39" s="113">
        <f t="shared" si="5"/>
        <v>9.9769762087490417</v>
      </c>
    </row>
    <row r="40" spans="4:12" ht="18.75" customHeight="1" x14ac:dyDescent="0.25">
      <c r="D40" s="99">
        <f t="shared" si="8"/>
        <v>39</v>
      </c>
      <c r="E40" s="99">
        <f t="shared" si="11"/>
        <v>117</v>
      </c>
      <c r="F40" s="101">
        <f t="shared" si="0"/>
        <v>0.33299999999999996</v>
      </c>
      <c r="G40" s="101">
        <f t="shared" si="1"/>
        <v>0.11099999999999999</v>
      </c>
      <c r="H40" s="101">
        <f>SUM($F$2:F40)</f>
        <v>8.1269999999999989</v>
      </c>
      <c r="I40" s="102">
        <f t="shared" si="12"/>
        <v>6.946153846153845E-2</v>
      </c>
      <c r="J40" s="100">
        <f t="shared" si="3"/>
        <v>14.396456256921375</v>
      </c>
      <c r="K40" s="111">
        <f t="shared" si="13"/>
        <v>-0.10023076923076922</v>
      </c>
      <c r="L40" s="113">
        <f t="shared" si="5"/>
        <v>9.9769762087490417</v>
      </c>
    </row>
    <row r="41" spans="4:12" ht="18.75" customHeight="1" x14ac:dyDescent="0.25">
      <c r="D41" s="99">
        <f t="shared" si="8"/>
        <v>40</v>
      </c>
      <c r="E41" s="99">
        <f t="shared" si="11"/>
        <v>120</v>
      </c>
      <c r="F41" s="101">
        <f t="shared" si="0"/>
        <v>0.33299999999999996</v>
      </c>
      <c r="G41" s="101">
        <f t="shared" si="1"/>
        <v>0.11099999999999999</v>
      </c>
      <c r="H41" s="101">
        <f>SUM($F$2:F41)</f>
        <v>8.4599999999999991</v>
      </c>
      <c r="I41" s="102">
        <f t="shared" si="12"/>
        <v>7.0499999999999993E-2</v>
      </c>
      <c r="J41" s="100">
        <f t="shared" si="3"/>
        <v>14.184397163120568</v>
      </c>
      <c r="K41" s="111">
        <f t="shared" si="13"/>
        <v>-0.10023076923076922</v>
      </c>
      <c r="L41" s="113">
        <f t="shared" si="5"/>
        <v>9.9769762087490417</v>
      </c>
    </row>
    <row r="42" spans="4:12" ht="18.75" customHeight="1" x14ac:dyDescent="0.25">
      <c r="D42" s="99">
        <f t="shared" si="8"/>
        <v>41</v>
      </c>
      <c r="E42" s="99">
        <f t="shared" si="11"/>
        <v>123</v>
      </c>
      <c r="F42" s="101">
        <f t="shared" si="0"/>
        <v>0.36</v>
      </c>
      <c r="G42" s="101">
        <f t="shared" si="1"/>
        <v>0.12</v>
      </c>
      <c r="H42" s="101">
        <f>SUM($F$2:F42)</f>
        <v>8.8199999999999985</v>
      </c>
      <c r="I42" s="102">
        <f t="shared" si="12"/>
        <v>7.1707317073170726E-2</v>
      </c>
      <c r="J42" s="100">
        <f t="shared" si="3"/>
        <v>13.945578231292519</v>
      </c>
      <c r="K42" s="111">
        <f t="shared" si="13"/>
        <v>-0.10923076923076923</v>
      </c>
      <c r="L42" s="113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Rotation</vt:lpstr>
      <vt:lpstr>Affliction</vt:lpstr>
      <vt:lpstr>Equips</vt:lpstr>
      <vt:lpstr>Steps</vt:lpstr>
      <vt:lpstr>Damage</vt:lpstr>
      <vt:lpstr>Enmity</vt:lpstr>
      <vt:lpstr>Dragon</vt:lpstr>
      <vt:lpstr>CRT effect</vt:lpstr>
      <vt:lpstr>Dragon Aura</vt:lpstr>
      <vt:lpstr>Corrosion</vt:lpstr>
      <vt:lpstr>Dragon Aura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2022-03-21T08:12:41Z</dcterms:modified>
</cp:coreProperties>
</file>