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9DD65836-9BAF-49BC-B3E4-FC20D6C4C3AB}" xr6:coauthVersionLast="47" xr6:coauthVersionMax="47" xr10:uidLastSave="{00000000-0000-0000-0000-000000000000}"/>
  <bookViews>
    <workbookView xWindow="2610" yWindow="390" windowWidth="25110" windowHeight="14280" firstSheet="10" activeTab="16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全體傷害" sheetId="52" state="hidden" r:id="rId18"/>
    <sheet name="EXP" sheetId="25" state="hidden" r:id="rId19"/>
    <sheet name="D-EXP" sheetId="26" state="hidden" r:id="rId20"/>
    <sheet name="E速度" sheetId="27" state="hidden" r:id="rId21"/>
    <sheet name="Raid" sheetId="28" state="hidden" r:id="rId22"/>
    <sheet name="R速度" sheetId="29" state="hidden" r:id="rId23"/>
    <sheet name="R預估差" sheetId="30" state="hidden" r:id="rId24"/>
    <sheet name="活動建築" sheetId="37" state="hidden" r:id="rId25"/>
  </sheets>
  <definedNames>
    <definedName name="_xlnm._FilterDatabase" localSheetId="8" hidden="1">D厄魔!$A$1:$K$1</definedName>
    <definedName name="_xlnm._FilterDatabase" localSheetId="18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8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9" i="18" l="1"/>
  <c r="M79" i="18"/>
  <c r="I79" i="18"/>
  <c r="J79" i="18"/>
  <c r="K79" i="18" s="1"/>
  <c r="N433" i="40"/>
  <c r="O433" i="40" s="1"/>
  <c r="L433" i="40"/>
  <c r="M433" i="40" s="1"/>
  <c r="H433" i="40"/>
  <c r="G433" i="40"/>
  <c r="F433" i="40"/>
  <c r="I433" i="40" s="1"/>
  <c r="J433" i="40" s="1"/>
  <c r="K433" i="40" s="1"/>
  <c r="H714" i="16"/>
  <c r="G714" i="16"/>
  <c r="K714" i="16" s="1"/>
  <c r="F714" i="16"/>
  <c r="I714" i="16" s="1"/>
  <c r="J714" i="16" s="1"/>
  <c r="E714" i="16"/>
  <c r="H713" i="16"/>
  <c r="F713" i="16"/>
  <c r="I713" i="16" s="1"/>
  <c r="J713" i="16" s="1"/>
  <c r="F712" i="16"/>
  <c r="I712" i="16" s="1"/>
  <c r="J712" i="16" s="1"/>
  <c r="E713" i="16"/>
  <c r="L712" i="16"/>
  <c r="H712" i="16"/>
  <c r="E712" i="16"/>
  <c r="P78" i="18"/>
  <c r="M78" i="18"/>
  <c r="I78" i="18"/>
  <c r="J78" i="18"/>
  <c r="K78" i="18" s="1"/>
  <c r="C13" i="18"/>
  <c r="L432" i="40"/>
  <c r="M432" i="40" s="1"/>
  <c r="H432" i="40"/>
  <c r="G432" i="40"/>
  <c r="F432" i="40"/>
  <c r="N432" i="40" s="1"/>
  <c r="O432" i="40" s="1"/>
  <c r="H711" i="16"/>
  <c r="G711" i="16"/>
  <c r="K711" i="16" s="1"/>
  <c r="F711" i="16"/>
  <c r="I711" i="16" s="1"/>
  <c r="J711" i="16" s="1"/>
  <c r="E711" i="16"/>
  <c r="N431" i="40"/>
  <c r="O431" i="40" s="1"/>
  <c r="L431" i="40"/>
  <c r="M431" i="40" s="1"/>
  <c r="J431" i="40"/>
  <c r="K431" i="40" s="1"/>
  <c r="I431" i="40"/>
  <c r="H431" i="40"/>
  <c r="G431" i="40"/>
  <c r="F431" i="40"/>
  <c r="H710" i="16"/>
  <c r="G710" i="16"/>
  <c r="K710" i="16" s="1"/>
  <c r="F710" i="16"/>
  <c r="I710" i="16" s="1"/>
  <c r="J710" i="16" s="1"/>
  <c r="H709" i="16"/>
  <c r="G709" i="16"/>
  <c r="K709" i="16" s="1"/>
  <c r="F709" i="16"/>
  <c r="I709" i="16" s="1"/>
  <c r="J709" i="16" s="1"/>
  <c r="H708" i="16"/>
  <c r="G708" i="16"/>
  <c r="K708" i="16" s="1"/>
  <c r="F708" i="16"/>
  <c r="I708" i="16" s="1"/>
  <c r="J708" i="16" s="1"/>
  <c r="H707" i="16"/>
  <c r="G707" i="16"/>
  <c r="K707" i="16" s="1"/>
  <c r="F707" i="16"/>
  <c r="I707" i="16" s="1"/>
  <c r="J707" i="16" s="1"/>
  <c r="H706" i="16"/>
  <c r="G706" i="16"/>
  <c r="K706" i="16" s="1"/>
  <c r="F706" i="16"/>
  <c r="I706" i="16" s="1"/>
  <c r="J706" i="16" s="1"/>
  <c r="H705" i="16"/>
  <c r="G705" i="16"/>
  <c r="K705" i="16" s="1"/>
  <c r="F705" i="16"/>
  <c r="I705" i="16" s="1"/>
  <c r="J705" i="16" s="1"/>
  <c r="H704" i="16"/>
  <c r="G704" i="16"/>
  <c r="K704" i="16" s="1"/>
  <c r="F704" i="16"/>
  <c r="I704" i="16" s="1"/>
  <c r="J704" i="16" s="1"/>
  <c r="H703" i="16"/>
  <c r="G703" i="16"/>
  <c r="K703" i="16" s="1"/>
  <c r="F703" i="16"/>
  <c r="I703" i="16" s="1"/>
  <c r="J703" i="16" s="1"/>
  <c r="H702" i="16"/>
  <c r="G702" i="16"/>
  <c r="K702" i="16" s="1"/>
  <c r="F702" i="16"/>
  <c r="I702" i="16" s="1"/>
  <c r="J702" i="16" s="1"/>
  <c r="E710" i="16"/>
  <c r="E709" i="16"/>
  <c r="L430" i="40"/>
  <c r="M430" i="40" s="1"/>
  <c r="J430" i="40"/>
  <c r="K430" i="40" s="1"/>
  <c r="I430" i="40"/>
  <c r="H430" i="40"/>
  <c r="G430" i="40"/>
  <c r="F430" i="40"/>
  <c r="N430" i="40" s="1"/>
  <c r="O430" i="40" s="1"/>
  <c r="M77" i="18"/>
  <c r="P77" i="18"/>
  <c r="I77" i="18"/>
  <c r="J77" i="18"/>
  <c r="K77" i="18" s="1"/>
  <c r="L429" i="40"/>
  <c r="M429" i="40" s="1"/>
  <c r="J429" i="40"/>
  <c r="K429" i="40" s="1"/>
  <c r="I429" i="40"/>
  <c r="H429" i="40"/>
  <c r="G429" i="40"/>
  <c r="F429" i="40"/>
  <c r="N429" i="40" s="1"/>
  <c r="O429" i="40" s="1"/>
  <c r="E708" i="16"/>
  <c r="E707" i="16"/>
  <c r="L428" i="40"/>
  <c r="M428" i="40" s="1"/>
  <c r="H428" i="40"/>
  <c r="G428" i="40"/>
  <c r="F428" i="40"/>
  <c r="N428" i="40" s="1"/>
  <c r="O428" i="40" s="1"/>
  <c r="P76" i="18"/>
  <c r="M76" i="18"/>
  <c r="I76" i="18"/>
  <c r="J76" i="18"/>
  <c r="K76" i="18" s="1"/>
  <c r="C706" i="16"/>
  <c r="E706" i="16"/>
  <c r="L427" i="40"/>
  <c r="M427" i="40" s="1"/>
  <c r="J427" i="40"/>
  <c r="K427" i="40" s="1"/>
  <c r="I427" i="40"/>
  <c r="H427" i="40"/>
  <c r="G427" i="40"/>
  <c r="F427" i="40"/>
  <c r="N427" i="40" s="1"/>
  <c r="O427" i="40" s="1"/>
  <c r="P11" i="18"/>
  <c r="L426" i="40"/>
  <c r="M426" i="40" s="1"/>
  <c r="H426" i="40"/>
  <c r="G426" i="40"/>
  <c r="F426" i="40"/>
  <c r="N426" i="40" s="1"/>
  <c r="O426" i="40" s="1"/>
  <c r="D704" i="16"/>
  <c r="M704" i="16"/>
  <c r="L704" i="16"/>
  <c r="E704" i="16"/>
  <c r="E705" i="16"/>
  <c r="P75" i="18"/>
  <c r="M75" i="18"/>
  <c r="I75" i="18"/>
  <c r="J75" i="18"/>
  <c r="K75" i="18" s="1"/>
  <c r="L425" i="40"/>
  <c r="M425" i="40" s="1"/>
  <c r="H425" i="40"/>
  <c r="G425" i="40"/>
  <c r="F425" i="40"/>
  <c r="N425" i="40" s="1"/>
  <c r="O425" i="40" s="1"/>
  <c r="E703" i="16"/>
  <c r="P74" i="18"/>
  <c r="M74" i="18"/>
  <c r="I74" i="18"/>
  <c r="J74" i="18"/>
  <c r="K74" i="18" s="1"/>
  <c r="D701" i="16"/>
  <c r="N424" i="40"/>
  <c r="O424" i="40" s="1"/>
  <c r="L424" i="40"/>
  <c r="M424" i="40" s="1"/>
  <c r="H424" i="40"/>
  <c r="G424" i="40"/>
  <c r="F424" i="40"/>
  <c r="I424" i="40" s="1"/>
  <c r="J424" i="40" s="1"/>
  <c r="K424" i="40" s="1"/>
  <c r="E702" i="16"/>
  <c r="H701" i="16"/>
  <c r="F701" i="16"/>
  <c r="E701" i="16"/>
  <c r="H700" i="16"/>
  <c r="F700" i="16"/>
  <c r="E700" i="16"/>
  <c r="N423" i="40"/>
  <c r="O423" i="40" s="1"/>
  <c r="L423" i="40"/>
  <c r="M423" i="40" s="1"/>
  <c r="H423" i="40"/>
  <c r="G423" i="40"/>
  <c r="F423" i="40"/>
  <c r="I423" i="40" s="1"/>
  <c r="J423" i="40" s="1"/>
  <c r="K423" i="40" s="1"/>
  <c r="H699" i="16"/>
  <c r="F699" i="16"/>
  <c r="F698" i="16"/>
  <c r="E699" i="16"/>
  <c r="N422" i="40"/>
  <c r="O422" i="40" s="1"/>
  <c r="L422" i="40"/>
  <c r="M422" i="40" s="1"/>
  <c r="H422" i="40"/>
  <c r="G422" i="40"/>
  <c r="F422" i="40"/>
  <c r="I422" i="40" s="1"/>
  <c r="J422" i="40" s="1"/>
  <c r="K422" i="40" s="1"/>
  <c r="H698" i="16"/>
  <c r="I698" i="16"/>
  <c r="J698" i="16" s="1"/>
  <c r="E698" i="16"/>
  <c r="L421" i="40"/>
  <c r="M421" i="40" s="1"/>
  <c r="H421" i="40"/>
  <c r="G421" i="40"/>
  <c r="F421" i="40"/>
  <c r="N421" i="40" s="1"/>
  <c r="O421" i="40" s="1"/>
  <c r="H697" i="16"/>
  <c r="F697" i="16"/>
  <c r="I697" i="16" s="1"/>
  <c r="J697" i="16" s="1"/>
  <c r="E697" i="16"/>
  <c r="H696" i="16"/>
  <c r="F696" i="16"/>
  <c r="I696" i="16" s="1"/>
  <c r="J696" i="16" s="1"/>
  <c r="F695" i="16"/>
  <c r="E696" i="16"/>
  <c r="N420" i="40"/>
  <c r="O420" i="40" s="1"/>
  <c r="L420" i="40"/>
  <c r="M420" i="40" s="1"/>
  <c r="J420" i="40"/>
  <c r="K420" i="40" s="1"/>
  <c r="I420" i="40"/>
  <c r="H420" i="40"/>
  <c r="G420" i="40"/>
  <c r="F420" i="40"/>
  <c r="M73" i="18"/>
  <c r="P73" i="18"/>
  <c r="I73" i="18"/>
  <c r="J73" i="18"/>
  <c r="K73" i="18"/>
  <c r="N419" i="40"/>
  <c r="O419" i="40" s="1"/>
  <c r="L419" i="40"/>
  <c r="M419" i="40" s="1"/>
  <c r="J419" i="40"/>
  <c r="K419" i="40" s="1"/>
  <c r="I419" i="40"/>
  <c r="H419" i="40"/>
  <c r="G419" i="40"/>
  <c r="F419" i="40"/>
  <c r="H695" i="16"/>
  <c r="I695" i="16"/>
  <c r="J695" i="16" s="1"/>
  <c r="E695" i="16"/>
  <c r="L418" i="40"/>
  <c r="M418" i="40" s="1"/>
  <c r="J418" i="40"/>
  <c r="K418" i="40" s="1"/>
  <c r="I418" i="40"/>
  <c r="H418" i="40"/>
  <c r="G418" i="40"/>
  <c r="F418" i="40"/>
  <c r="N418" i="40" s="1"/>
  <c r="O418" i="40" s="1"/>
  <c r="H694" i="16"/>
  <c r="F694" i="16"/>
  <c r="E694" i="16"/>
  <c r="H693" i="16"/>
  <c r="F693" i="16"/>
  <c r="M417" i="40"/>
  <c r="L417" i="40"/>
  <c r="H417" i="40"/>
  <c r="G417" i="40"/>
  <c r="F417" i="40"/>
  <c r="N417" i="40" s="1"/>
  <c r="O417" i="40" s="1"/>
  <c r="E693" i="16"/>
  <c r="H692" i="16"/>
  <c r="F692" i="16"/>
  <c r="I692" i="16" s="1"/>
  <c r="J692" i="16" s="1"/>
  <c r="E692" i="16"/>
  <c r="N416" i="40"/>
  <c r="O416" i="40" s="1"/>
  <c r="L416" i="40"/>
  <c r="M416" i="40" s="1"/>
  <c r="J416" i="40"/>
  <c r="K416" i="40" s="1"/>
  <c r="I416" i="40"/>
  <c r="H416" i="40"/>
  <c r="G416" i="40"/>
  <c r="F416" i="40"/>
  <c r="H691" i="16"/>
  <c r="F691" i="16"/>
  <c r="I691" i="16" s="1"/>
  <c r="J691" i="16" s="1"/>
  <c r="E691" i="16"/>
  <c r="L415" i="40"/>
  <c r="M415" i="40" s="1"/>
  <c r="H415" i="40"/>
  <c r="G415" i="40"/>
  <c r="F415" i="40"/>
  <c r="N415" i="40" s="1"/>
  <c r="O415" i="40" s="1"/>
  <c r="N414" i="40"/>
  <c r="O414" i="40" s="1"/>
  <c r="L414" i="40"/>
  <c r="M414" i="40" s="1"/>
  <c r="J414" i="40"/>
  <c r="K414" i="40" s="1"/>
  <c r="I414" i="40"/>
  <c r="H414" i="40"/>
  <c r="G414" i="40"/>
  <c r="F414" i="40"/>
  <c r="H690" i="16"/>
  <c r="F690" i="16"/>
  <c r="E690" i="16"/>
  <c r="H689" i="16"/>
  <c r="F689" i="16"/>
  <c r="E689" i="16"/>
  <c r="O413" i="40"/>
  <c r="N413" i="40"/>
  <c r="L413" i="40"/>
  <c r="M413" i="40" s="1"/>
  <c r="J413" i="40"/>
  <c r="K413" i="40" s="1"/>
  <c r="I413" i="40"/>
  <c r="H413" i="40"/>
  <c r="G413" i="40"/>
  <c r="F413" i="40"/>
  <c r="L412" i="40"/>
  <c r="M412" i="40" s="1"/>
  <c r="H412" i="40"/>
  <c r="G412" i="40"/>
  <c r="F412" i="40"/>
  <c r="N412" i="40" s="1"/>
  <c r="O412" i="40" s="1"/>
  <c r="L411" i="40"/>
  <c r="M411" i="40" s="1"/>
  <c r="H411" i="40"/>
  <c r="G411" i="40"/>
  <c r="F411" i="40"/>
  <c r="N411" i="40" s="1"/>
  <c r="O411" i="40" s="1"/>
  <c r="I688" i="16"/>
  <c r="J688" i="16" s="1"/>
  <c r="H688" i="16"/>
  <c r="F688" i="16"/>
  <c r="E688" i="16"/>
  <c r="I72" i="18"/>
  <c r="J72" i="18"/>
  <c r="K72" i="18"/>
  <c r="P72" i="18"/>
  <c r="M72" i="18"/>
  <c r="H687" i="16"/>
  <c r="F687" i="16"/>
  <c r="I687" i="16" s="1"/>
  <c r="J687" i="16" s="1"/>
  <c r="E687" i="16"/>
  <c r="L410" i="40"/>
  <c r="M410" i="40" s="1"/>
  <c r="H410" i="40"/>
  <c r="G410" i="40"/>
  <c r="F410" i="40"/>
  <c r="N410" i="40" s="1"/>
  <c r="O410" i="40" s="1"/>
  <c r="L409" i="40"/>
  <c r="M409" i="40" s="1"/>
  <c r="H409" i="40"/>
  <c r="G409" i="40"/>
  <c r="F409" i="40"/>
  <c r="N409" i="40" s="1"/>
  <c r="O409" i="40" s="1"/>
  <c r="H686" i="16"/>
  <c r="F686" i="16"/>
  <c r="I686" i="16" s="1"/>
  <c r="J686" i="16" s="1"/>
  <c r="E686" i="16"/>
  <c r="L408" i="40"/>
  <c r="M408" i="40" s="1"/>
  <c r="H408" i="40"/>
  <c r="G408" i="40"/>
  <c r="F408" i="40"/>
  <c r="N408" i="40" s="1"/>
  <c r="O408" i="40" s="1"/>
  <c r="H685" i="16"/>
  <c r="F685" i="16"/>
  <c r="I685" i="16" s="1"/>
  <c r="J685" i="16" s="1"/>
  <c r="E685" i="16"/>
  <c r="H684" i="16"/>
  <c r="F684" i="16"/>
  <c r="I684" i="16" s="1"/>
  <c r="J684" i="16" s="1"/>
  <c r="E684" i="16"/>
  <c r="L407" i="40"/>
  <c r="M407" i="40" s="1"/>
  <c r="H407" i="40"/>
  <c r="G407" i="40"/>
  <c r="F407" i="40"/>
  <c r="N407" i="40" s="1"/>
  <c r="O407" i="40" s="1"/>
  <c r="L406" i="40"/>
  <c r="M406" i="40" s="1"/>
  <c r="H406" i="40"/>
  <c r="G406" i="40"/>
  <c r="F406" i="40"/>
  <c r="N406" i="40" s="1"/>
  <c r="O406" i="40" s="1"/>
  <c r="H683" i="16"/>
  <c r="F683" i="16"/>
  <c r="I683" i="16" s="1"/>
  <c r="J683" i="16" s="1"/>
  <c r="E683" i="16"/>
  <c r="O405" i="40"/>
  <c r="N405" i="40"/>
  <c r="L405" i="40"/>
  <c r="M405" i="40" s="1"/>
  <c r="J405" i="40"/>
  <c r="K405" i="40" s="1"/>
  <c r="I405" i="40"/>
  <c r="H405" i="40"/>
  <c r="G405" i="40"/>
  <c r="F405" i="40"/>
  <c r="H682" i="16"/>
  <c r="F682" i="16"/>
  <c r="I682" i="16" s="1"/>
  <c r="J682" i="16" s="1"/>
  <c r="E682" i="16"/>
  <c r="M71" i="18"/>
  <c r="P71" i="18"/>
  <c r="I71" i="18"/>
  <c r="J71" i="18"/>
  <c r="K71" i="18" s="1"/>
  <c r="L404" i="40"/>
  <c r="M404" i="40" s="1"/>
  <c r="H404" i="40"/>
  <c r="G404" i="40"/>
  <c r="F404" i="40"/>
  <c r="N404" i="40" s="1"/>
  <c r="O404" i="40" s="1"/>
  <c r="H681" i="16"/>
  <c r="F681" i="16"/>
  <c r="I681" i="16" s="1"/>
  <c r="J681" i="16" s="1"/>
  <c r="E681" i="16"/>
  <c r="H680" i="16"/>
  <c r="F680" i="16"/>
  <c r="I680" i="16" s="1"/>
  <c r="J680" i="16" s="1"/>
  <c r="E680" i="16"/>
  <c r="N403" i="40"/>
  <c r="O403" i="40" s="1"/>
  <c r="L403" i="40"/>
  <c r="M403" i="40" s="1"/>
  <c r="J403" i="40"/>
  <c r="K403" i="40" s="1"/>
  <c r="I403" i="40"/>
  <c r="H403" i="40"/>
  <c r="G403" i="40"/>
  <c r="F403" i="40"/>
  <c r="L402" i="40"/>
  <c r="M402" i="40" s="1"/>
  <c r="H402" i="40"/>
  <c r="G402" i="40"/>
  <c r="F402" i="40"/>
  <c r="N402" i="40" s="1"/>
  <c r="O402" i="40" s="1"/>
  <c r="H679" i="16"/>
  <c r="F679" i="16"/>
  <c r="I679" i="16" s="1"/>
  <c r="J679" i="16" s="1"/>
  <c r="E679" i="16"/>
  <c r="H678" i="16"/>
  <c r="F678" i="16"/>
  <c r="I678" i="16" s="1"/>
  <c r="J678" i="16" s="1"/>
  <c r="E678" i="16"/>
  <c r="L401" i="40"/>
  <c r="M401" i="40" s="1"/>
  <c r="H401" i="40"/>
  <c r="G401" i="40"/>
  <c r="F401" i="40"/>
  <c r="N401" i="40" s="1"/>
  <c r="O401" i="40" s="1"/>
  <c r="L400" i="40"/>
  <c r="M400" i="40" s="1"/>
  <c r="H400" i="40"/>
  <c r="G400" i="40"/>
  <c r="F400" i="40"/>
  <c r="N400" i="40" s="1"/>
  <c r="O400" i="40" s="1"/>
  <c r="H677" i="16"/>
  <c r="F677" i="16"/>
  <c r="I677" i="16" s="1"/>
  <c r="J677" i="16" s="1"/>
  <c r="E677" i="16"/>
  <c r="L399" i="40"/>
  <c r="M399" i="40" s="1"/>
  <c r="H399" i="40"/>
  <c r="G399" i="40"/>
  <c r="F399" i="40"/>
  <c r="N399" i="40" s="1"/>
  <c r="O399" i="40" s="1"/>
  <c r="H676" i="16"/>
  <c r="F676" i="16"/>
  <c r="I676" i="16" s="1"/>
  <c r="J676" i="16" s="1"/>
  <c r="E676" i="16"/>
  <c r="P70" i="18"/>
  <c r="M70" i="18"/>
  <c r="I70" i="18"/>
  <c r="J70" i="18"/>
  <c r="K70" i="18" s="1"/>
  <c r="L398" i="40"/>
  <c r="M398" i="40" s="1"/>
  <c r="H398" i="40"/>
  <c r="G398" i="40"/>
  <c r="F398" i="40"/>
  <c r="N398" i="40" s="1"/>
  <c r="O398" i="40" s="1"/>
  <c r="H675" i="16"/>
  <c r="F675" i="16"/>
  <c r="I675" i="16" s="1"/>
  <c r="J675" i="16" s="1"/>
  <c r="E675" i="16"/>
  <c r="H674" i="16"/>
  <c r="F674" i="16"/>
  <c r="E674" i="16"/>
  <c r="L397" i="40"/>
  <c r="M397" i="40" s="1"/>
  <c r="H397" i="40"/>
  <c r="G397" i="40"/>
  <c r="F397" i="40"/>
  <c r="N397" i="40" s="1"/>
  <c r="O397" i="40" s="1"/>
  <c r="L396" i="40"/>
  <c r="M396" i="40" s="1"/>
  <c r="H396" i="40"/>
  <c r="G396" i="40"/>
  <c r="F396" i="40"/>
  <c r="N396" i="40" s="1"/>
  <c r="O396" i="40" s="1"/>
  <c r="H673" i="16"/>
  <c r="F673" i="16"/>
  <c r="E673" i="16"/>
  <c r="N395" i="40"/>
  <c r="O395" i="40" s="1"/>
  <c r="L395" i="40"/>
  <c r="M395" i="40" s="1"/>
  <c r="J395" i="40"/>
  <c r="K395" i="40" s="1"/>
  <c r="I395" i="40"/>
  <c r="H395" i="40"/>
  <c r="G395" i="40"/>
  <c r="F395" i="40"/>
  <c r="H672" i="16"/>
  <c r="F672" i="16"/>
  <c r="I672" i="16" s="1"/>
  <c r="J672" i="16" s="1"/>
  <c r="E672" i="16"/>
  <c r="G713" i="16" l="1"/>
  <c r="K713" i="16" s="1"/>
  <c r="G712" i="16"/>
  <c r="K712" i="16" s="1"/>
  <c r="I432" i="40"/>
  <c r="J432" i="40" s="1"/>
  <c r="K432" i="40" s="1"/>
  <c r="I428" i="40"/>
  <c r="J428" i="40" s="1"/>
  <c r="K428" i="40" s="1"/>
  <c r="I426" i="40"/>
  <c r="J426" i="40" s="1"/>
  <c r="K426" i="40" s="1"/>
  <c r="I694" i="16"/>
  <c r="J694" i="16" s="1"/>
  <c r="I689" i="16"/>
  <c r="J689" i="16" s="1"/>
  <c r="I700" i="16"/>
  <c r="J700" i="16" s="1"/>
  <c r="I693" i="16"/>
  <c r="J693" i="16" s="1"/>
  <c r="I699" i="16"/>
  <c r="J699" i="16" s="1"/>
  <c r="I673" i="16"/>
  <c r="J673" i="16" s="1"/>
  <c r="I674" i="16"/>
  <c r="J674" i="16" s="1"/>
  <c r="I690" i="16"/>
  <c r="J690" i="16" s="1"/>
  <c r="I425" i="40"/>
  <c r="J425" i="40" s="1"/>
  <c r="K425" i="40" s="1"/>
  <c r="I701" i="16"/>
  <c r="J701" i="16" s="1"/>
  <c r="I421" i="40"/>
  <c r="J421" i="40" s="1"/>
  <c r="K421" i="40" s="1"/>
  <c r="I417" i="40"/>
  <c r="J417" i="40" s="1"/>
  <c r="K417" i="40" s="1"/>
  <c r="I415" i="40"/>
  <c r="J415" i="40" s="1"/>
  <c r="K415" i="40" s="1"/>
  <c r="I412" i="40"/>
  <c r="J412" i="40" s="1"/>
  <c r="K412" i="40" s="1"/>
  <c r="I411" i="40"/>
  <c r="J411" i="40" s="1"/>
  <c r="K411" i="40" s="1"/>
  <c r="I410" i="40"/>
  <c r="J410" i="40" s="1"/>
  <c r="K410" i="40" s="1"/>
  <c r="I409" i="40"/>
  <c r="J409" i="40" s="1"/>
  <c r="K409" i="40" s="1"/>
  <c r="I408" i="40"/>
  <c r="J408" i="40" s="1"/>
  <c r="K408" i="40" s="1"/>
  <c r="I407" i="40"/>
  <c r="J407" i="40" s="1"/>
  <c r="K407" i="40" s="1"/>
  <c r="I406" i="40"/>
  <c r="J406" i="40" s="1"/>
  <c r="K406" i="40" s="1"/>
  <c r="I404" i="40"/>
  <c r="J404" i="40" s="1"/>
  <c r="K404" i="40" s="1"/>
  <c r="I402" i="40"/>
  <c r="J402" i="40" s="1"/>
  <c r="K402" i="40" s="1"/>
  <c r="I401" i="40"/>
  <c r="J401" i="40" s="1"/>
  <c r="K401" i="40" s="1"/>
  <c r="I400" i="40"/>
  <c r="J400" i="40" s="1"/>
  <c r="K400" i="40" s="1"/>
  <c r="I399" i="40"/>
  <c r="J399" i="40" s="1"/>
  <c r="K399" i="40" s="1"/>
  <c r="I398" i="40"/>
  <c r="J398" i="40" s="1"/>
  <c r="K398" i="40" s="1"/>
  <c r="I397" i="40"/>
  <c r="J397" i="40" s="1"/>
  <c r="K397" i="40" s="1"/>
  <c r="I396" i="40"/>
  <c r="J396" i="40" s="1"/>
  <c r="K396" i="40" s="1"/>
  <c r="P69" i="18" l="1"/>
  <c r="M69" i="18"/>
  <c r="I69" i="18"/>
  <c r="J69" i="18"/>
  <c r="K69" i="18" s="1"/>
  <c r="L394" i="40"/>
  <c r="M394" i="40" s="1"/>
  <c r="H394" i="40"/>
  <c r="G394" i="40"/>
  <c r="F394" i="40"/>
  <c r="N394" i="40" s="1"/>
  <c r="O394" i="40" s="1"/>
  <c r="H671" i="16"/>
  <c r="F671" i="16"/>
  <c r="I671" i="16" s="1"/>
  <c r="J671" i="16" s="1"/>
  <c r="E671" i="16"/>
  <c r="H670" i="16"/>
  <c r="F670" i="16"/>
  <c r="I670" i="16" s="1"/>
  <c r="J670" i="16" s="1"/>
  <c r="E670" i="16"/>
  <c r="L393" i="40"/>
  <c r="M393" i="40" s="1"/>
  <c r="H393" i="40"/>
  <c r="G393" i="40"/>
  <c r="F393" i="40"/>
  <c r="I393" i="40" s="1"/>
  <c r="J393" i="40" s="1"/>
  <c r="K393" i="40" s="1"/>
  <c r="L392" i="40"/>
  <c r="M392" i="40" s="1"/>
  <c r="H392" i="40"/>
  <c r="G392" i="40"/>
  <c r="F392" i="40"/>
  <c r="N392" i="40" s="1"/>
  <c r="O392" i="40" s="1"/>
  <c r="H669" i="16"/>
  <c r="F669" i="16"/>
  <c r="I669" i="16" s="1"/>
  <c r="J669" i="16" s="1"/>
  <c r="E669" i="16"/>
  <c r="I394" i="40" l="1"/>
  <c r="J394" i="40" s="1"/>
  <c r="K394" i="40" s="1"/>
  <c r="N393" i="40"/>
  <c r="O393" i="40" s="1"/>
  <c r="I392" i="40"/>
  <c r="J392" i="40" s="1"/>
  <c r="K392" i="40" s="1"/>
  <c r="L391" i="40"/>
  <c r="M391" i="40" s="1"/>
  <c r="H391" i="40"/>
  <c r="G391" i="40"/>
  <c r="F391" i="40"/>
  <c r="N391" i="40" s="1"/>
  <c r="O391" i="40" s="1"/>
  <c r="H668" i="16"/>
  <c r="F668" i="16"/>
  <c r="I668" i="16" s="1"/>
  <c r="J668" i="16" s="1"/>
  <c r="E668" i="16"/>
  <c r="I391" i="40" l="1"/>
  <c r="J391" i="40" s="1"/>
  <c r="K391" i="40" s="1"/>
  <c r="H667" i="16"/>
  <c r="F667" i="16"/>
  <c r="I667" i="16" s="1"/>
  <c r="J667" i="16" s="1"/>
  <c r="E667" i="16"/>
  <c r="L390" i="40"/>
  <c r="M390" i="40" s="1"/>
  <c r="H390" i="40"/>
  <c r="G390" i="40"/>
  <c r="F390" i="40"/>
  <c r="N390" i="40" s="1"/>
  <c r="O390" i="40" s="1"/>
  <c r="N389" i="40"/>
  <c r="O389" i="40" s="1"/>
  <c r="L389" i="40"/>
  <c r="M389" i="40" s="1"/>
  <c r="H389" i="40"/>
  <c r="G389" i="40"/>
  <c r="F389" i="40"/>
  <c r="I389" i="40" s="1"/>
  <c r="J389" i="40" s="1"/>
  <c r="K389" i="40" s="1"/>
  <c r="H666" i="16"/>
  <c r="F666" i="16"/>
  <c r="I666" i="16" s="1"/>
  <c r="J666" i="16" s="1"/>
  <c r="E666" i="16"/>
  <c r="H665" i="16"/>
  <c r="F665" i="16"/>
  <c r="I665" i="16" s="1"/>
  <c r="J665" i="16" s="1"/>
  <c r="E665" i="16"/>
  <c r="L388" i="40"/>
  <c r="M388" i="40" s="1"/>
  <c r="H388" i="40"/>
  <c r="G388" i="40"/>
  <c r="F388" i="40"/>
  <c r="N388" i="40" s="1"/>
  <c r="O388" i="40" s="1"/>
  <c r="N387" i="40"/>
  <c r="O387" i="40" s="1"/>
  <c r="L387" i="40"/>
  <c r="M387" i="40" s="1"/>
  <c r="J387" i="40"/>
  <c r="K387" i="40" s="1"/>
  <c r="I387" i="40"/>
  <c r="H387" i="40"/>
  <c r="G387" i="40"/>
  <c r="F387" i="40"/>
  <c r="H664" i="16"/>
  <c r="F664" i="16"/>
  <c r="I664" i="16" s="1"/>
  <c r="J664" i="16" s="1"/>
  <c r="E664" i="16"/>
  <c r="H663" i="16"/>
  <c r="F663" i="16"/>
  <c r="I663" i="16" s="1"/>
  <c r="J663" i="16" s="1"/>
  <c r="E663" i="16"/>
  <c r="L386" i="40"/>
  <c r="M386" i="40" s="1"/>
  <c r="H386" i="40"/>
  <c r="G386" i="40"/>
  <c r="F386" i="40"/>
  <c r="N386" i="40" s="1"/>
  <c r="O386" i="40" s="1"/>
  <c r="L385" i="40"/>
  <c r="M385" i="40" s="1"/>
  <c r="H385" i="40"/>
  <c r="G385" i="40"/>
  <c r="F385" i="40"/>
  <c r="N385" i="40" s="1"/>
  <c r="O385" i="40" s="1"/>
  <c r="H662" i="16"/>
  <c r="F662" i="16"/>
  <c r="I662" i="16" s="1"/>
  <c r="J662" i="16" s="1"/>
  <c r="E662" i="16"/>
  <c r="L384" i="40"/>
  <c r="M384" i="40" s="1"/>
  <c r="H384" i="40"/>
  <c r="G384" i="40"/>
  <c r="F384" i="40"/>
  <c r="N384" i="40" s="1"/>
  <c r="O384" i="40" s="1"/>
  <c r="H661" i="16"/>
  <c r="F661" i="16"/>
  <c r="I661" i="16" s="1"/>
  <c r="J661" i="16" s="1"/>
  <c r="E661" i="16"/>
  <c r="L383" i="40"/>
  <c r="M383" i="40" s="1"/>
  <c r="H383" i="40"/>
  <c r="G383" i="40"/>
  <c r="F383" i="40"/>
  <c r="I383" i="40" s="1"/>
  <c r="J383" i="40" s="1"/>
  <c r="K383" i="40" s="1"/>
  <c r="H660" i="16"/>
  <c r="F660" i="16"/>
  <c r="I660" i="16" s="1"/>
  <c r="J660" i="16" s="1"/>
  <c r="E660" i="16"/>
  <c r="L382" i="40"/>
  <c r="M382" i="40" s="1"/>
  <c r="H382" i="40"/>
  <c r="G382" i="40"/>
  <c r="F382" i="40"/>
  <c r="N382" i="40" s="1"/>
  <c r="O382" i="40" s="1"/>
  <c r="L381" i="40"/>
  <c r="M381" i="40" s="1"/>
  <c r="H381" i="40"/>
  <c r="G381" i="40"/>
  <c r="F381" i="40"/>
  <c r="N381" i="40" s="1"/>
  <c r="O381" i="40" s="1"/>
  <c r="H659" i="16"/>
  <c r="F659" i="16"/>
  <c r="I659" i="16" s="1"/>
  <c r="J659" i="16" s="1"/>
  <c r="E659" i="16"/>
  <c r="P68" i="18"/>
  <c r="M68" i="18"/>
  <c r="I68" i="18"/>
  <c r="J68" i="18"/>
  <c r="K68" i="18"/>
  <c r="L380" i="40"/>
  <c r="M380" i="40" s="1"/>
  <c r="H380" i="40"/>
  <c r="G380" i="40"/>
  <c r="F380" i="40"/>
  <c r="N380" i="40" s="1"/>
  <c r="O380" i="40" s="1"/>
  <c r="H658" i="16"/>
  <c r="F658" i="16"/>
  <c r="I658" i="16" s="1"/>
  <c r="J658" i="16" s="1"/>
  <c r="E658" i="16"/>
  <c r="L379" i="40"/>
  <c r="M379" i="40" s="1"/>
  <c r="H379" i="40"/>
  <c r="G379" i="40"/>
  <c r="F379" i="40"/>
  <c r="N379" i="40" s="1"/>
  <c r="O379" i="40" s="1"/>
  <c r="N378" i="40"/>
  <c r="O378" i="40" s="1"/>
  <c r="L378" i="40"/>
  <c r="M378" i="40" s="1"/>
  <c r="H378" i="40"/>
  <c r="G378" i="40"/>
  <c r="F378" i="40"/>
  <c r="I378" i="40" s="1"/>
  <c r="H657" i="16"/>
  <c r="F657" i="16"/>
  <c r="I657" i="16" s="1"/>
  <c r="J657" i="16" s="1"/>
  <c r="E657" i="16"/>
  <c r="I390" i="40" l="1"/>
  <c r="J390" i="40" s="1"/>
  <c r="K390" i="40" s="1"/>
  <c r="I388" i="40"/>
  <c r="J388" i="40" s="1"/>
  <c r="K388" i="40" s="1"/>
  <c r="I386" i="40"/>
  <c r="J386" i="40" s="1"/>
  <c r="K386" i="40" s="1"/>
  <c r="I385" i="40"/>
  <c r="J385" i="40" s="1"/>
  <c r="K385" i="40" s="1"/>
  <c r="I384" i="40"/>
  <c r="J384" i="40" s="1"/>
  <c r="K384" i="40" s="1"/>
  <c r="N383" i="40"/>
  <c r="O383" i="40" s="1"/>
  <c r="I382" i="40"/>
  <c r="J382" i="40" s="1"/>
  <c r="K382" i="40" s="1"/>
  <c r="I381" i="40"/>
  <c r="J381" i="40" s="1"/>
  <c r="K381" i="40" s="1"/>
  <c r="I380" i="40"/>
  <c r="J380" i="40" s="1"/>
  <c r="K380" i="40" s="1"/>
  <c r="J378" i="40"/>
  <c r="K378" i="40" s="1"/>
  <c r="J379" i="40"/>
  <c r="K379" i="40" s="1"/>
  <c r="I379" i="40"/>
  <c r="H656" i="16"/>
  <c r="F656" i="16"/>
  <c r="I656" i="16" s="1"/>
  <c r="J656" i="16" s="1"/>
  <c r="E656" i="16"/>
  <c r="H655" i="16"/>
  <c r="F655" i="16"/>
  <c r="I655" i="16" s="1"/>
  <c r="J655" i="16" s="1"/>
  <c r="E655" i="16"/>
  <c r="L377" i="40"/>
  <c r="M377" i="40" s="1"/>
  <c r="H377" i="40"/>
  <c r="G377" i="40"/>
  <c r="F377" i="40"/>
  <c r="N377" i="40" s="1"/>
  <c r="O377" i="40" s="1"/>
  <c r="L376" i="40"/>
  <c r="M376" i="40" s="1"/>
  <c r="H376" i="40"/>
  <c r="G376" i="40"/>
  <c r="F376" i="40"/>
  <c r="N376" i="40" s="1"/>
  <c r="O376" i="40" s="1"/>
  <c r="H654" i="16"/>
  <c r="F654" i="16"/>
  <c r="I654" i="16" s="1"/>
  <c r="J654" i="16" s="1"/>
  <c r="E654" i="16"/>
  <c r="H653" i="16"/>
  <c r="F653" i="16"/>
  <c r="I653" i="16" s="1"/>
  <c r="J653" i="16" s="1"/>
  <c r="E653" i="16"/>
  <c r="N375" i="40"/>
  <c r="O375" i="40" s="1"/>
  <c r="L375" i="40"/>
  <c r="M375" i="40" s="1"/>
  <c r="J375" i="40"/>
  <c r="K375" i="40" s="1"/>
  <c r="I375" i="40"/>
  <c r="H375" i="40"/>
  <c r="G375" i="40"/>
  <c r="F375" i="40"/>
  <c r="N374" i="40"/>
  <c r="O374" i="40" s="1"/>
  <c r="L374" i="40"/>
  <c r="M374" i="40" s="1"/>
  <c r="J374" i="40"/>
  <c r="K374" i="40" s="1"/>
  <c r="I374" i="40"/>
  <c r="H374" i="40"/>
  <c r="G374" i="40"/>
  <c r="F374" i="40"/>
  <c r="H652" i="16"/>
  <c r="F652" i="16"/>
  <c r="I652" i="16" s="1"/>
  <c r="J652" i="16" s="1"/>
  <c r="E652" i="16"/>
  <c r="L373" i="40"/>
  <c r="M373" i="40" s="1"/>
  <c r="H373" i="40"/>
  <c r="G373" i="40"/>
  <c r="F373" i="40"/>
  <c r="N373" i="40" s="1"/>
  <c r="O373" i="40" s="1"/>
  <c r="H651" i="16"/>
  <c r="F651" i="16"/>
  <c r="E651" i="16"/>
  <c r="L372" i="40"/>
  <c r="M372" i="40" s="1"/>
  <c r="H372" i="40"/>
  <c r="G372" i="40"/>
  <c r="F372" i="40"/>
  <c r="N372" i="40" s="1"/>
  <c r="O372" i="40" s="1"/>
  <c r="H650" i="16"/>
  <c r="F650" i="16"/>
  <c r="I650" i="16" s="1"/>
  <c r="J650" i="16" s="1"/>
  <c r="E650" i="16"/>
  <c r="H649" i="16"/>
  <c r="I649" i="16" s="1"/>
  <c r="J649" i="16" s="1"/>
  <c r="F649" i="16"/>
  <c r="E649" i="16"/>
  <c r="L371" i="40"/>
  <c r="M371" i="40" s="1"/>
  <c r="H371" i="40"/>
  <c r="G371" i="40"/>
  <c r="F371" i="40"/>
  <c r="N371" i="40" s="1"/>
  <c r="O371" i="40" s="1"/>
  <c r="L370" i="40"/>
  <c r="M370" i="40" s="1"/>
  <c r="H370" i="40"/>
  <c r="G370" i="40"/>
  <c r="F370" i="40"/>
  <c r="N370" i="40" s="1"/>
  <c r="O370" i="40" s="1"/>
  <c r="P67" i="18"/>
  <c r="M67" i="18"/>
  <c r="I67" i="18"/>
  <c r="J67" i="18"/>
  <c r="K67" i="18" s="1"/>
  <c r="N369" i="40"/>
  <c r="O369" i="40" s="1"/>
  <c r="L369" i="40"/>
  <c r="M369" i="40" s="1"/>
  <c r="J369" i="40"/>
  <c r="K369" i="40" s="1"/>
  <c r="I369" i="40"/>
  <c r="H369" i="40"/>
  <c r="G369" i="40"/>
  <c r="F369" i="40"/>
  <c r="H648" i="16"/>
  <c r="F648" i="16"/>
  <c r="I648" i="16" s="1"/>
  <c r="J648" i="16" s="1"/>
  <c r="E648" i="16"/>
  <c r="N368" i="40"/>
  <c r="O368" i="40" s="1"/>
  <c r="L368" i="40"/>
  <c r="M368" i="40" s="1"/>
  <c r="J368" i="40"/>
  <c r="K368" i="40" s="1"/>
  <c r="I368" i="40"/>
  <c r="H368" i="40"/>
  <c r="G368" i="40"/>
  <c r="F368" i="40"/>
  <c r="H647" i="16"/>
  <c r="F647" i="16"/>
  <c r="I647" i="16" s="1"/>
  <c r="J647" i="16" s="1"/>
  <c r="E647" i="16"/>
  <c r="I651" i="16" l="1"/>
  <c r="J651" i="16" s="1"/>
  <c r="I377" i="40"/>
  <c r="J377" i="40" s="1"/>
  <c r="K377" i="40" s="1"/>
  <c r="I376" i="40"/>
  <c r="J376" i="40" s="1"/>
  <c r="K376" i="40" s="1"/>
  <c r="I373" i="40"/>
  <c r="J373" i="40" s="1"/>
  <c r="K373" i="40" s="1"/>
  <c r="I372" i="40"/>
  <c r="J372" i="40" s="1"/>
  <c r="K372" i="40" s="1"/>
  <c r="I371" i="40"/>
  <c r="J371" i="40" s="1"/>
  <c r="K371" i="40" s="1"/>
  <c r="I370" i="40"/>
  <c r="J370" i="40" s="1"/>
  <c r="K370" i="40" s="1"/>
  <c r="L367" i="40"/>
  <c r="M367" i="40" s="1"/>
  <c r="H367" i="40"/>
  <c r="G367" i="40"/>
  <c r="F367" i="40"/>
  <c r="N367" i="40" s="1"/>
  <c r="O367" i="40" s="1"/>
  <c r="I646" i="16"/>
  <c r="J646" i="16" s="1"/>
  <c r="H646" i="16"/>
  <c r="F646" i="16"/>
  <c r="E646" i="16"/>
  <c r="H645" i="16"/>
  <c r="F645" i="16"/>
  <c r="I645" i="16" s="1"/>
  <c r="J645" i="16" s="1"/>
  <c r="E645" i="16"/>
  <c r="H644" i="16"/>
  <c r="F644" i="16"/>
  <c r="I644" i="16" s="1"/>
  <c r="J644" i="16" s="1"/>
  <c r="F643" i="16"/>
  <c r="E644" i="16"/>
  <c r="N366" i="40"/>
  <c r="O366" i="40" s="1"/>
  <c r="L366" i="40"/>
  <c r="M366" i="40" s="1"/>
  <c r="J366" i="40"/>
  <c r="K366" i="40" s="1"/>
  <c r="I366" i="40"/>
  <c r="H366" i="40"/>
  <c r="G366" i="40"/>
  <c r="F366" i="40"/>
  <c r="N365" i="40"/>
  <c r="O365" i="40" s="1"/>
  <c r="L365" i="40"/>
  <c r="M365" i="40" s="1"/>
  <c r="I365" i="40"/>
  <c r="J365" i="40" s="1"/>
  <c r="K365" i="40" s="1"/>
  <c r="H365" i="40"/>
  <c r="G365" i="40"/>
  <c r="F365" i="40"/>
  <c r="H643" i="16"/>
  <c r="I643" i="16"/>
  <c r="J643" i="16" s="1"/>
  <c r="E643" i="16"/>
  <c r="H642" i="16"/>
  <c r="F642" i="16"/>
  <c r="I642" i="16" s="1"/>
  <c r="J642" i="16" s="1"/>
  <c r="E642" i="16"/>
  <c r="L364" i="40"/>
  <c r="M364" i="40" s="1"/>
  <c r="H364" i="40"/>
  <c r="G364" i="40"/>
  <c r="F364" i="40"/>
  <c r="N364" i="40" s="1"/>
  <c r="O364" i="40" s="1"/>
  <c r="H641" i="16"/>
  <c r="F641" i="16"/>
  <c r="I641" i="16" s="1"/>
  <c r="J641" i="16" s="1"/>
  <c r="E641" i="16"/>
  <c r="N363" i="40"/>
  <c r="O363" i="40" s="1"/>
  <c r="L363" i="40"/>
  <c r="M363" i="40" s="1"/>
  <c r="J363" i="40"/>
  <c r="K363" i="40" s="1"/>
  <c r="I363" i="40"/>
  <c r="H363" i="40"/>
  <c r="G363" i="40"/>
  <c r="F363" i="40"/>
  <c r="L362" i="40"/>
  <c r="M362" i="40" s="1"/>
  <c r="H362" i="40"/>
  <c r="G362" i="40"/>
  <c r="F362" i="40"/>
  <c r="N362" i="40" s="1"/>
  <c r="O362" i="40" s="1"/>
  <c r="H640" i="16"/>
  <c r="F640" i="16"/>
  <c r="I640" i="16" s="1"/>
  <c r="J640" i="16" s="1"/>
  <c r="E640" i="16"/>
  <c r="H639" i="16"/>
  <c r="F639" i="16"/>
  <c r="E639" i="16"/>
  <c r="N361" i="40"/>
  <c r="O361" i="40" s="1"/>
  <c r="L361" i="40"/>
  <c r="M361" i="40" s="1"/>
  <c r="J361" i="40"/>
  <c r="K361" i="40" s="1"/>
  <c r="I361" i="40"/>
  <c r="H361" i="40"/>
  <c r="G361" i="40"/>
  <c r="F361" i="40"/>
  <c r="N360" i="40"/>
  <c r="O360" i="40" s="1"/>
  <c r="L360" i="40"/>
  <c r="M360" i="40" s="1"/>
  <c r="J360" i="40"/>
  <c r="K360" i="40" s="1"/>
  <c r="I360" i="40"/>
  <c r="H360" i="40"/>
  <c r="G360" i="40"/>
  <c r="F360" i="40"/>
  <c r="H638" i="16"/>
  <c r="F638" i="16"/>
  <c r="I638" i="16" s="1"/>
  <c r="J638" i="16" s="1"/>
  <c r="E638" i="16"/>
  <c r="L359" i="40"/>
  <c r="M359" i="40" s="1"/>
  <c r="H359" i="40"/>
  <c r="G359" i="40"/>
  <c r="F359" i="40"/>
  <c r="N359" i="40" s="1"/>
  <c r="O359" i="40" s="1"/>
  <c r="H637" i="16"/>
  <c r="F637" i="16"/>
  <c r="I637" i="16" s="1"/>
  <c r="J637" i="16" s="1"/>
  <c r="E637" i="16"/>
  <c r="H636" i="16"/>
  <c r="F636" i="16"/>
  <c r="E636" i="16"/>
  <c r="H635" i="16"/>
  <c r="F635" i="16"/>
  <c r="E635" i="16"/>
  <c r="L358" i="40"/>
  <c r="M358" i="40" s="1"/>
  <c r="H358" i="40"/>
  <c r="G358" i="40"/>
  <c r="F358" i="40"/>
  <c r="N358" i="40" s="1"/>
  <c r="O358" i="40" s="1"/>
  <c r="H634" i="16"/>
  <c r="F634" i="16"/>
  <c r="I634" i="16" s="1"/>
  <c r="J634" i="16" s="1"/>
  <c r="E634" i="16"/>
  <c r="L357" i="40"/>
  <c r="M357" i="40" s="1"/>
  <c r="H357" i="40"/>
  <c r="G357" i="40"/>
  <c r="F357" i="40"/>
  <c r="I357" i="40" s="1"/>
  <c r="J357" i="40" s="1"/>
  <c r="K357" i="40" s="1"/>
  <c r="L356" i="40"/>
  <c r="M356" i="40" s="1"/>
  <c r="H356" i="40"/>
  <c r="G356" i="40"/>
  <c r="F356" i="40"/>
  <c r="N356" i="40" s="1"/>
  <c r="O356" i="40" s="1"/>
  <c r="H633" i="16"/>
  <c r="F633" i="16"/>
  <c r="E633" i="16"/>
  <c r="L355" i="40"/>
  <c r="M355" i="40" s="1"/>
  <c r="H355" i="40"/>
  <c r="G355" i="40"/>
  <c r="F355" i="40"/>
  <c r="N355" i="40" s="1"/>
  <c r="O355" i="40" s="1"/>
  <c r="F632" i="16"/>
  <c r="H632" i="16"/>
  <c r="I632" i="16" s="1"/>
  <c r="J632" i="16" s="1"/>
  <c r="E632" i="16"/>
  <c r="N354" i="40"/>
  <c r="O354" i="40" s="1"/>
  <c r="L354" i="40"/>
  <c r="M354" i="40" s="1"/>
  <c r="J354" i="40"/>
  <c r="K354" i="40" s="1"/>
  <c r="I354" i="40"/>
  <c r="H354" i="40"/>
  <c r="G354" i="40"/>
  <c r="F354" i="40"/>
  <c r="H631" i="16"/>
  <c r="F631" i="16"/>
  <c r="E631" i="16"/>
  <c r="P66" i="18"/>
  <c r="M66" i="18"/>
  <c r="I66" i="18"/>
  <c r="J66" i="18"/>
  <c r="K66" i="18" s="1"/>
  <c r="H630" i="16"/>
  <c r="F630" i="16"/>
  <c r="E630" i="16"/>
  <c r="L353" i="40"/>
  <c r="M353" i="40" s="1"/>
  <c r="H353" i="40"/>
  <c r="G353" i="40"/>
  <c r="F353" i="40"/>
  <c r="N353" i="40" s="1"/>
  <c r="O353" i="40" s="1"/>
  <c r="I633" i="16" l="1"/>
  <c r="J633" i="16" s="1"/>
  <c r="I631" i="16"/>
  <c r="J631" i="16" s="1"/>
  <c r="I636" i="16"/>
  <c r="J636" i="16" s="1"/>
  <c r="I630" i="16"/>
  <c r="J630" i="16" s="1"/>
  <c r="I639" i="16"/>
  <c r="J639" i="16" s="1"/>
  <c r="I635" i="16"/>
  <c r="J635" i="16" s="1"/>
  <c r="I367" i="40"/>
  <c r="J367" i="40" s="1"/>
  <c r="K367" i="40" s="1"/>
  <c r="I364" i="40"/>
  <c r="J364" i="40" s="1"/>
  <c r="K364" i="40" s="1"/>
  <c r="I362" i="40"/>
  <c r="J362" i="40" s="1"/>
  <c r="K362" i="40" s="1"/>
  <c r="I359" i="40"/>
  <c r="J359" i="40" s="1"/>
  <c r="K359" i="40" s="1"/>
  <c r="I358" i="40"/>
  <c r="J358" i="40" s="1"/>
  <c r="K358" i="40" s="1"/>
  <c r="N357" i="40"/>
  <c r="O357" i="40" s="1"/>
  <c r="I356" i="40"/>
  <c r="J356" i="40" s="1"/>
  <c r="K356" i="40" s="1"/>
  <c r="I355" i="40"/>
  <c r="J355" i="40" s="1"/>
  <c r="K355" i="40" s="1"/>
  <c r="I353" i="40"/>
  <c r="J353" i="40" s="1"/>
  <c r="K353" i="40" s="1"/>
  <c r="C45" i="52" l="1"/>
  <c r="D45" i="52" s="1"/>
  <c r="E45" i="52"/>
  <c r="G45" i="52" s="1"/>
  <c r="H45" i="52" s="1"/>
  <c r="I45" i="52" s="1"/>
  <c r="C44" i="52"/>
  <c r="D44" i="52" s="1"/>
  <c r="E44" i="52"/>
  <c r="C43" i="52"/>
  <c r="D43" i="52" s="1"/>
  <c r="E43" i="52"/>
  <c r="F45" i="52" l="1"/>
  <c r="F44" i="52"/>
  <c r="G44" i="52"/>
  <c r="H44" i="52" s="1"/>
  <c r="I44" i="52" s="1"/>
  <c r="G43" i="52"/>
  <c r="H43" i="52" s="1"/>
  <c r="I43" i="52" s="1"/>
  <c r="C42" i="52"/>
  <c r="D42" i="52" s="1"/>
  <c r="E42" i="52"/>
  <c r="G42" i="52" s="1"/>
  <c r="H42" i="52" s="1"/>
  <c r="I42" i="52" s="1"/>
  <c r="F43" i="52" l="1"/>
  <c r="C41" i="52"/>
  <c r="D41" i="52" s="1"/>
  <c r="E41" i="52"/>
  <c r="G41" i="52" s="1"/>
  <c r="H41" i="52" s="1"/>
  <c r="I41" i="52" s="1"/>
  <c r="C40" i="52"/>
  <c r="D40" i="52" s="1"/>
  <c r="E40" i="52"/>
  <c r="C39" i="52"/>
  <c r="D39" i="52" s="1"/>
  <c r="E39" i="52"/>
  <c r="C38" i="52"/>
  <c r="D38" i="52" s="1"/>
  <c r="E38" i="52"/>
  <c r="G38" i="52" s="1"/>
  <c r="H38" i="52" s="1"/>
  <c r="I38" i="52" s="1"/>
  <c r="E32" i="52"/>
  <c r="G32" i="52" s="1"/>
  <c r="H32" i="52" s="1"/>
  <c r="I32" i="52" s="1"/>
  <c r="C32" i="52"/>
  <c r="D32" i="52" s="1"/>
  <c r="E37" i="52"/>
  <c r="G37" i="52" s="1"/>
  <c r="H37" i="52" s="1"/>
  <c r="I37" i="52" s="1"/>
  <c r="C37" i="52"/>
  <c r="D37" i="52" s="1"/>
  <c r="E36" i="52"/>
  <c r="C36" i="52"/>
  <c r="D36" i="52" s="1"/>
  <c r="E35" i="52"/>
  <c r="C35" i="52"/>
  <c r="D35" i="52" s="1"/>
  <c r="E34" i="52"/>
  <c r="C34" i="52"/>
  <c r="D34" i="52" s="1"/>
  <c r="C33" i="52"/>
  <c r="D33" i="52" s="1"/>
  <c r="C8" i="52"/>
  <c r="D8" i="52" s="1"/>
  <c r="E8" i="52"/>
  <c r="C9" i="52"/>
  <c r="D9" i="52" s="1"/>
  <c r="E9" i="52"/>
  <c r="C10" i="52"/>
  <c r="D10" i="52" s="1"/>
  <c r="E10" i="52"/>
  <c r="C11" i="52"/>
  <c r="D11" i="52" s="1"/>
  <c r="E11" i="52"/>
  <c r="C12" i="52"/>
  <c r="D12" i="52" s="1"/>
  <c r="E12" i="52"/>
  <c r="C13" i="52"/>
  <c r="D13" i="52" s="1"/>
  <c r="E13" i="52"/>
  <c r="G13" i="52" s="1"/>
  <c r="H13" i="52" s="1"/>
  <c r="I13" i="52" s="1"/>
  <c r="C14" i="52"/>
  <c r="D14" i="52" s="1"/>
  <c r="E14" i="52"/>
  <c r="G14" i="52" s="1"/>
  <c r="H14" i="52" s="1"/>
  <c r="I14" i="52" s="1"/>
  <c r="C15" i="52"/>
  <c r="D15" i="52" s="1"/>
  <c r="E15" i="52"/>
  <c r="G15" i="52" s="1"/>
  <c r="H15" i="52" s="1"/>
  <c r="I15" i="52" s="1"/>
  <c r="C16" i="52"/>
  <c r="D16" i="52" s="1"/>
  <c r="E16" i="52"/>
  <c r="G16" i="52" s="1"/>
  <c r="H16" i="52" s="1"/>
  <c r="I16" i="52" s="1"/>
  <c r="C17" i="52"/>
  <c r="D17" i="52" s="1"/>
  <c r="E17" i="52"/>
  <c r="C18" i="52"/>
  <c r="D18" i="52" s="1"/>
  <c r="E18" i="52"/>
  <c r="G18" i="52" s="1"/>
  <c r="H18" i="52" s="1"/>
  <c r="I18" i="52" s="1"/>
  <c r="C19" i="52"/>
  <c r="D19" i="52" s="1"/>
  <c r="E19" i="52"/>
  <c r="C20" i="52"/>
  <c r="D20" i="52" s="1"/>
  <c r="E20" i="52"/>
  <c r="C21" i="52"/>
  <c r="D21" i="52" s="1"/>
  <c r="E21" i="52"/>
  <c r="G21" i="52" s="1"/>
  <c r="H21" i="52" s="1"/>
  <c r="I21" i="52" s="1"/>
  <c r="C22" i="52"/>
  <c r="D22" i="52" s="1"/>
  <c r="E22" i="52"/>
  <c r="C23" i="52"/>
  <c r="D23" i="52" s="1"/>
  <c r="E23" i="52"/>
  <c r="C24" i="52"/>
  <c r="D24" i="52" s="1"/>
  <c r="E24" i="52"/>
  <c r="C25" i="52"/>
  <c r="D25" i="52" s="1"/>
  <c r="E25" i="52"/>
  <c r="G25" i="52" s="1"/>
  <c r="H25" i="52" s="1"/>
  <c r="I25" i="52" s="1"/>
  <c r="C26" i="52"/>
  <c r="D26" i="52" s="1"/>
  <c r="E26" i="52"/>
  <c r="G26" i="52" s="1"/>
  <c r="H26" i="52" s="1"/>
  <c r="I26" i="52" s="1"/>
  <c r="C27" i="52"/>
  <c r="D27" i="52" s="1"/>
  <c r="E27" i="52"/>
  <c r="C28" i="52"/>
  <c r="D28" i="52" s="1"/>
  <c r="E28" i="52"/>
  <c r="G28" i="52" s="1"/>
  <c r="H28" i="52" s="1"/>
  <c r="I28" i="52" s="1"/>
  <c r="C29" i="52"/>
  <c r="D29" i="52" s="1"/>
  <c r="E29" i="52"/>
  <c r="C30" i="52"/>
  <c r="D30" i="52" s="1"/>
  <c r="E30" i="52"/>
  <c r="G30" i="52" s="1"/>
  <c r="H30" i="52" s="1"/>
  <c r="I30" i="52" s="1"/>
  <c r="C31" i="52"/>
  <c r="D31" i="52" s="1"/>
  <c r="E31" i="52"/>
  <c r="E33" i="52"/>
  <c r="G33" i="52" s="1"/>
  <c r="H33" i="52" s="1"/>
  <c r="I33" i="52" s="1"/>
  <c r="F42" i="52" l="1"/>
  <c r="F41" i="52"/>
  <c r="F40" i="52"/>
  <c r="G40" i="52"/>
  <c r="H40" i="52" s="1"/>
  <c r="I40" i="52" s="1"/>
  <c r="F39" i="52"/>
  <c r="F38" i="52"/>
  <c r="G39" i="52"/>
  <c r="H39" i="52" s="1"/>
  <c r="I39" i="52" s="1"/>
  <c r="F22" i="52"/>
  <c r="F10" i="52"/>
  <c r="F35" i="52"/>
  <c r="F36" i="52"/>
  <c r="F32" i="52"/>
  <c r="F19" i="52"/>
  <c r="F34" i="52"/>
  <c r="G34" i="52"/>
  <c r="H34" i="52" s="1"/>
  <c r="I34" i="52" s="1"/>
  <c r="F28" i="52"/>
  <c r="G35" i="52"/>
  <c r="H35" i="52" s="1"/>
  <c r="I35" i="52" s="1"/>
  <c r="F25" i="52"/>
  <c r="F9" i="52"/>
  <c r="F31" i="52"/>
  <c r="F15" i="52"/>
  <c r="G9" i="52"/>
  <c r="H9" i="52" s="1"/>
  <c r="I9" i="52" s="1"/>
  <c r="G36" i="52"/>
  <c r="H36" i="52" s="1"/>
  <c r="I36" i="52" s="1"/>
  <c r="F23" i="52"/>
  <c r="G27" i="52"/>
  <c r="H27" i="52" s="1"/>
  <c r="I27" i="52" s="1"/>
  <c r="F18" i="52"/>
  <c r="F16" i="52"/>
  <c r="F37" i="52"/>
  <c r="F20" i="52"/>
  <c r="G10" i="52"/>
  <c r="H10" i="52" s="1"/>
  <c r="I10" i="52" s="1"/>
  <c r="F17" i="52"/>
  <c r="F14" i="52"/>
  <c r="G22" i="52"/>
  <c r="H22" i="52" s="1"/>
  <c r="I22" i="52" s="1"/>
  <c r="F13" i="52"/>
  <c r="F30" i="52"/>
  <c r="F27" i="52"/>
  <c r="F33" i="52"/>
  <c r="F11" i="52"/>
  <c r="F21" i="52"/>
  <c r="G31" i="52"/>
  <c r="H31" i="52" s="1"/>
  <c r="I31" i="52" s="1"/>
  <c r="F26" i="52"/>
  <c r="G19" i="52"/>
  <c r="H19" i="52" s="1"/>
  <c r="I19" i="52" s="1"/>
  <c r="G24" i="52"/>
  <c r="H24" i="52" s="1"/>
  <c r="I24" i="52" s="1"/>
  <c r="G12" i="52"/>
  <c r="H12" i="52" s="1"/>
  <c r="I12" i="52" s="1"/>
  <c r="G29" i="52"/>
  <c r="H29" i="52" s="1"/>
  <c r="I29" i="52" s="1"/>
  <c r="F24" i="52"/>
  <c r="G17" i="52"/>
  <c r="H17" i="52" s="1"/>
  <c r="I17" i="52" s="1"/>
  <c r="F12" i="52"/>
  <c r="F29" i="52"/>
  <c r="G20" i="52"/>
  <c r="H20" i="52" s="1"/>
  <c r="I20" i="52" s="1"/>
  <c r="G8" i="52"/>
  <c r="H8" i="52" s="1"/>
  <c r="I8" i="52" s="1"/>
  <c r="G23" i="52"/>
  <c r="H23" i="52" s="1"/>
  <c r="I23" i="52" s="1"/>
  <c r="G11" i="52"/>
  <c r="H11" i="52" s="1"/>
  <c r="I11" i="52" s="1"/>
  <c r="E5" i="52"/>
  <c r="G5" i="52" s="1"/>
  <c r="H5" i="52" s="1"/>
  <c r="I5" i="52" s="1"/>
  <c r="C7" i="52"/>
  <c r="D7" i="52" s="1"/>
  <c r="C6" i="52"/>
  <c r="D6" i="52" s="1"/>
  <c r="C5" i="52"/>
  <c r="D5" i="52" s="1"/>
  <c r="C4" i="52"/>
  <c r="D4" i="52" s="1"/>
  <c r="C3" i="52"/>
  <c r="D3" i="52" s="1"/>
  <c r="C2" i="52"/>
  <c r="D2" i="52" s="1"/>
  <c r="E4" i="52"/>
  <c r="G4" i="52" s="1"/>
  <c r="H4" i="52" s="1"/>
  <c r="I4" i="52" s="1"/>
  <c r="E6" i="52"/>
  <c r="E7" i="52"/>
  <c r="F8" i="52" s="1"/>
  <c r="E3" i="52"/>
  <c r="E2" i="52"/>
  <c r="G2" i="52" s="1"/>
  <c r="H2" i="52" s="1"/>
  <c r="I2" i="52" s="1"/>
  <c r="F4" i="52" l="1"/>
  <c r="F7" i="52"/>
  <c r="F6" i="52"/>
  <c r="F5" i="52"/>
  <c r="G7" i="52"/>
  <c r="H7" i="52" s="1"/>
  <c r="I7" i="52" s="1"/>
  <c r="G6" i="52"/>
  <c r="H6" i="52" s="1"/>
  <c r="I6" i="52" s="1"/>
  <c r="F3" i="52"/>
  <c r="F2" i="52"/>
  <c r="G3" i="52"/>
  <c r="H3" i="52" s="1"/>
  <c r="I3" i="52" s="1"/>
  <c r="H629" i="16"/>
  <c r="I629" i="16" s="1"/>
  <c r="J629" i="16" s="1"/>
  <c r="F629" i="16"/>
  <c r="E629" i="16"/>
  <c r="L352" i="40"/>
  <c r="M352" i="40" s="1"/>
  <c r="H352" i="40"/>
  <c r="G352" i="40"/>
  <c r="F352" i="40"/>
  <c r="N352" i="40" s="1"/>
  <c r="O352" i="40" s="1"/>
  <c r="I352" i="40" l="1"/>
  <c r="J352" i="40" s="1"/>
  <c r="K352" i="40" s="1"/>
  <c r="N351" i="40" l="1"/>
  <c r="O351" i="40" s="1"/>
  <c r="L351" i="40"/>
  <c r="M351" i="40" s="1"/>
  <c r="H351" i="40"/>
  <c r="G351" i="40"/>
  <c r="F351" i="40"/>
  <c r="I351" i="40" s="1"/>
  <c r="J351" i="40" s="1"/>
  <c r="K351" i="40" s="1"/>
  <c r="H628" i="16"/>
  <c r="F628" i="16"/>
  <c r="I628" i="16" s="1"/>
  <c r="J628" i="16" s="1"/>
  <c r="E628" i="16"/>
  <c r="L350" i="40"/>
  <c r="M350" i="40" s="1"/>
  <c r="H350" i="40"/>
  <c r="G350" i="40"/>
  <c r="F350" i="40"/>
  <c r="N350" i="40" s="1"/>
  <c r="O350" i="40" s="1"/>
  <c r="H627" i="16"/>
  <c r="F627" i="16"/>
  <c r="I627" i="16" s="1"/>
  <c r="J627" i="16" s="1"/>
  <c r="E627" i="16"/>
  <c r="N349" i="40"/>
  <c r="O349" i="40" s="1"/>
  <c r="L349" i="40"/>
  <c r="M349" i="40" s="1"/>
  <c r="J349" i="40"/>
  <c r="K349" i="40" s="1"/>
  <c r="I349" i="40"/>
  <c r="H349" i="40"/>
  <c r="G349" i="40"/>
  <c r="F349" i="40"/>
  <c r="H626" i="16"/>
  <c r="F626" i="16"/>
  <c r="I626" i="16" s="1"/>
  <c r="J626" i="16" s="1"/>
  <c r="E626" i="16"/>
  <c r="L348" i="40"/>
  <c r="M348" i="40" s="1"/>
  <c r="H348" i="40"/>
  <c r="G348" i="40"/>
  <c r="F348" i="40"/>
  <c r="N348" i="40" s="1"/>
  <c r="O348" i="40" s="1"/>
  <c r="H625" i="16"/>
  <c r="F625" i="16"/>
  <c r="I625" i="16" s="1"/>
  <c r="J625" i="16" s="1"/>
  <c r="E625" i="16"/>
  <c r="N347" i="40"/>
  <c r="O347" i="40" s="1"/>
  <c r="L347" i="40"/>
  <c r="M347" i="40" s="1"/>
  <c r="J347" i="40"/>
  <c r="K347" i="40" s="1"/>
  <c r="I347" i="40"/>
  <c r="H347" i="40"/>
  <c r="G347" i="40"/>
  <c r="F347" i="40"/>
  <c r="H624" i="16"/>
  <c r="F624" i="16"/>
  <c r="I624" i="16" s="1"/>
  <c r="J624" i="16" s="1"/>
  <c r="E624" i="16"/>
  <c r="H623" i="16"/>
  <c r="F623" i="16"/>
  <c r="E623" i="16"/>
  <c r="N346" i="40"/>
  <c r="O346" i="40" s="1"/>
  <c r="L346" i="40"/>
  <c r="M346" i="40" s="1"/>
  <c r="J346" i="40"/>
  <c r="K346" i="40" s="1"/>
  <c r="I346" i="40"/>
  <c r="H346" i="40"/>
  <c r="G346" i="40"/>
  <c r="F346" i="40"/>
  <c r="N345" i="40"/>
  <c r="O345" i="40" s="1"/>
  <c r="L345" i="40"/>
  <c r="M345" i="40" s="1"/>
  <c r="J345" i="40"/>
  <c r="K345" i="40" s="1"/>
  <c r="I345" i="40"/>
  <c r="H345" i="40"/>
  <c r="G345" i="40"/>
  <c r="F345" i="40"/>
  <c r="H622" i="16"/>
  <c r="F622" i="16"/>
  <c r="E622" i="16"/>
  <c r="L344" i="40"/>
  <c r="M344" i="40" s="1"/>
  <c r="J344" i="40"/>
  <c r="K344" i="40" s="1"/>
  <c r="I344" i="40"/>
  <c r="H344" i="40"/>
  <c r="G344" i="40"/>
  <c r="F344" i="40"/>
  <c r="N344" i="40" s="1"/>
  <c r="O344" i="40" s="1"/>
  <c r="H621" i="16"/>
  <c r="F621" i="16"/>
  <c r="I621" i="16" s="1"/>
  <c r="J621" i="16" s="1"/>
  <c r="E621" i="16"/>
  <c r="H620" i="16"/>
  <c r="F620" i="16"/>
  <c r="I620" i="16" s="1"/>
  <c r="J620" i="16" s="1"/>
  <c r="E620" i="16"/>
  <c r="O343" i="40"/>
  <c r="N343" i="40"/>
  <c r="L343" i="40"/>
  <c r="M343" i="40" s="1"/>
  <c r="J343" i="40"/>
  <c r="K343" i="40" s="1"/>
  <c r="I343" i="40"/>
  <c r="H343" i="40"/>
  <c r="G343" i="40"/>
  <c r="F343" i="40"/>
  <c r="P65" i="18"/>
  <c r="M65" i="18"/>
  <c r="I65" i="18"/>
  <c r="J65" i="18"/>
  <c r="K65" i="18" s="1"/>
  <c r="H619" i="16"/>
  <c r="F619" i="16"/>
  <c r="I619" i="16" s="1"/>
  <c r="J619" i="16" s="1"/>
  <c r="E619" i="16"/>
  <c r="L342" i="40"/>
  <c r="M342" i="40" s="1"/>
  <c r="H342" i="40"/>
  <c r="G342" i="40"/>
  <c r="F342" i="40"/>
  <c r="N342" i="40" s="1"/>
  <c r="O342" i="40" s="1"/>
  <c r="H618" i="16"/>
  <c r="F618" i="16"/>
  <c r="I618" i="16" s="1"/>
  <c r="J618" i="16" s="1"/>
  <c r="E618" i="16"/>
  <c r="L341" i="40"/>
  <c r="M341" i="40" s="1"/>
  <c r="H341" i="40"/>
  <c r="G341" i="40"/>
  <c r="F341" i="40"/>
  <c r="N341" i="40" s="1"/>
  <c r="H617" i="16"/>
  <c r="F617" i="16"/>
  <c r="I617" i="16" s="1"/>
  <c r="J617" i="16" s="1"/>
  <c r="E617" i="16"/>
  <c r="L340" i="40"/>
  <c r="M340" i="40" s="1"/>
  <c r="H340" i="40"/>
  <c r="G340" i="40"/>
  <c r="F340" i="40"/>
  <c r="N340" i="40" s="1"/>
  <c r="O340" i="40" s="1"/>
  <c r="L339" i="40"/>
  <c r="M339" i="40" s="1"/>
  <c r="J339" i="40"/>
  <c r="K339" i="40" s="1"/>
  <c r="I339" i="40"/>
  <c r="H339" i="40"/>
  <c r="G339" i="40"/>
  <c r="F339" i="40"/>
  <c r="N339" i="40" s="1"/>
  <c r="O339" i="40" s="1"/>
  <c r="H616" i="16"/>
  <c r="F616" i="16"/>
  <c r="I616" i="16" s="1"/>
  <c r="J616" i="16" s="1"/>
  <c r="E616" i="16"/>
  <c r="H615" i="16"/>
  <c r="F615" i="16"/>
  <c r="E615" i="16"/>
  <c r="N338" i="40"/>
  <c r="O338" i="40" s="1"/>
  <c r="L338" i="40"/>
  <c r="M338" i="40" s="1"/>
  <c r="J338" i="40"/>
  <c r="K338" i="40" s="1"/>
  <c r="I338" i="40"/>
  <c r="H338" i="40"/>
  <c r="G338" i="40"/>
  <c r="F338" i="40"/>
  <c r="M64" i="18"/>
  <c r="P64" i="18"/>
  <c r="I64" i="18"/>
  <c r="J64" i="18"/>
  <c r="K64" i="18"/>
  <c r="H614" i="16"/>
  <c r="F614" i="16"/>
  <c r="I614" i="16" s="1"/>
  <c r="J614" i="16" s="1"/>
  <c r="E614" i="16"/>
  <c r="N337" i="40"/>
  <c r="O337" i="40" s="1"/>
  <c r="L337" i="40"/>
  <c r="M337" i="40" s="1"/>
  <c r="J337" i="40"/>
  <c r="K337" i="40" s="1"/>
  <c r="I337" i="40"/>
  <c r="H337" i="40"/>
  <c r="G337" i="40"/>
  <c r="F337" i="40"/>
  <c r="L613" i="16"/>
  <c r="H613" i="16"/>
  <c r="F613" i="16"/>
  <c r="I613" i="16" s="1"/>
  <c r="J613" i="16" s="1"/>
  <c r="E613" i="16"/>
  <c r="L336" i="40"/>
  <c r="M336" i="40" s="1"/>
  <c r="H336" i="40"/>
  <c r="G336" i="40"/>
  <c r="F336" i="40"/>
  <c r="N336" i="40" s="1"/>
  <c r="O336" i="40" s="1"/>
  <c r="N335" i="40"/>
  <c r="O335" i="40" s="1"/>
  <c r="L335" i="40"/>
  <c r="M335" i="40" s="1"/>
  <c r="H335" i="40"/>
  <c r="G335" i="40"/>
  <c r="F335" i="40"/>
  <c r="I335" i="40" s="1"/>
  <c r="L334" i="40"/>
  <c r="M334" i="40" s="1"/>
  <c r="H334" i="40"/>
  <c r="G334" i="40"/>
  <c r="F334" i="40"/>
  <c r="N334" i="40" s="1"/>
  <c r="O334" i="40" s="1"/>
  <c r="H612" i="16"/>
  <c r="F612" i="16"/>
  <c r="I612" i="16" s="1"/>
  <c r="J612" i="16" s="1"/>
  <c r="E612" i="16"/>
  <c r="H611" i="16"/>
  <c r="F611" i="16"/>
  <c r="E611" i="16"/>
  <c r="L333" i="40"/>
  <c r="M333" i="40" s="1"/>
  <c r="H333" i="40"/>
  <c r="G333" i="40"/>
  <c r="F333" i="40"/>
  <c r="N333" i="40" s="1"/>
  <c r="O333" i="40" s="1"/>
  <c r="L332" i="40"/>
  <c r="M332" i="40" s="1"/>
  <c r="J332" i="40"/>
  <c r="K332" i="40" s="1"/>
  <c r="I332" i="40"/>
  <c r="H332" i="40"/>
  <c r="G332" i="40"/>
  <c r="F332" i="40"/>
  <c r="N332" i="40" s="1"/>
  <c r="O332" i="40" s="1"/>
  <c r="H610" i="16"/>
  <c r="F610" i="16"/>
  <c r="I610" i="16" s="1"/>
  <c r="J610" i="16" s="1"/>
  <c r="E610" i="16"/>
  <c r="H609" i="16"/>
  <c r="F609" i="16"/>
  <c r="E609" i="16"/>
  <c r="L331" i="40"/>
  <c r="M331" i="40" s="1"/>
  <c r="H331" i="40"/>
  <c r="G331" i="40"/>
  <c r="F331" i="40"/>
  <c r="N331" i="40" s="1"/>
  <c r="O331" i="40" s="1"/>
  <c r="L330" i="40"/>
  <c r="M330" i="40" s="1"/>
  <c r="H330" i="40"/>
  <c r="G330" i="40"/>
  <c r="F330" i="40"/>
  <c r="N330" i="40" s="1"/>
  <c r="O330" i="40" s="1"/>
  <c r="H608" i="16"/>
  <c r="F608" i="16"/>
  <c r="E608" i="16"/>
  <c r="L329" i="40"/>
  <c r="M329" i="40" s="1"/>
  <c r="J329" i="40"/>
  <c r="K329" i="40" s="1"/>
  <c r="I329" i="40"/>
  <c r="H329" i="40"/>
  <c r="G329" i="40"/>
  <c r="F329" i="40"/>
  <c r="N329" i="40" s="1"/>
  <c r="O329" i="40" s="1"/>
  <c r="H607" i="16"/>
  <c r="F607" i="16"/>
  <c r="I607" i="16" s="1"/>
  <c r="J607" i="16" s="1"/>
  <c r="E607" i="16"/>
  <c r="L328" i="40"/>
  <c r="M328" i="40" s="1"/>
  <c r="H328" i="40"/>
  <c r="G328" i="40"/>
  <c r="F328" i="40"/>
  <c r="N328" i="40" s="1"/>
  <c r="O328" i="40" s="1"/>
  <c r="H606" i="16"/>
  <c r="F606" i="16"/>
  <c r="E606" i="16"/>
  <c r="L327" i="40"/>
  <c r="M327" i="40" s="1"/>
  <c r="H327" i="40"/>
  <c r="G327" i="40"/>
  <c r="F327" i="40"/>
  <c r="I327" i="40" s="1"/>
  <c r="J327" i="40" s="1"/>
  <c r="K327" i="40" s="1"/>
  <c r="L326" i="40"/>
  <c r="M326" i="40" s="1"/>
  <c r="H326" i="40"/>
  <c r="G326" i="40"/>
  <c r="F326" i="40"/>
  <c r="N326" i="40" s="1"/>
  <c r="O326" i="40" s="1"/>
  <c r="H605" i="16"/>
  <c r="F605" i="16"/>
  <c r="E605" i="16"/>
  <c r="H604" i="16"/>
  <c r="F604" i="16"/>
  <c r="I604" i="16" s="1"/>
  <c r="J604" i="16" s="1"/>
  <c r="E604" i="16"/>
  <c r="P63" i="18"/>
  <c r="M63" i="18"/>
  <c r="I63" i="18"/>
  <c r="J63" i="18"/>
  <c r="K63" i="18" s="1"/>
  <c r="H603" i="16"/>
  <c r="F603" i="16"/>
  <c r="E603" i="16"/>
  <c r="L325" i="40"/>
  <c r="M325" i="40" s="1"/>
  <c r="H325" i="40"/>
  <c r="G325" i="40"/>
  <c r="F325" i="40"/>
  <c r="N325" i="40" s="1"/>
  <c r="O325" i="40" s="1"/>
  <c r="H602" i="16"/>
  <c r="F602" i="16"/>
  <c r="I602" i="16" s="1"/>
  <c r="J602" i="16" s="1"/>
  <c r="E602" i="16"/>
  <c r="F324" i="40"/>
  <c r="F323" i="40"/>
  <c r="F322" i="40"/>
  <c r="F321" i="40"/>
  <c r="F320" i="40"/>
  <c r="F319" i="40"/>
  <c r="F318" i="40"/>
  <c r="F317" i="40"/>
  <c r="F316" i="40"/>
  <c r="F315" i="40"/>
  <c r="I316" i="40"/>
  <c r="A505" i="46"/>
  <c r="A506" i="46" s="1"/>
  <c r="A504" i="46"/>
  <c r="H601" i="16"/>
  <c r="F601" i="16"/>
  <c r="E601" i="16"/>
  <c r="N324" i="40"/>
  <c r="O324" i="40" s="1"/>
  <c r="L324" i="40"/>
  <c r="M324" i="40" s="1"/>
  <c r="I324" i="40"/>
  <c r="H324" i="40"/>
  <c r="G324" i="40"/>
  <c r="N323" i="40"/>
  <c r="L323" i="40"/>
  <c r="M323" i="40" s="1"/>
  <c r="I323" i="40"/>
  <c r="H323" i="40"/>
  <c r="G323" i="40"/>
  <c r="H600" i="16"/>
  <c r="F600" i="16"/>
  <c r="I600" i="16" s="1"/>
  <c r="J600" i="16" s="1"/>
  <c r="E600" i="16"/>
  <c r="I608" i="16" l="1"/>
  <c r="J608" i="16" s="1"/>
  <c r="I609" i="16"/>
  <c r="J609" i="16" s="1"/>
  <c r="I601" i="16"/>
  <c r="J601" i="16" s="1"/>
  <c r="I603" i="16"/>
  <c r="J603" i="16" s="1"/>
  <c r="I605" i="16"/>
  <c r="J605" i="16" s="1"/>
  <c r="I606" i="16"/>
  <c r="J606" i="16" s="1"/>
  <c r="I611" i="16"/>
  <c r="J611" i="16" s="1"/>
  <c r="I615" i="16"/>
  <c r="J615" i="16" s="1"/>
  <c r="I350" i="40"/>
  <c r="J350" i="40" s="1"/>
  <c r="K350" i="40" s="1"/>
  <c r="I348" i="40"/>
  <c r="J348" i="40" s="1"/>
  <c r="K348" i="40" s="1"/>
  <c r="I623" i="16"/>
  <c r="J623" i="16" s="1"/>
  <c r="I622" i="16"/>
  <c r="J622" i="16" s="1"/>
  <c r="I342" i="40"/>
  <c r="J342" i="40" s="1"/>
  <c r="K342" i="40" s="1"/>
  <c r="O341" i="40"/>
  <c r="I341" i="40"/>
  <c r="J341" i="40" s="1"/>
  <c r="K341" i="40" s="1"/>
  <c r="I340" i="40"/>
  <c r="J340" i="40" s="1"/>
  <c r="K340" i="40" s="1"/>
  <c r="J335" i="40"/>
  <c r="K335" i="40" s="1"/>
  <c r="J336" i="40"/>
  <c r="K336" i="40" s="1"/>
  <c r="I336" i="40"/>
  <c r="I334" i="40"/>
  <c r="J334" i="40" s="1"/>
  <c r="K334" i="40" s="1"/>
  <c r="I333" i="40"/>
  <c r="J333" i="40" s="1"/>
  <c r="K333" i="40" s="1"/>
  <c r="I331" i="40"/>
  <c r="J331" i="40" s="1"/>
  <c r="K331" i="40" s="1"/>
  <c r="I330" i="40"/>
  <c r="J330" i="40" s="1"/>
  <c r="K330" i="40" s="1"/>
  <c r="I328" i="40"/>
  <c r="J328" i="40" s="1"/>
  <c r="K328" i="40" s="1"/>
  <c r="N327" i="40"/>
  <c r="O327" i="40" s="1"/>
  <c r="I326" i="40"/>
  <c r="J326" i="40" s="1"/>
  <c r="K326" i="40" s="1"/>
  <c r="I325" i="40"/>
  <c r="J325" i="40" s="1"/>
  <c r="K325" i="40" s="1"/>
  <c r="A507" i="46"/>
  <c r="P62" i="18"/>
  <c r="M62" i="18"/>
  <c r="I62" i="18"/>
  <c r="J62" i="18"/>
  <c r="K62" i="18" s="1"/>
  <c r="E507" i="46" l="1"/>
  <c r="A508" i="46"/>
  <c r="N322" i="40"/>
  <c r="L322" i="40"/>
  <c r="M322" i="40" s="1"/>
  <c r="J322" i="40"/>
  <c r="K322" i="40" s="1"/>
  <c r="I322" i="40"/>
  <c r="H322" i="40"/>
  <c r="G322" i="40"/>
  <c r="H599" i="16"/>
  <c r="F599" i="16"/>
  <c r="I599" i="16" s="1"/>
  <c r="J599" i="16" s="1"/>
  <c r="E599" i="16"/>
  <c r="H598" i="16"/>
  <c r="F598" i="16"/>
  <c r="I598" i="16" s="1"/>
  <c r="J598" i="16" s="1"/>
  <c r="E598" i="16"/>
  <c r="N321" i="40"/>
  <c r="O321" i="40" s="1"/>
  <c r="L321" i="40"/>
  <c r="M321" i="40" s="1"/>
  <c r="J321" i="40"/>
  <c r="K321" i="40" s="1"/>
  <c r="I321" i="40"/>
  <c r="H321" i="40"/>
  <c r="G321" i="40"/>
  <c r="H597" i="16"/>
  <c r="F597" i="16"/>
  <c r="E597" i="16"/>
  <c r="M61" i="18"/>
  <c r="P61" i="18"/>
  <c r="I61" i="18"/>
  <c r="J61" i="18"/>
  <c r="K61" i="18" s="1"/>
  <c r="H596" i="16"/>
  <c r="F596" i="16"/>
  <c r="I596" i="16" s="1"/>
  <c r="J596" i="16" s="1"/>
  <c r="E596" i="16"/>
  <c r="N320" i="40"/>
  <c r="O320" i="40" s="1"/>
  <c r="L320" i="40"/>
  <c r="M320" i="40" s="1"/>
  <c r="J320" i="40"/>
  <c r="K320" i="40" s="1"/>
  <c r="I320" i="40"/>
  <c r="H320" i="40"/>
  <c r="G320" i="40"/>
  <c r="H595" i="16"/>
  <c r="F595" i="16"/>
  <c r="I595" i="16" s="1"/>
  <c r="J595" i="16" s="1"/>
  <c r="H594" i="16"/>
  <c r="F594" i="16"/>
  <c r="I594" i="16" s="1"/>
  <c r="J594" i="16" s="1"/>
  <c r="E595" i="16"/>
  <c r="N319" i="40"/>
  <c r="L319" i="40"/>
  <c r="M319" i="40" s="1"/>
  <c r="J319" i="40"/>
  <c r="K319" i="40" s="1"/>
  <c r="I319" i="40"/>
  <c r="H319" i="40"/>
  <c r="G319" i="40"/>
  <c r="N318" i="40"/>
  <c r="O318" i="40" s="1"/>
  <c r="L318" i="40"/>
  <c r="M318" i="40" s="1"/>
  <c r="J318" i="40"/>
  <c r="K318" i="40" s="1"/>
  <c r="I318" i="40"/>
  <c r="H318" i="40"/>
  <c r="G318" i="40"/>
  <c r="E594" i="16"/>
  <c r="N317" i="40"/>
  <c r="O317" i="40" s="1"/>
  <c r="L317" i="40"/>
  <c r="M317" i="40" s="1"/>
  <c r="J317" i="40"/>
  <c r="K317" i="40" s="1"/>
  <c r="I317" i="40"/>
  <c r="H317" i="40"/>
  <c r="G317" i="40"/>
  <c r="H593" i="16"/>
  <c r="F593" i="16"/>
  <c r="I593" i="16" s="1"/>
  <c r="J593" i="16" s="1"/>
  <c r="F592" i="16"/>
  <c r="I592" i="16" s="1"/>
  <c r="J592" i="16" s="1"/>
  <c r="E593" i="16"/>
  <c r="N316" i="40"/>
  <c r="L316" i="40"/>
  <c r="M316" i="40" s="1"/>
  <c r="H316" i="40"/>
  <c r="G316" i="40"/>
  <c r="H592" i="16"/>
  <c r="E592" i="16"/>
  <c r="H591" i="16"/>
  <c r="F591" i="16"/>
  <c r="E591" i="16"/>
  <c r="H590" i="16"/>
  <c r="F590" i="16"/>
  <c r="I590" i="16" s="1"/>
  <c r="J590" i="16" s="1"/>
  <c r="E590" i="16"/>
  <c r="N315" i="40"/>
  <c r="O315" i="40" s="1"/>
  <c r="L315" i="40"/>
  <c r="M315" i="40" s="1"/>
  <c r="I315" i="40"/>
  <c r="H315" i="40"/>
  <c r="G315" i="40"/>
  <c r="L314" i="40"/>
  <c r="M314" i="40" s="1"/>
  <c r="J314" i="40"/>
  <c r="K314" i="40" s="1"/>
  <c r="I314" i="40"/>
  <c r="H314" i="40"/>
  <c r="G314" i="40"/>
  <c r="F314" i="40"/>
  <c r="N314" i="40" s="1"/>
  <c r="O314" i="40" s="1"/>
  <c r="P60" i="18"/>
  <c r="M60" i="18"/>
  <c r="I60" i="18"/>
  <c r="J60" i="18"/>
  <c r="K60" i="18"/>
  <c r="H589" i="16"/>
  <c r="F589" i="16"/>
  <c r="I589" i="16" s="1"/>
  <c r="J589" i="16" s="1"/>
  <c r="E589" i="16"/>
  <c r="H588" i="16"/>
  <c r="F588" i="16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H587" i="16"/>
  <c r="F587" i="16"/>
  <c r="I587" i="16" s="1"/>
  <c r="J587" i="16" s="1"/>
  <c r="E587" i="16"/>
  <c r="H586" i="16"/>
  <c r="F586" i="16"/>
  <c r="I586" i="16" s="1"/>
  <c r="J586" i="16" s="1"/>
  <c r="E586" i="16"/>
  <c r="H585" i="16"/>
  <c r="F585" i="16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F584" i="16"/>
  <c r="E584" i="16"/>
  <c r="H583" i="16"/>
  <c r="F583" i="16"/>
  <c r="E583" i="16"/>
  <c r="L309" i="40"/>
  <c r="M309" i="40" s="1"/>
  <c r="H309" i="40"/>
  <c r="G309" i="40"/>
  <c r="F309" i="40"/>
  <c r="N309" i="40" s="1"/>
  <c r="O309" i="40" s="1"/>
  <c r="H582" i="16"/>
  <c r="F582" i="16"/>
  <c r="I582" i="16" s="1"/>
  <c r="J582" i="16" s="1"/>
  <c r="E582" i="16"/>
  <c r="I581" i="16"/>
  <c r="J581" i="16" s="1"/>
  <c r="H581" i="16"/>
  <c r="F581" i="16"/>
  <c r="E581" i="16"/>
  <c r="L308" i="40"/>
  <c r="M308" i="40" s="1"/>
  <c r="H308" i="40"/>
  <c r="G308" i="40"/>
  <c r="F308" i="40"/>
  <c r="N308" i="40" s="1"/>
  <c r="O308" i="40" s="1"/>
  <c r="I591" i="16" l="1"/>
  <c r="J591" i="16" s="1"/>
  <c r="I584" i="16"/>
  <c r="J584" i="16" s="1"/>
  <c r="I585" i="16"/>
  <c r="J585" i="16" s="1"/>
  <c r="I588" i="16"/>
  <c r="J588" i="16" s="1"/>
  <c r="I583" i="16"/>
  <c r="J583" i="16" s="1"/>
  <c r="I597" i="16"/>
  <c r="J597" i="16" s="1"/>
  <c r="E505" i="46"/>
  <c r="E504" i="46"/>
  <c r="E506" i="46"/>
  <c r="D506" i="46"/>
  <c r="D505" i="46"/>
  <c r="D504" i="46"/>
  <c r="O322" i="40"/>
  <c r="O323" i="40"/>
  <c r="O319" i="40"/>
  <c r="O316" i="40"/>
  <c r="J315" i="40"/>
  <c r="K315" i="40" s="1"/>
  <c r="J324" i="40"/>
  <c r="K324" i="40" s="1"/>
  <c r="D507" i="46" s="1"/>
  <c r="J316" i="40"/>
  <c r="K316" i="40" s="1"/>
  <c r="J323" i="40"/>
  <c r="K323" i="40" s="1"/>
  <c r="E508" i="46"/>
  <c r="A509" i="46"/>
  <c r="I313" i="40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F580" i="16"/>
  <c r="I580" i="16" s="1"/>
  <c r="J580" i="16" s="1"/>
  <c r="E580" i="16"/>
  <c r="H579" i="16"/>
  <c r="F579" i="16"/>
  <c r="E579" i="16"/>
  <c r="H578" i="16"/>
  <c r="F578" i="16"/>
  <c r="I578" i="16" s="1"/>
  <c r="J578" i="16" s="1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H576" i="16"/>
  <c r="F576" i="16"/>
  <c r="I576" i="16" s="1"/>
  <c r="J576" i="16" s="1"/>
  <c r="E576" i="16"/>
  <c r="I579" i="16" l="1"/>
  <c r="J579" i="16" s="1"/>
  <c r="D508" i="46"/>
  <c r="A510" i="46"/>
  <c r="D509" i="46"/>
  <c r="E509" i="46"/>
  <c r="I305" i="40"/>
  <c r="J305" i="40" s="1"/>
  <c r="K305" i="40" s="1"/>
  <c r="I304" i="40"/>
  <c r="J304" i="40" s="1"/>
  <c r="K304" i="40" s="1"/>
  <c r="H575" i="16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E510" i="46" l="1"/>
  <c r="D510" i="46"/>
  <c r="A511" i="46"/>
  <c r="I303" i="40"/>
  <c r="J303" i="40" s="1"/>
  <c r="K303" i="40" s="1"/>
  <c r="L302" i="40"/>
  <c r="M302" i="40" s="1"/>
  <c r="H302" i="40"/>
  <c r="G302" i="40"/>
  <c r="F302" i="40"/>
  <c r="N302" i="40" s="1"/>
  <c r="O302" i="40" s="1"/>
  <c r="H574" i="16"/>
  <c r="F574" i="16"/>
  <c r="E574" i="16"/>
  <c r="H573" i="16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F572" i="16"/>
  <c r="I572" i="16" s="1"/>
  <c r="J572" i="16" s="1"/>
  <c r="E572" i="16"/>
  <c r="H571" i="16"/>
  <c r="F571" i="16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F570" i="16"/>
  <c r="E570" i="16"/>
  <c r="H569" i="16"/>
  <c r="F569" i="16"/>
  <c r="I569" i="16" s="1"/>
  <c r="J569" i="16" s="1"/>
  <c r="E569" i="16"/>
  <c r="H568" i="16"/>
  <c r="F568" i="16"/>
  <c r="I568" i="16" s="1"/>
  <c r="J568" i="16" s="1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F567" i="16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F564" i="16"/>
  <c r="I564" i="16" s="1"/>
  <c r="J564" i="16" s="1"/>
  <c r="E564" i="16"/>
  <c r="H563" i="16"/>
  <c r="F563" i="16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F561" i="16"/>
  <c r="I561" i="16" s="1"/>
  <c r="J561" i="16" s="1"/>
  <c r="E561" i="16"/>
  <c r="I560" i="16"/>
  <c r="J560" i="16" s="1"/>
  <c r="H560" i="16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H558" i="16"/>
  <c r="F558" i="16"/>
  <c r="I558" i="16" s="1"/>
  <c r="J558" i="16" s="1"/>
  <c r="E558" i="16"/>
  <c r="H557" i="16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H556" i="16"/>
  <c r="F556" i="16"/>
  <c r="I556" i="16" s="1"/>
  <c r="J556" i="16" s="1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F555" i="16"/>
  <c r="E555" i="16"/>
  <c r="I555" i="16" l="1"/>
  <c r="J555" i="16" s="1"/>
  <c r="I563" i="16"/>
  <c r="J563" i="16" s="1"/>
  <c r="I567" i="16"/>
  <c r="J567" i="16" s="1"/>
  <c r="I574" i="16"/>
  <c r="J574" i="16" s="1"/>
  <c r="I571" i="16"/>
  <c r="J571" i="16" s="1"/>
  <c r="A512" i="46"/>
  <c r="D511" i="46"/>
  <c r="E511" i="46"/>
  <c r="I302" i="40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H554" i="16"/>
  <c r="F554" i="16"/>
  <c r="I554" i="16" s="1"/>
  <c r="J554" i="16" s="1"/>
  <c r="E554" i="16"/>
  <c r="L283" i="40"/>
  <c r="M283" i="40" s="1"/>
  <c r="H283" i="40"/>
  <c r="G283" i="40"/>
  <c r="F283" i="40"/>
  <c r="N283" i="40" s="1"/>
  <c r="O283" i="40" s="1"/>
  <c r="H553" i="16"/>
  <c r="F553" i="16"/>
  <c r="I553" i="16" s="1"/>
  <c r="J553" i="16" s="1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F551" i="16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F548" i="16"/>
  <c r="I548" i="16" s="1"/>
  <c r="J548" i="16" s="1"/>
  <c r="E548" i="16"/>
  <c r="H547" i="16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F546" i="16"/>
  <c r="I546" i="16" s="1"/>
  <c r="J546" i="16" s="1"/>
  <c r="E546" i="16"/>
  <c r="H545" i="16"/>
  <c r="F545" i="16"/>
  <c r="I545" i="16" s="1"/>
  <c r="J545" i="16" s="1"/>
  <c r="E545" i="16"/>
  <c r="L276" i="40"/>
  <c r="M276" i="40" s="1"/>
  <c r="H276" i="40"/>
  <c r="G276" i="40"/>
  <c r="F276" i="40"/>
  <c r="N276" i="40" s="1"/>
  <c r="O276" i="40" s="1"/>
  <c r="I551" i="16" l="1"/>
  <c r="J551" i="16" s="1"/>
  <c r="D512" i="46"/>
  <c r="A513" i="46"/>
  <c r="E512" i="46"/>
  <c r="I283" i="40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A514" i="46" l="1"/>
  <c r="D513" i="46"/>
  <c r="E513" i="46"/>
  <c r="P54" i="18"/>
  <c r="M54" i="18"/>
  <c r="I54" i="18"/>
  <c r="J54" i="18"/>
  <c r="K54" i="18" s="1"/>
  <c r="E514" i="46" l="1"/>
  <c r="A515" i="46"/>
  <c r="D514" i="46"/>
  <c r="L275" i="40"/>
  <c r="M275" i="40" s="1"/>
  <c r="H275" i="40"/>
  <c r="G275" i="40"/>
  <c r="F275" i="40"/>
  <c r="N275" i="40" s="1"/>
  <c r="O275" i="40" s="1"/>
  <c r="H544" i="16"/>
  <c r="I544" i="16" s="1"/>
  <c r="J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F543" i="16"/>
  <c r="E543" i="16"/>
  <c r="L273" i="40"/>
  <c r="M273" i="40" s="1"/>
  <c r="H273" i="40"/>
  <c r="G273" i="40"/>
  <c r="F273" i="40"/>
  <c r="I273" i="40" s="1"/>
  <c r="J273" i="40" s="1"/>
  <c r="K273" i="40" s="1"/>
  <c r="H542" i="16"/>
  <c r="F542" i="16"/>
  <c r="I542" i="16" s="1"/>
  <c r="J542" i="16" s="1"/>
  <c r="E542" i="16"/>
  <c r="L272" i="40"/>
  <c r="M272" i="40" s="1"/>
  <c r="H272" i="40"/>
  <c r="G272" i="40"/>
  <c r="F272" i="40"/>
  <c r="N272" i="40" s="1"/>
  <c r="O272" i="40" s="1"/>
  <c r="H541" i="16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F540" i="16"/>
  <c r="E540" i="16"/>
  <c r="L270" i="40"/>
  <c r="M270" i="40" s="1"/>
  <c r="H270" i="40"/>
  <c r="G270" i="40"/>
  <c r="F270" i="40"/>
  <c r="N270" i="40" s="1"/>
  <c r="O270" i="40" s="1"/>
  <c r="H539" i="16"/>
  <c r="F539" i="16"/>
  <c r="I539" i="16" s="1"/>
  <c r="J539" i="16" s="1"/>
  <c r="E539" i="16"/>
  <c r="I543" i="16" l="1"/>
  <c r="J543" i="16" s="1"/>
  <c r="A516" i="46"/>
  <c r="E515" i="46"/>
  <c r="D515" i="46"/>
  <c r="I275" i="40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A517" i="46" l="1"/>
  <c r="D516" i="46"/>
  <c r="E516" i="46"/>
  <c r="L269" i="40"/>
  <c r="M269" i="40" s="1"/>
  <c r="H269" i="40"/>
  <c r="G269" i="40"/>
  <c r="F269" i="40"/>
  <c r="N269" i="40" s="1"/>
  <c r="O269" i="40" s="1"/>
  <c r="I538" i="16"/>
  <c r="J538" i="16" s="1"/>
  <c r="H538" i="16"/>
  <c r="F538" i="16"/>
  <c r="E538" i="16"/>
  <c r="H537" i="16"/>
  <c r="F537" i="16"/>
  <c r="I537" i="16" s="1"/>
  <c r="J537" i="16" s="1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F536" i="16"/>
  <c r="E536" i="16"/>
  <c r="L267" i="40"/>
  <c r="M267" i="40" s="1"/>
  <c r="H267" i="40"/>
  <c r="G267" i="40"/>
  <c r="F267" i="40"/>
  <c r="N267" i="40" s="1"/>
  <c r="O267" i="40" s="1"/>
  <c r="A518" i="46" l="1"/>
  <c r="D517" i="46"/>
  <c r="E517" i="46"/>
  <c r="I269" i="40"/>
  <c r="J269" i="40" s="1"/>
  <c r="K269" i="40" s="1"/>
  <c r="I268" i="40"/>
  <c r="J268" i="40" s="1"/>
  <c r="K268" i="40" s="1"/>
  <c r="I267" i="40"/>
  <c r="J267" i="40" s="1"/>
  <c r="K267" i="40" s="1"/>
  <c r="H535" i="16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E518" i="46" l="1"/>
  <c r="D518" i="46"/>
  <c r="A519" i="46"/>
  <c r="L265" i="40"/>
  <c r="M265" i="40" s="1"/>
  <c r="H265" i="40"/>
  <c r="G265" i="40"/>
  <c r="F265" i="40"/>
  <c r="N265" i="40" s="1"/>
  <c r="O265" i="40" s="1"/>
  <c r="H534" i="16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F533" i="16"/>
  <c r="I533" i="16" s="1"/>
  <c r="J533" i="16" s="1"/>
  <c r="E533" i="16"/>
  <c r="H532" i="16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A520" i="46" l="1"/>
  <c r="E519" i="46"/>
  <c r="D519" i="46"/>
  <c r="I265" i="40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H530" i="16"/>
  <c r="F530" i="16"/>
  <c r="I530" i="16" s="1"/>
  <c r="J530" i="16" s="1"/>
  <c r="E530" i="16"/>
  <c r="A521" i="46" l="1"/>
  <c r="E520" i="46"/>
  <c r="D520" i="46"/>
  <c r="I262" i="40"/>
  <c r="J262" i="40" s="1"/>
  <c r="K262" i="40" s="1"/>
  <c r="N261" i="40"/>
  <c r="O261" i="40" s="1"/>
  <c r="A522" i="46" l="1"/>
  <c r="D521" i="46"/>
  <c r="E521" i="46"/>
  <c r="L260" i="40"/>
  <c r="M260" i="40" s="1"/>
  <c r="H260" i="40"/>
  <c r="G260" i="40"/>
  <c r="F260" i="40"/>
  <c r="N260" i="40" s="1"/>
  <c r="O260" i="40" s="1"/>
  <c r="H529" i="16"/>
  <c r="F529" i="16"/>
  <c r="I529" i="16" s="1"/>
  <c r="J529" i="16" s="1"/>
  <c r="E529" i="16"/>
  <c r="H528" i="16"/>
  <c r="F528" i="16"/>
  <c r="I528" i="16" s="1"/>
  <c r="J528" i="16" s="1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H527" i="16"/>
  <c r="F527" i="16"/>
  <c r="I527" i="16" s="1"/>
  <c r="J527" i="16" s="1"/>
  <c r="E527" i="16"/>
  <c r="H526" i="16"/>
  <c r="F526" i="16"/>
  <c r="I526" i="16" s="1"/>
  <c r="J526" i="16" s="1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E522" i="46" l="1"/>
  <c r="A523" i="46"/>
  <c r="D522" i="46"/>
  <c r="I260" i="40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F525" i="16"/>
  <c r="I525" i="16" s="1"/>
  <c r="J525" i="16" s="1"/>
  <c r="E525" i="16"/>
  <c r="A524" i="46" l="1"/>
  <c r="E523" i="46"/>
  <c r="D523" i="46"/>
  <c r="H524" i="16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F523" i="16"/>
  <c r="I523" i="16" s="1"/>
  <c r="J523" i="16" s="1"/>
  <c r="E523" i="16"/>
  <c r="E524" i="46" l="1"/>
  <c r="D524" i="46"/>
  <c r="A525" i="46"/>
  <c r="I254" i="40"/>
  <c r="J254" i="40" s="1"/>
  <c r="K254" i="40" s="1"/>
  <c r="A526" i="46" l="1"/>
  <c r="E525" i="46"/>
  <c r="D525" i="46"/>
  <c r="L253" i="40"/>
  <c r="M253" i="40" s="1"/>
  <c r="H253" i="40"/>
  <c r="G253" i="40"/>
  <c r="F253" i="40"/>
  <c r="N253" i="40" s="1"/>
  <c r="O253" i="40" s="1"/>
  <c r="H522" i="16"/>
  <c r="I522" i="16" s="1"/>
  <c r="J522" i="16" s="1"/>
  <c r="F522" i="16"/>
  <c r="H521" i="16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E526" i="46" l="1"/>
  <c r="A527" i="46"/>
  <c r="D526" i="46"/>
  <c r="I253" i="40"/>
  <c r="J253" i="40" s="1"/>
  <c r="K253" i="40" s="1"/>
  <c r="L251" i="40"/>
  <c r="M251" i="40" s="1"/>
  <c r="H251" i="40"/>
  <c r="G251" i="40"/>
  <c r="F251" i="40"/>
  <c r="N251" i="40" s="1"/>
  <c r="O251" i="40" s="1"/>
  <c r="H520" i="16"/>
  <c r="F520" i="16"/>
  <c r="E520" i="16"/>
  <c r="I520" i="16" l="1"/>
  <c r="J520" i="16" s="1"/>
  <c r="A528" i="46"/>
  <c r="E527" i="46"/>
  <c r="D527" i="46"/>
  <c r="I251" i="40"/>
  <c r="J251" i="40" s="1"/>
  <c r="K251" i="40" s="1"/>
  <c r="E528" i="46" l="1"/>
  <c r="D528" i="46"/>
  <c r="A529" i="46"/>
  <c r="H519" i="16"/>
  <c r="F519" i="16"/>
  <c r="I519" i="16" s="1"/>
  <c r="J519" i="16" s="1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F518" i="16"/>
  <c r="I518" i="16" s="1"/>
  <c r="J518" i="16" s="1"/>
  <c r="E518" i="16"/>
  <c r="A530" i="46" l="1"/>
  <c r="D529" i="46"/>
  <c r="E529" i="46"/>
  <c r="N250" i="40"/>
  <c r="O250" i="40" s="1"/>
  <c r="I249" i="40"/>
  <c r="J249" i="40" s="1"/>
  <c r="K249" i="40" s="1"/>
  <c r="E530" i="46" l="1"/>
  <c r="D530" i="46"/>
  <c r="A531" i="46"/>
  <c r="P51" i="18"/>
  <c r="M51" i="18"/>
  <c r="I51" i="18"/>
  <c r="J51" i="18"/>
  <c r="K51" i="18" s="1"/>
  <c r="H517" i="16"/>
  <c r="F517" i="16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I517" i="16" l="1"/>
  <c r="J517" i="16" s="1"/>
  <c r="A532" i="46"/>
  <c r="D531" i="46"/>
  <c r="E531" i="46"/>
  <c r="N247" i="40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I515" i="16" l="1"/>
  <c r="J515" i="16" s="1"/>
  <c r="E532" i="46"/>
  <c r="D532" i="46"/>
  <c r="A533" i="46"/>
  <c r="N245" i="40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A534" i="46" l="1"/>
  <c r="D533" i="46"/>
  <c r="E533" i="46"/>
  <c r="N243" i="40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E534" i="46" l="1"/>
  <c r="D534" i="46"/>
  <c r="A535" i="46"/>
  <c r="L242" i="40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506" i="16" l="1"/>
  <c r="J506" i="16" s="1"/>
  <c r="A536" i="46"/>
  <c r="E535" i="46"/>
  <c r="D535" i="46"/>
  <c r="I242" i="40"/>
  <c r="J242" i="40" s="1"/>
  <c r="K242" i="40" s="1"/>
  <c r="N240" i="40"/>
  <c r="O240" i="40" s="1"/>
  <c r="E536" i="46" l="1"/>
  <c r="D536" i="46"/>
  <c r="A537" i="46"/>
  <c r="L239" i="40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A538" i="46" l="1"/>
  <c r="D537" i="46"/>
  <c r="E537" i="46"/>
  <c r="J238" i="40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E538" i="46" l="1"/>
  <c r="D538" i="46"/>
  <c r="A539" i="46"/>
  <c r="I502" i="16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E500" i="16"/>
  <c r="H499" i="16"/>
  <c r="F499" i="16"/>
  <c r="E499" i="16"/>
  <c r="I500" i="16" l="1"/>
  <c r="J500" i="16" s="1"/>
  <c r="A540" i="46"/>
  <c r="D539" i="46"/>
  <c r="E539" i="46"/>
  <c r="I499" i="16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F496" i="16"/>
  <c r="E496" i="16"/>
  <c r="I496" i="16" l="1"/>
  <c r="J496" i="16" s="1"/>
  <c r="E540" i="46"/>
  <c r="D540" i="46"/>
  <c r="A541" i="46"/>
  <c r="H495" i="16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3" i="16" l="1"/>
  <c r="J493" i="16" s="1"/>
  <c r="A542" i="46"/>
  <c r="D541" i="46"/>
  <c r="E541" i="46"/>
  <c r="I494" i="16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E542" i="46" l="1"/>
  <c r="D542" i="46"/>
  <c r="A543" i="46"/>
  <c r="L232" i="40"/>
  <c r="M232" i="40" s="1"/>
  <c r="H232" i="40"/>
  <c r="G232" i="40"/>
  <c r="F232" i="40"/>
  <c r="I232" i="40" s="1"/>
  <c r="J232" i="40" s="1"/>
  <c r="K232" i="40" s="1"/>
  <c r="H490" i="16"/>
  <c r="F490" i="16"/>
  <c r="E490" i="16"/>
  <c r="H489" i="16"/>
  <c r="F489" i="16"/>
  <c r="I489" i="16" s="1"/>
  <c r="J489" i="16" s="1"/>
  <c r="E489" i="16"/>
  <c r="I49" i="18"/>
  <c r="J49" i="18"/>
  <c r="K49" i="18" s="1"/>
  <c r="P49" i="18"/>
  <c r="M49" i="18"/>
  <c r="A544" i="46" l="1"/>
  <c r="D543" i="46"/>
  <c r="E543" i="46"/>
  <c r="I490" i="16"/>
  <c r="J490" i="16" s="1"/>
  <c r="N232" i="40"/>
  <c r="O232" i="40" s="1"/>
  <c r="E544" i="46" l="1"/>
  <c r="D544" i="46"/>
  <c r="A545" i="46"/>
  <c r="H488" i="16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A546" i="46" l="1"/>
  <c r="E545" i="46"/>
  <c r="D545" i="46"/>
  <c r="N231" i="40"/>
  <c r="O231" i="40" s="1"/>
  <c r="E546" i="46" l="1"/>
  <c r="D546" i="46"/>
  <c r="A547" i="46"/>
  <c r="H486" i="16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A548" i="46" l="1"/>
  <c r="D547" i="46"/>
  <c r="E547" i="46"/>
  <c r="I485" i="16"/>
  <c r="J485" i="16" s="1"/>
  <c r="I483" i="16"/>
  <c r="J483" i="16" s="1"/>
  <c r="N229" i="40"/>
  <c r="O229" i="40" s="1"/>
  <c r="E548" i="46" l="1"/>
  <c r="D548" i="46"/>
  <c r="A549" i="46"/>
  <c r="N200" i="25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I149" i="25"/>
  <c r="F130" i="25"/>
  <c r="F139" i="25"/>
  <c r="F142" i="25"/>
  <c r="F135" i="25"/>
  <c r="I141" i="25"/>
  <c r="I145" i="25"/>
  <c r="I147" i="25"/>
  <c r="I144" i="25"/>
  <c r="F133" i="25"/>
  <c r="F146" i="25"/>
  <c r="I138" i="25"/>
  <c r="I148" i="25"/>
  <c r="F134" i="25"/>
  <c r="I133" i="25"/>
  <c r="F132" i="25"/>
  <c r="I137" i="25"/>
  <c r="I146" i="25"/>
  <c r="I139" i="25"/>
  <c r="F141" i="25"/>
  <c r="F145" i="25"/>
  <c r="F149" i="25"/>
  <c r="F137" i="25"/>
  <c r="I136" i="25"/>
  <c r="F138" i="25"/>
  <c r="I135" i="25"/>
  <c r="F131" i="25"/>
  <c r="F140" i="25"/>
  <c r="F144" i="25"/>
  <c r="F143" i="25"/>
  <c r="I142" i="25"/>
  <c r="I143" i="25"/>
  <c r="I140" i="25"/>
  <c r="F129" i="25"/>
  <c r="F147" i="25"/>
  <c r="I134" i="25"/>
  <c r="F136" i="25"/>
  <c r="F148" i="25"/>
  <c r="A550" i="46" l="1"/>
  <c r="D549" i="46"/>
  <c r="E549" i="46"/>
  <c r="J149" i="25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E550" i="46" l="1"/>
  <c r="D550" i="46"/>
  <c r="A551" i="46"/>
  <c r="D126" i="25"/>
  <c r="I132" i="25"/>
  <c r="A552" i="46" l="1"/>
  <c r="D551" i="46"/>
  <c r="E551" i="46"/>
  <c r="J132" i="25"/>
  <c r="K132" i="25" s="1"/>
  <c r="E126" i="25"/>
  <c r="L6" i="25"/>
  <c r="L10" i="25"/>
  <c r="L7" i="25"/>
  <c r="L11" i="25"/>
  <c r="L9" i="25"/>
  <c r="L8" i="25"/>
  <c r="L13" i="25"/>
  <c r="L12" i="25"/>
  <c r="L3" i="25"/>
  <c r="L14" i="25"/>
  <c r="L15" i="25"/>
  <c r="L4" i="25"/>
  <c r="L5" i="25"/>
  <c r="E552" i="46" l="1"/>
  <c r="D552" i="46"/>
  <c r="A553" i="46"/>
  <c r="M2" i="25"/>
  <c r="L2" i="25"/>
  <c r="L1" i="25"/>
  <c r="I9" i="25"/>
  <c r="I4" i="25"/>
  <c r="I5" i="25"/>
  <c r="I7" i="25"/>
  <c r="I10" i="25"/>
  <c r="I8" i="25"/>
  <c r="I3" i="25"/>
  <c r="I6" i="25"/>
  <c r="A554" i="46" l="1"/>
  <c r="D553" i="46"/>
  <c r="E553" i="46"/>
  <c r="J2" i="25"/>
  <c r="I2" i="25"/>
  <c r="I1" i="25"/>
  <c r="F4" i="25"/>
  <c r="F3" i="25"/>
  <c r="E554" i="46" l="1"/>
  <c r="D554" i="46"/>
  <c r="A555" i="46"/>
  <c r="F1" i="25"/>
  <c r="G2" i="25"/>
  <c r="F2" i="25"/>
  <c r="A556" i="46" l="1"/>
  <c r="D555" i="46"/>
  <c r="E555" i="46"/>
  <c r="L228" i="40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E556" i="46" l="1"/>
  <c r="D556" i="46"/>
  <c r="A557" i="46"/>
  <c r="I228" i="40"/>
  <c r="J228" i="40" s="1"/>
  <c r="K228" i="40" s="1"/>
  <c r="A558" i="46" l="1"/>
  <c r="D557" i="46"/>
  <c r="E557" i="46"/>
  <c r="L477" i="16"/>
  <c r="E558" i="46" l="1"/>
  <c r="D558" i="46"/>
  <c r="A559" i="46"/>
  <c r="H477" i="16"/>
  <c r="F477" i="16"/>
  <c r="E477" i="16"/>
  <c r="H476" i="16"/>
  <c r="F476" i="16"/>
  <c r="E476" i="16"/>
  <c r="D110" i="25"/>
  <c r="I476" i="16" l="1"/>
  <c r="J476" i="16" s="1"/>
  <c r="I477" i="16"/>
  <c r="J477" i="16" s="1"/>
  <c r="A560" i="46"/>
  <c r="D559" i="46"/>
  <c r="E559" i="46"/>
  <c r="L227" i="40"/>
  <c r="M227" i="40" s="1"/>
  <c r="H227" i="40"/>
  <c r="G227" i="40"/>
  <c r="F227" i="40"/>
  <c r="N227" i="40" s="1"/>
  <c r="O227" i="40" s="1"/>
  <c r="H475" i="16"/>
  <c r="F475" i="16"/>
  <c r="E475" i="16"/>
  <c r="H474" i="16"/>
  <c r="F474" i="16"/>
  <c r="I474" i="16" s="1"/>
  <c r="J474" i="16" s="1"/>
  <c r="E474" i="16"/>
  <c r="H473" i="16"/>
  <c r="F473" i="16"/>
  <c r="E473" i="16"/>
  <c r="I475" i="16" l="1"/>
  <c r="J475" i="16" s="1"/>
  <c r="E560" i="46"/>
  <c r="D560" i="46"/>
  <c r="A561" i="46"/>
  <c r="I473" i="16"/>
  <c r="J473" i="16" s="1"/>
  <c r="I227" i="40"/>
  <c r="J227" i="40" s="1"/>
  <c r="K227" i="40" s="1"/>
  <c r="A562" i="46" l="1"/>
  <c r="D561" i="46"/>
  <c r="E561" i="46"/>
  <c r="H472" i="16"/>
  <c r="F472" i="16"/>
  <c r="I472" i="16" s="1"/>
  <c r="J472" i="16" s="1"/>
  <c r="E472" i="16"/>
  <c r="E562" i="46" l="1"/>
  <c r="D562" i="46"/>
  <c r="A563" i="46"/>
  <c r="L226" i="40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A564" i="46" l="1"/>
  <c r="D563" i="46"/>
  <c r="E563" i="46"/>
  <c r="I226" i="40"/>
  <c r="J226" i="40" s="1"/>
  <c r="K226" i="40" s="1"/>
  <c r="E564" i="46" l="1"/>
  <c r="D564" i="46"/>
  <c r="A565" i="46"/>
  <c r="H469" i="16"/>
  <c r="F469" i="16"/>
  <c r="I469" i="16" s="1"/>
  <c r="J469" i="16" s="1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A566" i="46" l="1"/>
  <c r="D565" i="46"/>
  <c r="E565" i="46"/>
  <c r="I225" i="40"/>
  <c r="J225" i="40" s="1"/>
  <c r="K225" i="40" s="1"/>
  <c r="E566" i="46" l="1"/>
  <c r="D566" i="46"/>
  <c r="A567" i="46"/>
  <c r="H465" i="16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A568" i="46" l="1"/>
  <c r="D567" i="46"/>
  <c r="E567" i="46"/>
  <c r="I465" i="16"/>
  <c r="J465" i="16" s="1"/>
  <c r="I464" i="16"/>
  <c r="J464" i="16" s="1"/>
  <c r="I224" i="40"/>
  <c r="J224" i="40" s="1"/>
  <c r="K224" i="40" s="1"/>
  <c r="H463" i="16"/>
  <c r="F463" i="16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3" i="16" l="1"/>
  <c r="J463" i="16" s="1"/>
  <c r="E568" i="46"/>
  <c r="D568" i="46"/>
  <c r="A569" i="46"/>
  <c r="I462" i="16"/>
  <c r="J462" i="16" s="1"/>
  <c r="L222" i="40"/>
  <c r="M222" i="40" s="1"/>
  <c r="H222" i="40"/>
  <c r="G222" i="40"/>
  <c r="F222" i="40"/>
  <c r="N222" i="40" s="1"/>
  <c r="O222" i="40" s="1"/>
  <c r="H461" i="16"/>
  <c r="F461" i="16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61" i="16" l="1"/>
  <c r="J461" i="16" s="1"/>
  <c r="A570" i="46"/>
  <c r="D569" i="46"/>
  <c r="E569" i="46"/>
  <c r="I456" i="16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E570" i="46" l="1"/>
  <c r="D570" i="46"/>
  <c r="A571" i="46"/>
  <c r="H454" i="16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E453" i="16"/>
  <c r="I453" i="16" l="1"/>
  <c r="J453" i="16" s="1"/>
  <c r="A572" i="46"/>
  <c r="D571" i="46"/>
  <c r="E571" i="46"/>
  <c r="N219" i="40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H450" i="16"/>
  <c r="F450" i="16"/>
  <c r="I450" i="16" s="1"/>
  <c r="J450" i="16" s="1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446" i="16" l="1"/>
  <c r="J446" i="16" s="1"/>
  <c r="E572" i="46"/>
  <c r="D572" i="46"/>
  <c r="A573" i="46"/>
  <c r="I217" i="40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A574" i="46" l="1"/>
  <c r="D573" i="46"/>
  <c r="E573" i="46"/>
  <c r="L213" i="40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E574" i="46" l="1"/>
  <c r="D574" i="46"/>
  <c r="A575" i="46"/>
  <c r="I213" i="40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A576" i="46" l="1"/>
  <c r="D575" i="46"/>
  <c r="E575" i="46"/>
  <c r="N211" i="40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E576" i="46" l="1"/>
  <c r="D576" i="46"/>
  <c r="A577" i="46"/>
  <c r="H439" i="16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A578" i="46" l="1"/>
  <c r="D577" i="46"/>
  <c r="E577" i="46"/>
  <c r="N210" i="40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E578" i="46" l="1"/>
  <c r="D578" i="46"/>
  <c r="A579" i="46"/>
  <c r="I434" i="16"/>
  <c r="J434" i="16" s="1"/>
  <c r="I207" i="40"/>
  <c r="J207" i="40" s="1"/>
  <c r="K207" i="40" s="1"/>
  <c r="H431" i="16"/>
  <c r="F431" i="16"/>
  <c r="E431" i="16"/>
  <c r="H430" i="16"/>
  <c r="F430" i="16"/>
  <c r="I430" i="16" s="1"/>
  <c r="J430" i="16" s="1"/>
  <c r="E430" i="16"/>
  <c r="I431" i="16" l="1"/>
  <c r="J431" i="16" s="1"/>
  <c r="A580" i="46"/>
  <c r="D579" i="46"/>
  <c r="E579" i="46"/>
  <c r="E429" i="16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E580" i="46" l="1"/>
  <c r="D580" i="46"/>
  <c r="A581" i="46"/>
  <c r="I421" i="16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I416" i="16" l="1"/>
  <c r="J416" i="16" s="1"/>
  <c r="A582" i="46"/>
  <c r="D581" i="46"/>
  <c r="E581" i="46"/>
  <c r="H415" i="16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H411" i="16"/>
  <c r="F411" i="16"/>
  <c r="I411" i="16" s="1"/>
  <c r="J411" i="16" s="1"/>
  <c r="E411" i="16"/>
  <c r="E582" i="46" l="1"/>
  <c r="D582" i="46"/>
  <c r="A583" i="46"/>
  <c r="I414" i="16"/>
  <c r="J414" i="16" s="1"/>
  <c r="H410" i="16"/>
  <c r="F410" i="16"/>
  <c r="I410" i="16" s="1"/>
  <c r="J410" i="16" s="1"/>
  <c r="E410" i="16"/>
  <c r="A584" i="46" l="1"/>
  <c r="D583" i="46"/>
  <c r="E583" i="46"/>
  <c r="N196" i="40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E584" i="46" l="1"/>
  <c r="D584" i="46"/>
  <c r="A585" i="46"/>
  <c r="I409" i="16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E406" i="16"/>
  <c r="H405" i="16"/>
  <c r="F405" i="16"/>
  <c r="E405" i="16"/>
  <c r="I406" i="16" l="1"/>
  <c r="J406" i="16" s="1"/>
  <c r="A586" i="46"/>
  <c r="D585" i="46"/>
  <c r="E585" i="46"/>
  <c r="I405" i="16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E586" i="46" l="1"/>
  <c r="D586" i="46"/>
  <c r="A587" i="46"/>
  <c r="I404" i="16"/>
  <c r="J404" i="16" s="1"/>
  <c r="L150" i="51"/>
  <c r="M150" i="51" s="1"/>
  <c r="N150" i="51" s="1"/>
  <c r="L101" i="51"/>
  <c r="M101" i="51" s="1"/>
  <c r="N101" i="51" s="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M130" i="51" s="1"/>
  <c r="N130" i="51" s="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N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M44" i="51" s="1"/>
  <c r="N44" i="51" s="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M55" i="51" s="1"/>
  <c r="N55" i="51" s="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M145" i="51" s="1"/>
  <c r="N145" i="51" s="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29" i="51" s="1"/>
  <c r="N129" i="51" s="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M61" i="51" s="1"/>
  <c r="N61" i="51" s="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M155" i="51" s="1"/>
  <c r="N155" i="51" s="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E73" i="51"/>
  <c r="M73" i="51"/>
  <c r="N73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E401" i="16"/>
  <c r="L190" i="40"/>
  <c r="M190" i="40" s="1"/>
  <c r="H190" i="40"/>
  <c r="G190" i="40"/>
  <c r="F190" i="40"/>
  <c r="I190" i="40" s="1"/>
  <c r="J190" i="40" s="1"/>
  <c r="K190" i="40" s="1"/>
  <c r="H400" i="16"/>
  <c r="I400" i="16" s="1"/>
  <c r="J400" i="16" s="1"/>
  <c r="F400" i="16"/>
  <c r="E400" i="16"/>
  <c r="H399" i="16"/>
  <c r="F399" i="16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E395" i="16"/>
  <c r="I401" i="16" l="1"/>
  <c r="J401" i="16" s="1"/>
  <c r="I395" i="16"/>
  <c r="J395" i="16" s="1"/>
  <c r="I399" i="16"/>
  <c r="J399" i="16" s="1"/>
  <c r="A588" i="46"/>
  <c r="D587" i="46"/>
  <c r="E587" i="46"/>
  <c r="I402" i="16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E588" i="46" l="1"/>
  <c r="D588" i="46"/>
  <c r="A589" i="46"/>
  <c r="O187" i="40"/>
  <c r="I186" i="40"/>
  <c r="A590" i="46" l="1"/>
  <c r="D589" i="46"/>
  <c r="E589" i="46"/>
  <c r="H184" i="40"/>
  <c r="G184" i="40"/>
  <c r="F184" i="40"/>
  <c r="F144" i="51"/>
  <c r="I48" i="51"/>
  <c r="F27" i="51"/>
  <c r="F161" i="51"/>
  <c r="F165" i="51"/>
  <c r="F63" i="51"/>
  <c r="I99" i="51"/>
  <c r="F140" i="51"/>
  <c r="I55" i="51"/>
  <c r="I165" i="51"/>
  <c r="F178" i="51"/>
  <c r="I59" i="51"/>
  <c r="F164" i="51"/>
  <c r="I86" i="51"/>
  <c r="F60" i="51"/>
  <c r="F75" i="51"/>
  <c r="I88" i="51"/>
  <c r="I41" i="51"/>
  <c r="F211" i="51"/>
  <c r="F22" i="51"/>
  <c r="I218" i="51"/>
  <c r="I204" i="51"/>
  <c r="F196" i="51"/>
  <c r="F7" i="51"/>
  <c r="I206" i="51"/>
  <c r="I219" i="51"/>
  <c r="F115" i="51"/>
  <c r="I69" i="51"/>
  <c r="F102" i="51"/>
  <c r="I136" i="51"/>
  <c r="F65" i="51"/>
  <c r="F39" i="51"/>
  <c r="F80" i="51"/>
  <c r="F92" i="51"/>
  <c r="F185" i="51"/>
  <c r="F131" i="51"/>
  <c r="I192" i="51"/>
  <c r="I13" i="51"/>
  <c r="F98" i="51"/>
  <c r="I66" i="51"/>
  <c r="F136" i="51"/>
  <c r="F216" i="51"/>
  <c r="F53" i="51"/>
  <c r="I51" i="51"/>
  <c r="F119" i="51"/>
  <c r="F97" i="51"/>
  <c r="F21" i="51"/>
  <c r="I217" i="51"/>
  <c r="I9" i="51"/>
  <c r="F162" i="51"/>
  <c r="I148" i="51"/>
  <c r="F169" i="51"/>
  <c r="F152" i="51"/>
  <c r="F175" i="51"/>
  <c r="F215" i="51"/>
  <c r="F41" i="51"/>
  <c r="I53" i="51"/>
  <c r="F129" i="51"/>
  <c r="I171" i="51"/>
  <c r="F201" i="51"/>
  <c r="F54" i="51"/>
  <c r="F121" i="51"/>
  <c r="F135" i="51"/>
  <c r="I125" i="51"/>
  <c r="I211" i="51"/>
  <c r="F90" i="51"/>
  <c r="I109" i="51"/>
  <c r="I38" i="51"/>
  <c r="I64" i="51"/>
  <c r="F210" i="51"/>
  <c r="I62" i="51"/>
  <c r="I207" i="51"/>
  <c r="I119" i="51"/>
  <c r="F77" i="51"/>
  <c r="I114" i="51"/>
  <c r="F38" i="51"/>
  <c r="F217" i="51"/>
  <c r="I205" i="51"/>
  <c r="I115" i="51"/>
  <c r="F37" i="51"/>
  <c r="F14" i="51"/>
  <c r="F181" i="51"/>
  <c r="F71" i="51"/>
  <c r="I193" i="51"/>
  <c r="I52" i="51"/>
  <c r="I121" i="51"/>
  <c r="F160" i="51"/>
  <c r="F111" i="51"/>
  <c r="I63" i="51"/>
  <c r="I85" i="51"/>
  <c r="I111" i="51"/>
  <c r="F200" i="51"/>
  <c r="F150" i="51"/>
  <c r="I183" i="51"/>
  <c r="F149" i="51"/>
  <c r="I216" i="51"/>
  <c r="F127" i="51"/>
  <c r="F166" i="51"/>
  <c r="I150" i="51"/>
  <c r="F128" i="51"/>
  <c r="I103" i="51"/>
  <c r="I67" i="51"/>
  <c r="F9" i="51"/>
  <c r="I105" i="51"/>
  <c r="F212" i="51"/>
  <c r="F76" i="51"/>
  <c r="I36" i="51"/>
  <c r="I39" i="51"/>
  <c r="I92" i="51"/>
  <c r="I179" i="51"/>
  <c r="F170" i="51"/>
  <c r="F180" i="51"/>
  <c r="F64" i="51"/>
  <c r="F114" i="51"/>
  <c r="F202" i="51"/>
  <c r="F104" i="51"/>
  <c r="F142" i="51"/>
  <c r="F153" i="51"/>
  <c r="F99" i="51"/>
  <c r="F82" i="51"/>
  <c r="F46" i="51"/>
  <c r="F191" i="51"/>
  <c r="I101" i="51"/>
  <c r="I152" i="51"/>
  <c r="I90" i="51"/>
  <c r="I160" i="51"/>
  <c r="I60" i="51"/>
  <c r="F34" i="51"/>
  <c r="I189" i="51"/>
  <c r="F214" i="51"/>
  <c r="F16" i="51"/>
  <c r="I79" i="51"/>
  <c r="I83" i="51"/>
  <c r="I49" i="51"/>
  <c r="I215" i="51"/>
  <c r="F44" i="51"/>
  <c r="I76" i="51"/>
  <c r="F101" i="51"/>
  <c r="F151" i="51"/>
  <c r="F31" i="51"/>
  <c r="I138" i="51"/>
  <c r="F17" i="51"/>
  <c r="F86" i="51"/>
  <c r="F221" i="51"/>
  <c r="I214" i="51"/>
  <c r="I164" i="51"/>
  <c r="I118" i="51"/>
  <c r="I3" i="51"/>
  <c r="F203" i="51"/>
  <c r="I197" i="51"/>
  <c r="F93" i="51"/>
  <c r="F103" i="51"/>
  <c r="F213" i="51"/>
  <c r="I7" i="51"/>
  <c r="I124" i="51"/>
  <c r="F159" i="51"/>
  <c r="I208" i="51"/>
  <c r="F218" i="51"/>
  <c r="F147" i="51"/>
  <c r="I10" i="51"/>
  <c r="I4" i="51"/>
  <c r="I141" i="51"/>
  <c r="F26" i="51"/>
  <c r="F183" i="51"/>
  <c r="F133" i="51"/>
  <c r="F43" i="51"/>
  <c r="I20" i="51"/>
  <c r="F172" i="51"/>
  <c r="I70" i="51"/>
  <c r="I172" i="51"/>
  <c r="F188" i="51"/>
  <c r="F137" i="51"/>
  <c r="I184" i="51"/>
  <c r="I123" i="51"/>
  <c r="F89" i="51"/>
  <c r="I117" i="51"/>
  <c r="I116" i="51"/>
  <c r="F206" i="51"/>
  <c r="F116" i="51"/>
  <c r="I220" i="51"/>
  <c r="I166" i="51"/>
  <c r="I89" i="51"/>
  <c r="I122" i="51"/>
  <c r="I158" i="51"/>
  <c r="F61" i="51"/>
  <c r="I5" i="51"/>
  <c r="I32" i="51"/>
  <c r="F59" i="51"/>
  <c r="I100" i="51"/>
  <c r="I140" i="51"/>
  <c r="I23" i="51"/>
  <c r="F148" i="51"/>
  <c r="I191" i="51"/>
  <c r="F155" i="51"/>
  <c r="I145" i="51"/>
  <c r="I188" i="51"/>
  <c r="I45" i="51"/>
  <c r="F173" i="51"/>
  <c r="I221" i="51"/>
  <c r="I102" i="51"/>
  <c r="F42" i="51"/>
  <c r="I113" i="51"/>
  <c r="F24" i="51"/>
  <c r="F112" i="51"/>
  <c r="I137" i="51"/>
  <c r="F177" i="51"/>
  <c r="I142" i="51"/>
  <c r="F74" i="51"/>
  <c r="I112" i="51"/>
  <c r="F69" i="51"/>
  <c r="F88" i="51"/>
  <c r="I97" i="51"/>
  <c r="I108" i="51"/>
  <c r="I176" i="51"/>
  <c r="I213" i="51"/>
  <c r="F13" i="51"/>
  <c r="F186" i="51"/>
  <c r="F204" i="51"/>
  <c r="I190" i="51"/>
  <c r="I168" i="51"/>
  <c r="F146" i="51"/>
  <c r="F3" i="51"/>
  <c r="F174" i="51"/>
  <c r="I15" i="51"/>
  <c r="F130" i="51"/>
  <c r="F199" i="51"/>
  <c r="I17" i="51"/>
  <c r="I178" i="51"/>
  <c r="F94" i="51"/>
  <c r="I139" i="51"/>
  <c r="F157" i="51"/>
  <c r="F40" i="51"/>
  <c r="F108" i="51"/>
  <c r="F176" i="51"/>
  <c r="I12" i="51"/>
  <c r="I182" i="51"/>
  <c r="F134" i="51"/>
  <c r="I71" i="51"/>
  <c r="I195" i="51"/>
  <c r="F205" i="51"/>
  <c r="I202" i="51"/>
  <c r="I91" i="51"/>
  <c r="I131" i="51"/>
  <c r="I154" i="51"/>
  <c r="F49" i="51"/>
  <c r="F47" i="51"/>
  <c r="F58" i="51"/>
  <c r="I74" i="51"/>
  <c r="I14" i="51"/>
  <c r="I186" i="51"/>
  <c r="F207" i="51"/>
  <c r="F100" i="51"/>
  <c r="F189" i="51"/>
  <c r="I133" i="51"/>
  <c r="F145" i="51"/>
  <c r="F20" i="51"/>
  <c r="F5" i="51"/>
  <c r="I82" i="51"/>
  <c r="F6" i="51"/>
  <c r="F15" i="51"/>
  <c r="I132" i="51"/>
  <c r="I40" i="51"/>
  <c r="I42" i="51"/>
  <c r="F51" i="51"/>
  <c r="F35" i="51"/>
  <c r="I22" i="51"/>
  <c r="I61" i="51"/>
  <c r="I130" i="51"/>
  <c r="I169" i="51"/>
  <c r="I43" i="51"/>
  <c r="I147" i="51"/>
  <c r="F154" i="51"/>
  <c r="F48" i="51"/>
  <c r="F167" i="51"/>
  <c r="I26" i="51"/>
  <c r="F222" i="51"/>
  <c r="I153" i="51"/>
  <c r="F45" i="51"/>
  <c r="I95" i="51"/>
  <c r="I156" i="51"/>
  <c r="I98" i="51"/>
  <c r="I149" i="51"/>
  <c r="F8" i="51"/>
  <c r="F125" i="51"/>
  <c r="F158" i="51"/>
  <c r="F118" i="51"/>
  <c r="I25" i="51"/>
  <c r="I185" i="51"/>
  <c r="F55" i="51"/>
  <c r="F124" i="51"/>
  <c r="I167" i="51"/>
  <c r="I29" i="51"/>
  <c r="I30" i="51"/>
  <c r="F67" i="51"/>
  <c r="I201" i="51"/>
  <c r="I37" i="51"/>
  <c r="I163" i="51"/>
  <c r="F4" i="51"/>
  <c r="F70" i="51"/>
  <c r="F78" i="51"/>
  <c r="I75" i="51"/>
  <c r="I87" i="51"/>
  <c r="F28" i="51"/>
  <c r="F117" i="51"/>
  <c r="F120" i="51"/>
  <c r="F168" i="51"/>
  <c r="I96" i="51"/>
  <c r="I11" i="51"/>
  <c r="I46" i="51"/>
  <c r="F56" i="51"/>
  <c r="I6" i="51"/>
  <c r="F68" i="51"/>
  <c r="F184" i="51"/>
  <c r="F163" i="51"/>
  <c r="I21" i="51"/>
  <c r="F193" i="51"/>
  <c r="F110" i="51"/>
  <c r="I50" i="51"/>
  <c r="I161" i="51"/>
  <c r="F197" i="51"/>
  <c r="I210" i="51"/>
  <c r="F50" i="51"/>
  <c r="F192" i="51"/>
  <c r="F208" i="51"/>
  <c r="F139" i="51"/>
  <c r="F32" i="51"/>
  <c r="I58" i="51"/>
  <c r="F18" i="51"/>
  <c r="I135" i="51"/>
  <c r="I209" i="51"/>
  <c r="I72" i="51"/>
  <c r="I65" i="51"/>
  <c r="I200" i="51"/>
  <c r="F113" i="51"/>
  <c r="F11" i="51"/>
  <c r="F141" i="51"/>
  <c r="I56" i="51"/>
  <c r="I73" i="51"/>
  <c r="F220" i="51"/>
  <c r="I144" i="51"/>
  <c r="F73" i="51"/>
  <c r="I173" i="51"/>
  <c r="I162" i="51"/>
  <c r="F194" i="51"/>
  <c r="F10" i="51"/>
  <c r="I54" i="51"/>
  <c r="I104" i="51"/>
  <c r="I8" i="51"/>
  <c r="I16" i="51"/>
  <c r="F36" i="51"/>
  <c r="I47" i="51"/>
  <c r="I84" i="51"/>
  <c r="F19" i="51"/>
  <c r="F182" i="51"/>
  <c r="F83" i="51"/>
  <c r="I194" i="51"/>
  <c r="I174" i="51"/>
  <c r="F187" i="51"/>
  <c r="I127" i="51"/>
  <c r="F156" i="51"/>
  <c r="I198" i="51"/>
  <c r="F171" i="51"/>
  <c r="I106" i="51"/>
  <c r="F91" i="51"/>
  <c r="F29" i="51"/>
  <c r="F105" i="51"/>
  <c r="I34" i="51"/>
  <c r="I126" i="51"/>
  <c r="F72" i="51"/>
  <c r="F79" i="51"/>
  <c r="I159" i="51"/>
  <c r="I134" i="51"/>
  <c r="F96" i="51"/>
  <c r="F95" i="51"/>
  <c r="F132" i="51"/>
  <c r="I146" i="51"/>
  <c r="F52" i="51"/>
  <c r="I94" i="51"/>
  <c r="F143" i="51"/>
  <c r="F30" i="51"/>
  <c r="I18" i="51"/>
  <c r="I128" i="51"/>
  <c r="I19" i="51"/>
  <c r="F12" i="51"/>
  <c r="I80" i="51"/>
  <c r="F81" i="51"/>
  <c r="I181" i="51"/>
  <c r="F33" i="51"/>
  <c r="F106" i="51"/>
  <c r="F198" i="51"/>
  <c r="I143" i="51"/>
  <c r="F57" i="51"/>
  <c r="F123" i="51"/>
  <c r="I187" i="51"/>
  <c r="I180" i="51"/>
  <c r="I120" i="51"/>
  <c r="I78" i="51"/>
  <c r="F209" i="51"/>
  <c r="I24" i="51"/>
  <c r="I35" i="51"/>
  <c r="I68" i="51"/>
  <c r="I151" i="51"/>
  <c r="I81" i="51"/>
  <c r="F107" i="51"/>
  <c r="I28" i="51"/>
  <c r="I107" i="51"/>
  <c r="F219" i="51"/>
  <c r="F109" i="51"/>
  <c r="I177" i="51"/>
  <c r="I44" i="51"/>
  <c r="F23" i="51"/>
  <c r="I196" i="51"/>
  <c r="F87" i="51"/>
  <c r="I212" i="51"/>
  <c r="I199" i="51"/>
  <c r="F195" i="51"/>
  <c r="I110" i="51"/>
  <c r="I155" i="51"/>
  <c r="F190" i="51"/>
  <c r="I77" i="51"/>
  <c r="F126" i="51"/>
  <c r="F122" i="51"/>
  <c r="I222" i="51"/>
  <c r="I93" i="51"/>
  <c r="I170" i="51"/>
  <c r="F179" i="51"/>
  <c r="F66" i="51"/>
  <c r="I57" i="51"/>
  <c r="I33" i="51"/>
  <c r="I31" i="51"/>
  <c r="I27" i="51"/>
  <c r="F62" i="51"/>
  <c r="I175" i="51"/>
  <c r="F25" i="51"/>
  <c r="F138" i="51"/>
  <c r="I203" i="51"/>
  <c r="I157" i="51"/>
  <c r="F84" i="51"/>
  <c r="I129" i="51"/>
  <c r="F85" i="51"/>
  <c r="J41" i="51" l="1"/>
  <c r="K41" i="51" s="1"/>
  <c r="G152" i="51"/>
  <c r="H152" i="51" s="1"/>
  <c r="G136" i="51"/>
  <c r="H136" i="51" s="1"/>
  <c r="J145" i="51"/>
  <c r="K145" i="51" s="1"/>
  <c r="J33" i="51"/>
  <c r="K33" i="51" s="1"/>
  <c r="G222" i="51"/>
  <c r="H222" i="51" s="1"/>
  <c r="G113" i="51"/>
  <c r="H113" i="51" s="1"/>
  <c r="G94" i="51"/>
  <c r="H94" i="51" s="1"/>
  <c r="G79" i="51"/>
  <c r="H79" i="51" s="1"/>
  <c r="G214" i="51"/>
  <c r="H214" i="51" s="1"/>
  <c r="G127" i="51"/>
  <c r="H127" i="51" s="1"/>
  <c r="J207" i="51"/>
  <c r="K207" i="51" s="1"/>
  <c r="J143" i="51"/>
  <c r="K143" i="51" s="1"/>
  <c r="G150" i="51"/>
  <c r="H150" i="51" s="1"/>
  <c r="G201" i="51"/>
  <c r="H201" i="51" s="1"/>
  <c r="G61" i="51"/>
  <c r="H61" i="51" s="1"/>
  <c r="G132" i="51"/>
  <c r="H132" i="51" s="1"/>
  <c r="J61" i="51"/>
  <c r="K61" i="51" s="1"/>
  <c r="G44" i="51"/>
  <c r="H44" i="51" s="1"/>
  <c r="G107" i="51"/>
  <c r="H107" i="51" s="1"/>
  <c r="G15" i="51"/>
  <c r="H15" i="51" s="1"/>
  <c r="G12" i="51"/>
  <c r="H12" i="51" s="1"/>
  <c r="G175" i="51"/>
  <c r="H175" i="51" s="1"/>
  <c r="G139" i="51"/>
  <c r="H139" i="51" s="1"/>
  <c r="G118" i="51"/>
  <c r="H118" i="51" s="1"/>
  <c r="J115" i="51"/>
  <c r="K115" i="51" s="1"/>
  <c r="J144" i="51"/>
  <c r="K144" i="51" s="1"/>
  <c r="J216" i="51"/>
  <c r="K216" i="51" s="1"/>
  <c r="G51" i="51"/>
  <c r="H51" i="51" s="1"/>
  <c r="J206" i="51"/>
  <c r="K206" i="51" s="1"/>
  <c r="G171" i="51"/>
  <c r="H171" i="51" s="1"/>
  <c r="J116" i="51"/>
  <c r="K116" i="51" s="1"/>
  <c r="J38" i="51"/>
  <c r="K38" i="51" s="1"/>
  <c r="J197" i="51"/>
  <c r="K197" i="51" s="1"/>
  <c r="G37" i="51"/>
  <c r="H37" i="51" s="1"/>
  <c r="G36" i="51"/>
  <c r="H36" i="51" s="1"/>
  <c r="J198" i="51"/>
  <c r="K198" i="51" s="1"/>
  <c r="J9" i="51"/>
  <c r="K9" i="51" s="1"/>
  <c r="J37" i="51"/>
  <c r="K37" i="51" s="1"/>
  <c r="J35" i="51"/>
  <c r="K35" i="51" s="1"/>
  <c r="G96" i="51"/>
  <c r="H96" i="51" s="1"/>
  <c r="J191" i="51"/>
  <c r="K191" i="51" s="1"/>
  <c r="G95" i="51"/>
  <c r="H95" i="51" s="1"/>
  <c r="G138" i="51"/>
  <c r="H138" i="51" s="1"/>
  <c r="J85" i="51"/>
  <c r="K85" i="51" s="1"/>
  <c r="J200" i="51"/>
  <c r="K200" i="51" s="1"/>
  <c r="J175" i="51"/>
  <c r="K175" i="51" s="1"/>
  <c r="J97" i="51"/>
  <c r="K97" i="51" s="1"/>
  <c r="G68" i="51"/>
  <c r="H68" i="51" s="1"/>
  <c r="G189" i="51"/>
  <c r="H189" i="51" s="1"/>
  <c r="G34" i="51"/>
  <c r="H34" i="51" s="1"/>
  <c r="G49" i="51"/>
  <c r="H49" i="51" s="1"/>
  <c r="G148" i="51"/>
  <c r="H148" i="51" s="1"/>
  <c r="G84" i="51"/>
  <c r="H84" i="51" s="1"/>
  <c r="G21" i="51"/>
  <c r="H21" i="51" s="1"/>
  <c r="J202" i="51"/>
  <c r="K202" i="51" s="1"/>
  <c r="J195" i="51"/>
  <c r="K195" i="51" s="1"/>
  <c r="G106" i="51"/>
  <c r="H106" i="51" s="1"/>
  <c r="G198" i="51"/>
  <c r="H198" i="51" s="1"/>
  <c r="J96" i="51"/>
  <c r="K96" i="51" s="1"/>
  <c r="J148" i="51"/>
  <c r="K148" i="51" s="1"/>
  <c r="G60" i="51"/>
  <c r="H60" i="51" s="1"/>
  <c r="G56" i="51"/>
  <c r="H56" i="51" s="1"/>
  <c r="G116" i="51"/>
  <c r="H116" i="51" s="1"/>
  <c r="G206" i="51"/>
  <c r="H206" i="51" s="1"/>
  <c r="J26" i="51"/>
  <c r="K26" i="51" s="1"/>
  <c r="J98" i="51"/>
  <c r="K98" i="51" s="1"/>
  <c r="G119" i="51"/>
  <c r="H119" i="51" s="1"/>
  <c r="J139" i="51"/>
  <c r="K139" i="51" s="1"/>
  <c r="J130" i="51"/>
  <c r="K130" i="51" s="1"/>
  <c r="J12" i="51"/>
  <c r="K12" i="51" s="1"/>
  <c r="G81" i="51"/>
  <c r="H81" i="51" s="1"/>
  <c r="G197" i="51"/>
  <c r="H197" i="51" s="1"/>
  <c r="J184" i="51"/>
  <c r="K184" i="51" s="1"/>
  <c r="J188" i="51"/>
  <c r="K188" i="51" s="1"/>
  <c r="J71" i="51"/>
  <c r="K71" i="51" s="1"/>
  <c r="G130" i="51"/>
  <c r="H130" i="51" s="1"/>
  <c r="G172" i="51"/>
  <c r="H172" i="51" s="1"/>
  <c r="G24" i="51"/>
  <c r="H24" i="51" s="1"/>
  <c r="G76" i="51"/>
  <c r="H76" i="51" s="1"/>
  <c r="J182" i="51"/>
  <c r="K182" i="51" s="1"/>
  <c r="G100" i="51"/>
  <c r="H100" i="51" s="1"/>
  <c r="J162" i="51"/>
  <c r="K162" i="51" s="1"/>
  <c r="J63" i="51"/>
  <c r="K63" i="51" s="1"/>
  <c r="G161" i="51"/>
  <c r="H161" i="51" s="1"/>
  <c r="J111" i="51"/>
  <c r="K111" i="51" s="1"/>
  <c r="G41" i="51"/>
  <c r="H41" i="51" s="1"/>
  <c r="J133" i="51"/>
  <c r="K133" i="51" s="1"/>
  <c r="J179" i="51"/>
  <c r="K179" i="51" s="1"/>
  <c r="J168" i="51"/>
  <c r="K168" i="51" s="1"/>
  <c r="J121" i="51"/>
  <c r="K121" i="51" s="1"/>
  <c r="G42" i="51"/>
  <c r="H42" i="51" s="1"/>
  <c r="J11" i="51"/>
  <c r="K11" i="51" s="1"/>
  <c r="G25" i="51"/>
  <c r="H25" i="51" s="1"/>
  <c r="J185" i="51"/>
  <c r="K185" i="51" s="1"/>
  <c r="G196" i="51"/>
  <c r="H196" i="51" s="1"/>
  <c r="G131" i="51"/>
  <c r="H131" i="51" s="1"/>
  <c r="J20" i="51"/>
  <c r="K20" i="51" s="1"/>
  <c r="J54" i="51"/>
  <c r="K54" i="51" s="1"/>
  <c r="G133" i="51"/>
  <c r="H133" i="51" s="1"/>
  <c r="J6" i="51"/>
  <c r="K6" i="51" s="1"/>
  <c r="J159" i="51"/>
  <c r="K159" i="51" s="1"/>
  <c r="J80" i="51"/>
  <c r="K80" i="51" s="1"/>
  <c r="G149" i="51"/>
  <c r="H149" i="51" s="1"/>
  <c r="J77" i="51"/>
  <c r="K77" i="51" s="1"/>
  <c r="J36" i="51"/>
  <c r="K36" i="51" s="1"/>
  <c r="J92" i="51"/>
  <c r="K92" i="51" s="1"/>
  <c r="J129" i="51"/>
  <c r="K129" i="51" s="1"/>
  <c r="G99" i="51"/>
  <c r="H99" i="51" s="1"/>
  <c r="J29" i="51"/>
  <c r="K29" i="51" s="1"/>
  <c r="G166" i="51"/>
  <c r="H166" i="51" s="1"/>
  <c r="J95" i="51"/>
  <c r="K95" i="51" s="1"/>
  <c r="G83" i="51"/>
  <c r="H83" i="51" s="1"/>
  <c r="J142" i="51"/>
  <c r="K142" i="51" s="1"/>
  <c r="J48" i="51"/>
  <c r="K48" i="51" s="1"/>
  <c r="G194" i="51"/>
  <c r="H194" i="51" s="1"/>
  <c r="G6" i="51"/>
  <c r="H6" i="51" s="1"/>
  <c r="J187" i="51"/>
  <c r="K187" i="51" s="1"/>
  <c r="J135" i="51"/>
  <c r="K135" i="51" s="1"/>
  <c r="J127" i="51"/>
  <c r="K127" i="51" s="1"/>
  <c r="J176" i="51"/>
  <c r="K176" i="51" s="1"/>
  <c r="G93" i="51"/>
  <c r="H93" i="51" s="1"/>
  <c r="G212" i="51"/>
  <c r="H212" i="51" s="1"/>
  <c r="J64" i="51"/>
  <c r="K64" i="51" s="1"/>
  <c r="G85" i="51"/>
  <c r="H85" i="51" s="1"/>
  <c r="G167" i="51"/>
  <c r="H167" i="51" s="1"/>
  <c r="G221" i="51"/>
  <c r="H221" i="51" s="1"/>
  <c r="J138" i="51"/>
  <c r="K138" i="51" s="1"/>
  <c r="J156" i="51"/>
  <c r="K156" i="51" s="1"/>
  <c r="G23" i="51"/>
  <c r="H23" i="51" s="1"/>
  <c r="G153" i="51"/>
  <c r="H153" i="51" s="1"/>
  <c r="G55" i="51"/>
  <c r="H55" i="51" s="1"/>
  <c r="G88" i="51"/>
  <c r="H88" i="51" s="1"/>
  <c r="J189" i="51"/>
  <c r="K189" i="51" s="1"/>
  <c r="G216" i="51"/>
  <c r="H216" i="51" s="1"/>
  <c r="G104" i="51"/>
  <c r="H104" i="51" s="1"/>
  <c r="J56" i="51"/>
  <c r="K56" i="51" s="1"/>
  <c r="G43" i="51"/>
  <c r="H43" i="51" s="1"/>
  <c r="J43" i="51"/>
  <c r="K43" i="51" s="1"/>
  <c r="J21" i="51"/>
  <c r="K21" i="51" s="1"/>
  <c r="G105" i="51"/>
  <c r="H105" i="51" s="1"/>
  <c r="G165" i="51"/>
  <c r="H165" i="51" s="1"/>
  <c r="J208" i="51"/>
  <c r="K208" i="51" s="1"/>
  <c r="G98" i="51"/>
  <c r="H98" i="51" s="1"/>
  <c r="J23" i="51"/>
  <c r="K23" i="51" s="1"/>
  <c r="G32" i="51"/>
  <c r="H32" i="51" s="1"/>
  <c r="G35" i="51"/>
  <c r="H35" i="51" s="1"/>
  <c r="J65" i="51"/>
  <c r="K65" i="51" s="1"/>
  <c r="G168" i="51"/>
  <c r="H168" i="51" s="1"/>
  <c r="G158" i="51"/>
  <c r="H158" i="51" s="1"/>
  <c r="J70" i="51"/>
  <c r="K70" i="51" s="1"/>
  <c r="G205" i="51"/>
  <c r="H205" i="51" s="1"/>
  <c r="J132" i="51"/>
  <c r="K132" i="51" s="1"/>
  <c r="J55" i="51"/>
  <c r="K55" i="51" s="1"/>
  <c r="G184" i="51"/>
  <c r="H184" i="51" s="1"/>
  <c r="J173" i="51"/>
  <c r="K173" i="51" s="1"/>
  <c r="G140" i="51"/>
  <c r="H140" i="51" s="1"/>
  <c r="J106" i="51"/>
  <c r="K106" i="51" s="1"/>
  <c r="G72" i="51"/>
  <c r="H72" i="51" s="1"/>
  <c r="G82" i="51"/>
  <c r="H82" i="51" s="1"/>
  <c r="G156" i="51"/>
  <c r="H156" i="51" s="1"/>
  <c r="G213" i="51"/>
  <c r="H213" i="51" s="1"/>
  <c r="G17" i="51"/>
  <c r="H17" i="51" s="1"/>
  <c r="G114" i="51"/>
  <c r="H114" i="51" s="1"/>
  <c r="G46" i="51"/>
  <c r="H46" i="51" s="1"/>
  <c r="J44" i="51"/>
  <c r="K44" i="51" s="1"/>
  <c r="J218" i="51"/>
  <c r="K218" i="51" s="1"/>
  <c r="G208" i="51"/>
  <c r="H208" i="51" s="1"/>
  <c r="G8" i="51"/>
  <c r="H8" i="51" s="1"/>
  <c r="J137" i="51"/>
  <c r="K137" i="51" s="1"/>
  <c r="J105" i="51"/>
  <c r="K105" i="51" s="1"/>
  <c r="J149" i="51"/>
  <c r="K149" i="51" s="1"/>
  <c r="J164" i="51"/>
  <c r="K164" i="51" s="1"/>
  <c r="J112" i="51"/>
  <c r="K112" i="51" s="1"/>
  <c r="J196" i="51"/>
  <c r="K196" i="51" s="1"/>
  <c r="J101" i="51"/>
  <c r="K101" i="51" s="1"/>
  <c r="J93" i="51"/>
  <c r="K93" i="51" s="1"/>
  <c r="J45" i="51"/>
  <c r="K45" i="51" s="1"/>
  <c r="G141" i="51"/>
  <c r="H141" i="51" s="1"/>
  <c r="G28" i="51"/>
  <c r="H28" i="51" s="1"/>
  <c r="G177" i="51"/>
  <c r="H177" i="51" s="1"/>
  <c r="J50" i="51"/>
  <c r="K50" i="51" s="1"/>
  <c r="G129" i="51"/>
  <c r="H129" i="51" s="1"/>
  <c r="G157" i="51"/>
  <c r="H157" i="51" s="1"/>
  <c r="G163" i="51"/>
  <c r="H163" i="51" s="1"/>
  <c r="J141" i="51"/>
  <c r="K141" i="51" s="1"/>
  <c r="G52" i="51"/>
  <c r="H52" i="51" s="1"/>
  <c r="G10" i="51"/>
  <c r="H10" i="51" s="1"/>
  <c r="J170" i="51"/>
  <c r="K170" i="51" s="1"/>
  <c r="J136" i="51"/>
  <c r="K136" i="51" s="1"/>
  <c r="G137" i="51"/>
  <c r="H137" i="51" s="1"/>
  <c r="J52" i="51"/>
  <c r="K52" i="51" s="1"/>
  <c r="J219" i="51"/>
  <c r="K219" i="51" s="1"/>
  <c r="G77" i="51"/>
  <c r="H77" i="51" s="1"/>
  <c r="G203" i="51"/>
  <c r="H203" i="51" s="1"/>
  <c r="J78" i="51"/>
  <c r="K78" i="51" s="1"/>
  <c r="G58" i="51"/>
  <c r="H58" i="51" s="1"/>
  <c r="G91" i="51"/>
  <c r="H91" i="51" s="1"/>
  <c r="J166" i="51"/>
  <c r="K166" i="51" s="1"/>
  <c r="J154" i="51"/>
  <c r="K154" i="51" s="1"/>
  <c r="J128" i="51"/>
  <c r="K128" i="51" s="1"/>
  <c r="J150" i="51"/>
  <c r="K150" i="51" s="1"/>
  <c r="J14" i="51"/>
  <c r="K14" i="51" s="1"/>
  <c r="J222" i="51"/>
  <c r="K222" i="51" s="1"/>
  <c r="G27" i="51"/>
  <c r="H27" i="51" s="1"/>
  <c r="G210" i="51"/>
  <c r="H210" i="51" s="1"/>
  <c r="G183" i="51"/>
  <c r="H183" i="51" s="1"/>
  <c r="J86" i="51"/>
  <c r="K86" i="51" s="1"/>
  <c r="G191" i="51"/>
  <c r="H191" i="51" s="1"/>
  <c r="J53" i="51"/>
  <c r="K53" i="51" s="1"/>
  <c r="G143" i="51"/>
  <c r="H143" i="51" s="1"/>
  <c r="J66" i="51"/>
  <c r="K66" i="51" s="1"/>
  <c r="G123" i="51"/>
  <c r="H123" i="51" s="1"/>
  <c r="G180" i="51"/>
  <c r="H180" i="51" s="1"/>
  <c r="G63" i="51"/>
  <c r="H63" i="51" s="1"/>
  <c r="G48" i="51"/>
  <c r="H48" i="51" s="1"/>
  <c r="J89" i="51"/>
  <c r="K89" i="51" s="1"/>
  <c r="J157" i="51"/>
  <c r="K157" i="51" s="1"/>
  <c r="G147" i="51"/>
  <c r="H147" i="51" s="1"/>
  <c r="J220" i="51"/>
  <c r="K220" i="51" s="1"/>
  <c r="J180" i="51"/>
  <c r="K180" i="51" s="1"/>
  <c r="J146" i="51"/>
  <c r="K146" i="51" s="1"/>
  <c r="G200" i="51"/>
  <c r="H200" i="51" s="1"/>
  <c r="J125" i="51"/>
  <c r="K125" i="51" s="1"/>
  <c r="J60" i="51"/>
  <c r="K60" i="51" s="1"/>
  <c r="J204" i="51"/>
  <c r="K204" i="51" s="1"/>
  <c r="G30" i="51"/>
  <c r="H30" i="51" s="1"/>
  <c r="G111" i="51"/>
  <c r="H111" i="51" s="1"/>
  <c r="G75" i="51"/>
  <c r="H75" i="51" s="1"/>
  <c r="J18" i="51"/>
  <c r="K18" i="51" s="1"/>
  <c r="G211" i="51"/>
  <c r="H211" i="51" s="1"/>
  <c r="J169" i="51"/>
  <c r="K169" i="51" s="1"/>
  <c r="J22" i="51"/>
  <c r="K22" i="51" s="1"/>
  <c r="G170" i="51"/>
  <c r="H170" i="51" s="1"/>
  <c r="J183" i="51"/>
  <c r="K183" i="51" s="1"/>
  <c r="J103" i="51"/>
  <c r="K103" i="51" s="1"/>
  <c r="J40" i="51"/>
  <c r="K40" i="51" s="1"/>
  <c r="J147" i="51"/>
  <c r="K147" i="51" s="1"/>
  <c r="J131" i="51"/>
  <c r="K131" i="51" s="1"/>
  <c r="G103" i="51"/>
  <c r="H103" i="51" s="1"/>
  <c r="J158" i="51"/>
  <c r="K158" i="51" s="1"/>
  <c r="G185" i="51"/>
  <c r="H185" i="51" s="1"/>
  <c r="G204" i="51"/>
  <c r="H204" i="51" s="1"/>
  <c r="G90" i="51"/>
  <c r="H90" i="51" s="1"/>
  <c r="J167" i="51"/>
  <c r="K167" i="51" s="1"/>
  <c r="G173" i="51"/>
  <c r="H173" i="51" s="1"/>
  <c r="J210" i="51"/>
  <c r="K210" i="51" s="1"/>
  <c r="G144" i="51"/>
  <c r="H144" i="51" s="1"/>
  <c r="G26" i="51"/>
  <c r="H26" i="51" s="1"/>
  <c r="G178" i="51"/>
  <c r="H178" i="51" s="1"/>
  <c r="J104" i="51"/>
  <c r="K104" i="51" s="1"/>
  <c r="G9" i="51"/>
  <c r="H9" i="51" s="1"/>
  <c r="G69" i="51"/>
  <c r="H69" i="51" s="1"/>
  <c r="J126" i="51"/>
  <c r="K126" i="51" s="1"/>
  <c r="G135" i="51"/>
  <c r="H135" i="51" s="1"/>
  <c r="J165" i="51"/>
  <c r="K165" i="51" s="1"/>
  <c r="J5" i="51"/>
  <c r="K5" i="51" s="1"/>
  <c r="J3" i="51"/>
  <c r="K3" i="51" s="1"/>
  <c r="J117" i="51"/>
  <c r="K117" i="51" s="1"/>
  <c r="J47" i="51"/>
  <c r="K47" i="51" s="1"/>
  <c r="G108" i="51"/>
  <c r="H108" i="51" s="1"/>
  <c r="G181" i="51"/>
  <c r="H181" i="51" s="1"/>
  <c r="J87" i="51"/>
  <c r="K87" i="51" s="1"/>
  <c r="J192" i="51"/>
  <c r="K192" i="51" s="1"/>
  <c r="J46" i="51"/>
  <c r="K46" i="51" s="1"/>
  <c r="J172" i="51"/>
  <c r="K172" i="51" s="1"/>
  <c r="J67" i="51"/>
  <c r="K67" i="51" s="1"/>
  <c r="J177" i="51"/>
  <c r="K177" i="51" s="1"/>
  <c r="G219" i="51"/>
  <c r="H219" i="51" s="1"/>
  <c r="J68" i="51"/>
  <c r="K68" i="51" s="1"/>
  <c r="J51" i="51"/>
  <c r="K51" i="51" s="1"/>
  <c r="J27" i="51"/>
  <c r="K27" i="51" s="1"/>
  <c r="J34" i="51"/>
  <c r="K34" i="51" s="1"/>
  <c r="G146" i="51"/>
  <c r="H146" i="51" s="1"/>
  <c r="G192" i="51"/>
  <c r="H192" i="51" s="1"/>
  <c r="G117" i="51"/>
  <c r="H117" i="51" s="1"/>
  <c r="G151" i="51"/>
  <c r="H151" i="51" s="1"/>
  <c r="G187" i="51"/>
  <c r="H187" i="51" s="1"/>
  <c r="J211" i="51"/>
  <c r="K211" i="51" s="1"/>
  <c r="J7" i="51"/>
  <c r="K7" i="51" s="1"/>
  <c r="J193" i="51"/>
  <c r="K193" i="51" s="1"/>
  <c r="G188" i="51"/>
  <c r="H188" i="51" s="1"/>
  <c r="G13" i="51"/>
  <c r="H13" i="51" s="1"/>
  <c r="J201" i="51"/>
  <c r="K201" i="51" s="1"/>
  <c r="J81" i="51"/>
  <c r="K81" i="51" s="1"/>
  <c r="G182" i="51"/>
  <c r="H182" i="51" s="1"/>
  <c r="G47" i="51"/>
  <c r="H47" i="51" s="1"/>
  <c r="G174" i="51"/>
  <c r="H174" i="51" s="1"/>
  <c r="G87" i="51"/>
  <c r="H87" i="51" s="1"/>
  <c r="G67" i="51"/>
  <c r="H67" i="51" s="1"/>
  <c r="G215" i="51"/>
  <c r="H215" i="51" s="1"/>
  <c r="J19" i="51"/>
  <c r="K19" i="51" s="1"/>
  <c r="J153" i="51"/>
  <c r="K153" i="51" s="1"/>
  <c r="G220" i="51"/>
  <c r="H220" i="51" s="1"/>
  <c r="G155" i="51"/>
  <c r="H155" i="51" s="1"/>
  <c r="J174" i="51"/>
  <c r="K174" i="51" s="1"/>
  <c r="J118" i="51"/>
  <c r="K118" i="51" s="1"/>
  <c r="J25" i="51"/>
  <c r="K25" i="51" s="1"/>
  <c r="J88" i="51"/>
  <c r="K88" i="51" s="1"/>
  <c r="G7" i="51"/>
  <c r="H7" i="51" s="1"/>
  <c r="G78" i="51"/>
  <c r="H78" i="51" s="1"/>
  <c r="G159" i="51"/>
  <c r="H159" i="51" s="1"/>
  <c r="J84" i="51"/>
  <c r="K84" i="51" s="1"/>
  <c r="J205" i="51"/>
  <c r="K205" i="51" s="1"/>
  <c r="J212" i="51"/>
  <c r="K212" i="51" s="1"/>
  <c r="G3" i="51"/>
  <c r="H3" i="51" s="1"/>
  <c r="J72" i="51"/>
  <c r="K72" i="51" s="1"/>
  <c r="G199" i="51"/>
  <c r="H199" i="51" s="1"/>
  <c r="J215" i="51"/>
  <c r="K215" i="51" s="1"/>
  <c r="G74" i="51"/>
  <c r="H74" i="51" s="1"/>
  <c r="G29" i="51"/>
  <c r="H29" i="51" s="1"/>
  <c r="G31" i="51"/>
  <c r="H31" i="51" s="1"/>
  <c r="G207" i="51"/>
  <c r="H207" i="51" s="1"/>
  <c r="G124" i="51"/>
  <c r="H124" i="51" s="1"/>
  <c r="J161" i="51"/>
  <c r="K161" i="51" s="1"/>
  <c r="G71" i="51"/>
  <c r="H71" i="51" s="1"/>
  <c r="G101" i="51"/>
  <c r="H101" i="51" s="1"/>
  <c r="J42" i="51"/>
  <c r="K42" i="51" s="1"/>
  <c r="G4" i="51"/>
  <c r="H4" i="51" s="1"/>
  <c r="J124" i="51"/>
  <c r="K124" i="51" s="1"/>
  <c r="G45" i="51"/>
  <c r="H45" i="51" s="1"/>
  <c r="J221" i="51"/>
  <c r="K221" i="51" s="1"/>
  <c r="J83" i="51"/>
  <c r="K83" i="51" s="1"/>
  <c r="G22" i="51"/>
  <c r="H22" i="51" s="1"/>
  <c r="J190" i="51"/>
  <c r="K190" i="51" s="1"/>
  <c r="G102" i="51"/>
  <c r="H102" i="51" s="1"/>
  <c r="G59" i="51"/>
  <c r="H59" i="51" s="1"/>
  <c r="J62" i="51"/>
  <c r="K62" i="51" s="1"/>
  <c r="G57" i="51"/>
  <c r="H57" i="51" s="1"/>
  <c r="J59" i="51"/>
  <c r="K59" i="51" s="1"/>
  <c r="J79" i="51"/>
  <c r="K79" i="51" s="1"/>
  <c r="J94" i="51"/>
  <c r="K94" i="51" s="1"/>
  <c r="G112" i="51"/>
  <c r="H112" i="51" s="1"/>
  <c r="J74" i="51"/>
  <c r="K74" i="51" s="1"/>
  <c r="J107" i="51"/>
  <c r="K107" i="51" s="1"/>
  <c r="G176" i="51"/>
  <c r="H176" i="51" s="1"/>
  <c r="G195" i="51"/>
  <c r="H195" i="51" s="1"/>
  <c r="G53" i="51"/>
  <c r="H53" i="51" s="1"/>
  <c r="G190" i="51"/>
  <c r="H190" i="51" s="1"/>
  <c r="G11" i="51"/>
  <c r="H11" i="51" s="1"/>
  <c r="G179" i="51"/>
  <c r="H179" i="51" s="1"/>
  <c r="J91" i="51"/>
  <c r="K91" i="51" s="1"/>
  <c r="G125" i="51"/>
  <c r="H125" i="51" s="1"/>
  <c r="J73" i="51"/>
  <c r="K73" i="51" s="1"/>
  <c r="G109" i="51"/>
  <c r="H109" i="51" s="1"/>
  <c r="G121" i="51"/>
  <c r="H121" i="51" s="1"/>
  <c r="J108" i="51"/>
  <c r="K108" i="51" s="1"/>
  <c r="J151" i="51"/>
  <c r="K151" i="51" s="1"/>
  <c r="J82" i="51"/>
  <c r="K82" i="51" s="1"/>
  <c r="J57" i="51"/>
  <c r="K57" i="51" s="1"/>
  <c r="G202" i="51"/>
  <c r="H202" i="51" s="1"/>
  <c r="J120" i="51"/>
  <c r="K120" i="51" s="1"/>
  <c r="J30" i="51"/>
  <c r="K30" i="51" s="1"/>
  <c r="J199" i="51"/>
  <c r="K199" i="51" s="1"/>
  <c r="J217" i="51"/>
  <c r="K217" i="51" s="1"/>
  <c r="G86" i="51"/>
  <c r="H86" i="51" s="1"/>
  <c r="J75" i="51"/>
  <c r="K75" i="51" s="1"/>
  <c r="G54" i="51"/>
  <c r="H54" i="51" s="1"/>
  <c r="J160" i="51"/>
  <c r="K160" i="51" s="1"/>
  <c r="G70" i="51"/>
  <c r="H70" i="51" s="1"/>
  <c r="J152" i="51"/>
  <c r="K152" i="51" s="1"/>
  <c r="G40" i="51"/>
  <c r="H40" i="51" s="1"/>
  <c r="J110" i="51"/>
  <c r="K110" i="51" s="1"/>
  <c r="J213" i="51"/>
  <c r="K213" i="51" s="1"/>
  <c r="G142" i="51"/>
  <c r="H142" i="51" s="1"/>
  <c r="J163" i="51"/>
  <c r="K163" i="51" s="1"/>
  <c r="G128" i="51"/>
  <c r="H128" i="51" s="1"/>
  <c r="G16" i="51"/>
  <c r="H16" i="51" s="1"/>
  <c r="J134" i="51"/>
  <c r="K134" i="51" s="1"/>
  <c r="G110" i="51"/>
  <c r="H110" i="51" s="1"/>
  <c r="J140" i="51"/>
  <c r="K140" i="51" s="1"/>
  <c r="J99" i="51"/>
  <c r="K99" i="51" s="1"/>
  <c r="J58" i="51"/>
  <c r="K58" i="51" s="1"/>
  <c r="J102" i="51"/>
  <c r="K102" i="51" s="1"/>
  <c r="J17" i="51"/>
  <c r="K17" i="51" s="1"/>
  <c r="G38" i="51"/>
  <c r="H38" i="51" s="1"/>
  <c r="J4" i="51"/>
  <c r="K4" i="51" s="1"/>
  <c r="J214" i="51"/>
  <c r="K214" i="51" s="1"/>
  <c r="J178" i="51"/>
  <c r="K178" i="51" s="1"/>
  <c r="G115" i="51"/>
  <c r="H115" i="51" s="1"/>
  <c r="J114" i="51"/>
  <c r="K114" i="51" s="1"/>
  <c r="J31" i="51"/>
  <c r="K31" i="51" s="1"/>
  <c r="J15" i="51"/>
  <c r="K15" i="51" s="1"/>
  <c r="G122" i="51"/>
  <c r="H122" i="51" s="1"/>
  <c r="G20" i="51"/>
  <c r="H20" i="51" s="1"/>
  <c r="G162" i="51"/>
  <c r="H162" i="51" s="1"/>
  <c r="J171" i="51"/>
  <c r="K171" i="51" s="1"/>
  <c r="J122" i="51"/>
  <c r="K122" i="51" s="1"/>
  <c r="G19" i="51"/>
  <c r="H19" i="51" s="1"/>
  <c r="G66" i="51"/>
  <c r="H66" i="51" s="1"/>
  <c r="J90" i="51"/>
  <c r="K90" i="51" s="1"/>
  <c r="J8" i="51"/>
  <c r="K8" i="51" s="1"/>
  <c r="G64" i="51"/>
  <c r="H64" i="51" s="1"/>
  <c r="G145" i="51"/>
  <c r="H145" i="51" s="1"/>
  <c r="J16" i="51"/>
  <c r="K16" i="51" s="1"/>
  <c r="J194" i="51"/>
  <c r="K194" i="51" s="1"/>
  <c r="J32" i="51"/>
  <c r="K32" i="51" s="1"/>
  <c r="G89" i="51"/>
  <c r="H89" i="51" s="1"/>
  <c r="J181" i="51"/>
  <c r="K181" i="51" s="1"/>
  <c r="G120" i="51"/>
  <c r="H120" i="51" s="1"/>
  <c r="G18" i="51"/>
  <c r="H18" i="51" s="1"/>
  <c r="G92" i="51"/>
  <c r="H92" i="51" s="1"/>
  <c r="G73" i="51"/>
  <c r="H73" i="51" s="1"/>
  <c r="G65" i="51"/>
  <c r="H65" i="51" s="1"/>
  <c r="J49" i="51"/>
  <c r="K49" i="51" s="1"/>
  <c r="J69" i="51"/>
  <c r="K69" i="51" s="1"/>
  <c r="J186" i="51"/>
  <c r="K186" i="51" s="1"/>
  <c r="G5" i="51"/>
  <c r="H5" i="51" s="1"/>
  <c r="J13" i="51"/>
  <c r="K13" i="51" s="1"/>
  <c r="J39" i="51"/>
  <c r="K39" i="51" s="1"/>
  <c r="G97" i="51"/>
  <c r="H97" i="51" s="1"/>
  <c r="G50" i="51"/>
  <c r="H50" i="51" s="1"/>
  <c r="G217" i="51"/>
  <c r="H217" i="51" s="1"/>
  <c r="J155" i="51"/>
  <c r="K155" i="51" s="1"/>
  <c r="J76" i="51"/>
  <c r="K76" i="51" s="1"/>
  <c r="G62" i="51"/>
  <c r="H62" i="51" s="1"/>
  <c r="G169" i="51"/>
  <c r="H169" i="51" s="1"/>
  <c r="G14" i="51"/>
  <c r="H14" i="51" s="1"/>
  <c r="J123" i="51"/>
  <c r="K123" i="51" s="1"/>
  <c r="J209" i="51"/>
  <c r="K209" i="51" s="1"/>
  <c r="G193" i="51"/>
  <c r="H193" i="51" s="1"/>
  <c r="J28" i="51"/>
  <c r="K28" i="51" s="1"/>
  <c r="G160" i="51"/>
  <c r="H160" i="51" s="1"/>
  <c r="G164" i="51"/>
  <c r="H164" i="51" s="1"/>
  <c r="G154" i="51"/>
  <c r="H154" i="51" s="1"/>
  <c r="G33" i="51"/>
  <c r="H33" i="51" s="1"/>
  <c r="J10" i="51"/>
  <c r="K10" i="51" s="1"/>
  <c r="G80" i="51"/>
  <c r="H80" i="51" s="1"/>
  <c r="J203" i="51"/>
  <c r="K203" i="51" s="1"/>
  <c r="J119" i="51"/>
  <c r="K119" i="51" s="1"/>
  <c r="J100" i="51"/>
  <c r="K100" i="51" s="1"/>
  <c r="G186" i="51"/>
  <c r="H186" i="51" s="1"/>
  <c r="G209" i="51"/>
  <c r="H209" i="51" s="1"/>
  <c r="G218" i="51"/>
  <c r="H218" i="51" s="1"/>
  <c r="G126" i="51"/>
  <c r="H126" i="51" s="1"/>
  <c r="J113" i="51"/>
  <c r="K113" i="51" s="1"/>
  <c r="G134" i="51"/>
  <c r="H134" i="51" s="1"/>
  <c r="J24" i="51"/>
  <c r="K24" i="51" s="1"/>
  <c r="J109" i="51"/>
  <c r="K109" i="51" s="1"/>
  <c r="G39" i="51"/>
  <c r="H39" i="51" s="1"/>
  <c r="E590" i="46"/>
  <c r="D590" i="46"/>
  <c r="A591" i="46"/>
  <c r="N184" i="40"/>
  <c r="I185" i="40"/>
  <c r="A592" i="46" l="1"/>
  <c r="D591" i="46"/>
  <c r="E591" i="46"/>
  <c r="O185" i="40"/>
  <c r="H392" i="16"/>
  <c r="F392" i="16"/>
  <c r="I392" i="16" s="1"/>
  <c r="J392" i="16" s="1"/>
  <c r="H391" i="16"/>
  <c r="F391" i="16"/>
  <c r="I391" i="16" s="1"/>
  <c r="J391" i="16" s="1"/>
  <c r="E392" i="16"/>
  <c r="E391" i="16"/>
  <c r="E592" i="46" l="1"/>
  <c r="D592" i="46"/>
  <c r="A593" i="46"/>
  <c r="AB19" i="48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A594" i="46" l="1"/>
  <c r="D593" i="46"/>
  <c r="E593" i="46"/>
  <c r="I390" i="16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E594" i="46" l="1"/>
  <c r="D594" i="46"/>
  <c r="A595" i="46"/>
  <c r="O184" i="40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H387" i="16"/>
  <c r="F387" i="16"/>
  <c r="I387" i="16" s="1"/>
  <c r="J387" i="16" s="1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A596" i="46" l="1"/>
  <c r="D595" i="46"/>
  <c r="E595" i="46"/>
  <c r="I386" i="16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E596" i="46" l="1"/>
  <c r="D596" i="46"/>
  <c r="A597" i="46"/>
  <c r="I382" i="16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76" i="16" l="1"/>
  <c r="J376" i="16" s="1"/>
  <c r="A598" i="46"/>
  <c r="D597" i="46"/>
  <c r="E597" i="46"/>
  <c r="I380" i="16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E369" i="16"/>
  <c r="I369" i="16" l="1"/>
  <c r="J369" i="16" s="1"/>
  <c r="E598" i="46"/>
  <c r="D598" i="46"/>
  <c r="A599" i="46"/>
  <c r="O165" i="40"/>
  <c r="I165" i="40"/>
  <c r="A600" i="46" l="1"/>
  <c r="D599" i="46"/>
  <c r="E599" i="46"/>
  <c r="H163" i="40"/>
  <c r="G163" i="40"/>
  <c r="F163" i="40"/>
  <c r="H368" i="16"/>
  <c r="F368" i="16"/>
  <c r="I368" i="16" s="1"/>
  <c r="J368" i="16" s="1"/>
  <c r="E368" i="16"/>
  <c r="H367" i="16"/>
  <c r="F367" i="16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E361" i="16"/>
  <c r="H156" i="40"/>
  <c r="G156" i="40"/>
  <c r="F156" i="40"/>
  <c r="N156" i="40" s="1"/>
  <c r="H360" i="16"/>
  <c r="F360" i="16"/>
  <c r="I360" i="16" s="1"/>
  <c r="J360" i="16" s="1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I361" i="16" l="1"/>
  <c r="J361" i="16" s="1"/>
  <c r="I367" i="16"/>
  <c r="J367" i="16" s="1"/>
  <c r="E600" i="46"/>
  <c r="D600" i="46"/>
  <c r="A601" i="46"/>
  <c r="I363" i="16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A602" i="46" l="1"/>
  <c r="D601" i="46"/>
  <c r="E601" i="46"/>
  <c r="O163" i="40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8" i="16" l="1"/>
  <c r="J348" i="16" s="1"/>
  <c r="E602" i="46"/>
  <c r="D602" i="46"/>
  <c r="A603" i="46"/>
  <c r="I343" i="16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A604" i="46" l="1"/>
  <c r="D603" i="46"/>
  <c r="E603" i="46"/>
  <c r="M157" i="40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E333" i="16"/>
  <c r="H332" i="16"/>
  <c r="F332" i="16"/>
  <c r="I332" i="16" s="1"/>
  <c r="J332" i="16" s="1"/>
  <c r="E332" i="16"/>
  <c r="H331" i="16"/>
  <c r="F331" i="16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E330" i="16"/>
  <c r="H133" i="40"/>
  <c r="G133" i="40"/>
  <c r="F133" i="40"/>
  <c r="H329" i="16"/>
  <c r="F329" i="16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4" i="18"/>
  <c r="H124" i="40"/>
  <c r="G124" i="40"/>
  <c r="H320" i="16"/>
  <c r="F320" i="16"/>
  <c r="I320" i="16" s="1"/>
  <c r="J320" i="16" s="1"/>
  <c r="E320" i="16"/>
  <c r="H319" i="16"/>
  <c r="F319" i="16"/>
  <c r="E319" i="16"/>
  <c r="I329" i="16" l="1"/>
  <c r="J329" i="16" s="1"/>
  <c r="I333" i="16"/>
  <c r="J333" i="16" s="1"/>
  <c r="I335" i="16"/>
  <c r="J335" i="16" s="1"/>
  <c r="I330" i="16"/>
  <c r="J330" i="16" s="1"/>
  <c r="I331" i="16"/>
  <c r="J331" i="16" s="1"/>
  <c r="E604" i="46"/>
  <c r="D604" i="46"/>
  <c r="A605" i="46"/>
  <c r="I337" i="16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A500" i="46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11" i="16" l="1"/>
  <c r="J311" i="16" s="1"/>
  <c r="A606" i="46"/>
  <c r="D605" i="46"/>
  <c r="E605" i="46"/>
  <c r="I307" i="16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E606" i="46" l="1"/>
  <c r="D606" i="46"/>
  <c r="A607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A608" i="46" l="1"/>
  <c r="D607" i="46"/>
  <c r="E607" i="46"/>
  <c r="A503" i="46"/>
  <c r="D502" i="46"/>
  <c r="E502" i="46"/>
  <c r="E306" i="46"/>
  <c r="A307" i="46"/>
  <c r="O115" i="40"/>
  <c r="I114" i="40"/>
  <c r="E608" i="46" l="1"/>
  <c r="D608" i="46"/>
  <c r="A609" i="46"/>
  <c r="E503" i="46"/>
  <c r="D503" i="46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A610" i="46" l="1"/>
  <c r="D609" i="46"/>
  <c r="E609" i="46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E610" i="46" l="1"/>
  <c r="D610" i="46"/>
  <c r="A611" i="46"/>
  <c r="A310" i="46"/>
  <c r="E309" i="46"/>
  <c r="O112" i="40"/>
  <c r="I299" i="16"/>
  <c r="J299" i="16" s="1"/>
  <c r="N110" i="40"/>
  <c r="I110" i="40"/>
  <c r="H110" i="40"/>
  <c r="G110" i="40"/>
  <c r="H298" i="16"/>
  <c r="F298" i="16"/>
  <c r="E298" i="16"/>
  <c r="A612" i="46" l="1"/>
  <c r="D611" i="46"/>
  <c r="E611" i="46"/>
  <c r="E310" i="46"/>
  <c r="A311" i="46"/>
  <c r="O111" i="40"/>
  <c r="I298" i="16"/>
  <c r="J298" i="16" s="1"/>
  <c r="N109" i="40"/>
  <c r="I109" i="40"/>
  <c r="H109" i="40"/>
  <c r="G109" i="40"/>
  <c r="H297" i="16"/>
  <c r="F297" i="16"/>
  <c r="E297" i="16"/>
  <c r="E612" i="46" l="1"/>
  <c r="D612" i="46"/>
  <c r="A613" i="46"/>
  <c r="A312" i="46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A614" i="46" l="1"/>
  <c r="D613" i="46"/>
  <c r="E613" i="46"/>
  <c r="E312" i="46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E614" i="46" l="1"/>
  <c r="D614" i="46"/>
  <c r="A615" i="46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A616" i="46" l="1"/>
  <c r="D615" i="46"/>
  <c r="E615" i="46"/>
  <c r="E314" i="46"/>
  <c r="A315" i="46"/>
  <c r="O106" i="40"/>
  <c r="O107" i="40"/>
  <c r="O108" i="40"/>
  <c r="I105" i="40"/>
  <c r="H290" i="16"/>
  <c r="F290" i="16"/>
  <c r="E290" i="16"/>
  <c r="N104" i="40"/>
  <c r="O105" i="40" s="1"/>
  <c r="I104" i="40"/>
  <c r="H104" i="40"/>
  <c r="G104" i="40"/>
  <c r="H289" i="16"/>
  <c r="F289" i="16"/>
  <c r="E289" i="16"/>
  <c r="I290" i="16" l="1"/>
  <c r="J290" i="16" s="1"/>
  <c r="E616" i="46"/>
  <c r="D616" i="46"/>
  <c r="A617" i="46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A618" i="46" l="1"/>
  <c r="D617" i="46"/>
  <c r="E617" i="46"/>
  <c r="E316" i="46"/>
  <c r="A317" i="46"/>
  <c r="O104" i="40"/>
  <c r="H285" i="16"/>
  <c r="F285" i="16"/>
  <c r="I285" i="16" s="1"/>
  <c r="J285" i="16" s="1"/>
  <c r="E285" i="16"/>
  <c r="H284" i="16"/>
  <c r="F284" i="16"/>
  <c r="E284" i="16"/>
  <c r="N102" i="40"/>
  <c r="I102" i="40"/>
  <c r="H102" i="40"/>
  <c r="G102" i="40"/>
  <c r="I284" i="16" l="1"/>
  <c r="J284" i="16" s="1"/>
  <c r="E618" i="46"/>
  <c r="D618" i="46"/>
  <c r="A619" i="46"/>
  <c r="A318" i="46"/>
  <c r="E317" i="46"/>
  <c r="O103" i="40"/>
  <c r="H101" i="40"/>
  <c r="G101" i="40"/>
  <c r="N101" i="40"/>
  <c r="H283" i="16"/>
  <c r="F283" i="16"/>
  <c r="I283" i="16" s="1"/>
  <c r="J283" i="16" s="1"/>
  <c r="E283" i="16"/>
  <c r="A620" i="46" l="1"/>
  <c r="D619" i="46"/>
  <c r="E619" i="46"/>
  <c r="E318" i="46"/>
  <c r="A319" i="46"/>
  <c r="O102" i="40"/>
  <c r="I101" i="40"/>
  <c r="H100" i="40"/>
  <c r="G100" i="40"/>
  <c r="N100" i="40"/>
  <c r="H282" i="16"/>
  <c r="F282" i="16"/>
  <c r="I282" i="16" s="1"/>
  <c r="J282" i="16" s="1"/>
  <c r="E282" i="16"/>
  <c r="E620" i="46" l="1"/>
  <c r="D620" i="46"/>
  <c r="A621" i="46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A622" i="46" l="1"/>
  <c r="D621" i="46"/>
  <c r="E621" i="46"/>
  <c r="E320" i="46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E622" i="46" l="1"/>
  <c r="D622" i="46"/>
  <c r="A623" i="46"/>
  <c r="A322" i="46"/>
  <c r="E321" i="46"/>
  <c r="O98" i="40"/>
  <c r="O99" i="40"/>
  <c r="E279" i="16"/>
  <c r="A624" i="46" l="1"/>
  <c r="D623" i="46"/>
  <c r="E623" i="46"/>
  <c r="E322" i="46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E624" i="46" l="1"/>
  <c r="D624" i="46"/>
  <c r="A625" i="46"/>
  <c r="A324" i="46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A626" i="46" l="1"/>
  <c r="D625" i="46"/>
  <c r="E625" i="46"/>
  <c r="E324" i="46"/>
  <c r="A325" i="46"/>
  <c r="N94" i="40"/>
  <c r="N93" i="40"/>
  <c r="I93" i="40"/>
  <c r="H93" i="40"/>
  <c r="G93" i="40"/>
  <c r="H275" i="16"/>
  <c r="F275" i="16"/>
  <c r="E275" i="16"/>
  <c r="I275" i="16" l="1"/>
  <c r="J275" i="16" s="1"/>
  <c r="E626" i="46"/>
  <c r="D626" i="46"/>
  <c r="A627" i="46"/>
  <c r="A326" i="46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A628" i="46" l="1"/>
  <c r="D627" i="46"/>
  <c r="E627" i="46"/>
  <c r="E326" i="46"/>
  <c r="A327" i="46"/>
  <c r="O93" i="40"/>
  <c r="H273" i="16"/>
  <c r="F273" i="16"/>
  <c r="I273" i="16" s="1"/>
  <c r="J273" i="16" s="1"/>
  <c r="E273" i="16"/>
  <c r="N91" i="40"/>
  <c r="I91" i="40"/>
  <c r="H91" i="40"/>
  <c r="G91" i="40"/>
  <c r="E628" i="46" l="1"/>
  <c r="D628" i="46"/>
  <c r="A629" i="46"/>
  <c r="A328" i="46"/>
  <c r="E327" i="46"/>
  <c r="O92" i="40"/>
  <c r="H272" i="16"/>
  <c r="F272" i="16"/>
  <c r="E272" i="16"/>
  <c r="N90" i="40"/>
  <c r="O91" i="40" s="1"/>
  <c r="I90" i="40"/>
  <c r="H90" i="40"/>
  <c r="G90" i="40"/>
  <c r="A630" i="46" l="1"/>
  <c r="D629" i="46"/>
  <c r="E629" i="46"/>
  <c r="E328" i="46"/>
  <c r="A329" i="46"/>
  <c r="I272" i="16"/>
  <c r="J272" i="16" s="1"/>
  <c r="P34" i="18"/>
  <c r="I34" i="18"/>
  <c r="J34" i="18"/>
  <c r="K34" i="18" s="1"/>
  <c r="E630" i="46" l="1"/>
  <c r="D630" i="46"/>
  <c r="A631" i="46"/>
  <c r="A330" i="46"/>
  <c r="E329" i="46"/>
  <c r="N89" i="40"/>
  <c r="I89" i="40"/>
  <c r="H89" i="40"/>
  <c r="G89" i="40"/>
  <c r="H271" i="16"/>
  <c r="F271" i="16"/>
  <c r="E271" i="16"/>
  <c r="I271" i="16" l="1"/>
  <c r="J271" i="16" s="1"/>
  <c r="A632" i="46"/>
  <c r="D631" i="46"/>
  <c r="E631" i="46"/>
  <c r="E330" i="46"/>
  <c r="A331" i="46"/>
  <c r="O90" i="40"/>
  <c r="H88" i="40"/>
  <c r="G88" i="40"/>
  <c r="N88" i="40"/>
  <c r="H270" i="16"/>
  <c r="F270" i="16"/>
  <c r="I270" i="16" s="1"/>
  <c r="J270" i="16" s="1"/>
  <c r="E270" i="16"/>
  <c r="E632" i="46" l="1"/>
  <c r="D632" i="46"/>
  <c r="A633" i="46"/>
  <c r="A332" i="46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634" i="46" l="1"/>
  <c r="D633" i="46"/>
  <c r="E633" i="46"/>
  <c r="A333" i="46"/>
  <c r="E332" i="46"/>
  <c r="O88" i="40"/>
  <c r="H86" i="40"/>
  <c r="G86" i="40"/>
  <c r="N86" i="40"/>
  <c r="H268" i="16"/>
  <c r="F268" i="16"/>
  <c r="E268" i="16"/>
  <c r="I268" i="16" l="1"/>
  <c r="J268" i="16" s="1"/>
  <c r="E634" i="46"/>
  <c r="D634" i="46"/>
  <c r="A635" i="46"/>
  <c r="A334" i="46"/>
  <c r="E333" i="46"/>
  <c r="O87" i="40"/>
  <c r="I86" i="40"/>
  <c r="BE14" i="44"/>
  <c r="BE17" i="44"/>
  <c r="BE18" i="44" s="1"/>
  <c r="BE19" i="44" s="1"/>
  <c r="BE4" i="44"/>
  <c r="BE9" i="44"/>
  <c r="M268" i="16"/>
  <c r="L268" i="16"/>
  <c r="A636" i="46" l="1"/>
  <c r="D635" i="46"/>
  <c r="E635" i="46"/>
  <c r="A335" i="46"/>
  <c r="E334" i="46"/>
  <c r="H267" i="16"/>
  <c r="F267" i="16"/>
  <c r="I267" i="16" s="1"/>
  <c r="J267" i="16" s="1"/>
  <c r="E267" i="16"/>
  <c r="N85" i="40"/>
  <c r="O86" i="40" s="1"/>
  <c r="I85" i="40"/>
  <c r="H85" i="40"/>
  <c r="G85" i="40"/>
  <c r="E636" i="46" l="1"/>
  <c r="D636" i="46"/>
  <c r="A637" i="46"/>
  <c r="A336" i="46"/>
  <c r="E335" i="46"/>
  <c r="H84" i="40"/>
  <c r="G84" i="40"/>
  <c r="N84" i="40"/>
  <c r="H266" i="16"/>
  <c r="F266" i="16"/>
  <c r="I266" i="16" s="1"/>
  <c r="J266" i="16" s="1"/>
  <c r="E266" i="16"/>
  <c r="A638" i="46" l="1"/>
  <c r="D637" i="46"/>
  <c r="E637" i="46"/>
  <c r="A337" i="46"/>
  <c r="E336" i="46"/>
  <c r="O85" i="40"/>
  <c r="I84" i="40"/>
  <c r="H83" i="40"/>
  <c r="G83" i="40"/>
  <c r="N83" i="40"/>
  <c r="H265" i="16"/>
  <c r="F265" i="16"/>
  <c r="I265" i="16" s="1"/>
  <c r="J265" i="16" s="1"/>
  <c r="E265" i="16"/>
  <c r="E638" i="46" l="1"/>
  <c r="D638" i="46"/>
  <c r="A639" i="46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640" i="46" l="1"/>
  <c r="D639" i="46"/>
  <c r="E639" i="46"/>
  <c r="A339" i="46"/>
  <c r="E338" i="46"/>
  <c r="O83" i="40"/>
  <c r="I82" i="40"/>
  <c r="D2" i="46"/>
  <c r="A3" i="46"/>
  <c r="E640" i="46" l="1"/>
  <c r="D640" i="46"/>
  <c r="A641" i="46"/>
  <c r="E339" i="46"/>
  <c r="A340" i="46"/>
  <c r="D3" i="46"/>
  <c r="A4" i="46"/>
  <c r="H81" i="40"/>
  <c r="G81" i="40"/>
  <c r="N81" i="40"/>
  <c r="H263" i="16"/>
  <c r="F263" i="16"/>
  <c r="E263" i="16"/>
  <c r="A642" i="46" l="1"/>
  <c r="D641" i="46"/>
  <c r="E641" i="46"/>
  <c r="D340" i="46"/>
  <c r="A341" i="46"/>
  <c r="E340" i="46"/>
  <c r="O82" i="40"/>
  <c r="I263" i="16"/>
  <c r="J263" i="16" s="1"/>
  <c r="D4" i="46"/>
  <c r="A5" i="46"/>
  <c r="I81" i="40"/>
  <c r="E642" i="46" l="1"/>
  <c r="D642" i="46"/>
  <c r="A643" i="46"/>
  <c r="E341" i="46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A644" i="46" l="1"/>
  <c r="D643" i="46"/>
  <c r="E643" i="46"/>
  <c r="E342" i="46"/>
  <c r="A343" i="46"/>
  <c r="D342" i="46"/>
  <c r="O81" i="40"/>
  <c r="D6" i="46"/>
  <c r="A7" i="46"/>
  <c r="H261" i="16"/>
  <c r="F261" i="16"/>
  <c r="E261" i="16"/>
  <c r="N79" i="40"/>
  <c r="I79" i="40"/>
  <c r="H79" i="40"/>
  <c r="G79" i="40"/>
  <c r="I261" i="16" l="1"/>
  <c r="J261" i="16" s="1"/>
  <c r="E644" i="46"/>
  <c r="D644" i="46"/>
  <c r="A645" i="46"/>
  <c r="E343" i="46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A646" i="46" l="1"/>
  <c r="D645" i="46"/>
  <c r="E645" i="46"/>
  <c r="D344" i="46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E646" i="46" l="1"/>
  <c r="D646" i="46"/>
  <c r="A647" i="46"/>
  <c r="I260" i="16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A648" i="46" l="1"/>
  <c r="D647" i="46"/>
  <c r="E647" i="46"/>
  <c r="E346" i="46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648" i="46" l="1"/>
  <c r="D648" i="46"/>
  <c r="A649" i="46"/>
  <c r="E347" i="46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650" i="46" l="1"/>
  <c r="D649" i="46"/>
  <c r="E649" i="46"/>
  <c r="A349" i="46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650" i="46" l="1"/>
  <c r="D650" i="46"/>
  <c r="A651" i="46"/>
  <c r="E349" i="46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652" i="46" l="1"/>
  <c r="D651" i="46"/>
  <c r="E651" i="46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E652" i="46" l="1"/>
  <c r="D652" i="46"/>
  <c r="A653" i="46"/>
  <c r="BD4" i="44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A654" i="46" l="1"/>
  <c r="D653" i="46"/>
  <c r="E653" i="46"/>
  <c r="BC18" i="44"/>
  <c r="BC19" i="44" s="1"/>
  <c r="BH19" i="44" s="1"/>
  <c r="D352" i="46"/>
  <c r="A353" i="46"/>
  <c r="E352" i="46"/>
  <c r="O74" i="40"/>
  <c r="D16" i="46"/>
  <c r="A17" i="46"/>
  <c r="I255" i="16"/>
  <c r="J255" i="16" s="1"/>
  <c r="J10" i="13"/>
  <c r="E654" i="46" l="1"/>
  <c r="D654" i="46"/>
  <c r="A655" i="46"/>
  <c r="BH18" i="44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A656" i="46" l="1"/>
  <c r="D655" i="46"/>
  <c r="E655" i="46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656" i="46" l="1"/>
  <c r="D656" i="46"/>
  <c r="A657" i="46"/>
  <c r="E355" i="46"/>
  <c r="A356" i="46"/>
  <c r="D355" i="46"/>
  <c r="O71" i="40"/>
  <c r="D19" i="46"/>
  <c r="A20" i="46"/>
  <c r="H69" i="40"/>
  <c r="G69" i="40"/>
  <c r="N69" i="40"/>
  <c r="H252" i="16"/>
  <c r="F252" i="16"/>
  <c r="E252" i="16"/>
  <c r="A658" i="46" l="1"/>
  <c r="D657" i="46"/>
  <c r="E657" i="46"/>
  <c r="I252" i="16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658" i="46" l="1"/>
  <c r="D658" i="46"/>
  <c r="A659" i="46"/>
  <c r="E357" i="46"/>
  <c r="A358" i="46"/>
  <c r="D357" i="46"/>
  <c r="O69" i="40"/>
  <c r="D21" i="46"/>
  <c r="A22" i="46"/>
  <c r="H67" i="40"/>
  <c r="G67" i="40"/>
  <c r="N67" i="40"/>
  <c r="H250" i="16"/>
  <c r="F250" i="16"/>
  <c r="E250" i="16"/>
  <c r="A660" i="46" l="1"/>
  <c r="D659" i="46"/>
  <c r="E659" i="46"/>
  <c r="E358" i="46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660" i="46" l="1"/>
  <c r="D660" i="46"/>
  <c r="B660" i="46"/>
  <c r="C660" i="46" s="1"/>
  <c r="A661" i="46"/>
  <c r="E359" i="46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660" i="46" l="1"/>
  <c r="A662" i="46"/>
  <c r="D661" i="46"/>
  <c r="B661" i="46"/>
  <c r="C661" i="46" s="1"/>
  <c r="E661" i="46"/>
  <c r="A361" i="46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E662" i="46" l="1"/>
  <c r="D662" i="46"/>
  <c r="B662" i="46"/>
  <c r="C662" i="46" s="1"/>
  <c r="A663" i="46"/>
  <c r="F661" i="46"/>
  <c r="O64" i="40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662" i="46" l="1"/>
  <c r="A664" i="46"/>
  <c r="D663" i="46"/>
  <c r="B663" i="46"/>
  <c r="C663" i="46" s="1"/>
  <c r="E663" i="46"/>
  <c r="A363" i="46"/>
  <c r="E362" i="46"/>
  <c r="D362" i="46"/>
  <c r="D26" i="46"/>
  <c r="A27" i="46"/>
  <c r="H244" i="16"/>
  <c r="F244" i="16"/>
  <c r="I244" i="16" s="1"/>
  <c r="J244" i="16" s="1"/>
  <c r="E244" i="16"/>
  <c r="F663" i="46" l="1"/>
  <c r="E664" i="46"/>
  <c r="D664" i="46"/>
  <c r="B664" i="46"/>
  <c r="C664" i="46" s="1"/>
  <c r="A665" i="46"/>
  <c r="E363" i="46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F664" i="46" l="1"/>
  <c r="A666" i="46"/>
  <c r="D665" i="46"/>
  <c r="B665" i="46"/>
  <c r="C665" i="46" s="1"/>
  <c r="E665" i="46"/>
  <c r="I243" i="16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666" i="46" l="1"/>
  <c r="D666" i="46"/>
  <c r="B666" i="46"/>
  <c r="C666" i="46" s="1"/>
  <c r="A667" i="46"/>
  <c r="F665" i="46"/>
  <c r="E365" i="46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668" i="46" l="1"/>
  <c r="D667" i="46"/>
  <c r="B667" i="46"/>
  <c r="C667" i="46" s="1"/>
  <c r="E667" i="46"/>
  <c r="F666" i="46"/>
  <c r="A367" i="46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F667" i="46" l="1"/>
  <c r="E668" i="46"/>
  <c r="D668" i="46"/>
  <c r="B668" i="46"/>
  <c r="C668" i="46" s="1"/>
  <c r="A669" i="46"/>
  <c r="I240" i="16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670" i="46" l="1"/>
  <c r="D669" i="46"/>
  <c r="B669" i="46"/>
  <c r="C669" i="46" s="1"/>
  <c r="E669" i="46"/>
  <c r="F668" i="46"/>
  <c r="A369" i="46"/>
  <c r="E368" i="46"/>
  <c r="D368" i="46"/>
  <c r="O58" i="40"/>
  <c r="O59" i="40"/>
  <c r="D32" i="46"/>
  <c r="A33" i="46"/>
  <c r="H238" i="16"/>
  <c r="F238" i="16"/>
  <c r="I238" i="16" s="1"/>
  <c r="J238" i="16" s="1"/>
  <c r="E238" i="16"/>
  <c r="F669" i="46" l="1"/>
  <c r="E670" i="46"/>
  <c r="D670" i="46"/>
  <c r="B670" i="46"/>
  <c r="C670" i="46" s="1"/>
  <c r="A671" i="46"/>
  <c r="E369" i="46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F670" i="46" l="1"/>
  <c r="A672" i="46"/>
  <c r="D671" i="46"/>
  <c r="B671" i="46"/>
  <c r="C671" i="46" s="1"/>
  <c r="E671" i="46"/>
  <c r="A371" i="46"/>
  <c r="E370" i="46"/>
  <c r="D370" i="46"/>
  <c r="O57" i="40"/>
  <c r="D34" i="46"/>
  <c r="A35" i="46"/>
  <c r="I56" i="40"/>
  <c r="H236" i="16"/>
  <c r="F236" i="16"/>
  <c r="E236" i="16"/>
  <c r="I236" i="16" l="1"/>
  <c r="J236" i="16" s="1"/>
  <c r="F671" i="46"/>
  <c r="E672" i="46"/>
  <c r="D672" i="46"/>
  <c r="B672" i="46"/>
  <c r="C672" i="46" s="1"/>
  <c r="A673" i="46"/>
  <c r="E371" i="46"/>
  <c r="D371" i="46"/>
  <c r="A372" i="46"/>
  <c r="D35" i="46"/>
  <c r="A36" i="46"/>
  <c r="H55" i="40"/>
  <c r="G55" i="40"/>
  <c r="N55" i="40"/>
  <c r="H235" i="16"/>
  <c r="F235" i="16"/>
  <c r="E235" i="16"/>
  <c r="I235" i="16" l="1"/>
  <c r="J235" i="16" s="1"/>
  <c r="F672" i="46"/>
  <c r="A674" i="46"/>
  <c r="D673" i="46"/>
  <c r="B673" i="46"/>
  <c r="C673" i="46" s="1"/>
  <c r="E673" i="46"/>
  <c r="A373" i="46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673" i="46" l="1"/>
  <c r="E674" i="46"/>
  <c r="D674" i="46"/>
  <c r="B674" i="46"/>
  <c r="C674" i="46" s="1"/>
  <c r="A675" i="46"/>
  <c r="E373" i="46"/>
  <c r="A374" i="46"/>
  <c r="D373" i="46"/>
  <c r="O55" i="40"/>
  <c r="D37" i="46"/>
  <c r="A38" i="46"/>
  <c r="I54" i="40"/>
  <c r="A676" i="46" l="1"/>
  <c r="D675" i="46"/>
  <c r="B675" i="46"/>
  <c r="C675" i="46" s="1"/>
  <c r="E675" i="46"/>
  <c r="F674" i="46"/>
  <c r="A375" i="46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675" i="46" l="1"/>
  <c r="E676" i="46"/>
  <c r="D676" i="46"/>
  <c r="B676" i="46"/>
  <c r="C676" i="46" s="1"/>
  <c r="A677" i="46"/>
  <c r="E375" i="46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F676" i="46" l="1"/>
  <c r="A678" i="46"/>
  <c r="D677" i="46"/>
  <c r="B677" i="46"/>
  <c r="C677" i="46" s="1"/>
  <c r="E677" i="46"/>
  <c r="I231" i="16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678" i="46" l="1"/>
  <c r="D678" i="46"/>
  <c r="B678" i="46"/>
  <c r="C678" i="46" s="1"/>
  <c r="F677" i="46"/>
  <c r="E377" i="46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F678" i="46" l="1"/>
  <c r="A379" i="46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H225" i="16"/>
  <c r="E225" i="16"/>
  <c r="I225" i="16" l="1"/>
  <c r="J225" i="16" s="1"/>
  <c r="E383" i="46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E218" i="16"/>
  <c r="L218" i="16"/>
  <c r="I218" i="16" l="1"/>
  <c r="J218" i="16" s="1"/>
  <c r="A391" i="46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E395" i="46" l="1"/>
  <c r="D395" i="46"/>
  <c r="A396" i="46"/>
  <c r="D59" i="46"/>
  <c r="A60" i="46"/>
  <c r="H36" i="40"/>
  <c r="G36" i="40"/>
  <c r="N36" i="40"/>
  <c r="H212" i="16"/>
  <c r="F212" i="16"/>
  <c r="I212" i="16" s="1"/>
  <c r="J212" i="16" s="1"/>
  <c r="E212" i="16"/>
  <c r="A397" i="46" l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E397" i="46" l="1"/>
  <c r="D397" i="46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A399" i="46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E399" i="46" l="1"/>
  <c r="D399" i="46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A401" i="46" l="1"/>
  <c r="E400" i="46"/>
  <c r="D400" i="46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E401" i="46"/>
  <c r="D401" i="46"/>
  <c r="A402" i="46"/>
  <c r="D65" i="46"/>
  <c r="A66" i="46"/>
  <c r="I31" i="40"/>
  <c r="H31" i="40"/>
  <c r="G31" i="40"/>
  <c r="N31" i="40"/>
  <c r="O32" i="40" s="1"/>
  <c r="H207" i="16"/>
  <c r="F207" i="16"/>
  <c r="E207" i="16"/>
  <c r="I207" i="16" l="1"/>
  <c r="J207" i="16" s="1"/>
  <c r="A403" i="46"/>
  <c r="E402" i="46"/>
  <c r="D402" i="46"/>
  <c r="D66" i="46"/>
  <c r="A67" i="46"/>
  <c r="N30" i="40"/>
  <c r="I30" i="40"/>
  <c r="H30" i="40"/>
  <c r="G30" i="40"/>
  <c r="H206" i="16"/>
  <c r="F206" i="16"/>
  <c r="I206" i="16" s="1"/>
  <c r="J206" i="16" s="1"/>
  <c r="E206" i="16"/>
  <c r="E403" i="46" l="1"/>
  <c r="D403" i="46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A405" i="46"/>
  <c r="E404" i="46"/>
  <c r="D404" i="46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E405" i="46" l="1"/>
  <c r="D405" i="46"/>
  <c r="A406" i="46"/>
  <c r="O28" i="40"/>
  <c r="D69" i="46"/>
  <c r="A70" i="46"/>
  <c r="H202" i="16"/>
  <c r="F202" i="16"/>
  <c r="I202" i="16" s="1"/>
  <c r="J202" i="16" s="1"/>
  <c r="E202" i="16"/>
  <c r="A407" i="46" l="1"/>
  <c r="E406" i="46"/>
  <c r="D406" i="46"/>
  <c r="D70" i="46"/>
  <c r="A71" i="46"/>
  <c r="H201" i="16"/>
  <c r="F201" i="16"/>
  <c r="I201" i="16" s="1"/>
  <c r="J201" i="16" s="1"/>
  <c r="E201" i="16"/>
  <c r="E407" i="46" l="1"/>
  <c r="D407" i="46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A409" i="46" l="1"/>
  <c r="D408" i="46"/>
  <c r="E408" i="46"/>
  <c r="D72" i="46"/>
  <c r="A73" i="46"/>
  <c r="H198" i="16"/>
  <c r="F198" i="16"/>
  <c r="I198" i="16" s="1"/>
  <c r="J198" i="16" s="1"/>
  <c r="E198" i="16"/>
  <c r="E409" i="46" l="1"/>
  <c r="D409" i="46"/>
  <c r="A410" i="46"/>
  <c r="D73" i="46"/>
  <c r="A74" i="46"/>
  <c r="I26" i="40"/>
  <c r="H26" i="40"/>
  <c r="G26" i="40"/>
  <c r="N26" i="40"/>
  <c r="O27" i="40" s="1"/>
  <c r="A411" i="46" l="1"/>
  <c r="E410" i="46"/>
  <c r="D410" i="46"/>
  <c r="D74" i="46"/>
  <c r="A75" i="46"/>
  <c r="H197" i="16"/>
  <c r="F197" i="16"/>
  <c r="E197" i="16"/>
  <c r="H196" i="16"/>
  <c r="F196" i="16"/>
  <c r="I196" i="16" s="1"/>
  <c r="J196" i="16" s="1"/>
  <c r="E196" i="16"/>
  <c r="E411" i="46" l="1"/>
  <c r="D411" i="46"/>
  <c r="A412" i="46"/>
  <c r="I197" i="16"/>
  <c r="J197" i="16" s="1"/>
  <c r="D75" i="46"/>
  <c r="A76" i="46"/>
  <c r="H195" i="16"/>
  <c r="F195" i="16"/>
  <c r="I195" i="16" s="1"/>
  <c r="J195" i="16" s="1"/>
  <c r="E195" i="16"/>
  <c r="A413" i="46" l="1"/>
  <c r="E412" i="46"/>
  <c r="D412" i="46"/>
  <c r="D76" i="46"/>
  <c r="A77" i="46"/>
  <c r="H194" i="16"/>
  <c r="F194" i="16"/>
  <c r="I194" i="16" s="1"/>
  <c r="J194" i="16" s="1"/>
  <c r="E194" i="16"/>
  <c r="E413" i="46" l="1"/>
  <c r="D413" i="46"/>
  <c r="A414" i="46"/>
  <c r="D77" i="46"/>
  <c r="A78" i="46"/>
  <c r="A415" i="46" l="1"/>
  <c r="E414" i="46"/>
  <c r="D414" i="46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E415" i="46" l="1"/>
  <c r="D415" i="46"/>
  <c r="A416" i="46"/>
  <c r="I193" i="16"/>
  <c r="J193" i="16" s="1"/>
  <c r="D79" i="46"/>
  <c r="A80" i="46"/>
  <c r="H191" i="16"/>
  <c r="F191" i="16"/>
  <c r="I191" i="16" s="1"/>
  <c r="J191" i="16" s="1"/>
  <c r="A417" i="46" l="1"/>
  <c r="D416" i="46"/>
  <c r="E416" i="46"/>
  <c r="D80" i="46"/>
  <c r="A81" i="46"/>
  <c r="H24" i="40"/>
  <c r="G24" i="40"/>
  <c r="N24" i="40"/>
  <c r="E191" i="16"/>
  <c r="E417" i="46" l="1"/>
  <c r="D417" i="46"/>
  <c r="A418" i="46"/>
  <c r="O25" i="40"/>
  <c r="D81" i="46"/>
  <c r="A82" i="46"/>
  <c r="I24" i="40"/>
  <c r="I23" i="40"/>
  <c r="H23" i="40"/>
  <c r="G23" i="40"/>
  <c r="N23" i="40"/>
  <c r="A419" i="46" l="1"/>
  <c r="E418" i="46"/>
  <c r="D418" i="46"/>
  <c r="O24" i="40"/>
  <c r="D82" i="46"/>
  <c r="A83" i="46"/>
  <c r="H190" i="16"/>
  <c r="F190" i="16"/>
  <c r="I190" i="16" s="1"/>
  <c r="J190" i="16" s="1"/>
  <c r="E190" i="16"/>
  <c r="E419" i="46" l="1"/>
  <c r="D419" i="46"/>
  <c r="A420" i="46"/>
  <c r="D83" i="46"/>
  <c r="A84" i="46"/>
  <c r="H189" i="16"/>
  <c r="F189" i="16"/>
  <c r="I189" i="16" s="1"/>
  <c r="J189" i="16" s="1"/>
  <c r="E189" i="16"/>
  <c r="A421" i="46" l="1"/>
  <c r="D420" i="46"/>
  <c r="E420" i="46"/>
  <c r="D84" i="46"/>
  <c r="A85" i="46"/>
  <c r="H188" i="16"/>
  <c r="F188" i="16"/>
  <c r="I188" i="16" s="1"/>
  <c r="J188" i="16" s="1"/>
  <c r="E188" i="16"/>
  <c r="E421" i="46" l="1"/>
  <c r="D421" i="46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A423" i="46" l="1"/>
  <c r="E422" i="46"/>
  <c r="D422" i="46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423" i="46" l="1"/>
  <c r="D423" i="46"/>
  <c r="A424" i="46"/>
  <c r="D87" i="46"/>
  <c r="A88" i="46"/>
  <c r="E185" i="16"/>
  <c r="H184" i="16"/>
  <c r="F184" i="16"/>
  <c r="I184" i="16" s="1"/>
  <c r="J184" i="16" s="1"/>
  <c r="E184" i="16"/>
  <c r="A425" i="46" l="1"/>
  <c r="D424" i="46"/>
  <c r="E424" i="46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E425" i="46"/>
  <c r="D425" i="46"/>
  <c r="A426" i="46"/>
  <c r="D89" i="46"/>
  <c r="A90" i="46"/>
  <c r="N20" i="40"/>
  <c r="I19" i="40"/>
  <c r="H19" i="40"/>
  <c r="G19" i="40"/>
  <c r="N19" i="40"/>
  <c r="H182" i="16"/>
  <c r="F182" i="16"/>
  <c r="E182" i="16"/>
  <c r="A427" i="46" l="1"/>
  <c r="D426" i="46"/>
  <c r="E426" i="46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E427" i="46" l="1"/>
  <c r="D427" i="46"/>
  <c r="A428" i="46"/>
  <c r="I181" i="16"/>
  <c r="J181" i="16" s="1"/>
  <c r="D91" i="46"/>
  <c r="A92" i="46"/>
  <c r="H17" i="40"/>
  <c r="G17" i="40"/>
  <c r="I17" i="40"/>
  <c r="H180" i="16"/>
  <c r="F180" i="16"/>
  <c r="E180" i="16"/>
  <c r="A429" i="46" l="1"/>
  <c r="D428" i="46"/>
  <c r="E428" i="46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O16" i="40" l="1"/>
  <c r="E429" i="46"/>
  <c r="D429" i="46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A431" i="46" l="1"/>
  <c r="D430" i="46"/>
  <c r="E430" i="46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E174" i="16"/>
  <c r="I174" i="16" l="1"/>
  <c r="J174" i="16" s="1"/>
  <c r="I175" i="16"/>
  <c r="J175" i="16" s="1"/>
  <c r="E431" i="46"/>
  <c r="D431" i="46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E173" i="16"/>
  <c r="I173" i="16" l="1"/>
  <c r="J173" i="16" s="1"/>
  <c r="A433" i="46"/>
  <c r="D432" i="46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E433" i="46"/>
  <c r="D433" i="46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A435" i="46" l="1"/>
  <c r="D434" i="46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E435" i="46" l="1"/>
  <c r="D435" i="46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A437" i="46" l="1"/>
  <c r="D436" i="46"/>
  <c r="E436" i="46"/>
  <c r="D100" i="46"/>
  <c r="A101" i="46"/>
  <c r="N11" i="40"/>
  <c r="I12" i="40"/>
  <c r="AP11" i="41"/>
  <c r="AP6" i="41"/>
  <c r="E437" i="46" l="1"/>
  <c r="D437" i="46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A439" i="46" l="1"/>
  <c r="D438" i="46"/>
  <c r="E438" i="46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E439" i="46" l="1"/>
  <c r="D439" i="46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A441" i="46" l="1"/>
  <c r="D440" i="46"/>
  <c r="E440" i="46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E441" i="46" l="1"/>
  <c r="D441" i="46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A443" i="46"/>
  <c r="D442" i="46"/>
  <c r="E442" i="46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E443" i="46" l="1"/>
  <c r="D443" i="46"/>
  <c r="A444" i="46"/>
  <c r="I164" i="16"/>
  <c r="J164" i="16" s="1"/>
  <c r="D107" i="46"/>
  <c r="A108" i="46"/>
  <c r="I6" i="40"/>
  <c r="A445" i="46" l="1"/>
  <c r="D444" i="46"/>
  <c r="E444" i="46"/>
  <c r="D108" i="46"/>
  <c r="A109" i="46"/>
  <c r="H4" i="40"/>
  <c r="G4" i="40"/>
  <c r="H163" i="16"/>
  <c r="F163" i="16"/>
  <c r="I163" i="16" s="1"/>
  <c r="J163" i="16" s="1"/>
  <c r="E163" i="16"/>
  <c r="E445" i="46" l="1"/>
  <c r="D445" i="46"/>
  <c r="A446" i="46"/>
  <c r="D109" i="46"/>
  <c r="A110" i="46"/>
  <c r="N4" i="40"/>
  <c r="I5" i="40"/>
  <c r="H3" i="40"/>
  <c r="G3" i="40"/>
  <c r="N3" i="40"/>
  <c r="A447" i="46" l="1"/>
  <c r="D446" i="46"/>
  <c r="E446" i="46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E449" i="46"/>
  <c r="D449" i="46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A451" i="46" l="1"/>
  <c r="D450" i="46"/>
  <c r="E450" i="46"/>
  <c r="D114" i="46"/>
  <c r="A115" i="46"/>
  <c r="H158" i="16"/>
  <c r="F158" i="16"/>
  <c r="I158" i="16" s="1"/>
  <c r="J158" i="16" s="1"/>
  <c r="E158" i="16"/>
  <c r="E451" i="46" l="1"/>
  <c r="D451" i="46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A453" i="46" l="1"/>
  <c r="D452" i="46"/>
  <c r="E452" i="46"/>
  <c r="D116" i="46"/>
  <c r="A117" i="46"/>
  <c r="H156" i="16"/>
  <c r="F156" i="16"/>
  <c r="E156" i="16"/>
  <c r="E453" i="46" l="1"/>
  <c r="D453" i="46"/>
  <c r="A454" i="46"/>
  <c r="D117" i="46"/>
  <c r="A118" i="46"/>
  <c r="I156" i="16"/>
  <c r="J156" i="16" s="1"/>
  <c r="H155" i="16"/>
  <c r="F155" i="16"/>
  <c r="I155" i="16" s="1"/>
  <c r="J155" i="16" s="1"/>
  <c r="E155" i="16"/>
  <c r="A455" i="46" l="1"/>
  <c r="D454" i="46"/>
  <c r="E454" i="46"/>
  <c r="D118" i="46"/>
  <c r="A119" i="46"/>
  <c r="H154" i="16"/>
  <c r="F154" i="16"/>
  <c r="I154" i="16" s="1"/>
  <c r="J154" i="16" s="1"/>
  <c r="E154" i="16"/>
  <c r="E455" i="46" l="1"/>
  <c r="D455" i="46"/>
  <c r="A456" i="46"/>
  <c r="D119" i="46"/>
  <c r="A120" i="46"/>
  <c r="H153" i="16"/>
  <c r="F153" i="16"/>
  <c r="I153" i="16" s="1"/>
  <c r="J153" i="16" s="1"/>
  <c r="E153" i="16"/>
  <c r="A457" i="46" l="1"/>
  <c r="D456" i="46"/>
  <c r="E456" i="46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E457" i="46" l="1"/>
  <c r="D457" i="46"/>
  <c r="A458" i="46"/>
  <c r="D121" i="46"/>
  <c r="A122" i="46"/>
  <c r="H150" i="16"/>
  <c r="F150" i="16"/>
  <c r="I150" i="16" s="1"/>
  <c r="J150" i="16" s="1"/>
  <c r="E150" i="16"/>
  <c r="A459" i="46" l="1"/>
  <c r="D458" i="46"/>
  <c r="E458" i="46"/>
  <c r="D122" i="46"/>
  <c r="A123" i="46"/>
  <c r="H149" i="16"/>
  <c r="F149" i="16"/>
  <c r="I149" i="16" s="1"/>
  <c r="J149" i="16" s="1"/>
  <c r="E149" i="16"/>
  <c r="E459" i="46" l="1"/>
  <c r="D459" i="46"/>
  <c r="A460" i="46"/>
  <c r="D123" i="46"/>
  <c r="A124" i="46"/>
  <c r="H148" i="16"/>
  <c r="F148" i="16"/>
  <c r="I148" i="16" s="1"/>
  <c r="J148" i="16" s="1"/>
  <c r="E148" i="16"/>
  <c r="A461" i="46" l="1"/>
  <c r="D460" i="46"/>
  <c r="E460" i="46"/>
  <c r="D124" i="46"/>
  <c r="A125" i="46"/>
  <c r="H147" i="16"/>
  <c r="F147" i="16"/>
  <c r="I147" i="16" s="1"/>
  <c r="J147" i="16" s="1"/>
  <c r="E147" i="16"/>
  <c r="E461" i="46" l="1"/>
  <c r="D461" i="46"/>
  <c r="A462" i="46"/>
  <c r="D125" i="46"/>
  <c r="A126" i="46"/>
  <c r="M5" i="13"/>
  <c r="M4" i="13"/>
  <c r="M3" i="13"/>
  <c r="M2" i="13"/>
  <c r="A463" i="46" l="1"/>
  <c r="D462" i="46"/>
  <c r="E462" i="46"/>
  <c r="D126" i="46"/>
  <c r="A127" i="46"/>
  <c r="H146" i="16"/>
  <c r="F146" i="16"/>
  <c r="E146" i="16"/>
  <c r="E463" i="46" l="1"/>
  <c r="D463" i="46"/>
  <c r="A464" i="46"/>
  <c r="D127" i="46"/>
  <c r="A128" i="46"/>
  <c r="I146" i="16"/>
  <c r="J146" i="16" s="1"/>
  <c r="I24" i="18"/>
  <c r="J24" i="18"/>
  <c r="K24" i="18" s="1"/>
  <c r="A465" i="46" l="1"/>
  <c r="D464" i="46"/>
  <c r="E464" i="46"/>
  <c r="D128" i="46"/>
  <c r="A129" i="46"/>
  <c r="H145" i="16"/>
  <c r="F145" i="16"/>
  <c r="E465" i="46" l="1"/>
  <c r="D465" i="46"/>
  <c r="A466" i="46"/>
  <c r="D129" i="46"/>
  <c r="A130" i="46"/>
  <c r="I145" i="16"/>
  <c r="J145" i="16" s="1"/>
  <c r="E145" i="16"/>
  <c r="A467" i="46" l="1"/>
  <c r="D466" i="46"/>
  <c r="E466" i="46"/>
  <c r="D130" i="46"/>
  <c r="A131" i="46"/>
  <c r="H144" i="16"/>
  <c r="F144" i="16"/>
  <c r="E144" i="16"/>
  <c r="E467" i="46" l="1"/>
  <c r="D467" i="46"/>
  <c r="A468" i="46"/>
  <c r="D131" i="46"/>
  <c r="A132" i="46"/>
  <c r="I144" i="16"/>
  <c r="J144" i="16" s="1"/>
  <c r="H143" i="16"/>
  <c r="F143" i="16"/>
  <c r="I143" i="16" s="1"/>
  <c r="J143" i="16" s="1"/>
  <c r="E143" i="16"/>
  <c r="A469" i="46" l="1"/>
  <c r="D468" i="46"/>
  <c r="E468" i="46"/>
  <c r="D132" i="46"/>
  <c r="A133" i="46"/>
  <c r="H142" i="16"/>
  <c r="F142" i="16"/>
  <c r="E142" i="16"/>
  <c r="E469" i="46" l="1"/>
  <c r="D469" i="46"/>
  <c r="A470" i="46"/>
  <c r="D133" i="46"/>
  <c r="A134" i="46"/>
  <c r="I142" i="16"/>
  <c r="J142" i="16" s="1"/>
  <c r="H141" i="16"/>
  <c r="F141" i="16"/>
  <c r="I141" i="16" s="1"/>
  <c r="J141" i="16" s="1"/>
  <c r="E141" i="16"/>
  <c r="A471" i="46" l="1"/>
  <c r="D470" i="46"/>
  <c r="E470" i="46"/>
  <c r="D134" i="46"/>
  <c r="A135" i="46"/>
  <c r="H140" i="16"/>
  <c r="F140" i="16"/>
  <c r="I140" i="16" s="1"/>
  <c r="J140" i="16" s="1"/>
  <c r="E140" i="16"/>
  <c r="E471" i="46" l="1"/>
  <c r="D471" i="46"/>
  <c r="A472" i="46"/>
  <c r="D135" i="46"/>
  <c r="A136" i="46"/>
  <c r="H139" i="16"/>
  <c r="F139" i="16"/>
  <c r="I139" i="16" s="1"/>
  <c r="J139" i="16" s="1"/>
  <c r="E139" i="16"/>
  <c r="A473" i="46" l="1"/>
  <c r="D472" i="46"/>
  <c r="E472" i="46"/>
  <c r="D136" i="46"/>
  <c r="A137" i="46"/>
  <c r="E138" i="16"/>
  <c r="H138" i="16"/>
  <c r="F138" i="16"/>
  <c r="E473" i="46" l="1"/>
  <c r="D473" i="46"/>
  <c r="A474" i="46"/>
  <c r="D137" i="46"/>
  <c r="A138" i="46"/>
  <c r="I138" i="16"/>
  <c r="J138" i="16" s="1"/>
  <c r="H137" i="16"/>
  <c r="F137" i="16"/>
  <c r="E137" i="16"/>
  <c r="A475" i="46" l="1"/>
  <c r="D474" i="46"/>
  <c r="E474" i="46"/>
  <c r="D138" i="46"/>
  <c r="A139" i="46"/>
  <c r="I137" i="16"/>
  <c r="J137" i="16" s="1"/>
  <c r="H136" i="16"/>
  <c r="F136" i="16"/>
  <c r="I136" i="16" s="1"/>
  <c r="J136" i="16" s="1"/>
  <c r="E136" i="16"/>
  <c r="E475" i="46" l="1"/>
  <c r="D475" i="46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A477" i="46" l="1"/>
  <c r="D476" i="46"/>
  <c r="E476" i="46"/>
  <c r="D140" i="46"/>
  <c r="A141" i="46"/>
  <c r="I23" i="18"/>
  <c r="J23" i="18"/>
  <c r="K23" i="18" s="1"/>
  <c r="E477" i="46" l="1"/>
  <c r="D477" i="46"/>
  <c r="A478" i="46"/>
  <c r="D141" i="46"/>
  <c r="A142" i="46"/>
  <c r="H133" i="16"/>
  <c r="F133" i="16"/>
  <c r="E133" i="16"/>
  <c r="A479" i="46" l="1"/>
  <c r="D478" i="46"/>
  <c r="E478" i="46"/>
  <c r="D142" i="46"/>
  <c r="A143" i="46"/>
  <c r="I133" i="16"/>
  <c r="J133" i="16" s="1"/>
  <c r="E479" i="46" l="1"/>
  <c r="D479" i="46"/>
  <c r="A480" i="46"/>
  <c r="D143" i="46"/>
  <c r="A144" i="46"/>
  <c r="H132" i="16"/>
  <c r="F132" i="16"/>
  <c r="I132" i="16" s="1"/>
  <c r="J132" i="16" s="1"/>
  <c r="E132" i="16"/>
  <c r="A481" i="46" l="1"/>
  <c r="D480" i="46"/>
  <c r="E480" i="46"/>
  <c r="D144" i="46"/>
  <c r="A145" i="46"/>
  <c r="H131" i="16"/>
  <c r="F131" i="16"/>
  <c r="I131" i="16" s="1"/>
  <c r="J131" i="16" s="1"/>
  <c r="E131" i="16"/>
  <c r="E481" i="46" l="1"/>
  <c r="D481" i="46"/>
  <c r="A482" i="46"/>
  <c r="D145" i="46"/>
  <c r="A146" i="46"/>
  <c r="H130" i="16"/>
  <c r="F130" i="16"/>
  <c r="I130" i="16" s="1"/>
  <c r="J130" i="16" s="1"/>
  <c r="E130" i="16"/>
  <c r="A483" i="46" l="1"/>
  <c r="D482" i="46"/>
  <c r="E482" i="46"/>
  <c r="D146" i="46"/>
  <c r="A147" i="46"/>
  <c r="H129" i="16"/>
  <c r="F129" i="16"/>
  <c r="I129" i="16" s="1"/>
  <c r="J129" i="16" s="1"/>
  <c r="E129" i="16"/>
  <c r="E483" i="46" l="1"/>
  <c r="D483" i="46"/>
  <c r="A484" i="46"/>
  <c r="D147" i="46"/>
  <c r="A148" i="46"/>
  <c r="H128" i="16"/>
  <c r="F128" i="16"/>
  <c r="I128" i="16" s="1"/>
  <c r="J128" i="16" s="1"/>
  <c r="E128" i="16"/>
  <c r="A485" i="46" l="1"/>
  <c r="D484" i="46"/>
  <c r="E484" i="46"/>
  <c r="D148" i="46"/>
  <c r="A149" i="46"/>
  <c r="H127" i="16"/>
  <c r="F127" i="16"/>
  <c r="E127" i="16"/>
  <c r="E485" i="46" l="1"/>
  <c r="D485" i="46"/>
  <c r="A486" i="46"/>
  <c r="D149" i="46"/>
  <c r="A150" i="46"/>
  <c r="I127" i="16"/>
  <c r="J127" i="16" s="1"/>
  <c r="H126" i="16"/>
  <c r="F126" i="16"/>
  <c r="I126" i="16" s="1"/>
  <c r="J126" i="16" s="1"/>
  <c r="E126" i="16"/>
  <c r="A487" i="46" l="1"/>
  <c r="D486" i="46"/>
  <c r="E486" i="46"/>
  <c r="D150" i="46"/>
  <c r="A151" i="46"/>
  <c r="H125" i="16"/>
  <c r="F125" i="16"/>
  <c r="E125" i="16"/>
  <c r="E487" i="46" l="1"/>
  <c r="D487" i="46"/>
  <c r="A488" i="46"/>
  <c r="D151" i="46"/>
  <c r="A152" i="46"/>
  <c r="I125" i="16"/>
  <c r="J125" i="16" s="1"/>
  <c r="A489" i="46" l="1"/>
  <c r="D488" i="46"/>
  <c r="E488" i="46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E489" i="46" l="1"/>
  <c r="D489" i="46"/>
  <c r="A490" i="46"/>
  <c r="D153" i="46"/>
  <c r="A154" i="46"/>
  <c r="H122" i="16"/>
  <c r="F122" i="16"/>
  <c r="I122" i="16" s="1"/>
  <c r="J122" i="16" s="1"/>
  <c r="E122" i="16"/>
  <c r="A491" i="46" l="1"/>
  <c r="D490" i="46"/>
  <c r="E490" i="46"/>
  <c r="D154" i="46"/>
  <c r="A155" i="46"/>
  <c r="H121" i="16"/>
  <c r="F121" i="16"/>
  <c r="E121" i="16"/>
  <c r="E491" i="46" l="1"/>
  <c r="D491" i="46"/>
  <c r="A492" i="46"/>
  <c r="D155" i="46"/>
  <c r="A156" i="46"/>
  <c r="I121" i="16"/>
  <c r="J121" i="16" s="1"/>
  <c r="H120" i="16"/>
  <c r="F120" i="16"/>
  <c r="E120" i="16"/>
  <c r="A493" i="46" l="1"/>
  <c r="D492" i="46"/>
  <c r="E492" i="46"/>
  <c r="D156" i="46"/>
  <c r="A157" i="46"/>
  <c r="I120" i="16"/>
  <c r="J120" i="16" s="1"/>
  <c r="H119" i="16"/>
  <c r="F119" i="16"/>
  <c r="E119" i="16"/>
  <c r="E493" i="46" l="1"/>
  <c r="D493" i="46"/>
  <c r="A494" i="46"/>
  <c r="D157" i="46"/>
  <c r="A158" i="46"/>
  <c r="I119" i="16"/>
  <c r="J119" i="16" s="1"/>
  <c r="H118" i="16"/>
  <c r="F118" i="16"/>
  <c r="E118" i="16"/>
  <c r="A495" i="46" l="1"/>
  <c r="D494" i="46"/>
  <c r="E494" i="46"/>
  <c r="I118" i="16"/>
  <c r="J118" i="16" s="1"/>
  <c r="D158" i="46"/>
  <c r="A159" i="46"/>
  <c r="H117" i="16"/>
  <c r="F117" i="16"/>
  <c r="I117" i="16" s="1"/>
  <c r="J117" i="16" s="1"/>
  <c r="E117" i="16"/>
  <c r="E495" i="46" l="1"/>
  <c r="D495" i="46"/>
  <c r="A496" i="46"/>
  <c r="D159" i="46"/>
  <c r="A160" i="46"/>
  <c r="H116" i="16"/>
  <c r="F116" i="16"/>
  <c r="I116" i="16" s="1"/>
  <c r="J116" i="16" s="1"/>
  <c r="E116" i="16"/>
  <c r="A497" i="46" l="1"/>
  <c r="D496" i="46"/>
  <c r="E496" i="46"/>
  <c r="D160" i="46"/>
  <c r="A161" i="46"/>
  <c r="H115" i="16"/>
  <c r="F115" i="16"/>
  <c r="E115" i="16"/>
  <c r="E497" i="46" l="1"/>
  <c r="D497" i="46"/>
  <c r="D161" i="46"/>
  <c r="A162" i="46"/>
  <c r="I115" i="16"/>
  <c r="J115" i="16" s="1"/>
  <c r="H114" i="16"/>
  <c r="F114" i="16"/>
  <c r="I114" i="16" s="1"/>
  <c r="J114" i="16" s="1"/>
  <c r="E114" i="16"/>
  <c r="D162" i="46" l="1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E103" i="16"/>
  <c r="I103" i="16" l="1"/>
  <c r="J103" i="16" s="1"/>
  <c r="D173" i="46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I79" i="16" s="1"/>
  <c r="J79" i="16" s="1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I69" i="16" s="1"/>
  <c r="J69" i="16" s="1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I46" i="16" s="1"/>
  <c r="J46" i="16" s="1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I42" i="16" s="1"/>
  <c r="J42" i="16" s="1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29" i="25"/>
  <c r="L147" i="25"/>
  <c r="L138" i="25"/>
  <c r="L137" i="25"/>
  <c r="L128" i="25"/>
  <c r="L142" i="25"/>
  <c r="L136" i="25"/>
  <c r="F126" i="25"/>
  <c r="F127" i="25"/>
  <c r="L148" i="25"/>
  <c r="I127" i="25"/>
  <c r="L143" i="25"/>
  <c r="L130" i="25"/>
  <c r="L139" i="25"/>
  <c r="L132" i="25"/>
  <c r="I128" i="25"/>
  <c r="L126" i="25"/>
  <c r="F128" i="25"/>
  <c r="L146" i="25"/>
  <c r="L145" i="25"/>
  <c r="L135" i="25"/>
  <c r="L133" i="25"/>
  <c r="I130" i="25"/>
  <c r="L144" i="25"/>
  <c r="L141" i="25"/>
  <c r="L149" i="25"/>
  <c r="L127" i="25"/>
  <c r="L131" i="25"/>
  <c r="I126" i="25"/>
  <c r="I131" i="25"/>
  <c r="I129" i="25"/>
  <c r="L134" i="25"/>
  <c r="L140" i="25"/>
  <c r="I9" i="16" l="1"/>
  <c r="J9" i="16" s="1"/>
  <c r="I25" i="16"/>
  <c r="J25" i="16" s="1"/>
  <c r="I33" i="16"/>
  <c r="J33" i="16" s="1"/>
  <c r="I37" i="16"/>
  <c r="J37" i="16" s="1"/>
  <c r="I49" i="16"/>
  <c r="J49" i="16" s="1"/>
  <c r="I53" i="16"/>
  <c r="J53" i="16" s="1"/>
  <c r="I57" i="16"/>
  <c r="J57" i="16" s="1"/>
  <c r="G699" i="16"/>
  <c r="G693" i="16"/>
  <c r="G684" i="16"/>
  <c r="G688" i="16"/>
  <c r="G680" i="16"/>
  <c r="G687" i="16"/>
  <c r="G674" i="16"/>
  <c r="G675" i="16"/>
  <c r="G683" i="16"/>
  <c r="G690" i="16"/>
  <c r="G700" i="16"/>
  <c r="G689" i="16"/>
  <c r="G695" i="16"/>
  <c r="K695" i="16" s="1"/>
  <c r="G679" i="16"/>
  <c r="G678" i="16"/>
  <c r="G677" i="16"/>
  <c r="G685" i="16"/>
  <c r="G686" i="16"/>
  <c r="G697" i="16"/>
  <c r="K697" i="16" s="1"/>
  <c r="G676" i="16"/>
  <c r="G682" i="16"/>
  <c r="G701" i="16"/>
  <c r="K701" i="16" s="1"/>
  <c r="G694" i="16"/>
  <c r="K694" i="16" s="1"/>
  <c r="G691" i="16"/>
  <c r="K691" i="16" s="1"/>
  <c r="B628" i="46" s="1"/>
  <c r="C628" i="46" s="1"/>
  <c r="F628" i="46" s="1"/>
  <c r="G672" i="16"/>
  <c r="K672" i="16" s="1"/>
  <c r="B593" i="46" s="1"/>
  <c r="C593" i="46" s="1"/>
  <c r="F593" i="46" s="1"/>
  <c r="G673" i="16"/>
  <c r="G692" i="16"/>
  <c r="K692" i="16" s="1"/>
  <c r="B629" i="46" s="1"/>
  <c r="C629" i="46" s="1"/>
  <c r="F629" i="46" s="1"/>
  <c r="G698" i="16"/>
  <c r="K698" i="16" s="1"/>
  <c r="G696" i="16"/>
  <c r="K696" i="16" s="1"/>
  <c r="B638" i="46" s="1"/>
  <c r="C638" i="46" s="1"/>
  <c r="F638" i="46" s="1"/>
  <c r="G681" i="16"/>
  <c r="G669" i="16"/>
  <c r="G670" i="16"/>
  <c r="G671" i="16"/>
  <c r="G668" i="16"/>
  <c r="G663" i="16"/>
  <c r="G662" i="16"/>
  <c r="G657" i="16"/>
  <c r="K657" i="16" s="1"/>
  <c r="B573" i="46" s="1"/>
  <c r="C573" i="46" s="1"/>
  <c r="F573" i="46" s="1"/>
  <c r="G667" i="16"/>
  <c r="G661" i="16"/>
  <c r="G666" i="16"/>
  <c r="G660" i="16"/>
  <c r="G659" i="16"/>
  <c r="G664" i="16"/>
  <c r="G665" i="16"/>
  <c r="G658" i="16"/>
  <c r="G649" i="16"/>
  <c r="G656" i="16"/>
  <c r="G654" i="16"/>
  <c r="G648" i="16"/>
  <c r="K648" i="16" s="1"/>
  <c r="B564" i="46" s="1"/>
  <c r="C564" i="46" s="1"/>
  <c r="F564" i="46" s="1"/>
  <c r="G652" i="16"/>
  <c r="G647" i="16"/>
  <c r="G650" i="16"/>
  <c r="G655" i="16"/>
  <c r="G653" i="16"/>
  <c r="G651" i="16"/>
  <c r="G639" i="16"/>
  <c r="G630" i="16"/>
  <c r="G634" i="16"/>
  <c r="G646" i="16"/>
  <c r="G637" i="16"/>
  <c r="G632" i="16"/>
  <c r="K632" i="16" s="1"/>
  <c r="G643" i="16"/>
  <c r="G641" i="16"/>
  <c r="G631" i="16"/>
  <c r="G645" i="16"/>
  <c r="G636" i="16"/>
  <c r="G638" i="16"/>
  <c r="G642" i="16"/>
  <c r="G640" i="16"/>
  <c r="G633" i="16"/>
  <c r="G644" i="16"/>
  <c r="G635" i="16"/>
  <c r="G629" i="16"/>
  <c r="K629" i="16" s="1"/>
  <c r="B546" i="46" s="1"/>
  <c r="C546" i="46" s="1"/>
  <c r="F546" i="46" s="1"/>
  <c r="G623" i="16"/>
  <c r="G619" i="16"/>
  <c r="G611" i="16"/>
  <c r="G606" i="16"/>
  <c r="G603" i="16"/>
  <c r="G626" i="16"/>
  <c r="G601" i="16"/>
  <c r="G604" i="16"/>
  <c r="G627" i="16"/>
  <c r="G610" i="16"/>
  <c r="G602" i="16"/>
  <c r="G614" i="16"/>
  <c r="K614" i="16" s="1"/>
  <c r="B532" i="46" s="1"/>
  <c r="C532" i="46" s="1"/>
  <c r="F532" i="46" s="1"/>
  <c r="G613" i="16"/>
  <c r="G600" i="16"/>
  <c r="G621" i="16"/>
  <c r="K621" i="16" s="1"/>
  <c r="G617" i="16"/>
  <c r="G628" i="16"/>
  <c r="K628" i="16" s="1"/>
  <c r="B545" i="46" s="1"/>
  <c r="C545" i="46" s="1"/>
  <c r="F545" i="46" s="1"/>
  <c r="G622" i="16"/>
  <c r="K622" i="16" s="1"/>
  <c r="B539" i="46" s="1"/>
  <c r="C539" i="46" s="1"/>
  <c r="F539" i="46" s="1"/>
  <c r="G609" i="16"/>
  <c r="G608" i="16"/>
  <c r="G612" i="16"/>
  <c r="G616" i="16"/>
  <c r="G620" i="16"/>
  <c r="K620" i="16" s="1"/>
  <c r="G618" i="16"/>
  <c r="K618" i="16" s="1"/>
  <c r="B535" i="46" s="1"/>
  <c r="C535" i="46" s="1"/>
  <c r="F535" i="46" s="1"/>
  <c r="G624" i="16"/>
  <c r="K624" i="16" s="1"/>
  <c r="B541" i="46" s="1"/>
  <c r="C541" i="46" s="1"/>
  <c r="F541" i="46" s="1"/>
  <c r="G625" i="16"/>
  <c r="K625" i="16" s="1"/>
  <c r="B542" i="46" s="1"/>
  <c r="C542" i="46" s="1"/>
  <c r="F542" i="46" s="1"/>
  <c r="G615" i="16"/>
  <c r="G605" i="16"/>
  <c r="G607" i="16"/>
  <c r="G581" i="16"/>
  <c r="G585" i="16"/>
  <c r="G598" i="16"/>
  <c r="K598" i="16" s="1"/>
  <c r="G588" i="16"/>
  <c r="G586" i="16"/>
  <c r="G590" i="16"/>
  <c r="G583" i="16"/>
  <c r="K583" i="16" s="1"/>
  <c r="B474" i="46" s="1"/>
  <c r="C474" i="46" s="1"/>
  <c r="F474" i="46" s="1"/>
  <c r="G593" i="16"/>
  <c r="G587" i="16"/>
  <c r="G582" i="16"/>
  <c r="G592" i="16"/>
  <c r="G595" i="16"/>
  <c r="G591" i="16"/>
  <c r="G584" i="16"/>
  <c r="G596" i="16"/>
  <c r="K596" i="16" s="1"/>
  <c r="G594" i="16"/>
  <c r="G589" i="16"/>
  <c r="G597" i="16"/>
  <c r="K597" i="16" s="1"/>
  <c r="G579" i="16"/>
  <c r="K579" i="16" s="1"/>
  <c r="G580" i="16"/>
  <c r="G578" i="16"/>
  <c r="G576" i="16"/>
  <c r="G577" i="16"/>
  <c r="G599" i="16"/>
  <c r="G575" i="16"/>
  <c r="G574" i="16"/>
  <c r="G570" i="16"/>
  <c r="G563" i="16"/>
  <c r="G555" i="16"/>
  <c r="G566" i="16"/>
  <c r="G569" i="16"/>
  <c r="K569" i="16" s="1"/>
  <c r="B456" i="46" s="1"/>
  <c r="C456" i="46" s="1"/>
  <c r="F456" i="46" s="1"/>
  <c r="G558" i="16"/>
  <c r="G559" i="16"/>
  <c r="G557" i="16"/>
  <c r="G573" i="16"/>
  <c r="G564" i="16"/>
  <c r="G556" i="16"/>
  <c r="G561" i="16"/>
  <c r="G572" i="16"/>
  <c r="G560" i="16"/>
  <c r="G562" i="16"/>
  <c r="G568" i="16"/>
  <c r="G565" i="16"/>
  <c r="K565" i="16" s="1"/>
  <c r="B451" i="46" s="1"/>
  <c r="C451" i="46" s="1"/>
  <c r="F451" i="46" s="1"/>
  <c r="G571" i="16"/>
  <c r="G567" i="16"/>
  <c r="G552" i="16"/>
  <c r="G553" i="16"/>
  <c r="G547" i="16"/>
  <c r="G548" i="16"/>
  <c r="G546" i="16"/>
  <c r="G550" i="16"/>
  <c r="G554" i="16"/>
  <c r="G545" i="16"/>
  <c r="G549" i="16"/>
  <c r="G551" i="16"/>
  <c r="K551" i="16" s="1"/>
  <c r="G540" i="16"/>
  <c r="G539" i="16"/>
  <c r="G542" i="16"/>
  <c r="G541" i="16"/>
  <c r="G544" i="16"/>
  <c r="G543" i="16"/>
  <c r="G536" i="16"/>
  <c r="G538" i="16"/>
  <c r="G537" i="16"/>
  <c r="G535" i="16"/>
  <c r="G534" i="16"/>
  <c r="G532" i="16"/>
  <c r="K532" i="16" s="1"/>
  <c r="B408" i="46" s="1"/>
  <c r="C408" i="46" s="1"/>
  <c r="F408" i="46" s="1"/>
  <c r="G533" i="16"/>
  <c r="G530" i="16"/>
  <c r="G531" i="16"/>
  <c r="G526" i="16"/>
  <c r="G528" i="16"/>
  <c r="G527" i="16"/>
  <c r="G529" i="16"/>
  <c r="G525" i="16"/>
  <c r="G524" i="16"/>
  <c r="G523" i="16"/>
  <c r="G521" i="16"/>
  <c r="G522" i="16"/>
  <c r="K522" i="16" s="1"/>
  <c r="G520" i="16"/>
  <c r="G519" i="16"/>
  <c r="G518" i="16"/>
  <c r="G517" i="16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520" i="16" l="1"/>
  <c r="B396" i="46" s="1"/>
  <c r="C396" i="46" s="1"/>
  <c r="F396" i="46" s="1"/>
  <c r="K533" i="16"/>
  <c r="B409" i="46" s="1"/>
  <c r="C409" i="46" s="1"/>
  <c r="F409" i="46" s="1"/>
  <c r="K540" i="16"/>
  <c r="B418" i="46" s="1"/>
  <c r="C418" i="46" s="1"/>
  <c r="F418" i="46" s="1"/>
  <c r="K571" i="16"/>
  <c r="K558" i="16"/>
  <c r="K580" i="16"/>
  <c r="K593" i="16"/>
  <c r="K613" i="16"/>
  <c r="K623" i="16"/>
  <c r="B540" i="46" s="1"/>
  <c r="C540" i="46" s="1"/>
  <c r="F540" i="46" s="1"/>
  <c r="K643" i="16"/>
  <c r="B560" i="46" s="1"/>
  <c r="C560" i="46" s="1"/>
  <c r="F560" i="46" s="1"/>
  <c r="K652" i="16"/>
  <c r="B568" i="46" s="1"/>
  <c r="C568" i="46" s="1"/>
  <c r="F568" i="46" s="1"/>
  <c r="K667" i="16"/>
  <c r="B586" i="46" s="1"/>
  <c r="C586" i="46" s="1"/>
  <c r="F586" i="46" s="1"/>
  <c r="K673" i="16"/>
  <c r="K677" i="16"/>
  <c r="K680" i="16"/>
  <c r="B398" i="46"/>
  <c r="C398" i="46" s="1"/>
  <c r="F398" i="46" s="1"/>
  <c r="B399" i="46"/>
  <c r="C399" i="46" s="1"/>
  <c r="F399" i="46" s="1"/>
  <c r="K678" i="16"/>
  <c r="K114" i="16"/>
  <c r="B92" i="46" s="1"/>
  <c r="C92" i="46" s="1"/>
  <c r="F92" i="46" s="1"/>
  <c r="K521" i="16"/>
  <c r="B397" i="46" s="1"/>
  <c r="C397" i="46" s="1"/>
  <c r="F397" i="46" s="1"/>
  <c r="K534" i="16"/>
  <c r="K549" i="16"/>
  <c r="B434" i="46" s="1"/>
  <c r="C434" i="46" s="1"/>
  <c r="F434" i="46" s="1"/>
  <c r="K568" i="16"/>
  <c r="K566" i="16"/>
  <c r="B452" i="46" s="1"/>
  <c r="C452" i="46" s="1"/>
  <c r="F452" i="46" s="1"/>
  <c r="K590" i="16"/>
  <c r="B485" i="46" s="1"/>
  <c r="C485" i="46" s="1"/>
  <c r="F485" i="46" s="1"/>
  <c r="K602" i="16"/>
  <c r="K635" i="16"/>
  <c r="B551" i="46" s="1"/>
  <c r="C551" i="46" s="1"/>
  <c r="F551" i="46" s="1"/>
  <c r="K637" i="16"/>
  <c r="B552" i="46" s="1"/>
  <c r="C552" i="46" s="1"/>
  <c r="F552" i="46" s="1"/>
  <c r="K654" i="16"/>
  <c r="B570" i="46" s="1"/>
  <c r="C570" i="46" s="1"/>
  <c r="F570" i="46" s="1"/>
  <c r="K662" i="16"/>
  <c r="K679" i="16"/>
  <c r="K684" i="16"/>
  <c r="K688" i="16"/>
  <c r="B625" i="46" s="1"/>
  <c r="C625" i="46" s="1"/>
  <c r="F625" i="46" s="1"/>
  <c r="K523" i="16"/>
  <c r="K535" i="16"/>
  <c r="K545" i="16"/>
  <c r="K562" i="16"/>
  <c r="B448" i="46" s="1"/>
  <c r="C448" i="46" s="1"/>
  <c r="F448" i="46" s="1"/>
  <c r="K555" i="16"/>
  <c r="K589" i="16"/>
  <c r="K586" i="16"/>
  <c r="K616" i="16"/>
  <c r="K610" i="16"/>
  <c r="B523" i="46" s="1"/>
  <c r="C523" i="46" s="1"/>
  <c r="F523" i="46" s="1"/>
  <c r="K644" i="16"/>
  <c r="B561" i="46" s="1"/>
  <c r="C561" i="46" s="1"/>
  <c r="F561" i="46" s="1"/>
  <c r="K646" i="16"/>
  <c r="K656" i="16"/>
  <c r="B572" i="46" s="1"/>
  <c r="C572" i="46" s="1"/>
  <c r="F572" i="46" s="1"/>
  <c r="K663" i="16"/>
  <c r="B581" i="46" s="1"/>
  <c r="C581" i="46" s="1"/>
  <c r="F581" i="46" s="1"/>
  <c r="B632" i="46"/>
  <c r="C632" i="46" s="1"/>
  <c r="F632" i="46" s="1"/>
  <c r="B633" i="46"/>
  <c r="C633" i="46" s="1"/>
  <c r="F633" i="46" s="1"/>
  <c r="B634" i="46"/>
  <c r="C634" i="46" s="1"/>
  <c r="F634" i="46" s="1"/>
  <c r="B635" i="46"/>
  <c r="C635" i="46" s="1"/>
  <c r="F635" i="46" s="1"/>
  <c r="B636" i="46"/>
  <c r="C636" i="46" s="1"/>
  <c r="F636" i="46" s="1"/>
  <c r="B637" i="46"/>
  <c r="C637" i="46" s="1"/>
  <c r="F637" i="46" s="1"/>
  <c r="K693" i="16"/>
  <c r="K524" i="16"/>
  <c r="B400" i="46" s="1"/>
  <c r="C400" i="46" s="1"/>
  <c r="F400" i="46" s="1"/>
  <c r="K537" i="16"/>
  <c r="B415" i="46" s="1"/>
  <c r="C415" i="46" s="1"/>
  <c r="F415" i="46" s="1"/>
  <c r="K554" i="16"/>
  <c r="K560" i="16"/>
  <c r="K563" i="16"/>
  <c r="B449" i="46" s="1"/>
  <c r="C449" i="46" s="1"/>
  <c r="F449" i="46" s="1"/>
  <c r="K594" i="16"/>
  <c r="K588" i="16"/>
  <c r="K612" i="16"/>
  <c r="K627" i="16"/>
  <c r="B544" i="46" s="1"/>
  <c r="C544" i="46" s="1"/>
  <c r="F544" i="46" s="1"/>
  <c r="K633" i="16"/>
  <c r="B549" i="46" s="1"/>
  <c r="C549" i="46" s="1"/>
  <c r="F549" i="46" s="1"/>
  <c r="K634" i="16"/>
  <c r="B550" i="46" s="1"/>
  <c r="C550" i="46" s="1"/>
  <c r="F550" i="46" s="1"/>
  <c r="K649" i="16"/>
  <c r="B565" i="46" s="1"/>
  <c r="C565" i="46" s="1"/>
  <c r="F565" i="46" s="1"/>
  <c r="K668" i="16"/>
  <c r="K689" i="16"/>
  <c r="K699" i="16"/>
  <c r="K525" i="16"/>
  <c r="B401" i="46" s="1"/>
  <c r="C401" i="46" s="1"/>
  <c r="F401" i="46" s="1"/>
  <c r="K538" i="16"/>
  <c r="B416" i="46" s="1"/>
  <c r="C416" i="46" s="1"/>
  <c r="F416" i="46" s="1"/>
  <c r="K550" i="16"/>
  <c r="B435" i="46" s="1"/>
  <c r="C435" i="46" s="1"/>
  <c r="F435" i="46" s="1"/>
  <c r="K572" i="16"/>
  <c r="K570" i="16"/>
  <c r="B501" i="46"/>
  <c r="C501" i="46" s="1"/>
  <c r="F501" i="46" s="1"/>
  <c r="B502" i="46"/>
  <c r="C502" i="46" s="1"/>
  <c r="F502" i="46" s="1"/>
  <c r="K608" i="16"/>
  <c r="B520" i="46" s="1"/>
  <c r="C520" i="46" s="1"/>
  <c r="F520" i="46" s="1"/>
  <c r="K604" i="16"/>
  <c r="B516" i="46" s="1"/>
  <c r="C516" i="46" s="1"/>
  <c r="F516" i="46" s="1"/>
  <c r="K640" i="16"/>
  <c r="B556" i="46" s="1"/>
  <c r="C556" i="46" s="1"/>
  <c r="F556" i="46" s="1"/>
  <c r="K630" i="16"/>
  <c r="B547" i="46" s="1"/>
  <c r="C547" i="46" s="1"/>
  <c r="F547" i="46" s="1"/>
  <c r="K658" i="16"/>
  <c r="K671" i="16"/>
  <c r="B592" i="46" s="1"/>
  <c r="C592" i="46" s="1"/>
  <c r="F592" i="46" s="1"/>
  <c r="K682" i="16"/>
  <c r="B612" i="46" s="1"/>
  <c r="C612" i="46" s="1"/>
  <c r="F612" i="46" s="1"/>
  <c r="K700" i="16"/>
  <c r="K529" i="16"/>
  <c r="B405" i="46" s="1"/>
  <c r="C405" i="46" s="1"/>
  <c r="F405" i="46" s="1"/>
  <c r="K536" i="16"/>
  <c r="K546" i="16"/>
  <c r="K561" i="16"/>
  <c r="B447" i="46" s="1"/>
  <c r="C447" i="46" s="1"/>
  <c r="F447" i="46" s="1"/>
  <c r="K574" i="16"/>
  <c r="B458" i="46" s="1"/>
  <c r="C458" i="46" s="1"/>
  <c r="F458" i="46" s="1"/>
  <c r="K584" i="16"/>
  <c r="B475" i="46" s="1"/>
  <c r="C475" i="46" s="1"/>
  <c r="F475" i="46" s="1"/>
  <c r="K585" i="16"/>
  <c r="B476" i="46" s="1"/>
  <c r="C476" i="46" s="1"/>
  <c r="F476" i="46" s="1"/>
  <c r="K609" i="16"/>
  <c r="K601" i="16"/>
  <c r="K642" i="16"/>
  <c r="K639" i="16"/>
  <c r="B555" i="46" s="1"/>
  <c r="C555" i="46" s="1"/>
  <c r="F555" i="46" s="1"/>
  <c r="K665" i="16"/>
  <c r="B584" i="46" s="1"/>
  <c r="C584" i="46" s="1"/>
  <c r="F584" i="46" s="1"/>
  <c r="K670" i="16"/>
  <c r="B591" i="46" s="1"/>
  <c r="C591" i="46" s="1"/>
  <c r="F591" i="46" s="1"/>
  <c r="K676" i="16"/>
  <c r="K690" i="16"/>
  <c r="B464" i="46"/>
  <c r="C464" i="46" s="1"/>
  <c r="F464" i="46" s="1"/>
  <c r="B465" i="46"/>
  <c r="C465" i="46" s="1"/>
  <c r="F465" i="46" s="1"/>
  <c r="K63" i="16"/>
  <c r="B25" i="46" s="1"/>
  <c r="C25" i="46" s="1"/>
  <c r="F25" i="46" s="1"/>
  <c r="K527" i="16"/>
  <c r="K543" i="16"/>
  <c r="B422" i="46" s="1"/>
  <c r="C422" i="46" s="1"/>
  <c r="F422" i="46" s="1"/>
  <c r="K548" i="16"/>
  <c r="K556" i="16"/>
  <c r="K575" i="16"/>
  <c r="B459" i="46" s="1"/>
  <c r="C459" i="46" s="1"/>
  <c r="F459" i="46" s="1"/>
  <c r="K591" i="16"/>
  <c r="B486" i="46" s="1"/>
  <c r="C486" i="46" s="1"/>
  <c r="F486" i="46" s="1"/>
  <c r="K581" i="16"/>
  <c r="B471" i="46" s="1"/>
  <c r="C471" i="46" s="1"/>
  <c r="F471" i="46" s="1"/>
  <c r="K626" i="16"/>
  <c r="B543" i="46" s="1"/>
  <c r="C543" i="46" s="1"/>
  <c r="F543" i="46" s="1"/>
  <c r="K638" i="16"/>
  <c r="K651" i="16"/>
  <c r="B567" i="46" s="1"/>
  <c r="C567" i="46" s="1"/>
  <c r="F567" i="46" s="1"/>
  <c r="K664" i="16"/>
  <c r="K669" i="16"/>
  <c r="K683" i="16"/>
  <c r="K528" i="16"/>
  <c r="B404" i="46" s="1"/>
  <c r="C404" i="46" s="1"/>
  <c r="F404" i="46" s="1"/>
  <c r="K544" i="16"/>
  <c r="K547" i="16"/>
  <c r="K564" i="16"/>
  <c r="B450" i="46" s="1"/>
  <c r="C450" i="46" s="1"/>
  <c r="F450" i="46" s="1"/>
  <c r="K599" i="16"/>
  <c r="K595" i="16"/>
  <c r="K607" i="16"/>
  <c r="B519" i="46" s="1"/>
  <c r="C519" i="46" s="1"/>
  <c r="F519" i="46" s="1"/>
  <c r="K603" i="16"/>
  <c r="K636" i="16"/>
  <c r="K653" i="16"/>
  <c r="B569" i="46" s="1"/>
  <c r="C569" i="46" s="1"/>
  <c r="F569" i="46" s="1"/>
  <c r="K659" i="16"/>
  <c r="B576" i="46" s="1"/>
  <c r="C576" i="46" s="1"/>
  <c r="F576" i="46" s="1"/>
  <c r="K681" i="16"/>
  <c r="B611" i="46" s="1"/>
  <c r="C611" i="46" s="1"/>
  <c r="F611" i="46" s="1"/>
  <c r="B639" i="46"/>
  <c r="C639" i="46" s="1"/>
  <c r="F639" i="46" s="1"/>
  <c r="B640" i="46"/>
  <c r="C640" i="46" s="1"/>
  <c r="F640" i="46" s="1"/>
  <c r="B641" i="46"/>
  <c r="C641" i="46" s="1"/>
  <c r="F641" i="46" s="1"/>
  <c r="K675" i="16"/>
  <c r="B599" i="46" s="1"/>
  <c r="C599" i="46" s="1"/>
  <c r="F599" i="46" s="1"/>
  <c r="K526" i="16"/>
  <c r="K541" i="16"/>
  <c r="B419" i="46" s="1"/>
  <c r="C419" i="46" s="1"/>
  <c r="F419" i="46" s="1"/>
  <c r="K553" i="16"/>
  <c r="K573" i="16"/>
  <c r="B457" i="46" s="1"/>
  <c r="C457" i="46" s="1"/>
  <c r="F457" i="46" s="1"/>
  <c r="K577" i="16"/>
  <c r="K592" i="16"/>
  <c r="K605" i="16"/>
  <c r="B517" i="46" s="1"/>
  <c r="C517" i="46" s="1"/>
  <c r="F517" i="46" s="1"/>
  <c r="K617" i="16"/>
  <c r="B534" i="46" s="1"/>
  <c r="C534" i="46" s="1"/>
  <c r="F534" i="46" s="1"/>
  <c r="K606" i="16"/>
  <c r="B518" i="46" s="1"/>
  <c r="C518" i="46" s="1"/>
  <c r="F518" i="46" s="1"/>
  <c r="K645" i="16"/>
  <c r="B562" i="46" s="1"/>
  <c r="C562" i="46" s="1"/>
  <c r="F562" i="46" s="1"/>
  <c r="K655" i="16"/>
  <c r="B571" i="46" s="1"/>
  <c r="C571" i="46" s="1"/>
  <c r="F571" i="46" s="1"/>
  <c r="K660" i="16"/>
  <c r="B577" i="46" s="1"/>
  <c r="C577" i="46" s="1"/>
  <c r="F577" i="46" s="1"/>
  <c r="K686" i="16"/>
  <c r="K64" i="16"/>
  <c r="B27" i="46" s="1"/>
  <c r="C27" i="46" s="1"/>
  <c r="F27" i="46" s="1"/>
  <c r="K518" i="16"/>
  <c r="B394" i="46" s="1"/>
  <c r="C394" i="46" s="1"/>
  <c r="F394" i="46" s="1"/>
  <c r="K531" i="16"/>
  <c r="B407" i="46" s="1"/>
  <c r="C407" i="46" s="1"/>
  <c r="F407" i="46" s="1"/>
  <c r="K542" i="16"/>
  <c r="K552" i="16"/>
  <c r="K557" i="16"/>
  <c r="B442" i="46" s="1"/>
  <c r="C442" i="46" s="1"/>
  <c r="F442" i="46" s="1"/>
  <c r="K576" i="16"/>
  <c r="B460" i="46" s="1"/>
  <c r="C460" i="46" s="1"/>
  <c r="F460" i="46" s="1"/>
  <c r="K582" i="16"/>
  <c r="K615" i="16"/>
  <c r="B533" i="46" s="1"/>
  <c r="C533" i="46" s="1"/>
  <c r="F533" i="46" s="1"/>
  <c r="K611" i="16"/>
  <c r="B524" i="46" s="1"/>
  <c r="C524" i="46" s="1"/>
  <c r="F524" i="46" s="1"/>
  <c r="K631" i="16"/>
  <c r="B548" i="46" s="1"/>
  <c r="C548" i="46" s="1"/>
  <c r="F548" i="46" s="1"/>
  <c r="K650" i="16"/>
  <c r="B566" i="46" s="1"/>
  <c r="C566" i="46" s="1"/>
  <c r="F566" i="46" s="1"/>
  <c r="K666" i="16"/>
  <c r="B585" i="46" s="1"/>
  <c r="C585" i="46" s="1"/>
  <c r="F585" i="46" s="1"/>
  <c r="B642" i="46"/>
  <c r="C642" i="46" s="1"/>
  <c r="F642" i="46" s="1"/>
  <c r="B643" i="46"/>
  <c r="C643" i="46" s="1"/>
  <c r="F643" i="46" s="1"/>
  <c r="B644" i="46"/>
  <c r="C644" i="46" s="1"/>
  <c r="F644" i="46" s="1"/>
  <c r="B645" i="46"/>
  <c r="C645" i="46" s="1"/>
  <c r="F645" i="46" s="1"/>
  <c r="K685" i="16"/>
  <c r="K674" i="16"/>
  <c r="B436" i="46"/>
  <c r="C436" i="46" s="1"/>
  <c r="F436" i="46" s="1"/>
  <c r="B437" i="46"/>
  <c r="C437" i="46" s="1"/>
  <c r="F437" i="46" s="1"/>
  <c r="K519" i="16"/>
  <c r="B395" i="46" s="1"/>
  <c r="C395" i="46" s="1"/>
  <c r="F395" i="46" s="1"/>
  <c r="K530" i="16"/>
  <c r="B406" i="46" s="1"/>
  <c r="C406" i="46" s="1"/>
  <c r="F406" i="46" s="1"/>
  <c r="K539" i="16"/>
  <c r="B417" i="46" s="1"/>
  <c r="C417" i="46" s="1"/>
  <c r="F417" i="46" s="1"/>
  <c r="K567" i="16"/>
  <c r="B453" i="46" s="1"/>
  <c r="C453" i="46" s="1"/>
  <c r="F453" i="46" s="1"/>
  <c r="K559" i="16"/>
  <c r="K578" i="16"/>
  <c r="B463" i="46" s="1"/>
  <c r="C463" i="46" s="1"/>
  <c r="F463" i="46" s="1"/>
  <c r="K587" i="16"/>
  <c r="K600" i="16"/>
  <c r="K619" i="16"/>
  <c r="K641" i="16"/>
  <c r="B557" i="46" s="1"/>
  <c r="C557" i="46" s="1"/>
  <c r="F557" i="46" s="1"/>
  <c r="K647" i="16"/>
  <c r="B563" i="46" s="1"/>
  <c r="C563" i="46" s="1"/>
  <c r="F563" i="46" s="1"/>
  <c r="K661" i="16"/>
  <c r="B578" i="46" s="1"/>
  <c r="C578" i="46" s="1"/>
  <c r="F578" i="46" s="1"/>
  <c r="K687" i="16"/>
  <c r="B624" i="46" s="1"/>
  <c r="C624" i="46" s="1"/>
  <c r="F624" i="46" s="1"/>
  <c r="K98" i="16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26" i="46" l="1"/>
  <c r="C26" i="46" s="1"/>
  <c r="F26" i="46" s="1"/>
  <c r="B499" i="46"/>
  <c r="C499" i="46" s="1"/>
  <c r="F499" i="46" s="1"/>
  <c r="B498" i="46"/>
  <c r="C498" i="46" s="1"/>
  <c r="F498" i="46" s="1"/>
  <c r="B500" i="46"/>
  <c r="C500" i="46" s="1"/>
  <c r="F500" i="46" s="1"/>
  <c r="B495" i="46"/>
  <c r="C495" i="46" s="1"/>
  <c r="F495" i="46" s="1"/>
  <c r="B496" i="46"/>
  <c r="C496" i="46" s="1"/>
  <c r="F496" i="46" s="1"/>
  <c r="B497" i="46"/>
  <c r="C497" i="46" s="1"/>
  <c r="F497" i="46" s="1"/>
  <c r="B480" i="46"/>
  <c r="C480" i="46" s="1"/>
  <c r="F480" i="46" s="1"/>
  <c r="B481" i="46"/>
  <c r="C481" i="46" s="1"/>
  <c r="F481" i="46" s="1"/>
  <c r="B621" i="46"/>
  <c r="C621" i="46" s="1"/>
  <c r="F621" i="46" s="1"/>
  <c r="B622" i="46"/>
  <c r="C622" i="46" s="1"/>
  <c r="F622" i="46" s="1"/>
  <c r="B623" i="46"/>
  <c r="C623" i="46" s="1"/>
  <c r="F623" i="46" s="1"/>
  <c r="B505" i="46"/>
  <c r="C505" i="46" s="1"/>
  <c r="F505" i="46" s="1"/>
  <c r="B506" i="46"/>
  <c r="C506" i="46" s="1"/>
  <c r="F506" i="46" s="1"/>
  <c r="B504" i="46"/>
  <c r="C504" i="46" s="1"/>
  <c r="F504" i="46" s="1"/>
  <c r="B503" i="46"/>
  <c r="C503" i="46" s="1"/>
  <c r="F503" i="46" s="1"/>
  <c r="B655" i="46"/>
  <c r="C655" i="46" s="1"/>
  <c r="F655" i="46" s="1"/>
  <c r="B656" i="46"/>
  <c r="C656" i="46" s="1"/>
  <c r="F656" i="46" s="1"/>
  <c r="B492" i="46"/>
  <c r="C492" i="46" s="1"/>
  <c r="F492" i="46" s="1"/>
  <c r="B493" i="46"/>
  <c r="C493" i="46" s="1"/>
  <c r="F493" i="46" s="1"/>
  <c r="B494" i="46"/>
  <c r="C494" i="46" s="1"/>
  <c r="F494" i="46" s="1"/>
  <c r="B412" i="46"/>
  <c r="C412" i="46" s="1"/>
  <c r="F412" i="46" s="1"/>
  <c r="B413" i="46"/>
  <c r="C413" i="46" s="1"/>
  <c r="F413" i="46" s="1"/>
  <c r="B414" i="46"/>
  <c r="C414" i="46" s="1"/>
  <c r="F414" i="46" s="1"/>
  <c r="B454" i="46"/>
  <c r="C454" i="46" s="1"/>
  <c r="F454" i="46" s="1"/>
  <c r="B455" i="46"/>
  <c r="C455" i="46" s="1"/>
  <c r="F455" i="46" s="1"/>
  <c r="B657" i="46"/>
  <c r="C657" i="46" s="1"/>
  <c r="F657" i="46" s="1"/>
  <c r="B658" i="46"/>
  <c r="C658" i="46" s="1"/>
  <c r="F658" i="46" s="1"/>
  <c r="B659" i="46"/>
  <c r="C659" i="46" s="1"/>
  <c r="F659" i="46" s="1"/>
  <c r="B427" i="46"/>
  <c r="C427" i="46" s="1"/>
  <c r="F427" i="46" s="1"/>
  <c r="B428" i="46"/>
  <c r="C428" i="46" s="1"/>
  <c r="F428" i="46" s="1"/>
  <c r="B429" i="46"/>
  <c r="C429" i="46" s="1"/>
  <c r="F429" i="46" s="1"/>
  <c r="B430" i="46"/>
  <c r="C430" i="46" s="1"/>
  <c r="F430" i="46" s="1"/>
  <c r="B431" i="46"/>
  <c r="C431" i="46" s="1"/>
  <c r="F431" i="46" s="1"/>
  <c r="B558" i="46"/>
  <c r="C558" i="46" s="1"/>
  <c r="F558" i="46" s="1"/>
  <c r="B559" i="46"/>
  <c r="C559" i="46" s="1"/>
  <c r="F559" i="46" s="1"/>
  <c r="B410" i="46"/>
  <c r="C410" i="46" s="1"/>
  <c r="F410" i="46" s="1"/>
  <c r="B411" i="46"/>
  <c r="C411" i="46" s="1"/>
  <c r="F411" i="46" s="1"/>
  <c r="B472" i="46"/>
  <c r="C472" i="46" s="1"/>
  <c r="F472" i="46" s="1"/>
  <c r="B473" i="46"/>
  <c r="C473" i="46" s="1"/>
  <c r="F473" i="46" s="1"/>
  <c r="B423" i="46"/>
  <c r="C423" i="46" s="1"/>
  <c r="F423" i="46" s="1"/>
  <c r="B424" i="46"/>
  <c r="C424" i="46" s="1"/>
  <c r="F424" i="46" s="1"/>
  <c r="B425" i="46"/>
  <c r="C425" i="46" s="1"/>
  <c r="F425" i="46" s="1"/>
  <c r="B426" i="46"/>
  <c r="C426" i="46" s="1"/>
  <c r="F426" i="46" s="1"/>
  <c r="B432" i="46"/>
  <c r="C432" i="46" s="1"/>
  <c r="F432" i="46" s="1"/>
  <c r="B433" i="46"/>
  <c r="C433" i="46" s="1"/>
  <c r="F433" i="46" s="1"/>
  <c r="B507" i="46"/>
  <c r="C507" i="46" s="1"/>
  <c r="F507" i="46" s="1"/>
  <c r="B508" i="46"/>
  <c r="C508" i="46" s="1"/>
  <c r="F508" i="46" s="1"/>
  <c r="B509" i="46"/>
  <c r="C509" i="46" s="1"/>
  <c r="F509" i="46" s="1"/>
  <c r="B510" i="46"/>
  <c r="C510" i="46" s="1"/>
  <c r="F510" i="46" s="1"/>
  <c r="B511" i="46"/>
  <c r="C511" i="46" s="1"/>
  <c r="F511" i="46" s="1"/>
  <c r="B512" i="46"/>
  <c r="C512" i="46" s="1"/>
  <c r="F512" i="46" s="1"/>
  <c r="B513" i="46"/>
  <c r="C513" i="46" s="1"/>
  <c r="F513" i="46" s="1"/>
  <c r="B574" i="46"/>
  <c r="C574" i="46" s="1"/>
  <c r="F574" i="46" s="1"/>
  <c r="B575" i="46"/>
  <c r="C575" i="46" s="1"/>
  <c r="F575" i="46" s="1"/>
  <c r="B646" i="46"/>
  <c r="C646" i="46" s="1"/>
  <c r="F646" i="46" s="1"/>
  <c r="B647" i="46"/>
  <c r="C647" i="46" s="1"/>
  <c r="F647" i="46" s="1"/>
  <c r="B648" i="46"/>
  <c r="C648" i="46" s="1"/>
  <c r="F648" i="46" s="1"/>
  <c r="B649" i="46"/>
  <c r="C649" i="46" s="1"/>
  <c r="F649" i="46" s="1"/>
  <c r="B650" i="46"/>
  <c r="C650" i="46" s="1"/>
  <c r="F650" i="46" s="1"/>
  <c r="B651" i="46"/>
  <c r="C651" i="46" s="1"/>
  <c r="F651" i="46" s="1"/>
  <c r="B652" i="46"/>
  <c r="C652" i="46" s="1"/>
  <c r="F652" i="46" s="1"/>
  <c r="B653" i="46"/>
  <c r="C653" i="46" s="1"/>
  <c r="F653" i="46" s="1"/>
  <c r="B654" i="46"/>
  <c r="C654" i="46" s="1"/>
  <c r="F654" i="46" s="1"/>
  <c r="B440" i="46"/>
  <c r="C440" i="46" s="1"/>
  <c r="F440" i="46" s="1"/>
  <c r="B441" i="46"/>
  <c r="C441" i="46" s="1"/>
  <c r="F441" i="46" s="1"/>
  <c r="B615" i="46"/>
  <c r="C615" i="46" s="1"/>
  <c r="F615" i="46" s="1"/>
  <c r="B616" i="46"/>
  <c r="C616" i="46" s="1"/>
  <c r="F616" i="46" s="1"/>
  <c r="B617" i="46"/>
  <c r="C617" i="46" s="1"/>
  <c r="F617" i="46" s="1"/>
  <c r="B527" i="46"/>
  <c r="C527" i="46" s="1"/>
  <c r="F527" i="46" s="1"/>
  <c r="B528" i="46"/>
  <c r="C528" i="46" s="1"/>
  <c r="F528" i="46" s="1"/>
  <c r="B529" i="46"/>
  <c r="C529" i="46" s="1"/>
  <c r="F529" i="46" s="1"/>
  <c r="B530" i="46"/>
  <c r="C530" i="46" s="1"/>
  <c r="F530" i="46" s="1"/>
  <c r="B531" i="46"/>
  <c r="C531" i="46" s="1"/>
  <c r="F531" i="46" s="1"/>
  <c r="B597" i="46"/>
  <c r="C597" i="46" s="1"/>
  <c r="F597" i="46" s="1"/>
  <c r="B598" i="46"/>
  <c r="C598" i="46" s="1"/>
  <c r="F598" i="46" s="1"/>
  <c r="B521" i="46"/>
  <c r="C521" i="46" s="1"/>
  <c r="F521" i="46" s="1"/>
  <c r="B522" i="46"/>
  <c r="C522" i="46" s="1"/>
  <c r="F522" i="46" s="1"/>
  <c r="B605" i="46"/>
  <c r="C605" i="46" s="1"/>
  <c r="F605" i="46" s="1"/>
  <c r="B606" i="46"/>
  <c r="C606" i="46" s="1"/>
  <c r="F606" i="46" s="1"/>
  <c r="B490" i="46"/>
  <c r="C490" i="46" s="1"/>
  <c r="F490" i="46" s="1"/>
  <c r="B491" i="46"/>
  <c r="C491" i="46" s="1"/>
  <c r="F491" i="46" s="1"/>
  <c r="B536" i="46"/>
  <c r="C536" i="46" s="1"/>
  <c r="F536" i="46" s="1"/>
  <c r="B537" i="46"/>
  <c r="C537" i="46" s="1"/>
  <c r="F537" i="46" s="1"/>
  <c r="B538" i="46"/>
  <c r="C538" i="46" s="1"/>
  <c r="F538" i="46" s="1"/>
  <c r="B618" i="46"/>
  <c r="C618" i="46" s="1"/>
  <c r="F618" i="46" s="1"/>
  <c r="B619" i="46"/>
  <c r="C619" i="46" s="1"/>
  <c r="F619" i="46" s="1"/>
  <c r="B620" i="46"/>
  <c r="C620" i="46" s="1"/>
  <c r="F620" i="46" s="1"/>
  <c r="B613" i="46"/>
  <c r="C613" i="46" s="1"/>
  <c r="F613" i="46" s="1"/>
  <c r="B614" i="46"/>
  <c r="C614" i="46" s="1"/>
  <c r="F614" i="46" s="1"/>
  <c r="B402" i="46"/>
  <c r="C402" i="46" s="1"/>
  <c r="F402" i="46" s="1"/>
  <c r="B403" i="46"/>
  <c r="C403" i="46" s="1"/>
  <c r="F403" i="46" s="1"/>
  <c r="B587" i="46"/>
  <c r="C587" i="46" s="1"/>
  <c r="F587" i="46" s="1"/>
  <c r="B588" i="46"/>
  <c r="C588" i="46" s="1"/>
  <c r="F588" i="46" s="1"/>
  <c r="B579" i="46"/>
  <c r="C579" i="46" s="1"/>
  <c r="F579" i="46" s="1"/>
  <c r="B580" i="46"/>
  <c r="C580" i="46" s="1"/>
  <c r="F580" i="46" s="1"/>
  <c r="B602" i="46"/>
  <c r="C602" i="46" s="1"/>
  <c r="F602" i="46" s="1"/>
  <c r="B603" i="46"/>
  <c r="C603" i="46" s="1"/>
  <c r="F603" i="46" s="1"/>
  <c r="B604" i="46"/>
  <c r="C604" i="46" s="1"/>
  <c r="F604" i="46" s="1"/>
  <c r="B466" i="46"/>
  <c r="C466" i="46" s="1"/>
  <c r="F466" i="46" s="1"/>
  <c r="B467" i="46"/>
  <c r="C467" i="46" s="1"/>
  <c r="F467" i="46" s="1"/>
  <c r="B468" i="46"/>
  <c r="C468" i="46" s="1"/>
  <c r="F468" i="46" s="1"/>
  <c r="B469" i="46"/>
  <c r="C469" i="46" s="1"/>
  <c r="F469" i="46" s="1"/>
  <c r="B470" i="46"/>
  <c r="C470" i="46" s="1"/>
  <c r="F470" i="46" s="1"/>
  <c r="B589" i="46"/>
  <c r="C589" i="46" s="1"/>
  <c r="F589" i="46" s="1"/>
  <c r="B590" i="46"/>
  <c r="C590" i="46" s="1"/>
  <c r="F590" i="46" s="1"/>
  <c r="B630" i="46"/>
  <c r="C630" i="46" s="1"/>
  <c r="F630" i="46" s="1"/>
  <c r="B631" i="46"/>
  <c r="C631" i="46" s="1"/>
  <c r="F631" i="46" s="1"/>
  <c r="B443" i="46"/>
  <c r="C443" i="46" s="1"/>
  <c r="F443" i="46" s="1"/>
  <c r="B444" i="46"/>
  <c r="C444" i="46" s="1"/>
  <c r="F444" i="46" s="1"/>
  <c r="B477" i="46"/>
  <c r="C477" i="46" s="1"/>
  <c r="F477" i="46" s="1"/>
  <c r="B478" i="46"/>
  <c r="C478" i="46" s="1"/>
  <c r="F478" i="46" s="1"/>
  <c r="B479" i="46"/>
  <c r="C479" i="46" s="1"/>
  <c r="F479" i="46" s="1"/>
  <c r="B420" i="46"/>
  <c r="C420" i="46" s="1"/>
  <c r="F420" i="46" s="1"/>
  <c r="B421" i="46"/>
  <c r="C421" i="46" s="1"/>
  <c r="F421" i="46" s="1"/>
  <c r="B487" i="46"/>
  <c r="C487" i="46" s="1"/>
  <c r="F487" i="46" s="1"/>
  <c r="B488" i="46"/>
  <c r="C488" i="46" s="1"/>
  <c r="F488" i="46" s="1"/>
  <c r="B489" i="46"/>
  <c r="C489" i="46" s="1"/>
  <c r="F489" i="46" s="1"/>
  <c r="B582" i="46"/>
  <c r="C582" i="46" s="1"/>
  <c r="F582" i="46" s="1"/>
  <c r="B583" i="46"/>
  <c r="C583" i="46" s="1"/>
  <c r="F583" i="46" s="1"/>
  <c r="B461" i="46"/>
  <c r="C461" i="46" s="1"/>
  <c r="F461" i="46" s="1"/>
  <c r="B462" i="46"/>
  <c r="C462" i="46" s="1"/>
  <c r="F462" i="46" s="1"/>
  <c r="B482" i="46"/>
  <c r="C482" i="46" s="1"/>
  <c r="F482" i="46" s="1"/>
  <c r="B483" i="46"/>
  <c r="C483" i="46" s="1"/>
  <c r="F483" i="46" s="1"/>
  <c r="B484" i="46"/>
  <c r="C484" i="46" s="1"/>
  <c r="F484" i="46" s="1"/>
  <c r="B607" i="46"/>
  <c r="C607" i="46" s="1"/>
  <c r="F607" i="46" s="1"/>
  <c r="B608" i="46"/>
  <c r="C608" i="46" s="1"/>
  <c r="F608" i="46" s="1"/>
  <c r="B609" i="46"/>
  <c r="C609" i="46" s="1"/>
  <c r="F609" i="46" s="1"/>
  <c r="B610" i="46"/>
  <c r="C610" i="46" s="1"/>
  <c r="F610" i="46" s="1"/>
  <c r="B445" i="46"/>
  <c r="C445" i="46" s="1"/>
  <c r="F445" i="46" s="1"/>
  <c r="B446" i="46"/>
  <c r="C446" i="46" s="1"/>
  <c r="F446" i="46" s="1"/>
  <c r="B553" i="46"/>
  <c r="C553" i="46" s="1"/>
  <c r="F553" i="46" s="1"/>
  <c r="B554" i="46"/>
  <c r="C554" i="46" s="1"/>
  <c r="F554" i="46" s="1"/>
  <c r="B626" i="46"/>
  <c r="C626" i="46" s="1"/>
  <c r="F626" i="46" s="1"/>
  <c r="B627" i="46"/>
  <c r="C627" i="46" s="1"/>
  <c r="F627" i="46" s="1"/>
  <c r="B514" i="46"/>
  <c r="C514" i="46" s="1"/>
  <c r="F514" i="46" s="1"/>
  <c r="B515" i="46"/>
  <c r="C515" i="46" s="1"/>
  <c r="F515" i="46" s="1"/>
  <c r="B600" i="46"/>
  <c r="C600" i="46" s="1"/>
  <c r="F600" i="46" s="1"/>
  <c r="B601" i="46"/>
  <c r="C601" i="46" s="1"/>
  <c r="F601" i="46" s="1"/>
  <c r="B438" i="46"/>
  <c r="C438" i="46" s="1"/>
  <c r="F438" i="46" s="1"/>
  <c r="B439" i="46"/>
  <c r="C439" i="46" s="1"/>
  <c r="F439" i="46" s="1"/>
  <c r="B525" i="46"/>
  <c r="C525" i="46" s="1"/>
  <c r="F525" i="46" s="1"/>
  <c r="B526" i="46"/>
  <c r="C526" i="46" s="1"/>
  <c r="F526" i="46" s="1"/>
  <c r="B594" i="46"/>
  <c r="C594" i="46" s="1"/>
  <c r="F594" i="46" s="1"/>
  <c r="B595" i="46"/>
  <c r="C595" i="46" s="1"/>
  <c r="F595" i="46" s="1"/>
  <c r="B596" i="46"/>
  <c r="C596" i="46" s="1"/>
  <c r="F596" i="46" s="1"/>
  <c r="B12" i="46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H8" i="28"/>
  <c r="D8" i="28"/>
  <c r="E7" i="28"/>
  <c r="I8" i="28"/>
  <c r="E8" i="28"/>
  <c r="D7" i="28"/>
  <c r="D9" i="28"/>
  <c r="H7" i="28"/>
  <c r="I9" i="28"/>
  <c r="E9" i="28"/>
  <c r="I7" i="28"/>
  <c r="H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F111" i="25"/>
  <c r="F19" i="25"/>
  <c r="F20" i="25"/>
  <c r="F37" i="25"/>
  <c r="F82" i="25"/>
  <c r="I104" i="25"/>
  <c r="F76" i="25"/>
  <c r="I85" i="25"/>
  <c r="I54" i="25"/>
  <c r="F46" i="25"/>
  <c r="I117" i="25"/>
  <c r="F15" i="25"/>
  <c r="I26" i="25"/>
  <c r="I69" i="25"/>
  <c r="I16" i="25"/>
  <c r="I122" i="25"/>
  <c r="F6" i="25"/>
  <c r="F31" i="25"/>
  <c r="I108" i="25"/>
  <c r="F28" i="25"/>
  <c r="I70" i="25"/>
  <c r="F98" i="25"/>
  <c r="I125" i="25"/>
  <c r="F57" i="25"/>
  <c r="F84" i="25"/>
  <c r="F45" i="25"/>
  <c r="F41" i="25"/>
  <c r="I24" i="25"/>
  <c r="F101" i="25"/>
  <c r="I102" i="25"/>
  <c r="I20" i="25"/>
  <c r="F103" i="25"/>
  <c r="F74" i="25"/>
  <c r="F118" i="25"/>
  <c r="F83" i="25"/>
  <c r="F50" i="25"/>
  <c r="F55" i="25"/>
  <c r="I63" i="25"/>
  <c r="I107" i="25"/>
  <c r="F33" i="25"/>
  <c r="F43" i="25"/>
  <c r="I93" i="25"/>
  <c r="I28" i="25"/>
  <c r="I37" i="25"/>
  <c r="F92" i="25"/>
  <c r="F102" i="25"/>
  <c r="I22" i="25"/>
  <c r="I39" i="25"/>
  <c r="I99" i="25"/>
  <c r="F32" i="25"/>
  <c r="I15" i="25"/>
  <c r="F114" i="25"/>
  <c r="F108" i="25"/>
  <c r="I76" i="25"/>
  <c r="I88" i="25"/>
  <c r="F24" i="25"/>
  <c r="F40" i="25"/>
  <c r="I71" i="25"/>
  <c r="I17" i="25"/>
  <c r="F77" i="25"/>
  <c r="F121" i="25"/>
  <c r="I64" i="25"/>
  <c r="F49" i="25"/>
  <c r="I124" i="25"/>
  <c r="F13" i="25"/>
  <c r="F94" i="25"/>
  <c r="F122" i="25"/>
  <c r="I123" i="25"/>
  <c r="F14" i="25"/>
  <c r="I40" i="25"/>
  <c r="I79" i="25"/>
  <c r="F58" i="25"/>
  <c r="I66" i="25"/>
  <c r="F10" i="25"/>
  <c r="F62" i="25"/>
  <c r="I94" i="25"/>
  <c r="I109" i="25"/>
  <c r="F21" i="25"/>
  <c r="F89" i="25"/>
  <c r="I49" i="25"/>
  <c r="F26" i="25"/>
  <c r="F125" i="25"/>
  <c r="I61" i="25"/>
  <c r="F8" i="25"/>
  <c r="I80" i="25"/>
  <c r="I59" i="25"/>
  <c r="I73" i="25"/>
  <c r="I106" i="25"/>
  <c r="I45" i="25"/>
  <c r="I86" i="25"/>
  <c r="F124" i="25"/>
  <c r="I113" i="25"/>
  <c r="F109" i="25"/>
  <c r="I121" i="25"/>
  <c r="F12" i="25"/>
  <c r="F117" i="25"/>
  <c r="F99" i="25"/>
  <c r="I38" i="25"/>
  <c r="F39" i="25"/>
  <c r="I72" i="25"/>
  <c r="F100" i="25"/>
  <c r="F87" i="25"/>
  <c r="I112" i="25"/>
  <c r="I42" i="25"/>
  <c r="I18" i="25"/>
  <c r="I97" i="25"/>
  <c r="I89" i="25"/>
  <c r="F112" i="25"/>
  <c r="F59" i="25"/>
  <c r="F27" i="25"/>
  <c r="F7" i="25"/>
  <c r="F65" i="25"/>
  <c r="F69" i="25"/>
  <c r="F86" i="25"/>
  <c r="I83" i="25"/>
  <c r="F93" i="25"/>
  <c r="F96" i="25"/>
  <c r="F25" i="25"/>
  <c r="I14" i="25"/>
  <c r="I120" i="25"/>
  <c r="F18" i="25"/>
  <c r="F5" i="25"/>
  <c r="I84" i="25"/>
  <c r="I30" i="25"/>
  <c r="F30" i="25"/>
  <c r="I52" i="25"/>
  <c r="F54" i="25"/>
  <c r="I115" i="25"/>
  <c r="F90" i="25"/>
  <c r="I110" i="25"/>
  <c r="I60" i="25"/>
  <c r="F29" i="25"/>
  <c r="F115" i="25"/>
  <c r="I13" i="25"/>
  <c r="F119" i="25"/>
  <c r="I100" i="25"/>
  <c r="F44" i="25"/>
  <c r="F107" i="25"/>
  <c r="F64" i="25"/>
  <c r="I68" i="25"/>
  <c r="F116" i="25"/>
  <c r="I43" i="25"/>
  <c r="F67" i="25"/>
  <c r="I21" i="25"/>
  <c r="I103" i="25"/>
  <c r="I47" i="25"/>
  <c r="F34" i="25"/>
  <c r="F66" i="25"/>
  <c r="I119" i="25"/>
  <c r="F104" i="25"/>
  <c r="F16" i="25"/>
  <c r="I36" i="25"/>
  <c r="F22" i="25"/>
  <c r="F105" i="25"/>
  <c r="F79" i="25"/>
  <c r="F72" i="25"/>
  <c r="F38" i="25"/>
  <c r="F61" i="25"/>
  <c r="I31" i="25"/>
  <c r="I96" i="25"/>
  <c r="I50" i="25"/>
  <c r="I35" i="25"/>
  <c r="F88" i="25"/>
  <c r="F47" i="25"/>
  <c r="F52" i="25"/>
  <c r="I11" i="25"/>
  <c r="I116" i="25"/>
  <c r="I58" i="25"/>
  <c r="I118" i="25"/>
  <c r="I48" i="25"/>
  <c r="F11" i="25"/>
  <c r="I62" i="25"/>
  <c r="F95" i="25"/>
  <c r="F51" i="25"/>
  <c r="F9" i="25"/>
  <c r="I44" i="25"/>
  <c r="I56" i="25"/>
  <c r="F113" i="25"/>
  <c r="F35" i="25"/>
  <c r="F71" i="25"/>
  <c r="F123" i="25"/>
  <c r="F120" i="25"/>
  <c r="F78" i="25"/>
  <c r="I81" i="25"/>
  <c r="I57" i="25"/>
  <c r="F42" i="25"/>
  <c r="I46" i="25"/>
  <c r="I114" i="25"/>
  <c r="I55" i="25"/>
  <c r="I12" i="25"/>
  <c r="F110" i="25"/>
  <c r="F75" i="25"/>
  <c r="I34" i="25"/>
  <c r="I41" i="25"/>
  <c r="I25" i="25"/>
  <c r="F85" i="25"/>
  <c r="F17" i="25"/>
  <c r="F80" i="25"/>
  <c r="I67" i="25"/>
  <c r="I19" i="25"/>
  <c r="F60" i="25"/>
  <c r="F81" i="25"/>
  <c r="F106" i="25"/>
  <c r="I101" i="25"/>
  <c r="I98" i="25"/>
  <c r="F53" i="25"/>
  <c r="I27" i="25"/>
  <c r="I33" i="25"/>
  <c r="I95" i="25"/>
  <c r="I51" i="25"/>
  <c r="I92" i="25"/>
  <c r="I87" i="25"/>
  <c r="I65" i="25"/>
  <c r="F91" i="25"/>
  <c r="I53" i="25"/>
  <c r="I75" i="25"/>
  <c r="F48" i="25"/>
  <c r="F97" i="25"/>
  <c r="I77" i="25"/>
  <c r="I23" i="25"/>
  <c r="I29" i="25"/>
  <c r="I32" i="25"/>
  <c r="I91" i="25"/>
  <c r="I90" i="25"/>
  <c r="I74" i="25"/>
  <c r="F73" i="25"/>
  <c r="I82" i="25"/>
  <c r="I78" i="25"/>
  <c r="F36" i="25"/>
  <c r="F56" i="25"/>
  <c r="I111" i="25"/>
  <c r="F23" i="25"/>
  <c r="F68" i="25"/>
  <c r="F70" i="25"/>
  <c r="F63" i="25"/>
  <c r="I105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16" i="25"/>
  <c r="L99" i="25"/>
  <c r="L37" i="25"/>
  <c r="L82" i="25"/>
  <c r="L108" i="25"/>
  <c r="L31" i="25"/>
  <c r="L122" i="25"/>
  <c r="L22" i="25"/>
  <c r="L118" i="25"/>
  <c r="L55" i="25"/>
  <c r="L78" i="25"/>
  <c r="L56" i="25"/>
  <c r="L89" i="25"/>
  <c r="L21" i="25"/>
  <c r="L72" i="25"/>
  <c r="L38" i="25"/>
  <c r="L45" i="25"/>
  <c r="L125" i="25"/>
  <c r="L51" i="25"/>
  <c r="L26" i="25"/>
  <c r="L19" i="25"/>
  <c r="L50" i="25"/>
  <c r="L27" i="25"/>
  <c r="L84" i="25"/>
  <c r="L73" i="25"/>
  <c r="L28" i="25"/>
  <c r="L115" i="25"/>
  <c r="L68" i="25"/>
  <c r="L43" i="25"/>
  <c r="L35" i="25"/>
  <c r="L77" i="25"/>
  <c r="L17" i="25"/>
  <c r="L47" i="25"/>
  <c r="L90" i="25"/>
  <c r="L49" i="25"/>
  <c r="L52" i="25"/>
  <c r="L39" i="25"/>
  <c r="L96" i="25"/>
  <c r="L114" i="25"/>
  <c r="L57" i="25"/>
  <c r="L48" i="25"/>
  <c r="L85" i="25"/>
  <c r="L34" i="25"/>
  <c r="L58" i="25"/>
  <c r="L86" i="25"/>
  <c r="L64" i="25"/>
  <c r="L23" i="25"/>
  <c r="L24" i="25"/>
  <c r="L121" i="25"/>
  <c r="L111" i="25"/>
  <c r="L76" i="25"/>
  <c r="L113" i="25"/>
  <c r="L117" i="25"/>
  <c r="L29" i="25"/>
  <c r="L42" i="25"/>
  <c r="L75" i="25"/>
  <c r="L110" i="25"/>
  <c r="L61" i="25"/>
  <c r="L18" i="25"/>
  <c r="L105" i="25"/>
  <c r="L36" i="25"/>
  <c r="L92" i="25"/>
  <c r="L71" i="25"/>
  <c r="L81" i="25"/>
  <c r="L103" i="25"/>
  <c r="L59" i="25"/>
  <c r="L30" i="25"/>
  <c r="L53" i="25"/>
  <c r="L120" i="25"/>
  <c r="L106" i="25"/>
  <c r="L123" i="25"/>
  <c r="L25" i="25"/>
  <c r="L83" i="25"/>
  <c r="L20" i="25"/>
  <c r="L95" i="25"/>
  <c r="L98" i="25"/>
  <c r="L104" i="25"/>
  <c r="L91" i="25"/>
  <c r="L33" i="25"/>
  <c r="L94" i="25"/>
  <c r="L60" i="25"/>
  <c r="L116" i="25"/>
  <c r="L46" i="25"/>
  <c r="L62" i="25"/>
  <c r="L100" i="25"/>
  <c r="L93" i="25"/>
  <c r="L102" i="25"/>
  <c r="L44" i="25"/>
  <c r="L63" i="25"/>
  <c r="L70" i="25"/>
  <c r="L79" i="25"/>
  <c r="L40" i="25"/>
  <c r="L124" i="25"/>
  <c r="L69" i="25"/>
  <c r="L109" i="25"/>
  <c r="L32" i="25"/>
  <c r="L41" i="25"/>
  <c r="L87" i="25"/>
  <c r="L88" i="25"/>
  <c r="L54" i="25"/>
  <c r="L97" i="25"/>
  <c r="L67" i="25"/>
  <c r="L74" i="25"/>
  <c r="L80" i="25"/>
  <c r="L112" i="25"/>
  <c r="L119" i="25"/>
  <c r="L65" i="25"/>
  <c r="L107" i="25"/>
  <c r="L101" i="25"/>
  <c r="L66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<sst xmlns="http://schemas.openxmlformats.org/spreadsheetml/2006/main" count="2040" uniqueCount="514">
  <si>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</si>
  <si>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</si>
  <si>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</si>
  <si>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</si>
  <si>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</si>
  <si>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</si>
  <si>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</si>
  <si>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</si>
  <si>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</si>
  <si>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</si>
  <si>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</si>
  <si>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</si>
  <si>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</si>
  <si>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</si>
  <si>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</si>
  <si>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</si>
  <si>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</si>
  <si>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</si>
  <si>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</si>
  <si>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</si>
  <si>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</si>
  <si>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</si>
  <si>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</si>
  <si>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</si>
  <si>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</si>
  <si>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</si>
  <si>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</si>
  <si>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</si>
  <si>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</si>
  <si>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</si>
  <si>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</si>
  <si>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</si>
  <si>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</si>
  <si>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</si>
  <si>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</si>
  <si>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</si>
  <si>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</si>
  <si>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</si>
  <si>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</si>
  <si>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</si>
  <si>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</si>
  <si>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</si>
  <si>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</si>
  <si>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</si>
  <si>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</si>
  <si>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</si>
  <si>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</si>
  <si>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</si>
  <si>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</si>
  <si>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</si>
  <si>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</si>
  <si>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</si>
  <si>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</si>
  <si>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</si>
  <si>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</si>
  <si>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</si>
  <si>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</si>
  <si>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</si>
  <si>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</si>
  <si>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</si>
  <si>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</si>
  <si>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</si>
  <si>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</si>
  <si>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</si>
  <si>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</si>
  <si>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</si>
  <si>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</si>
  <si>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</si>
  <si>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</si>
  <si>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</si>
  <si>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</si>
  <si>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</si>
  <si>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</si>
  <si>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</si>
  <si>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</si>
  <si>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</si>
  <si>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</si>
  <si>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</si>
  <si>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</si>
  <si>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</si>
  <si>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</si>
  <si>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</si>
  <si>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</si>
  <si>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</si>
  <si>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</si>
  <si>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</si>
  <si>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</si>
  <si>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</si>
  <si>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</si>
  <si>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</si>
  <si>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</si>
  <si>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</si>
  <si>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</si>
  <si>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</si>
  <si>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</si>
  <si>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</si>
  <si>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</si>
  <si>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</si>
  <si>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</si>
  <si>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</si>
  <si>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</si>
  <si>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</si>
  <si>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</si>
  <si>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</si>
  <si>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</si>
  <si>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</si>
  <si>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</si>
  <si>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</si>
  <si>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</si>
  <si>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</si>
  <si>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</si>
  <si>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</si>
  <si>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</si>
  <si>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</si>
  <si>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</si>
  <si>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</si>
  <si>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</si>
  <si>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</si>
  <si>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</si>
  <si>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</si>
  <si>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</si>
  <si>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</si>
  <si>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</si>
  <si>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</si>
  <si>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</si>
  <si>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</si>
  <si>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</si>
  <si>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</si>
  <si>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</si>
  <si>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</si>
  <si>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</si>
  <si>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</si>
  <si>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</si>
  <si>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</si>
  <si>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</si>
  <si>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</si>
  <si>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</si>
  <si>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</si>
  <si>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</si>
  <si>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</si>
  <si>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</si>
  <si>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</si>
  <si>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</si>
  <si>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</si>
  <si>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</si>
  <si>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</si>
  <si>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</si>
  <si>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</si>
  <si>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</si>
  <si>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</si>
  <si>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</si>
  <si>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</si>
  <si>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</si>
  <si>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</si>
  <si>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</si>
  <si>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</si>
  <si>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</si>
  <si>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</si>
  <si>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</si>
  <si>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</si>
  <si>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</si>
  <si>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</si>
  <si>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</si>
  <si>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</si>
  <si>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</si>
  <si>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</si>
  <si>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</si>
  <si>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</si>
  <si>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</si>
  <si>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</si>
  <si>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</si>
  <si>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</si>
  <si>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</si>
  <si>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</si>
  <si>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</si>
  <si>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</si>
  <si>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</si>
  <si>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</si>
  <si>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</si>
  <si>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</si>
  <si>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</si>
  <si>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</si>
  <si>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</si>
  <si>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</si>
  <si>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</si>
  <si>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</si>
  <si>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</si>
  <si>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</si>
  <si>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</si>
  <si>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</si>
  <si>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</si>
  <si>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</si>
  <si>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</si>
  <si>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</si>
  <si>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</si>
  <si>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</si>
  <si>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</si>
  <si>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</si>
  <si>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</si>
  <si>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</si>
  <si>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</si>
  <si>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</si>
  <si>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</si>
  <si>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</si>
  <si>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</si>
  <si>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</si>
  <si>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</si>
  <si>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</si>
  <si>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</si>
  <si>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</si>
  <si>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</si>
  <si>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</si>
  <si>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</si>
  <si>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</si>
  <si>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</si>
  <si>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</si>
  <si>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</si>
  <si>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</si>
  <si>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</si>
  <si>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</si>
  <si>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</si>
  <si>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</si>
  <si>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</si>
  <si>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</si>
  <si>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</si>
  <si>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</si>
  <si>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</si>
  <si>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</si>
  <si>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</si>
  <si>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</si>
  <si>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</si>
  <si>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</si>
  <si>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</si>
  <si>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</si>
  <si>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</si>
  <si>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</si>
  <si>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</si>
  <si>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</si>
  <si>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</si>
  <si>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</si>
  <si>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</si>
  <si>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</si>
  <si>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</si>
  <si>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</si>
  <si>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</si>
  <si>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</si>
  <si>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</si>
  <si>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</si>
  <si>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</si>
  <si>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</si>
  <si>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</si>
  <si>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</si>
  <si>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</si>
  <si>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</si>
  <si>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</si>
  <si>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</si>
  <si>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</si>
  <si>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</si>
  <si>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</si>
  <si>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</si>
  <si>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</si>
  <si>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</si>
  <si>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</si>
  <si>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</si>
  <si>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</si>
  <si>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</si>
  <si>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</si>
  <si>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</si>
  <si>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</si>
  <si>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</si>
  <si>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</si>
  <si>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</si>
  <si>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</si>
  <si>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</si>
  <si>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</si>
  <si>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</si>
  <si>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</si>
  <si>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</si>
  <si>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</si>
  <si>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</si>
  <si>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</si>
  <si>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</si>
  <si>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</si>
  <si>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</si>
  <si>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</si>
  <si>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</si>
  <si>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</si>
  <si>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</si>
  <si>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</si>
  <si>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</si>
  <si>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</si>
  <si>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</si>
  <si>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</si>
  <si>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</si>
  <si>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</si>
  <si>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</si>
  <si>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</si>
  <si>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</si>
  <si>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</si>
  <si>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</si>
  <si>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</si>
  <si>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</si>
  <si>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</si>
  <si>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</si>
  <si>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</si>
  <si>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</si>
  <si>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</si>
  <si>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</si>
  <si>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</si>
  <si>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</si>
  <si>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</si>
  <si>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</si>
  <si>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</si>
  <si>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</si>
  <si>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</si>
  <si>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</si>
  <si>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</si>
  <si>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</si>
  <si>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</si>
  <si>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</si>
  <si>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</si>
  <si>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</si>
  <si>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</si>
  <si>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</si>
  <si>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</si>
  <si>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</si>
  <si>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</si>
  <si>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</si>
  <si>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</si>
  <si>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</si>
  <si>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</si>
  <si>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</si>
  <si>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</si>
  <si>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</si>
  <si>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</si>
  <si>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</si>
  <si>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</si>
  <si>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</si>
  <si>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</si>
  <si>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</si>
  <si>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</si>
  <si>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</si>
  <si>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</si>
  <si>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</si>
  <si>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</si>
  <si>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</si>
  <si>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</si>
  <si>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</si>
  <si>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</si>
  <si>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</si>
  <si>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</si>
  <si>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</si>
  <si>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</si>
  <si>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</si>
  <si>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</si>
  <si>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</si>
  <si>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</si>
  <si>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</si>
  <si>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</si>
  <si>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</si>
  <si>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</si>
  <si>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</si>
  <si>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</si>
  <si>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</si>
  <si>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</si>
  <si>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</si>
  <si>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</si>
  <si>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</si>
  <si>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</si>
  <si>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</si>
  <si>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</si>
  <si>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</si>
  <si>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</si>
  <si>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</si>
  <si>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</si>
  <si>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</si>
  <si>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</si>
  <si>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</si>
  <si>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</si>
  <si>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</si>
  <si>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</si>
  <si>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</si>
  <si>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</si>
  <si>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</si>
  <si>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</si>
  <si>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</si>
  <si>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</si>
  <si>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</si>
  <si>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</si>
  <si>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</si>
  <si>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</si>
  <si>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</si>
  <si>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</si>
  <si>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</si>
  <si>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</si>
  <si>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</si>
  <si>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</si>
  <si>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</si>
  <si>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</si>
  <si>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</si>
  <si>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</si>
  <si>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</si>
  <si>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</si>
  <si>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</si>
  <si>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</si>
  <si>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</si>
  <si>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</si>
  <si>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</si>
  <si>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</si>
  <si>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</si>
  <si>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</si>
  <si>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</si>
  <si>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</si>
  <si>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</si>
  <si>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</si>
  <si>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</si>
  <si>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</si>
  <si>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</si>
  <si>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</si>
  <si>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</si>
  <si>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</si>
  <si>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</si>
  <si>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</si>
  <si>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</si>
  <si>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</si>
  <si>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</si>
  <si>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</si>
  <si>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</si>
  <si>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</si>
  <si>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</si>
  <si>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</si>
  <si>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</si>
  <si>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</si>
  <si>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</si>
  <si>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</si>
  <si>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</si>
  <si>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</si>
  <si>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</si>
  <si>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</si>
  <si>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</si>
  <si>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</si>
  <si>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</si>
  <si>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</si>
  <si>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</si>
  <si>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</si>
  <si>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</si>
  <si>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</si>
  <si>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</si>
  <si>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</si>
  <si>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</si>
  <si>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</si>
  <si>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</si>
  <si>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</si>
  <si>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</si>
  <si>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</si>
  <si>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</si>
  <si>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</si>
  <si>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</si>
  <si>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</si>
  <si>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</si>
  <si>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</si>
  <si>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</si>
  <si>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</si>
  <si>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</si>
  <si>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</si>
  <si>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</si>
  <si>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</si>
  <si>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</si>
  <si>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</si>
  <si>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</si>
  <si>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</si>
  <si>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</si>
  <si>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</si>
  <si>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</si>
  <si>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</si>
  <si>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</si>
  <si>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</si>
  <si>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</si>
  <si>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</si>
  <si>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</si>
  <si>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</si>
  <si>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</si>
  <si>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</si>
  <si>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</si>
  <si>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</si>
  <si>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</si>
  <si>
    <t>浴衣菈特尼、浴衣克菈兒</t>
  </si>
  <si>
    <t>獸化風牙</t>
  </si>
  <si>
    <t>賽席爾、輕裝李弗</t>
  </si>
  <si>
    <t>結社寡婦、法爾杰托</t>
  </si>
  <si>
    <t>龍絆日潔西雅、龍絆日巴哈姆特</t>
  </si>
  <si>
    <t>柯恩</t>
  </si>
  <si>
    <t>Datetime</t>
  </si>
  <si>
    <t>Damage</t>
  </si>
  <si>
    <t>Predicted @ Reset</t>
  </si>
  <si>
    <t>Predicted +/-</t>
  </si>
  <si>
    <t>+/- %</t>
  </si>
  <si>
    <t>Mult</t>
  </si>
  <si>
    <t>DPH</t>
  </si>
  <si>
    <t>Avg</t>
  </si>
  <si>
    <t># P / hr</t>
  </si>
  <si>
    <t>聖德芬、梵斯</t>
  </si>
  <si>
    <t>克羅諾斯．夜、萬聖拉契希、萬聖夏斯特</t>
  </si>
  <si>
    <t>人形光雞、烏列爾</t>
  </si>
  <si>
    <t>龍絆日葛托夫、星龍涅因</t>
  </si>
  <si>
    <t>星龍伊利亞</t>
  </si>
  <si>
    <t>水牙、信玄、幸村、不動明王</t>
  </si>
  <si>
    <t>和服那姆</t>
  </si>
  <si>
    <t>埃米爾</t>
  </si>
  <si>
    <t>二哥、四哥、米迦勒</t>
  </si>
  <si>
    <t>妮娜</t>
  </si>
  <si>
    <t>幻身索狄亞克、伊利西恩</t>
  </si>
  <si>
    <t>女僕琵雅雀</t>
  </si>
  <si>
    <t>希拉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</si>
</sst>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  <numFmt numFmtId="186" formatCode="_(* #,##0_);_(* \(#,##0\);_(* &quot;-&quot;??_);_(@_)"/>
    <numFmt numFmtId="187" formatCode="_(\+* #,##0_);_(\-* #,##0_)"/>
    <numFmt numFmtId="188" formatCode="_(\+* #,##0.00%_);_(\-* #,##0.00%_)"/>
    <numFmt numFmtId="189" formatCode="_(* #,##0.000\x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6" fontId="42" fillId="26" borderId="36" xfId="3" applyNumberFormat="1" applyFont="1" applyFill="1" applyBorder="1" applyAlignment="1">
      <alignment horizontal="center" vertical="center"/>
    </xf>
    <xf numFmtId="187" fontId="42" fillId="26" borderId="36" xfId="0" applyNumberFormat="1" applyFont="1" applyFill="1" applyBorder="1" applyAlignment="1">
      <alignment horizontal="center" vertical="center"/>
    </xf>
    <xf numFmtId="189" fontId="42" fillId="26" borderId="30" xfId="1" applyNumberFormat="1" applyFont="1" applyFill="1" applyBorder="1" applyAlignment="1">
      <alignment horizontal="center" vertical="center"/>
    </xf>
    <xf numFmtId="0" fontId="42" fillId="26" borderId="25" xfId="0" applyFont="1" applyFill="1" applyBorder="1" applyAlignment="1">
      <alignment horizontal="center" vertical="center"/>
    </xf>
    <xf numFmtId="22" fontId="42" fillId="26" borderId="36" xfId="0" applyNumberFormat="1" applyFont="1" applyFill="1" applyBorder="1" applyAlignment="1">
      <alignment horizontal="center" vertical="center"/>
    </xf>
    <xf numFmtId="186" fontId="42" fillId="26" borderId="25" xfId="3" applyNumberFormat="1" applyFont="1" applyFill="1" applyBorder="1" applyAlignment="1">
      <alignment horizontal="center" vertical="center"/>
    </xf>
    <xf numFmtId="22" fontId="42" fillId="26" borderId="28" xfId="0" applyNumberFormat="1" applyFont="1" applyFill="1" applyBorder="1" applyAlignment="1">
      <alignment horizontal="center" vertical="center"/>
    </xf>
    <xf numFmtId="186" fontId="42" fillId="26" borderId="28" xfId="3" applyNumberFormat="1" applyFont="1" applyFill="1" applyBorder="1" applyAlignment="1">
      <alignment horizontal="center" vertical="center"/>
    </xf>
    <xf numFmtId="187" fontId="42" fillId="26" borderId="28" xfId="0" applyNumberFormat="1" applyFont="1" applyFill="1" applyBorder="1" applyAlignment="1">
      <alignment horizontal="center" vertical="center"/>
    </xf>
    <xf numFmtId="188" fontId="42" fillId="26" borderId="25" xfId="1" applyNumberFormat="1" applyFont="1" applyFill="1" applyBorder="1" applyAlignment="1">
      <alignment horizontal="center" vertical="center"/>
    </xf>
    <xf numFmtId="189" fontId="42" fillId="26" borderId="25" xfId="1" applyNumberFormat="1" applyFont="1" applyFill="1" applyBorder="1" applyAlignment="1">
      <alignment horizontal="center" vertical="center"/>
    </xf>
    <xf numFmtId="22" fontId="42" fillId="26" borderId="25" xfId="0" applyNumberFormat="1" applyFont="1" applyFill="1" applyBorder="1" applyAlignment="1">
      <alignment horizontal="center" vertical="center"/>
    </xf>
    <xf numFmtId="187" fontId="42" fillId="26" borderId="25" xfId="0" applyNumberFormat="1" applyFont="1" applyFill="1" applyBorder="1" applyAlignment="1">
      <alignment horizontal="center" vertical="center"/>
    </xf>
    <xf numFmtId="0" fontId="41" fillId="26" borderId="36" xfId="0" applyFont="1" applyFill="1" applyBorder="1" applyAlignment="1">
      <alignment horizontal="center" vertical="center"/>
    </xf>
    <xf numFmtId="186" fontId="41" fillId="26" borderId="36" xfId="3" applyNumberFormat="1" applyFont="1" applyFill="1" applyBorder="1" applyAlignment="1">
      <alignment horizontal="center" vertical="center"/>
    </xf>
    <xf numFmtId="187" fontId="41" fillId="26" borderId="36" xfId="0" applyNumberFormat="1" applyFont="1" applyFill="1" applyBorder="1" applyAlignment="1">
      <alignment horizontal="center" vertical="center"/>
    </xf>
    <xf numFmtId="188" fontId="41" fillId="26" borderId="36" xfId="1" applyNumberFormat="1" applyFont="1" applyFill="1" applyBorder="1" applyAlignment="1">
      <alignment horizontal="center" vertical="center"/>
    </xf>
    <xf numFmtId="189" fontId="41" fillId="26" borderId="30" xfId="1" applyNumberFormat="1" applyFont="1" applyFill="1" applyBorder="1" applyAlignment="1">
      <alignment horizontal="center" vertical="center"/>
    </xf>
    <xf numFmtId="188" fontId="42" fillId="26" borderId="36" xfId="1" applyNumberFormat="1" applyFont="1" applyFill="1" applyBorder="1" applyAlignment="1">
      <alignment horizontal="center" vertical="center"/>
    </xf>
    <xf numFmtId="188" fontId="42" fillId="26" borderId="28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55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7D7D"/>
      </font>
    </dxf>
    <dxf>
      <font>
        <color rgb="FF2DFF8C"/>
      </font>
    </dxf>
    <dxf>
      <font>
        <color rgb="FFFF000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132F1A"/>
      <color rgb="FF423700"/>
      <color rgb="FF3F0304"/>
      <color rgb="FFFF6161"/>
      <color rgb="FFFF7575"/>
      <color rgb="FFFF4F4F"/>
      <color rgb="FF4FFF4F"/>
      <color rgb="FF1E1E1E"/>
      <color rgb="FF401C06"/>
      <color rgb="FF1F0E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worksheet" Target="worksheets/sheet1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4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19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  <c:pt idx="583">
                  <c:v>44420.800694444442</c:v>
                </c:pt>
                <c:pt idx="584">
                  <c:v>44421.125</c:v>
                </c:pt>
                <c:pt idx="585">
                  <c:v>44422.18472222222</c:v>
                </c:pt>
                <c:pt idx="586">
                  <c:v>44425.225694444445</c:v>
                </c:pt>
                <c:pt idx="587">
                  <c:v>44427.193055555559</c:v>
                </c:pt>
                <c:pt idx="588">
                  <c:v>44430.296527777777</c:v>
                </c:pt>
                <c:pt idx="589">
                  <c:v>44436.177777777775</c:v>
                </c:pt>
                <c:pt idx="590">
                  <c:v>44438.03125</c:v>
                </c:pt>
                <c:pt idx="591">
                  <c:v>44438.086805555555</c:v>
                </c:pt>
                <c:pt idx="592">
                  <c:v>44438.879166666666</c:v>
                </c:pt>
                <c:pt idx="593">
                  <c:v>44442.029166666667</c:v>
                </c:pt>
                <c:pt idx="594">
                  <c:v>44442.154166666667</c:v>
                </c:pt>
                <c:pt idx="595">
                  <c:v>44449.21875</c:v>
                </c:pt>
                <c:pt idx="596">
                  <c:v>44451.445833333331</c:v>
                </c:pt>
                <c:pt idx="597">
                  <c:v>44451.448611111111</c:v>
                </c:pt>
                <c:pt idx="598">
                  <c:v>44452.125</c:v>
                </c:pt>
                <c:pt idx="599">
                  <c:v>44453.745138888888</c:v>
                </c:pt>
                <c:pt idx="600">
                  <c:v>44454.372916666667</c:v>
                </c:pt>
                <c:pt idx="601">
                  <c:v>44455.883333333331</c:v>
                </c:pt>
                <c:pt idx="602">
                  <c:v>44456.552083333336</c:v>
                </c:pt>
                <c:pt idx="603">
                  <c:v>44458.804861111108</c:v>
                </c:pt>
                <c:pt idx="604">
                  <c:v>44459.826388888891</c:v>
                </c:pt>
                <c:pt idx="605">
                  <c:v>44460.709027777775</c:v>
                </c:pt>
                <c:pt idx="606">
                  <c:v>44462.981944444444</c:v>
                </c:pt>
                <c:pt idx="607">
                  <c:v>44467.04791666667</c:v>
                </c:pt>
                <c:pt idx="608">
                  <c:v>44468.963888888888</c:v>
                </c:pt>
                <c:pt idx="609">
                  <c:v>44469.140277777777</c:v>
                </c:pt>
                <c:pt idx="610">
                  <c:v>44469.723611111112</c:v>
                </c:pt>
                <c:pt idx="611">
                  <c:v>44470.84652777778</c:v>
                </c:pt>
                <c:pt idx="612">
                  <c:v>44471.875</c:v>
                </c:pt>
                <c:pt idx="613">
                  <c:v>44474.04583333333</c:v>
                </c:pt>
                <c:pt idx="614">
                  <c:v>44474.050694444442</c:v>
                </c:pt>
                <c:pt idx="615">
                  <c:v>44474.144444444442</c:v>
                </c:pt>
                <c:pt idx="616">
                  <c:v>44475.90625</c:v>
                </c:pt>
                <c:pt idx="617">
                  <c:v>44476.90625</c:v>
                </c:pt>
                <c:pt idx="618">
                  <c:v>44477.90625</c:v>
                </c:pt>
                <c:pt idx="619">
                  <c:v>44478.90625</c:v>
                </c:pt>
                <c:pt idx="620">
                  <c:v>44479.897222222222</c:v>
                </c:pt>
                <c:pt idx="621">
                  <c:v>44480.813194444447</c:v>
                </c:pt>
                <c:pt idx="622">
                  <c:v>44481.76458333333</c:v>
                </c:pt>
                <c:pt idx="623">
                  <c:v>44482.463194444441</c:v>
                </c:pt>
                <c:pt idx="624">
                  <c:v>44483.835416666669</c:v>
                </c:pt>
                <c:pt idx="625">
                  <c:v>44484.0625</c:v>
                </c:pt>
                <c:pt idx="626">
                  <c:v>44484.583333333336</c:v>
                </c:pt>
                <c:pt idx="627">
                  <c:v>44485.474305555559</c:v>
                </c:pt>
                <c:pt idx="628">
                  <c:v>44486.304166666669</c:v>
                </c:pt>
                <c:pt idx="629">
                  <c:v>44487.609027777777</c:v>
                </c:pt>
                <c:pt idx="630">
                  <c:v>44487.734027777777</c:v>
                </c:pt>
                <c:pt idx="631">
                  <c:v>44488.708333333336</c:v>
                </c:pt>
                <c:pt idx="632">
                  <c:v>44490.667361111111</c:v>
                </c:pt>
                <c:pt idx="633">
                  <c:v>44491.955555555556</c:v>
                </c:pt>
                <c:pt idx="634">
                  <c:v>44492.913888888892</c:v>
                </c:pt>
                <c:pt idx="635">
                  <c:v>44493.913888888892</c:v>
                </c:pt>
                <c:pt idx="636">
                  <c:v>44495.950694444444</c:v>
                </c:pt>
                <c:pt idx="637">
                  <c:v>44496.986111111109</c:v>
                </c:pt>
                <c:pt idx="638">
                  <c:v>44497.978472222225</c:v>
                </c:pt>
                <c:pt idx="639">
                  <c:v>44498.061805555553</c:v>
                </c:pt>
                <c:pt idx="640">
                  <c:v>44498.083333333336</c:v>
                </c:pt>
                <c:pt idx="641">
                  <c:v>44499.083333333336</c:v>
                </c:pt>
                <c:pt idx="642">
                  <c:v>44500.243055555555</c:v>
                </c:pt>
                <c:pt idx="643">
                  <c:v>44501.25</c:v>
                </c:pt>
                <c:pt idx="644">
                  <c:v>44502.15347222222</c:v>
                </c:pt>
                <c:pt idx="645">
                  <c:v>44503.479166666664</c:v>
                </c:pt>
                <c:pt idx="646">
                  <c:v>44504.427083333336</c:v>
                </c:pt>
                <c:pt idx="647">
                  <c:v>44505.427777777775</c:v>
                </c:pt>
                <c:pt idx="648">
                  <c:v>44506.427777777775</c:v>
                </c:pt>
                <c:pt idx="649">
                  <c:v>44507.427777777775</c:v>
                </c:pt>
                <c:pt idx="650">
                  <c:v>44508.427777777775</c:v>
                </c:pt>
                <c:pt idx="651">
                  <c:v>44509.781944444447</c:v>
                </c:pt>
                <c:pt idx="652">
                  <c:v>44511.945138888892</c:v>
                </c:pt>
                <c:pt idx="653">
                  <c:v>44512.883333333331</c:v>
                </c:pt>
                <c:pt idx="654">
                  <c:v>44513.255555555559</c:v>
                </c:pt>
                <c:pt idx="655">
                  <c:v>44514.26458333333</c:v>
                </c:pt>
                <c:pt idx="656">
                  <c:v>44516.890972222223</c:v>
                </c:pt>
                <c:pt idx="657">
                  <c:v>44517.821527777778</c:v>
                </c:pt>
                <c:pt idx="658">
                  <c:v>44519.700694444444</c:v>
                </c:pt>
                <c:pt idx="659">
                  <c:v>44520.743055555555</c:v>
                </c:pt>
                <c:pt idx="660">
                  <c:v>44521.57708333333</c:v>
                </c:pt>
                <c:pt idx="661">
                  <c:v>44522.693749999999</c:v>
                </c:pt>
                <c:pt idx="662">
                  <c:v>44524.254166666666</c:v>
                </c:pt>
                <c:pt idx="663">
                  <c:v>44526.870138888888</c:v>
                </c:pt>
                <c:pt idx="664">
                  <c:v>44527.841666666667</c:v>
                </c:pt>
                <c:pt idx="665">
                  <c:v>44528.841666666667</c:v>
                </c:pt>
                <c:pt idx="666">
                  <c:v>44529.25</c:v>
                </c:pt>
                <c:pt idx="667">
                  <c:v>44532.705555555556</c:v>
                </c:pt>
                <c:pt idx="668">
                  <c:v>44534.65347222222</c:v>
                </c:pt>
                <c:pt idx="669">
                  <c:v>44535.125</c:v>
                </c:pt>
                <c:pt idx="670">
                  <c:v>44535.145833333336</c:v>
                </c:pt>
                <c:pt idx="671">
                  <c:v>44537.065972222219</c:v>
                </c:pt>
                <c:pt idx="672">
                  <c:v>44540.908333333333</c:v>
                </c:pt>
                <c:pt idx="673">
                  <c:v>44542.65347222222</c:v>
                </c:pt>
                <c:pt idx="674">
                  <c:v>44546.693055555559</c:v>
                </c:pt>
                <c:pt idx="675">
                  <c:v>44547.987500000003</c:v>
                </c:pt>
                <c:pt idx="676">
                  <c:v>44548.350694444445</c:v>
                </c:pt>
                <c:pt idx="677">
                  <c:v>44550.240972222222</c:v>
                </c:pt>
                <c:pt idx="678">
                  <c:v>44553.689583333333</c:v>
                </c:pt>
                <c:pt idx="679">
                  <c:v>44556.202777777777</c:v>
                </c:pt>
                <c:pt idx="680">
                  <c:v>44559.042361111111</c:v>
                </c:pt>
                <c:pt idx="681">
                  <c:v>44560.990277777775</c:v>
                </c:pt>
                <c:pt idx="682">
                  <c:v>44561.192361111112</c:v>
                </c:pt>
                <c:pt idx="683">
                  <c:v>44561.692361111112</c:v>
                </c:pt>
                <c:pt idx="684">
                  <c:v>44563.009722222225</c:v>
                </c:pt>
                <c:pt idx="685">
                  <c:v>44564.74722222222</c:v>
                </c:pt>
                <c:pt idx="686">
                  <c:v>44565.583333333336</c:v>
                </c:pt>
                <c:pt idx="687">
                  <c:v>44567.49722222222</c:v>
                </c:pt>
                <c:pt idx="688">
                  <c:v>44570.828472222223</c:v>
                </c:pt>
                <c:pt idx="689">
                  <c:v>44573.958333333336</c:v>
                </c:pt>
                <c:pt idx="690">
                  <c:v>44574.103472222225</c:v>
                </c:pt>
                <c:pt idx="691">
                  <c:v>44577.916666666664</c:v>
                </c:pt>
                <c:pt idx="692">
                  <c:v>44581.916666666664</c:v>
                </c:pt>
                <c:pt idx="693">
                  <c:v>44590.809027777781</c:v>
                </c:pt>
                <c:pt idx="694">
                  <c:v>44592.009027777778</c:v>
                </c:pt>
                <c:pt idx="695">
                  <c:v>44592.012499999997</c:v>
                </c:pt>
                <c:pt idx="696">
                  <c:v>44592.018055555556</c:v>
                </c:pt>
                <c:pt idx="697">
                  <c:v>44595.996527777781</c:v>
                </c:pt>
                <c:pt idx="698">
                  <c:v>44596.540972222225</c:v>
                </c:pt>
                <c:pt idx="699">
                  <c:v>44596.082638888889</c:v>
                </c:pt>
                <c:pt idx="700">
                  <c:v>44606.003472222219</c:v>
                </c:pt>
                <c:pt idx="701">
                  <c:v>44606.007638888892</c:v>
                </c:pt>
                <c:pt idx="702">
                  <c:v>44620.05972222222</c:v>
                </c:pt>
                <c:pt idx="703">
                  <c:v>44620.0625</c:v>
                </c:pt>
                <c:pt idx="704">
                  <c:v>44620.068749999999</c:v>
                </c:pt>
                <c:pt idx="705">
                  <c:v>44633.810416666667</c:v>
                </c:pt>
                <c:pt idx="706">
                  <c:v>44633.3125</c:v>
                </c:pt>
                <c:pt idx="707">
                  <c:v>44633.832638888889</c:v>
                </c:pt>
                <c:pt idx="708">
                  <c:v>44636.845833333333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  <c:pt idx="583">
                  <c:v>2430</c:v>
                </c:pt>
                <c:pt idx="584">
                  <c:v>-12030</c:v>
                </c:pt>
                <c:pt idx="585">
                  <c:v>2880</c:v>
                </c:pt>
                <c:pt idx="586">
                  <c:v>1640</c:v>
                </c:pt>
                <c:pt idx="587">
                  <c:v>685</c:v>
                </c:pt>
                <c:pt idx="588">
                  <c:v>990</c:v>
                </c:pt>
                <c:pt idx="589">
                  <c:v>3105</c:v>
                </c:pt>
                <c:pt idx="590">
                  <c:v>145</c:v>
                </c:pt>
                <c:pt idx="591">
                  <c:v>-6030</c:v>
                </c:pt>
                <c:pt idx="592">
                  <c:v>100</c:v>
                </c:pt>
                <c:pt idx="593">
                  <c:v>1440</c:v>
                </c:pt>
                <c:pt idx="594">
                  <c:v>-18030</c:v>
                </c:pt>
                <c:pt idx="595">
                  <c:v>2410</c:v>
                </c:pt>
                <c:pt idx="596">
                  <c:v>1360</c:v>
                </c:pt>
                <c:pt idx="597">
                  <c:v>16600</c:v>
                </c:pt>
                <c:pt idx="598">
                  <c:v>-10830</c:v>
                </c:pt>
                <c:pt idx="599">
                  <c:v>640</c:v>
                </c:pt>
                <c:pt idx="600">
                  <c:v>1365</c:v>
                </c:pt>
                <c:pt idx="601">
                  <c:v>120</c:v>
                </c:pt>
                <c:pt idx="602">
                  <c:v>190</c:v>
                </c:pt>
                <c:pt idx="603">
                  <c:v>1885</c:v>
                </c:pt>
                <c:pt idx="604">
                  <c:v>30</c:v>
                </c:pt>
                <c:pt idx="605">
                  <c:v>695</c:v>
                </c:pt>
                <c:pt idx="606">
                  <c:v>1890</c:v>
                </c:pt>
                <c:pt idx="607">
                  <c:v>6680</c:v>
                </c:pt>
                <c:pt idx="608">
                  <c:v>3320</c:v>
                </c:pt>
                <c:pt idx="609">
                  <c:v>-20430</c:v>
                </c:pt>
                <c:pt idx="610">
                  <c:v>1500</c:v>
                </c:pt>
                <c:pt idx="611">
                  <c:v>155</c:v>
                </c:pt>
                <c:pt idx="612">
                  <c:v>1020</c:v>
                </c:pt>
                <c:pt idx="613">
                  <c:v>1315</c:v>
                </c:pt>
                <c:pt idx="614">
                  <c:v>-14550</c:v>
                </c:pt>
                <c:pt idx="615">
                  <c:v>21235</c:v>
                </c:pt>
                <c:pt idx="616">
                  <c:v>1720</c:v>
                </c:pt>
                <c:pt idx="617">
                  <c:v>120</c:v>
                </c:pt>
                <c:pt idx="618">
                  <c:v>520</c:v>
                </c:pt>
                <c:pt idx="619">
                  <c:v>140</c:v>
                </c:pt>
                <c:pt idx="620">
                  <c:v>130</c:v>
                </c:pt>
                <c:pt idx="621">
                  <c:v>120</c:v>
                </c:pt>
                <c:pt idx="622">
                  <c:v>420</c:v>
                </c:pt>
                <c:pt idx="623">
                  <c:v>1345</c:v>
                </c:pt>
                <c:pt idx="624">
                  <c:v>1320</c:v>
                </c:pt>
                <c:pt idx="625">
                  <c:v>-27630</c:v>
                </c:pt>
                <c:pt idx="626">
                  <c:v>2055</c:v>
                </c:pt>
                <c:pt idx="627">
                  <c:v>320</c:v>
                </c:pt>
                <c:pt idx="628">
                  <c:v>320</c:v>
                </c:pt>
                <c:pt idx="629">
                  <c:v>5620</c:v>
                </c:pt>
                <c:pt idx="630">
                  <c:v>-2400</c:v>
                </c:pt>
                <c:pt idx="631">
                  <c:v>1670</c:v>
                </c:pt>
                <c:pt idx="632">
                  <c:v>1315</c:v>
                </c:pt>
                <c:pt idx="633">
                  <c:v>420</c:v>
                </c:pt>
                <c:pt idx="634">
                  <c:v>520</c:v>
                </c:pt>
                <c:pt idx="635">
                  <c:v>-380</c:v>
                </c:pt>
                <c:pt idx="636">
                  <c:v>215</c:v>
                </c:pt>
                <c:pt idx="637">
                  <c:v>600</c:v>
                </c:pt>
                <c:pt idx="638">
                  <c:v>445</c:v>
                </c:pt>
                <c:pt idx="639">
                  <c:v>30095</c:v>
                </c:pt>
                <c:pt idx="640">
                  <c:v>-32600</c:v>
                </c:pt>
                <c:pt idx="641">
                  <c:v>795</c:v>
                </c:pt>
                <c:pt idx="642">
                  <c:v>170</c:v>
                </c:pt>
                <c:pt idx="643">
                  <c:v>905</c:v>
                </c:pt>
                <c:pt idx="644">
                  <c:v>420</c:v>
                </c:pt>
                <c:pt idx="645">
                  <c:v>170</c:v>
                </c:pt>
                <c:pt idx="646">
                  <c:v>70</c:v>
                </c:pt>
                <c:pt idx="647">
                  <c:v>270</c:v>
                </c:pt>
                <c:pt idx="648">
                  <c:v>70</c:v>
                </c:pt>
                <c:pt idx="649">
                  <c:v>70</c:v>
                </c:pt>
                <c:pt idx="650">
                  <c:v>100</c:v>
                </c:pt>
                <c:pt idx="651">
                  <c:v>120</c:v>
                </c:pt>
                <c:pt idx="652">
                  <c:v>1225</c:v>
                </c:pt>
                <c:pt idx="653">
                  <c:v>480</c:v>
                </c:pt>
                <c:pt idx="654">
                  <c:v>275</c:v>
                </c:pt>
                <c:pt idx="655">
                  <c:v>29845</c:v>
                </c:pt>
                <c:pt idx="656">
                  <c:v>1105</c:v>
                </c:pt>
                <c:pt idx="657">
                  <c:v>80</c:v>
                </c:pt>
                <c:pt idx="658">
                  <c:v>845</c:v>
                </c:pt>
                <c:pt idx="659">
                  <c:v>1675</c:v>
                </c:pt>
                <c:pt idx="660">
                  <c:v>370</c:v>
                </c:pt>
                <c:pt idx="661">
                  <c:v>370</c:v>
                </c:pt>
                <c:pt idx="662">
                  <c:v>715</c:v>
                </c:pt>
                <c:pt idx="663">
                  <c:v>140</c:v>
                </c:pt>
                <c:pt idx="664">
                  <c:v>1400</c:v>
                </c:pt>
                <c:pt idx="665">
                  <c:v>-705</c:v>
                </c:pt>
                <c:pt idx="666">
                  <c:v>-15630</c:v>
                </c:pt>
                <c:pt idx="667">
                  <c:v>1715</c:v>
                </c:pt>
                <c:pt idx="668">
                  <c:v>140</c:v>
                </c:pt>
                <c:pt idx="669">
                  <c:v>70</c:v>
                </c:pt>
                <c:pt idx="670">
                  <c:v>-10800</c:v>
                </c:pt>
                <c:pt idx="671">
                  <c:v>140</c:v>
                </c:pt>
                <c:pt idx="672">
                  <c:v>1350</c:v>
                </c:pt>
                <c:pt idx="673">
                  <c:v>505</c:v>
                </c:pt>
                <c:pt idx="674">
                  <c:v>2050</c:v>
                </c:pt>
                <c:pt idx="675">
                  <c:v>295</c:v>
                </c:pt>
                <c:pt idx="676">
                  <c:v>-26030</c:v>
                </c:pt>
                <c:pt idx="677">
                  <c:v>2505</c:v>
                </c:pt>
                <c:pt idx="678">
                  <c:v>760</c:v>
                </c:pt>
                <c:pt idx="679">
                  <c:v>6175</c:v>
                </c:pt>
                <c:pt idx="680">
                  <c:v>5570</c:v>
                </c:pt>
                <c:pt idx="681">
                  <c:v>2010</c:v>
                </c:pt>
                <c:pt idx="682">
                  <c:v>-10430</c:v>
                </c:pt>
                <c:pt idx="683">
                  <c:v>1400</c:v>
                </c:pt>
                <c:pt idx="684">
                  <c:v>1325</c:v>
                </c:pt>
                <c:pt idx="685">
                  <c:v>385</c:v>
                </c:pt>
                <c:pt idx="686">
                  <c:v>220</c:v>
                </c:pt>
                <c:pt idx="687">
                  <c:v>1620</c:v>
                </c:pt>
                <c:pt idx="688">
                  <c:v>2290</c:v>
                </c:pt>
                <c:pt idx="689">
                  <c:v>930</c:v>
                </c:pt>
                <c:pt idx="690">
                  <c:v>-14640</c:v>
                </c:pt>
                <c:pt idx="691">
                  <c:v>2510</c:v>
                </c:pt>
                <c:pt idx="692">
                  <c:v>1955</c:v>
                </c:pt>
                <c:pt idx="693">
                  <c:v>3965</c:v>
                </c:pt>
                <c:pt idx="694">
                  <c:v>920</c:v>
                </c:pt>
                <c:pt idx="695">
                  <c:v>8725</c:v>
                </c:pt>
                <c:pt idx="696">
                  <c:v>-20430</c:v>
                </c:pt>
                <c:pt idx="697">
                  <c:v>2240</c:v>
                </c:pt>
                <c:pt idx="698">
                  <c:v>20600</c:v>
                </c:pt>
                <c:pt idx="699">
                  <c:v>-19630</c:v>
                </c:pt>
                <c:pt idx="700">
                  <c:v>11935</c:v>
                </c:pt>
                <c:pt idx="701">
                  <c:v>-12030</c:v>
                </c:pt>
                <c:pt idx="702">
                  <c:v>6175</c:v>
                </c:pt>
                <c:pt idx="703">
                  <c:v>13125</c:v>
                </c:pt>
                <c:pt idx="704">
                  <c:v>-19230</c:v>
                </c:pt>
                <c:pt idx="705">
                  <c:v>4395</c:v>
                </c:pt>
                <c:pt idx="706">
                  <c:v>13125</c:v>
                </c:pt>
                <c:pt idx="707">
                  <c:v>-18000</c:v>
                </c:pt>
                <c:pt idx="708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  <c:pt idx="677">
                        <c:v>44550.240972222222</c:v>
                      </c:pt>
                      <c:pt idx="678">
                        <c:v>44553.689583333333</c:v>
                      </c:pt>
                      <c:pt idx="679">
                        <c:v>44556.202777777777</c:v>
                      </c:pt>
                      <c:pt idx="680">
                        <c:v>44559.042361111111</c:v>
                      </c:pt>
                      <c:pt idx="681">
                        <c:v>44560.990277777775</c:v>
                      </c:pt>
                      <c:pt idx="682">
                        <c:v>44561.192361111112</c:v>
                      </c:pt>
                      <c:pt idx="683">
                        <c:v>44561.692361111112</c:v>
                      </c:pt>
                      <c:pt idx="684">
                        <c:v>44563.009722222225</c:v>
                      </c:pt>
                      <c:pt idx="685">
                        <c:v>44564.74722222222</c:v>
                      </c:pt>
                      <c:pt idx="686">
                        <c:v>44565.583333333336</c:v>
                      </c:pt>
                      <c:pt idx="687">
                        <c:v>44567.49722222222</c:v>
                      </c:pt>
                      <c:pt idx="688">
                        <c:v>44570.828472222223</c:v>
                      </c:pt>
                      <c:pt idx="689">
                        <c:v>44573.958333333336</c:v>
                      </c:pt>
                      <c:pt idx="690">
                        <c:v>44574.103472222225</c:v>
                      </c:pt>
                      <c:pt idx="691">
                        <c:v>44577.916666666664</c:v>
                      </c:pt>
                      <c:pt idx="692">
                        <c:v>44581.916666666664</c:v>
                      </c:pt>
                      <c:pt idx="693">
                        <c:v>44590.809027777781</c:v>
                      </c:pt>
                      <c:pt idx="694">
                        <c:v>44592.009027777778</c:v>
                      </c:pt>
                      <c:pt idx="695">
                        <c:v>44592.012499999997</c:v>
                      </c:pt>
                      <c:pt idx="696">
                        <c:v>44592.018055555556</c:v>
                      </c:pt>
                      <c:pt idx="697">
                        <c:v>44595.996527777781</c:v>
                      </c:pt>
                      <c:pt idx="698">
                        <c:v>44596.540972222225</c:v>
                      </c:pt>
                      <c:pt idx="699">
                        <c:v>44596.082638888889</c:v>
                      </c:pt>
                      <c:pt idx="700">
                        <c:v>44606.003472222219</c:v>
                      </c:pt>
                      <c:pt idx="701">
                        <c:v>44606.007638888892</c:v>
                      </c:pt>
                      <c:pt idx="702">
                        <c:v>44620.05972222222</c:v>
                      </c:pt>
                      <c:pt idx="703">
                        <c:v>44620.0625</c:v>
                      </c:pt>
                      <c:pt idx="704">
                        <c:v>44620.068749999999</c:v>
                      </c:pt>
                      <c:pt idx="705">
                        <c:v>44633.810416666667</c:v>
                      </c:pt>
                      <c:pt idx="706">
                        <c:v>44633.3125</c:v>
                      </c:pt>
                      <c:pt idx="707">
                        <c:v>44633.832638888889</c:v>
                      </c:pt>
                      <c:pt idx="708">
                        <c:v>44636.845833333333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  <c:pt idx="583">
                        <c:v>6605</c:v>
                      </c:pt>
                      <c:pt idx="584">
                        <c:v>6605</c:v>
                      </c:pt>
                      <c:pt idx="585">
                        <c:v>9865</c:v>
                      </c:pt>
                      <c:pt idx="586">
                        <c:v>11415</c:v>
                      </c:pt>
                      <c:pt idx="587">
                        <c:v>12060</c:v>
                      </c:pt>
                      <c:pt idx="588">
                        <c:v>12460</c:v>
                      </c:pt>
                      <c:pt idx="589">
                        <c:v>14860</c:v>
                      </c:pt>
                      <c:pt idx="590">
                        <c:v>14985</c:v>
                      </c:pt>
                      <c:pt idx="591">
                        <c:v>8985</c:v>
                      </c:pt>
                      <c:pt idx="592">
                        <c:v>9085</c:v>
                      </c:pt>
                      <c:pt idx="593">
                        <c:v>10385</c:v>
                      </c:pt>
                      <c:pt idx="594">
                        <c:v>4385</c:v>
                      </c:pt>
                      <c:pt idx="595">
                        <c:v>6100</c:v>
                      </c:pt>
                      <c:pt idx="596">
                        <c:v>6895</c:v>
                      </c:pt>
                      <c:pt idx="597">
                        <c:v>6895</c:v>
                      </c:pt>
                      <c:pt idx="598">
                        <c:v>5695</c:v>
                      </c:pt>
                      <c:pt idx="599">
                        <c:v>6815</c:v>
                      </c:pt>
                      <c:pt idx="600">
                        <c:v>8080</c:v>
                      </c:pt>
                      <c:pt idx="601">
                        <c:v>8180</c:v>
                      </c:pt>
                      <c:pt idx="602">
                        <c:v>8350</c:v>
                      </c:pt>
                      <c:pt idx="603">
                        <c:v>10195</c:v>
                      </c:pt>
                      <c:pt idx="604">
                        <c:v>10205</c:v>
                      </c:pt>
                      <c:pt idx="605">
                        <c:v>10850</c:v>
                      </c:pt>
                      <c:pt idx="606">
                        <c:v>12175</c:v>
                      </c:pt>
                      <c:pt idx="607">
                        <c:v>12950</c:v>
                      </c:pt>
                      <c:pt idx="608">
                        <c:v>16200</c:v>
                      </c:pt>
                      <c:pt idx="609">
                        <c:v>3000</c:v>
                      </c:pt>
                      <c:pt idx="610">
                        <c:v>4450</c:v>
                      </c:pt>
                      <c:pt idx="611">
                        <c:v>5085</c:v>
                      </c:pt>
                      <c:pt idx="612">
                        <c:v>6085</c:v>
                      </c:pt>
                      <c:pt idx="613">
                        <c:v>6830</c:v>
                      </c:pt>
                      <c:pt idx="614">
                        <c:v>710</c:v>
                      </c:pt>
                      <c:pt idx="615">
                        <c:v>810</c:v>
                      </c:pt>
                      <c:pt idx="616">
                        <c:v>2510</c:v>
                      </c:pt>
                      <c:pt idx="617">
                        <c:v>2610</c:v>
                      </c:pt>
                      <c:pt idx="618">
                        <c:v>3110</c:v>
                      </c:pt>
                      <c:pt idx="619">
                        <c:v>3210</c:v>
                      </c:pt>
                      <c:pt idx="620">
                        <c:v>3310</c:v>
                      </c:pt>
                      <c:pt idx="621">
                        <c:v>3410</c:v>
                      </c:pt>
                      <c:pt idx="622">
                        <c:v>3810</c:v>
                      </c:pt>
                      <c:pt idx="623">
                        <c:v>5135</c:v>
                      </c:pt>
                      <c:pt idx="624">
                        <c:v>7435</c:v>
                      </c:pt>
                      <c:pt idx="625">
                        <c:v>235</c:v>
                      </c:pt>
                      <c:pt idx="626">
                        <c:v>1185</c:v>
                      </c:pt>
                      <c:pt idx="627">
                        <c:v>1485</c:v>
                      </c:pt>
                      <c:pt idx="628">
                        <c:v>1785</c:v>
                      </c:pt>
                      <c:pt idx="629">
                        <c:v>2660</c:v>
                      </c:pt>
                      <c:pt idx="630">
                        <c:v>2660</c:v>
                      </c:pt>
                      <c:pt idx="631">
                        <c:v>4310</c:v>
                      </c:pt>
                      <c:pt idx="632">
                        <c:v>5055</c:v>
                      </c:pt>
                      <c:pt idx="633">
                        <c:v>5455</c:v>
                      </c:pt>
                      <c:pt idx="634">
                        <c:v>5955</c:v>
                      </c:pt>
                      <c:pt idx="635">
                        <c:v>6055</c:v>
                      </c:pt>
                      <c:pt idx="636">
                        <c:v>6230</c:v>
                      </c:pt>
                      <c:pt idx="637">
                        <c:v>6280</c:v>
                      </c:pt>
                      <c:pt idx="638">
                        <c:v>6705</c:v>
                      </c:pt>
                      <c:pt idx="639">
                        <c:v>6705</c:v>
                      </c:pt>
                      <c:pt idx="640">
                        <c:v>6705</c:v>
                      </c:pt>
                      <c:pt idx="641">
                        <c:v>7430</c:v>
                      </c:pt>
                      <c:pt idx="642">
                        <c:v>7580</c:v>
                      </c:pt>
                      <c:pt idx="643">
                        <c:v>8485</c:v>
                      </c:pt>
                      <c:pt idx="644">
                        <c:v>8835</c:v>
                      </c:pt>
                      <c:pt idx="645">
                        <c:v>8985</c:v>
                      </c:pt>
                      <c:pt idx="646">
                        <c:v>9035</c:v>
                      </c:pt>
                      <c:pt idx="647">
                        <c:v>9285</c:v>
                      </c:pt>
                      <c:pt idx="648">
                        <c:v>9335</c:v>
                      </c:pt>
                      <c:pt idx="649">
                        <c:v>9385</c:v>
                      </c:pt>
                      <c:pt idx="650">
                        <c:v>9435</c:v>
                      </c:pt>
                      <c:pt idx="651">
                        <c:v>9535</c:v>
                      </c:pt>
                      <c:pt idx="652">
                        <c:v>10720</c:v>
                      </c:pt>
                      <c:pt idx="653">
                        <c:v>11680</c:v>
                      </c:pt>
                      <c:pt idx="654">
                        <c:v>11935</c:v>
                      </c:pt>
                      <c:pt idx="655">
                        <c:v>12005</c:v>
                      </c:pt>
                      <c:pt idx="656">
                        <c:v>13070</c:v>
                      </c:pt>
                      <c:pt idx="657">
                        <c:v>13130</c:v>
                      </c:pt>
                      <c:pt idx="658">
                        <c:v>13935</c:v>
                      </c:pt>
                      <c:pt idx="659">
                        <c:v>15560</c:v>
                      </c:pt>
                      <c:pt idx="660">
                        <c:v>15910</c:v>
                      </c:pt>
                      <c:pt idx="661">
                        <c:v>16260</c:v>
                      </c:pt>
                      <c:pt idx="662">
                        <c:v>16935</c:v>
                      </c:pt>
                      <c:pt idx="663">
                        <c:v>17085</c:v>
                      </c:pt>
                      <c:pt idx="664">
                        <c:v>17360</c:v>
                      </c:pt>
                      <c:pt idx="665">
                        <c:v>17835</c:v>
                      </c:pt>
                      <c:pt idx="666">
                        <c:v>15435</c:v>
                      </c:pt>
                      <c:pt idx="667">
                        <c:v>17010</c:v>
                      </c:pt>
                      <c:pt idx="668">
                        <c:v>17110</c:v>
                      </c:pt>
                      <c:pt idx="669">
                        <c:v>17160</c:v>
                      </c:pt>
                      <c:pt idx="670">
                        <c:v>17160</c:v>
                      </c:pt>
                      <c:pt idx="671">
                        <c:v>17310</c:v>
                      </c:pt>
                      <c:pt idx="672">
                        <c:v>18520</c:v>
                      </c:pt>
                      <c:pt idx="673">
                        <c:v>19485</c:v>
                      </c:pt>
                      <c:pt idx="674">
                        <c:v>21425</c:v>
                      </c:pt>
                      <c:pt idx="675">
                        <c:v>21700</c:v>
                      </c:pt>
                      <c:pt idx="676">
                        <c:v>2850</c:v>
                      </c:pt>
                      <c:pt idx="677">
                        <c:v>4260</c:v>
                      </c:pt>
                      <c:pt idx="678">
                        <c:v>5460</c:v>
                      </c:pt>
                      <c:pt idx="679">
                        <c:v>7045</c:v>
                      </c:pt>
                      <c:pt idx="680">
                        <c:v>12030</c:v>
                      </c:pt>
                      <c:pt idx="681">
                        <c:v>14020</c:v>
                      </c:pt>
                      <c:pt idx="682">
                        <c:v>820</c:v>
                      </c:pt>
                      <c:pt idx="683">
                        <c:v>2170</c:v>
                      </c:pt>
                      <c:pt idx="684">
                        <c:v>2925</c:v>
                      </c:pt>
                      <c:pt idx="685">
                        <c:v>3290</c:v>
                      </c:pt>
                      <c:pt idx="686">
                        <c:v>3490</c:v>
                      </c:pt>
                      <c:pt idx="687">
                        <c:v>4515</c:v>
                      </c:pt>
                      <c:pt idx="688">
                        <c:v>5215</c:v>
                      </c:pt>
                      <c:pt idx="689">
                        <c:v>6115</c:v>
                      </c:pt>
                      <c:pt idx="690">
                        <c:v>2275</c:v>
                      </c:pt>
                      <c:pt idx="691">
                        <c:v>4120</c:v>
                      </c:pt>
                      <c:pt idx="692">
                        <c:v>5465</c:v>
                      </c:pt>
                      <c:pt idx="693">
                        <c:v>9190</c:v>
                      </c:pt>
                      <c:pt idx="694">
                        <c:v>10090</c:v>
                      </c:pt>
                      <c:pt idx="695">
                        <c:v>10090</c:v>
                      </c:pt>
                      <c:pt idx="696">
                        <c:v>490</c:v>
                      </c:pt>
                      <c:pt idx="697">
                        <c:v>2040</c:v>
                      </c:pt>
                      <c:pt idx="698">
                        <c:v>2040</c:v>
                      </c:pt>
                      <c:pt idx="699">
                        <c:v>840</c:v>
                      </c:pt>
                      <c:pt idx="700">
                        <c:v>11535</c:v>
                      </c:pt>
                      <c:pt idx="701">
                        <c:v>3380</c:v>
                      </c:pt>
                      <c:pt idx="702">
                        <c:v>5190</c:v>
                      </c:pt>
                      <c:pt idx="703">
                        <c:v>5190</c:v>
                      </c:pt>
                      <c:pt idx="704">
                        <c:v>390</c:v>
                      </c:pt>
                      <c:pt idx="705">
                        <c:v>4005</c:v>
                      </c:pt>
                      <c:pt idx="706">
                        <c:v>4005</c:v>
                      </c:pt>
                      <c:pt idx="707">
                        <c:v>405</c:v>
                      </c:pt>
                      <c:pt idx="708">
                        <c:v>885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  <c:pt idx="677">
                        <c:v>44550.240972222222</c:v>
                      </c:pt>
                      <c:pt idx="678">
                        <c:v>44553.689583333333</c:v>
                      </c:pt>
                      <c:pt idx="679">
                        <c:v>44556.202777777777</c:v>
                      </c:pt>
                      <c:pt idx="680">
                        <c:v>44559.042361111111</c:v>
                      </c:pt>
                      <c:pt idx="681">
                        <c:v>44560.990277777775</c:v>
                      </c:pt>
                      <c:pt idx="682">
                        <c:v>44561.192361111112</c:v>
                      </c:pt>
                      <c:pt idx="683">
                        <c:v>44561.692361111112</c:v>
                      </c:pt>
                      <c:pt idx="684">
                        <c:v>44563.009722222225</c:v>
                      </c:pt>
                      <c:pt idx="685">
                        <c:v>44564.74722222222</c:v>
                      </c:pt>
                      <c:pt idx="686">
                        <c:v>44565.583333333336</c:v>
                      </c:pt>
                      <c:pt idx="687">
                        <c:v>44567.49722222222</c:v>
                      </c:pt>
                      <c:pt idx="688">
                        <c:v>44570.828472222223</c:v>
                      </c:pt>
                      <c:pt idx="689">
                        <c:v>44573.958333333336</c:v>
                      </c:pt>
                      <c:pt idx="690">
                        <c:v>44574.103472222225</c:v>
                      </c:pt>
                      <c:pt idx="691">
                        <c:v>44577.916666666664</c:v>
                      </c:pt>
                      <c:pt idx="692">
                        <c:v>44581.916666666664</c:v>
                      </c:pt>
                      <c:pt idx="693">
                        <c:v>44590.809027777781</c:v>
                      </c:pt>
                      <c:pt idx="694">
                        <c:v>44592.009027777778</c:v>
                      </c:pt>
                      <c:pt idx="695">
                        <c:v>44592.012499999997</c:v>
                      </c:pt>
                      <c:pt idx="696">
                        <c:v>44592.018055555556</c:v>
                      </c:pt>
                      <c:pt idx="697">
                        <c:v>44595.996527777781</c:v>
                      </c:pt>
                      <c:pt idx="698">
                        <c:v>44596.540972222225</c:v>
                      </c:pt>
                      <c:pt idx="699">
                        <c:v>44596.082638888889</c:v>
                      </c:pt>
                      <c:pt idx="700">
                        <c:v>44606.003472222219</c:v>
                      </c:pt>
                      <c:pt idx="701">
                        <c:v>44606.007638888892</c:v>
                      </c:pt>
                      <c:pt idx="702">
                        <c:v>44620.05972222222</c:v>
                      </c:pt>
                      <c:pt idx="703">
                        <c:v>44620.0625</c:v>
                      </c:pt>
                      <c:pt idx="704">
                        <c:v>44620.068749999999</c:v>
                      </c:pt>
                      <c:pt idx="705">
                        <c:v>44633.810416666667</c:v>
                      </c:pt>
                      <c:pt idx="706">
                        <c:v>44633.3125</c:v>
                      </c:pt>
                      <c:pt idx="707">
                        <c:v>44633.832638888889</c:v>
                      </c:pt>
                      <c:pt idx="708">
                        <c:v>44636.845833333333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  <c:pt idx="583">
                        <c:v>24005</c:v>
                      </c:pt>
                      <c:pt idx="584">
                        <c:v>11975</c:v>
                      </c:pt>
                      <c:pt idx="585">
                        <c:v>11595</c:v>
                      </c:pt>
                      <c:pt idx="586">
                        <c:v>11685</c:v>
                      </c:pt>
                      <c:pt idx="587">
                        <c:v>11725</c:v>
                      </c:pt>
                      <c:pt idx="588">
                        <c:v>12315</c:v>
                      </c:pt>
                      <c:pt idx="589">
                        <c:v>13020</c:v>
                      </c:pt>
                      <c:pt idx="590">
                        <c:v>13040</c:v>
                      </c:pt>
                      <c:pt idx="591">
                        <c:v>13010</c:v>
                      </c:pt>
                      <c:pt idx="592">
                        <c:v>13010</c:v>
                      </c:pt>
                      <c:pt idx="593">
                        <c:v>13150</c:v>
                      </c:pt>
                      <c:pt idx="594">
                        <c:v>1120</c:v>
                      </c:pt>
                      <c:pt idx="595">
                        <c:v>1815</c:v>
                      </c:pt>
                      <c:pt idx="596">
                        <c:v>2380</c:v>
                      </c:pt>
                      <c:pt idx="597">
                        <c:v>18980</c:v>
                      </c:pt>
                      <c:pt idx="598">
                        <c:v>9350</c:v>
                      </c:pt>
                      <c:pt idx="599">
                        <c:v>8870</c:v>
                      </c:pt>
                      <c:pt idx="600">
                        <c:v>8970</c:v>
                      </c:pt>
                      <c:pt idx="601">
                        <c:v>8990</c:v>
                      </c:pt>
                      <c:pt idx="602">
                        <c:v>9010</c:v>
                      </c:pt>
                      <c:pt idx="603">
                        <c:v>9050</c:v>
                      </c:pt>
                      <c:pt idx="604">
                        <c:v>9070</c:v>
                      </c:pt>
                      <c:pt idx="605">
                        <c:v>9120</c:v>
                      </c:pt>
                      <c:pt idx="606">
                        <c:v>9685</c:v>
                      </c:pt>
                      <c:pt idx="607">
                        <c:v>15590</c:v>
                      </c:pt>
                      <c:pt idx="608">
                        <c:v>15660</c:v>
                      </c:pt>
                      <c:pt idx="609">
                        <c:v>8430</c:v>
                      </c:pt>
                      <c:pt idx="610">
                        <c:v>8480</c:v>
                      </c:pt>
                      <c:pt idx="611">
                        <c:v>8000</c:v>
                      </c:pt>
                      <c:pt idx="612">
                        <c:v>8020</c:v>
                      </c:pt>
                      <c:pt idx="613">
                        <c:v>8590</c:v>
                      </c:pt>
                      <c:pt idx="614">
                        <c:v>160</c:v>
                      </c:pt>
                      <c:pt idx="615">
                        <c:v>21295</c:v>
                      </c:pt>
                      <c:pt idx="616">
                        <c:v>21315</c:v>
                      </c:pt>
                      <c:pt idx="617">
                        <c:v>21335</c:v>
                      </c:pt>
                      <c:pt idx="618">
                        <c:v>21355</c:v>
                      </c:pt>
                      <c:pt idx="619">
                        <c:v>21395</c:v>
                      </c:pt>
                      <c:pt idx="620">
                        <c:v>21425</c:v>
                      </c:pt>
                      <c:pt idx="621">
                        <c:v>21445</c:v>
                      </c:pt>
                      <c:pt idx="622">
                        <c:v>21465</c:v>
                      </c:pt>
                      <c:pt idx="623">
                        <c:v>21485</c:v>
                      </c:pt>
                      <c:pt idx="624">
                        <c:v>20505</c:v>
                      </c:pt>
                      <c:pt idx="625">
                        <c:v>75</c:v>
                      </c:pt>
                      <c:pt idx="626">
                        <c:v>1180</c:v>
                      </c:pt>
                      <c:pt idx="627">
                        <c:v>1200</c:v>
                      </c:pt>
                      <c:pt idx="628">
                        <c:v>1220</c:v>
                      </c:pt>
                      <c:pt idx="629">
                        <c:v>5965</c:v>
                      </c:pt>
                      <c:pt idx="630">
                        <c:v>3565</c:v>
                      </c:pt>
                      <c:pt idx="631">
                        <c:v>3585</c:v>
                      </c:pt>
                      <c:pt idx="632">
                        <c:v>4155</c:v>
                      </c:pt>
                      <c:pt idx="633">
                        <c:v>4175</c:v>
                      </c:pt>
                      <c:pt idx="634">
                        <c:v>4195</c:v>
                      </c:pt>
                      <c:pt idx="635">
                        <c:v>3715</c:v>
                      </c:pt>
                      <c:pt idx="636">
                        <c:v>3755</c:v>
                      </c:pt>
                      <c:pt idx="637">
                        <c:v>4305</c:v>
                      </c:pt>
                      <c:pt idx="638">
                        <c:v>4325</c:v>
                      </c:pt>
                      <c:pt idx="639">
                        <c:v>34420</c:v>
                      </c:pt>
                      <c:pt idx="640">
                        <c:v>1820</c:v>
                      </c:pt>
                      <c:pt idx="641">
                        <c:v>1890</c:v>
                      </c:pt>
                      <c:pt idx="642">
                        <c:v>1910</c:v>
                      </c:pt>
                      <c:pt idx="643">
                        <c:v>1910</c:v>
                      </c:pt>
                      <c:pt idx="644">
                        <c:v>1980</c:v>
                      </c:pt>
                      <c:pt idx="645">
                        <c:v>2000</c:v>
                      </c:pt>
                      <c:pt idx="646">
                        <c:v>2020</c:v>
                      </c:pt>
                      <c:pt idx="647">
                        <c:v>2040</c:v>
                      </c:pt>
                      <c:pt idx="648">
                        <c:v>2060</c:v>
                      </c:pt>
                      <c:pt idx="649">
                        <c:v>2080</c:v>
                      </c:pt>
                      <c:pt idx="650">
                        <c:v>2130</c:v>
                      </c:pt>
                      <c:pt idx="651">
                        <c:v>2150</c:v>
                      </c:pt>
                      <c:pt idx="652">
                        <c:v>2190</c:v>
                      </c:pt>
                      <c:pt idx="653">
                        <c:v>1710</c:v>
                      </c:pt>
                      <c:pt idx="654">
                        <c:v>1730</c:v>
                      </c:pt>
                      <c:pt idx="655">
                        <c:v>31505</c:v>
                      </c:pt>
                      <c:pt idx="656">
                        <c:v>31545</c:v>
                      </c:pt>
                      <c:pt idx="657">
                        <c:v>31565</c:v>
                      </c:pt>
                      <c:pt idx="658">
                        <c:v>31605</c:v>
                      </c:pt>
                      <c:pt idx="659">
                        <c:v>31655</c:v>
                      </c:pt>
                      <c:pt idx="660">
                        <c:v>31675</c:v>
                      </c:pt>
                      <c:pt idx="661">
                        <c:v>31695</c:v>
                      </c:pt>
                      <c:pt idx="662">
                        <c:v>31735</c:v>
                      </c:pt>
                      <c:pt idx="663">
                        <c:v>31725</c:v>
                      </c:pt>
                      <c:pt idx="664">
                        <c:v>32850</c:v>
                      </c:pt>
                      <c:pt idx="665">
                        <c:v>31670</c:v>
                      </c:pt>
                      <c:pt idx="666">
                        <c:v>18440</c:v>
                      </c:pt>
                      <c:pt idx="667">
                        <c:v>18580</c:v>
                      </c:pt>
                      <c:pt idx="668">
                        <c:v>18620</c:v>
                      </c:pt>
                      <c:pt idx="669">
                        <c:v>18640</c:v>
                      </c:pt>
                      <c:pt idx="670">
                        <c:v>7840</c:v>
                      </c:pt>
                      <c:pt idx="671">
                        <c:v>7830</c:v>
                      </c:pt>
                      <c:pt idx="672">
                        <c:v>7970</c:v>
                      </c:pt>
                      <c:pt idx="673">
                        <c:v>7510</c:v>
                      </c:pt>
                      <c:pt idx="674">
                        <c:v>7620</c:v>
                      </c:pt>
                      <c:pt idx="675">
                        <c:v>7640</c:v>
                      </c:pt>
                      <c:pt idx="676">
                        <c:v>460</c:v>
                      </c:pt>
                      <c:pt idx="677">
                        <c:v>1555</c:v>
                      </c:pt>
                      <c:pt idx="678">
                        <c:v>1115</c:v>
                      </c:pt>
                      <c:pt idx="679">
                        <c:v>5705</c:v>
                      </c:pt>
                      <c:pt idx="680">
                        <c:v>6290</c:v>
                      </c:pt>
                      <c:pt idx="681">
                        <c:v>6310</c:v>
                      </c:pt>
                      <c:pt idx="682">
                        <c:v>9080</c:v>
                      </c:pt>
                      <c:pt idx="683">
                        <c:v>9130</c:v>
                      </c:pt>
                      <c:pt idx="684">
                        <c:v>9700</c:v>
                      </c:pt>
                      <c:pt idx="685">
                        <c:v>9720</c:v>
                      </c:pt>
                      <c:pt idx="686">
                        <c:v>9740</c:v>
                      </c:pt>
                      <c:pt idx="687">
                        <c:v>10335</c:v>
                      </c:pt>
                      <c:pt idx="688">
                        <c:v>11925</c:v>
                      </c:pt>
                      <c:pt idx="689">
                        <c:v>11955</c:v>
                      </c:pt>
                      <c:pt idx="690">
                        <c:v>1155</c:v>
                      </c:pt>
                      <c:pt idx="691">
                        <c:v>1820</c:v>
                      </c:pt>
                      <c:pt idx="692">
                        <c:v>2430</c:v>
                      </c:pt>
                      <c:pt idx="693">
                        <c:v>2670</c:v>
                      </c:pt>
                      <c:pt idx="694">
                        <c:v>2690</c:v>
                      </c:pt>
                      <c:pt idx="695">
                        <c:v>11415</c:v>
                      </c:pt>
                      <c:pt idx="696">
                        <c:v>585</c:v>
                      </c:pt>
                      <c:pt idx="697">
                        <c:v>1275</c:v>
                      </c:pt>
                      <c:pt idx="698">
                        <c:v>21875</c:v>
                      </c:pt>
                      <c:pt idx="699">
                        <c:v>3445</c:v>
                      </c:pt>
                      <c:pt idx="700">
                        <c:v>4685</c:v>
                      </c:pt>
                      <c:pt idx="701">
                        <c:v>810</c:v>
                      </c:pt>
                      <c:pt idx="702">
                        <c:v>5175</c:v>
                      </c:pt>
                      <c:pt idx="703">
                        <c:v>18300</c:v>
                      </c:pt>
                      <c:pt idx="704">
                        <c:v>3870</c:v>
                      </c:pt>
                      <c:pt idx="705">
                        <c:v>4650</c:v>
                      </c:pt>
                      <c:pt idx="706">
                        <c:v>17775</c:v>
                      </c:pt>
                      <c:pt idx="707">
                        <c:v>3375</c:v>
                      </c:pt>
                      <c:pt idx="708">
                        <c:v>3465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  <c:pt idx="677">
                        <c:v>44550.240972222222</c:v>
                      </c:pt>
                      <c:pt idx="678">
                        <c:v>44553.689583333333</c:v>
                      </c:pt>
                      <c:pt idx="679">
                        <c:v>44556.202777777777</c:v>
                      </c:pt>
                      <c:pt idx="680">
                        <c:v>44559.042361111111</c:v>
                      </c:pt>
                      <c:pt idx="681">
                        <c:v>44560.990277777775</c:v>
                      </c:pt>
                      <c:pt idx="682">
                        <c:v>44561.192361111112</c:v>
                      </c:pt>
                      <c:pt idx="683">
                        <c:v>44561.692361111112</c:v>
                      </c:pt>
                      <c:pt idx="684">
                        <c:v>44563.009722222225</c:v>
                      </c:pt>
                      <c:pt idx="685">
                        <c:v>44564.74722222222</c:v>
                      </c:pt>
                      <c:pt idx="686">
                        <c:v>44565.583333333336</c:v>
                      </c:pt>
                      <c:pt idx="687">
                        <c:v>44567.49722222222</c:v>
                      </c:pt>
                      <c:pt idx="688">
                        <c:v>44570.828472222223</c:v>
                      </c:pt>
                      <c:pt idx="689">
                        <c:v>44573.958333333336</c:v>
                      </c:pt>
                      <c:pt idx="690">
                        <c:v>44574.103472222225</c:v>
                      </c:pt>
                      <c:pt idx="691">
                        <c:v>44577.916666666664</c:v>
                      </c:pt>
                      <c:pt idx="692">
                        <c:v>44581.916666666664</c:v>
                      </c:pt>
                      <c:pt idx="693">
                        <c:v>44590.809027777781</c:v>
                      </c:pt>
                      <c:pt idx="694">
                        <c:v>44592.009027777778</c:v>
                      </c:pt>
                      <c:pt idx="695">
                        <c:v>44592.012499999997</c:v>
                      </c:pt>
                      <c:pt idx="696">
                        <c:v>44592.018055555556</c:v>
                      </c:pt>
                      <c:pt idx="697">
                        <c:v>44595.996527777781</c:v>
                      </c:pt>
                      <c:pt idx="698">
                        <c:v>44596.540972222225</c:v>
                      </c:pt>
                      <c:pt idx="699">
                        <c:v>44596.082638888889</c:v>
                      </c:pt>
                      <c:pt idx="700">
                        <c:v>44606.003472222219</c:v>
                      </c:pt>
                      <c:pt idx="701">
                        <c:v>44606.007638888892</c:v>
                      </c:pt>
                      <c:pt idx="702">
                        <c:v>44620.05972222222</c:v>
                      </c:pt>
                      <c:pt idx="703">
                        <c:v>44620.0625</c:v>
                      </c:pt>
                      <c:pt idx="704">
                        <c:v>44620.068749999999</c:v>
                      </c:pt>
                      <c:pt idx="705">
                        <c:v>44633.810416666667</c:v>
                      </c:pt>
                      <c:pt idx="706">
                        <c:v>44633.3125</c:v>
                      </c:pt>
                      <c:pt idx="707">
                        <c:v>44633.832638888889</c:v>
                      </c:pt>
                      <c:pt idx="708">
                        <c:v>44636.845833333333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  <c:pt idx="583">
                        <c:v>30610</c:v>
                      </c:pt>
                      <c:pt idx="584">
                        <c:v>18580</c:v>
                      </c:pt>
                      <c:pt idx="585">
                        <c:v>21460</c:v>
                      </c:pt>
                      <c:pt idx="586">
                        <c:v>23100</c:v>
                      </c:pt>
                      <c:pt idx="587">
                        <c:v>23785</c:v>
                      </c:pt>
                      <c:pt idx="588">
                        <c:v>24775</c:v>
                      </c:pt>
                      <c:pt idx="589">
                        <c:v>27880</c:v>
                      </c:pt>
                      <c:pt idx="590">
                        <c:v>28025</c:v>
                      </c:pt>
                      <c:pt idx="591">
                        <c:v>21995</c:v>
                      </c:pt>
                      <c:pt idx="592">
                        <c:v>22095</c:v>
                      </c:pt>
                      <c:pt idx="593">
                        <c:v>23535</c:v>
                      </c:pt>
                      <c:pt idx="594">
                        <c:v>5505</c:v>
                      </c:pt>
                      <c:pt idx="595">
                        <c:v>7915</c:v>
                      </c:pt>
                      <c:pt idx="596">
                        <c:v>9275</c:v>
                      </c:pt>
                      <c:pt idx="597">
                        <c:v>25875</c:v>
                      </c:pt>
                      <c:pt idx="598">
                        <c:v>15045</c:v>
                      </c:pt>
                      <c:pt idx="599">
                        <c:v>15685</c:v>
                      </c:pt>
                      <c:pt idx="600">
                        <c:v>17050</c:v>
                      </c:pt>
                      <c:pt idx="601">
                        <c:v>17170</c:v>
                      </c:pt>
                      <c:pt idx="602">
                        <c:v>17360</c:v>
                      </c:pt>
                      <c:pt idx="603">
                        <c:v>19245</c:v>
                      </c:pt>
                      <c:pt idx="604">
                        <c:v>19275</c:v>
                      </c:pt>
                      <c:pt idx="605">
                        <c:v>19970</c:v>
                      </c:pt>
                      <c:pt idx="606">
                        <c:v>21860</c:v>
                      </c:pt>
                      <c:pt idx="607">
                        <c:v>28540</c:v>
                      </c:pt>
                      <c:pt idx="608">
                        <c:v>31860</c:v>
                      </c:pt>
                      <c:pt idx="609">
                        <c:v>11430</c:v>
                      </c:pt>
                      <c:pt idx="610">
                        <c:v>12930</c:v>
                      </c:pt>
                      <c:pt idx="611">
                        <c:v>13085</c:v>
                      </c:pt>
                      <c:pt idx="612">
                        <c:v>14105</c:v>
                      </c:pt>
                      <c:pt idx="613">
                        <c:v>15420</c:v>
                      </c:pt>
                      <c:pt idx="614">
                        <c:v>870</c:v>
                      </c:pt>
                      <c:pt idx="615">
                        <c:v>22105</c:v>
                      </c:pt>
                      <c:pt idx="616">
                        <c:v>23825</c:v>
                      </c:pt>
                      <c:pt idx="617">
                        <c:v>23945</c:v>
                      </c:pt>
                      <c:pt idx="618">
                        <c:v>24465</c:v>
                      </c:pt>
                      <c:pt idx="619">
                        <c:v>24605</c:v>
                      </c:pt>
                      <c:pt idx="620">
                        <c:v>24735</c:v>
                      </c:pt>
                      <c:pt idx="621">
                        <c:v>24855</c:v>
                      </c:pt>
                      <c:pt idx="622">
                        <c:v>25275</c:v>
                      </c:pt>
                      <c:pt idx="623">
                        <c:v>26620</c:v>
                      </c:pt>
                      <c:pt idx="624">
                        <c:v>27940</c:v>
                      </c:pt>
                      <c:pt idx="625">
                        <c:v>310</c:v>
                      </c:pt>
                      <c:pt idx="626">
                        <c:v>2365</c:v>
                      </c:pt>
                      <c:pt idx="627">
                        <c:v>2685</c:v>
                      </c:pt>
                      <c:pt idx="628">
                        <c:v>3005</c:v>
                      </c:pt>
                      <c:pt idx="629">
                        <c:v>8625</c:v>
                      </c:pt>
                      <c:pt idx="630">
                        <c:v>6225</c:v>
                      </c:pt>
                      <c:pt idx="631">
                        <c:v>7895</c:v>
                      </c:pt>
                      <c:pt idx="632">
                        <c:v>9210</c:v>
                      </c:pt>
                      <c:pt idx="633">
                        <c:v>9630</c:v>
                      </c:pt>
                      <c:pt idx="634">
                        <c:v>10150</c:v>
                      </c:pt>
                      <c:pt idx="635">
                        <c:v>9770</c:v>
                      </c:pt>
                      <c:pt idx="636">
                        <c:v>9985</c:v>
                      </c:pt>
                      <c:pt idx="637">
                        <c:v>10585</c:v>
                      </c:pt>
                      <c:pt idx="638">
                        <c:v>11030</c:v>
                      </c:pt>
                      <c:pt idx="639">
                        <c:v>41125</c:v>
                      </c:pt>
                      <c:pt idx="640">
                        <c:v>8525</c:v>
                      </c:pt>
                      <c:pt idx="641">
                        <c:v>9320</c:v>
                      </c:pt>
                      <c:pt idx="642">
                        <c:v>9490</c:v>
                      </c:pt>
                      <c:pt idx="643">
                        <c:v>10395</c:v>
                      </c:pt>
                      <c:pt idx="644">
                        <c:v>10815</c:v>
                      </c:pt>
                      <c:pt idx="645">
                        <c:v>10985</c:v>
                      </c:pt>
                      <c:pt idx="646">
                        <c:v>11055</c:v>
                      </c:pt>
                      <c:pt idx="647">
                        <c:v>11325</c:v>
                      </c:pt>
                      <c:pt idx="648">
                        <c:v>11395</c:v>
                      </c:pt>
                      <c:pt idx="649">
                        <c:v>11465</c:v>
                      </c:pt>
                      <c:pt idx="650">
                        <c:v>11565</c:v>
                      </c:pt>
                      <c:pt idx="651">
                        <c:v>11685</c:v>
                      </c:pt>
                      <c:pt idx="652">
                        <c:v>12910</c:v>
                      </c:pt>
                      <c:pt idx="653">
                        <c:v>13390</c:v>
                      </c:pt>
                      <c:pt idx="654">
                        <c:v>13665</c:v>
                      </c:pt>
                      <c:pt idx="655">
                        <c:v>43510</c:v>
                      </c:pt>
                      <c:pt idx="656">
                        <c:v>44615</c:v>
                      </c:pt>
                      <c:pt idx="657">
                        <c:v>44695</c:v>
                      </c:pt>
                      <c:pt idx="658">
                        <c:v>45540</c:v>
                      </c:pt>
                      <c:pt idx="659">
                        <c:v>47215</c:v>
                      </c:pt>
                      <c:pt idx="660">
                        <c:v>47585</c:v>
                      </c:pt>
                      <c:pt idx="661">
                        <c:v>47955</c:v>
                      </c:pt>
                      <c:pt idx="662">
                        <c:v>48670</c:v>
                      </c:pt>
                      <c:pt idx="663">
                        <c:v>48810</c:v>
                      </c:pt>
                      <c:pt idx="664">
                        <c:v>50210</c:v>
                      </c:pt>
                      <c:pt idx="665">
                        <c:v>49505</c:v>
                      </c:pt>
                      <c:pt idx="666">
                        <c:v>33875</c:v>
                      </c:pt>
                      <c:pt idx="667">
                        <c:v>35590</c:v>
                      </c:pt>
                      <c:pt idx="668">
                        <c:v>35730</c:v>
                      </c:pt>
                      <c:pt idx="669">
                        <c:v>35800</c:v>
                      </c:pt>
                      <c:pt idx="670">
                        <c:v>25000</c:v>
                      </c:pt>
                      <c:pt idx="671">
                        <c:v>25140</c:v>
                      </c:pt>
                      <c:pt idx="672">
                        <c:v>26490</c:v>
                      </c:pt>
                      <c:pt idx="673">
                        <c:v>26995</c:v>
                      </c:pt>
                      <c:pt idx="674">
                        <c:v>29045</c:v>
                      </c:pt>
                      <c:pt idx="675">
                        <c:v>29340</c:v>
                      </c:pt>
                      <c:pt idx="676">
                        <c:v>3310</c:v>
                      </c:pt>
                      <c:pt idx="677">
                        <c:v>5815</c:v>
                      </c:pt>
                      <c:pt idx="678">
                        <c:v>6575</c:v>
                      </c:pt>
                      <c:pt idx="679">
                        <c:v>12750</c:v>
                      </c:pt>
                      <c:pt idx="680">
                        <c:v>18320</c:v>
                      </c:pt>
                      <c:pt idx="681">
                        <c:v>20330</c:v>
                      </c:pt>
                      <c:pt idx="682">
                        <c:v>9900</c:v>
                      </c:pt>
                      <c:pt idx="683">
                        <c:v>11300</c:v>
                      </c:pt>
                      <c:pt idx="684">
                        <c:v>12625</c:v>
                      </c:pt>
                      <c:pt idx="685">
                        <c:v>13010</c:v>
                      </c:pt>
                      <c:pt idx="686">
                        <c:v>13230</c:v>
                      </c:pt>
                      <c:pt idx="687">
                        <c:v>14850</c:v>
                      </c:pt>
                      <c:pt idx="688">
                        <c:v>17140</c:v>
                      </c:pt>
                      <c:pt idx="689">
                        <c:v>18070</c:v>
                      </c:pt>
                      <c:pt idx="690">
                        <c:v>3430</c:v>
                      </c:pt>
                      <c:pt idx="691">
                        <c:v>5940</c:v>
                      </c:pt>
                      <c:pt idx="692">
                        <c:v>7895</c:v>
                      </c:pt>
                      <c:pt idx="693">
                        <c:v>11860</c:v>
                      </c:pt>
                      <c:pt idx="694">
                        <c:v>12780</c:v>
                      </c:pt>
                      <c:pt idx="695">
                        <c:v>21505</c:v>
                      </c:pt>
                      <c:pt idx="696">
                        <c:v>1075</c:v>
                      </c:pt>
                      <c:pt idx="697">
                        <c:v>3315</c:v>
                      </c:pt>
                      <c:pt idx="698">
                        <c:v>23915</c:v>
                      </c:pt>
                      <c:pt idx="699">
                        <c:v>4285</c:v>
                      </c:pt>
                      <c:pt idx="700">
                        <c:v>16220</c:v>
                      </c:pt>
                      <c:pt idx="701">
                        <c:v>4190</c:v>
                      </c:pt>
                      <c:pt idx="702">
                        <c:v>10365</c:v>
                      </c:pt>
                      <c:pt idx="703">
                        <c:v>23490</c:v>
                      </c:pt>
                      <c:pt idx="704">
                        <c:v>4260</c:v>
                      </c:pt>
                      <c:pt idx="705">
                        <c:v>8655</c:v>
                      </c:pt>
                      <c:pt idx="706">
                        <c:v>21780</c:v>
                      </c:pt>
                      <c:pt idx="707">
                        <c:v>3780</c:v>
                      </c:pt>
                      <c:pt idx="708">
                        <c:v>4350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月送抽!$B$2:$B$678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月送抽!$C$2:$C$678</c:f>
              <c:numCache>
                <c:formatCode>[Color50]\+0;[Red]\-0;0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107.625</c:v>
                </c:pt>
                <c:pt idx="481">
                  <c:v>107.625</c:v>
                </c:pt>
                <c:pt idx="482">
                  <c:v>107.625</c:v>
                </c:pt>
                <c:pt idx="483">
                  <c:v>107.625</c:v>
                </c:pt>
                <c:pt idx="484">
                  <c:v>121</c:v>
                </c:pt>
                <c:pt idx="485">
                  <c:v>111.16666666666667</c:v>
                </c:pt>
                <c:pt idx="486">
                  <c:v>111.16666666666667</c:v>
                </c:pt>
                <c:pt idx="487">
                  <c:v>111.16666666666667</c:v>
                </c:pt>
                <c:pt idx="488">
                  <c:v>104.08333333333333</c:v>
                </c:pt>
                <c:pt idx="489">
                  <c:v>104.08333333333333</c:v>
                </c:pt>
                <c:pt idx="490">
                  <c:v>106.08333333333333</c:v>
                </c:pt>
                <c:pt idx="491">
                  <c:v>106.08333333333333</c:v>
                </c:pt>
                <c:pt idx="492">
                  <c:v>106.08333333333333</c:v>
                </c:pt>
                <c:pt idx="493">
                  <c:v>119</c:v>
                </c:pt>
                <c:pt idx="494">
                  <c:v>119</c:v>
                </c:pt>
                <c:pt idx="495">
                  <c:v>119</c:v>
                </c:pt>
                <c:pt idx="496">
                  <c:v>119</c:v>
                </c:pt>
                <c:pt idx="497">
                  <c:v>119</c:v>
                </c:pt>
                <c:pt idx="498">
                  <c:v>119</c:v>
                </c:pt>
                <c:pt idx="499">
                  <c:v>110.25</c:v>
                </c:pt>
                <c:pt idx="500">
                  <c:v>110.25</c:v>
                </c:pt>
                <c:pt idx="501">
                  <c:v>98.833333333333329</c:v>
                </c:pt>
                <c:pt idx="502">
                  <c:v>98.833333333333329</c:v>
                </c:pt>
                <c:pt idx="503">
                  <c:v>98.833333333333329</c:v>
                </c:pt>
                <c:pt idx="504">
                  <c:v>98.833333333333329</c:v>
                </c:pt>
                <c:pt idx="505">
                  <c:v>103.20833333333333</c:v>
                </c:pt>
                <c:pt idx="506">
                  <c:v>103.20833333333333</c:v>
                </c:pt>
                <c:pt idx="507">
                  <c:v>103.20833333333333</c:v>
                </c:pt>
                <c:pt idx="508">
                  <c:v>103.20833333333333</c:v>
                </c:pt>
                <c:pt idx="509">
                  <c:v>103.20833333333333</c:v>
                </c:pt>
                <c:pt idx="510">
                  <c:v>103.20833333333333</c:v>
                </c:pt>
                <c:pt idx="511">
                  <c:v>103.20833333333333</c:v>
                </c:pt>
                <c:pt idx="512">
                  <c:v>102.41666666666667</c:v>
                </c:pt>
                <c:pt idx="513">
                  <c:v>102.41666666666667</c:v>
                </c:pt>
                <c:pt idx="514">
                  <c:v>102.41666666666667</c:v>
                </c:pt>
                <c:pt idx="515">
                  <c:v>84.583333333333329</c:v>
                </c:pt>
                <c:pt idx="516">
                  <c:v>95.125</c:v>
                </c:pt>
                <c:pt idx="517">
                  <c:v>83.041666666666671</c:v>
                </c:pt>
                <c:pt idx="518">
                  <c:v>84.458333333333329</c:v>
                </c:pt>
                <c:pt idx="519">
                  <c:v>94.458333333333329</c:v>
                </c:pt>
                <c:pt idx="520">
                  <c:v>94.458333333333329</c:v>
                </c:pt>
                <c:pt idx="521">
                  <c:v>94.541666666666671</c:v>
                </c:pt>
                <c:pt idx="522">
                  <c:v>96.583333333333329</c:v>
                </c:pt>
                <c:pt idx="523">
                  <c:v>107.625</c:v>
                </c:pt>
                <c:pt idx="524">
                  <c:v>107.625</c:v>
                </c:pt>
                <c:pt idx="525">
                  <c:v>94.083333333333329</c:v>
                </c:pt>
                <c:pt idx="526">
                  <c:v>94.083333333333329</c:v>
                </c:pt>
                <c:pt idx="527">
                  <c:v>94.083333333333329</c:v>
                </c:pt>
                <c:pt idx="528">
                  <c:v>94.083333333333329</c:v>
                </c:pt>
                <c:pt idx="529">
                  <c:v>94.083333333333329</c:v>
                </c:pt>
                <c:pt idx="530">
                  <c:v>119.29166666666667</c:v>
                </c:pt>
                <c:pt idx="531">
                  <c:v>119.29166666666667</c:v>
                </c:pt>
                <c:pt idx="532">
                  <c:v>136.66666666666666</c:v>
                </c:pt>
                <c:pt idx="533">
                  <c:v>145</c:v>
                </c:pt>
                <c:pt idx="534">
                  <c:v>140.375</c:v>
                </c:pt>
                <c:pt idx="535">
                  <c:v>140.375</c:v>
                </c:pt>
                <c:pt idx="536">
                  <c:v>140.375</c:v>
                </c:pt>
                <c:pt idx="537">
                  <c:v>155.375</c:v>
                </c:pt>
                <c:pt idx="538">
                  <c:v>156.20833333333334</c:v>
                </c:pt>
                <c:pt idx="539">
                  <c:v>160.375</c:v>
                </c:pt>
                <c:pt idx="540">
                  <c:v>161.20833333333334</c:v>
                </c:pt>
                <c:pt idx="541">
                  <c:v>147.75</c:v>
                </c:pt>
                <c:pt idx="542">
                  <c:v>148.58333333333334</c:v>
                </c:pt>
                <c:pt idx="543">
                  <c:v>145.29166666666666</c:v>
                </c:pt>
                <c:pt idx="544">
                  <c:v>156.33333333333334</c:v>
                </c:pt>
                <c:pt idx="545">
                  <c:v>166.16666666666666</c:v>
                </c:pt>
                <c:pt idx="546">
                  <c:v>166.16666666666666</c:v>
                </c:pt>
                <c:pt idx="547">
                  <c:v>166.04166666666666</c:v>
                </c:pt>
                <c:pt idx="548">
                  <c:v>167.70833333333334</c:v>
                </c:pt>
                <c:pt idx="549">
                  <c:v>173.58333333333334</c:v>
                </c:pt>
                <c:pt idx="550">
                  <c:v>187.33333333333334</c:v>
                </c:pt>
                <c:pt idx="551">
                  <c:v>178.08333333333334</c:v>
                </c:pt>
                <c:pt idx="552">
                  <c:v>178.08333333333334</c:v>
                </c:pt>
                <c:pt idx="553">
                  <c:v>176.04166666666666</c:v>
                </c:pt>
                <c:pt idx="554">
                  <c:v>180.20833333333334</c:v>
                </c:pt>
                <c:pt idx="555">
                  <c:v>170</c:v>
                </c:pt>
                <c:pt idx="556">
                  <c:v>171.45833333333334</c:v>
                </c:pt>
                <c:pt idx="557">
                  <c:v>171.45833333333334</c:v>
                </c:pt>
                <c:pt idx="558">
                  <c:v>171.875</c:v>
                </c:pt>
                <c:pt idx="559">
                  <c:v>168.95833333333334</c:v>
                </c:pt>
                <c:pt idx="560">
                  <c:v>168.95833333333334</c:v>
                </c:pt>
                <c:pt idx="561">
                  <c:v>147.91666666666666</c:v>
                </c:pt>
                <c:pt idx="562">
                  <c:v>137.08333333333334</c:v>
                </c:pt>
                <c:pt idx="563">
                  <c:v>139.33333333333334</c:v>
                </c:pt>
                <c:pt idx="564">
                  <c:v>133.91666666666666</c:v>
                </c:pt>
                <c:pt idx="565">
                  <c:v>135.16666666666666</c:v>
                </c:pt>
                <c:pt idx="566">
                  <c:v>128.54166666666666</c:v>
                </c:pt>
                <c:pt idx="567">
                  <c:v>130.625</c:v>
                </c:pt>
                <c:pt idx="568">
                  <c:v>116.875</c:v>
                </c:pt>
                <c:pt idx="569">
                  <c:v>116.45833333333333</c:v>
                </c:pt>
                <c:pt idx="570">
                  <c:v>112.70833333333333</c:v>
                </c:pt>
                <c:pt idx="571">
                  <c:v>112.70833333333333</c:v>
                </c:pt>
                <c:pt idx="572">
                  <c:v>117.58333333333333</c:v>
                </c:pt>
                <c:pt idx="573">
                  <c:v>117.58333333333333</c:v>
                </c:pt>
                <c:pt idx="574">
                  <c:v>114.54166666666667</c:v>
                </c:pt>
                <c:pt idx="575">
                  <c:v>116.66666666666667</c:v>
                </c:pt>
                <c:pt idx="576">
                  <c:v>98.083333333333329</c:v>
                </c:pt>
                <c:pt idx="577">
                  <c:v>94.041666666666671</c:v>
                </c:pt>
                <c:pt idx="578">
                  <c:v>94.041666666666671</c:v>
                </c:pt>
                <c:pt idx="579">
                  <c:v>87.25</c:v>
                </c:pt>
                <c:pt idx="580">
                  <c:v>80.208333333333329</c:v>
                </c:pt>
                <c:pt idx="581">
                  <c:v>80.208333333333329</c:v>
                </c:pt>
                <c:pt idx="582">
                  <c:v>87.541666666666671</c:v>
                </c:pt>
                <c:pt idx="583">
                  <c:v>90.458333333333329</c:v>
                </c:pt>
                <c:pt idx="584">
                  <c:v>90.041666666666671</c:v>
                </c:pt>
                <c:pt idx="585">
                  <c:v>90.666666666666671</c:v>
                </c:pt>
                <c:pt idx="586">
                  <c:v>90.666666666666671</c:v>
                </c:pt>
                <c:pt idx="587">
                  <c:v>90.458333333333329</c:v>
                </c:pt>
                <c:pt idx="588">
                  <c:v>90.458333333333329</c:v>
                </c:pt>
                <c:pt idx="589">
                  <c:v>92.333333333333329</c:v>
                </c:pt>
                <c:pt idx="590">
                  <c:v>92.75</c:v>
                </c:pt>
                <c:pt idx="591">
                  <c:v>86.708333333333329</c:v>
                </c:pt>
                <c:pt idx="592">
                  <c:v>88.125</c:v>
                </c:pt>
                <c:pt idx="593">
                  <c:v>88.125</c:v>
                </c:pt>
                <c:pt idx="594">
                  <c:v>88.125</c:v>
                </c:pt>
                <c:pt idx="595">
                  <c:v>87.291666666666671</c:v>
                </c:pt>
                <c:pt idx="596">
                  <c:v>87.291666666666671</c:v>
                </c:pt>
                <c:pt idx="597">
                  <c:v>87.708333333333329</c:v>
                </c:pt>
                <c:pt idx="598">
                  <c:v>86.458333333333329</c:v>
                </c:pt>
                <c:pt idx="599">
                  <c:v>86.458333333333329</c:v>
                </c:pt>
                <c:pt idx="600">
                  <c:v>94.875</c:v>
                </c:pt>
                <c:pt idx="601">
                  <c:v>94.875</c:v>
                </c:pt>
                <c:pt idx="602">
                  <c:v>94.875</c:v>
                </c:pt>
                <c:pt idx="603">
                  <c:v>93.041666666666671</c:v>
                </c:pt>
                <c:pt idx="604">
                  <c:v>93.041666666666671</c:v>
                </c:pt>
                <c:pt idx="605">
                  <c:v>98.5</c:v>
                </c:pt>
                <c:pt idx="606">
                  <c:v>98.5</c:v>
                </c:pt>
                <c:pt idx="607">
                  <c:v>98.5</c:v>
                </c:pt>
                <c:pt idx="608">
                  <c:v>98.5</c:v>
                </c:pt>
                <c:pt idx="609">
                  <c:v>91.416666666666671</c:v>
                </c:pt>
                <c:pt idx="610">
                  <c:v>91.416666666666671</c:v>
                </c:pt>
                <c:pt idx="611">
                  <c:v>96.458333333333329</c:v>
                </c:pt>
                <c:pt idx="612">
                  <c:v>96.458333333333329</c:v>
                </c:pt>
                <c:pt idx="613">
                  <c:v>87.083333333333329</c:v>
                </c:pt>
                <c:pt idx="614">
                  <c:v>87.083333333333329</c:v>
                </c:pt>
                <c:pt idx="615">
                  <c:v>87.083333333333329</c:v>
                </c:pt>
                <c:pt idx="616">
                  <c:v>94.666666666666671</c:v>
                </c:pt>
                <c:pt idx="617">
                  <c:v>94.666666666666671</c:v>
                </c:pt>
                <c:pt idx="618">
                  <c:v>94.666666666666671</c:v>
                </c:pt>
                <c:pt idx="619">
                  <c:v>128.70833333333334</c:v>
                </c:pt>
                <c:pt idx="620">
                  <c:v>128.70833333333334</c:v>
                </c:pt>
                <c:pt idx="621">
                  <c:v>128.70833333333334</c:v>
                </c:pt>
                <c:pt idx="622">
                  <c:v>145.29166666666666</c:v>
                </c:pt>
                <c:pt idx="623">
                  <c:v>145.29166666666666</c:v>
                </c:pt>
                <c:pt idx="624">
                  <c:v>149.70833333333334</c:v>
                </c:pt>
                <c:pt idx="625">
                  <c:v>149.70833333333334</c:v>
                </c:pt>
                <c:pt idx="626">
                  <c:v>151.91666666666666</c:v>
                </c:pt>
                <c:pt idx="627">
                  <c:v>153.16666666666666</c:v>
                </c:pt>
                <c:pt idx="628">
                  <c:v>160.45833333333334</c:v>
                </c:pt>
                <c:pt idx="629">
                  <c:v>160.45833333333334</c:v>
                </c:pt>
                <c:pt idx="630">
                  <c:v>166.29166666666666</c:v>
                </c:pt>
                <c:pt idx="631">
                  <c:v>166.29166666666666</c:v>
                </c:pt>
                <c:pt idx="632">
                  <c:v>166.29166666666666</c:v>
                </c:pt>
                <c:pt idx="633">
                  <c:v>155.66666666666666</c:v>
                </c:pt>
                <c:pt idx="634">
                  <c:v>155.66666666666666</c:v>
                </c:pt>
                <c:pt idx="635">
                  <c:v>155.66666666666666</c:v>
                </c:pt>
                <c:pt idx="636">
                  <c:v>155.66666666666666</c:v>
                </c:pt>
                <c:pt idx="637">
                  <c:v>154.875</c:v>
                </c:pt>
                <c:pt idx="638">
                  <c:v>154.875</c:v>
                </c:pt>
                <c:pt idx="639">
                  <c:v>154.875</c:v>
                </c:pt>
                <c:pt idx="640">
                  <c:v>152.04166666666666</c:v>
                </c:pt>
                <c:pt idx="641">
                  <c:v>152.04166666666666</c:v>
                </c:pt>
                <c:pt idx="642">
                  <c:v>152.04166666666666</c:v>
                </c:pt>
                <c:pt idx="643">
                  <c:v>152.04166666666666</c:v>
                </c:pt>
                <c:pt idx="644">
                  <c:v>118.33333333333333</c:v>
                </c:pt>
                <c:pt idx="645">
                  <c:v>118.33333333333333</c:v>
                </c:pt>
                <c:pt idx="646">
                  <c:v>118.33333333333333</c:v>
                </c:pt>
                <c:pt idx="647">
                  <c:v>118.33333333333333</c:v>
                </c:pt>
                <c:pt idx="648">
                  <c:v>118.33333333333333</c:v>
                </c:pt>
                <c:pt idx="649">
                  <c:v>118.33333333333333</c:v>
                </c:pt>
                <c:pt idx="650">
                  <c:v>118.33333333333333</c:v>
                </c:pt>
                <c:pt idx="651">
                  <c:v>118.33333333333333</c:v>
                </c:pt>
                <c:pt idx="652">
                  <c:v>118.33333333333333</c:v>
                </c:pt>
                <c:pt idx="653">
                  <c:v>98</c:v>
                </c:pt>
                <c:pt idx="654">
                  <c:v>98</c:v>
                </c:pt>
                <c:pt idx="655">
                  <c:v>99.916666666666671</c:v>
                </c:pt>
                <c:pt idx="656">
                  <c:v>99.916666666666671</c:v>
                </c:pt>
                <c:pt idx="657">
                  <c:v>99.916666666666671</c:v>
                </c:pt>
                <c:pt idx="658">
                  <c:v>99.916666666666671</c:v>
                </c:pt>
                <c:pt idx="659">
                  <c:v>167.16666666666666</c:v>
                </c:pt>
                <c:pt idx="660">
                  <c:v>167.16666666666666</c:v>
                </c:pt>
                <c:pt idx="661">
                  <c:v>167.16666666666666</c:v>
                </c:pt>
                <c:pt idx="662">
                  <c:v>167.16666666666666</c:v>
                </c:pt>
                <c:pt idx="663">
                  <c:v>167.16666666666666</c:v>
                </c:pt>
                <c:pt idx="664">
                  <c:v>167.16666666666666</c:v>
                </c:pt>
                <c:pt idx="665">
                  <c:v>167.16666666666666</c:v>
                </c:pt>
                <c:pt idx="666">
                  <c:v>167.16666666666666</c:v>
                </c:pt>
                <c:pt idx="667">
                  <c:v>167.16666666666666</c:v>
                </c:pt>
                <c:pt idx="668">
                  <c:v>167.16666666666666</c:v>
                </c:pt>
                <c:pt idx="669">
                  <c:v>155.66666666666666</c:v>
                </c:pt>
                <c:pt idx="670">
                  <c:v>155.66666666666666</c:v>
                </c:pt>
                <c:pt idx="671">
                  <c:v>155.66666666666666</c:v>
                </c:pt>
                <c:pt idx="672">
                  <c:v>155.66666666666666</c:v>
                </c:pt>
                <c:pt idx="673">
                  <c:v>155.66666666666666</c:v>
                </c:pt>
                <c:pt idx="674">
                  <c:v>155.66666666666666</c:v>
                </c:pt>
                <c:pt idx="675">
                  <c:v>155.66666666666666</c:v>
                </c:pt>
                <c:pt idx="676">
                  <c:v>155.66666666666666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月送抽!$D$2:$D$678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51</c:v>
                </c:pt>
                <c:pt idx="500">
                  <c:v>51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48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52</c:v>
                </c:pt>
                <c:pt idx="516">
                  <c:v>58</c:v>
                </c:pt>
                <c:pt idx="517">
                  <c:v>33</c:v>
                </c:pt>
                <c:pt idx="518">
                  <c:v>35</c:v>
                </c:pt>
                <c:pt idx="519">
                  <c:v>45</c:v>
                </c:pt>
                <c:pt idx="520">
                  <c:v>45</c:v>
                </c:pt>
                <c:pt idx="521">
                  <c:v>47</c:v>
                </c:pt>
                <c:pt idx="522">
                  <c:v>49</c:v>
                </c:pt>
                <c:pt idx="523">
                  <c:v>55</c:v>
                </c:pt>
                <c:pt idx="524">
                  <c:v>55</c:v>
                </c:pt>
                <c:pt idx="525">
                  <c:v>99</c:v>
                </c:pt>
                <c:pt idx="526">
                  <c:v>99</c:v>
                </c:pt>
                <c:pt idx="527">
                  <c:v>99</c:v>
                </c:pt>
                <c:pt idx="528">
                  <c:v>99</c:v>
                </c:pt>
                <c:pt idx="529">
                  <c:v>92</c:v>
                </c:pt>
                <c:pt idx="530">
                  <c:v>92</c:v>
                </c:pt>
                <c:pt idx="531">
                  <c:v>92</c:v>
                </c:pt>
                <c:pt idx="532">
                  <c:v>112</c:v>
                </c:pt>
                <c:pt idx="533">
                  <c:v>113</c:v>
                </c:pt>
                <c:pt idx="534">
                  <c:v>127</c:v>
                </c:pt>
                <c:pt idx="535">
                  <c:v>127</c:v>
                </c:pt>
                <c:pt idx="536">
                  <c:v>127</c:v>
                </c:pt>
                <c:pt idx="537">
                  <c:v>138</c:v>
                </c:pt>
                <c:pt idx="538">
                  <c:v>139</c:v>
                </c:pt>
                <c:pt idx="539">
                  <c:v>140</c:v>
                </c:pt>
                <c:pt idx="540">
                  <c:v>141</c:v>
                </c:pt>
                <c:pt idx="541">
                  <c:v>141</c:v>
                </c:pt>
                <c:pt idx="542">
                  <c:v>142</c:v>
                </c:pt>
                <c:pt idx="543">
                  <c:v>141</c:v>
                </c:pt>
                <c:pt idx="544">
                  <c:v>159</c:v>
                </c:pt>
                <c:pt idx="545">
                  <c:v>163</c:v>
                </c:pt>
                <c:pt idx="546">
                  <c:v>163</c:v>
                </c:pt>
                <c:pt idx="547">
                  <c:v>162</c:v>
                </c:pt>
                <c:pt idx="548">
                  <c:v>163</c:v>
                </c:pt>
                <c:pt idx="549">
                  <c:v>162</c:v>
                </c:pt>
                <c:pt idx="550">
                  <c:v>168</c:v>
                </c:pt>
                <c:pt idx="551">
                  <c:v>167</c:v>
                </c:pt>
                <c:pt idx="552">
                  <c:v>167</c:v>
                </c:pt>
                <c:pt idx="553">
                  <c:v>164</c:v>
                </c:pt>
                <c:pt idx="554">
                  <c:v>165</c:v>
                </c:pt>
                <c:pt idx="555">
                  <c:v>160</c:v>
                </c:pt>
                <c:pt idx="556">
                  <c:v>171</c:v>
                </c:pt>
                <c:pt idx="557">
                  <c:v>171</c:v>
                </c:pt>
                <c:pt idx="558">
                  <c:v>127</c:v>
                </c:pt>
                <c:pt idx="559">
                  <c:v>142</c:v>
                </c:pt>
                <c:pt idx="560">
                  <c:v>142</c:v>
                </c:pt>
                <c:pt idx="561">
                  <c:v>143</c:v>
                </c:pt>
                <c:pt idx="562">
                  <c:v>151</c:v>
                </c:pt>
                <c:pt idx="563">
                  <c:v>143</c:v>
                </c:pt>
                <c:pt idx="564">
                  <c:v>142</c:v>
                </c:pt>
                <c:pt idx="565">
                  <c:v>143</c:v>
                </c:pt>
                <c:pt idx="566">
                  <c:v>211</c:v>
                </c:pt>
                <c:pt idx="567">
                  <c:v>211</c:v>
                </c:pt>
                <c:pt idx="568">
                  <c:v>201</c:v>
                </c:pt>
                <c:pt idx="569">
                  <c:v>200</c:v>
                </c:pt>
                <c:pt idx="570">
                  <c:v>199</c:v>
                </c:pt>
                <c:pt idx="571">
                  <c:v>199</c:v>
                </c:pt>
                <c:pt idx="572">
                  <c:v>196</c:v>
                </c:pt>
                <c:pt idx="573">
                  <c:v>196</c:v>
                </c:pt>
                <c:pt idx="574">
                  <c:v>178</c:v>
                </c:pt>
                <c:pt idx="575">
                  <c:v>180</c:v>
                </c:pt>
                <c:pt idx="576">
                  <c:v>175</c:v>
                </c:pt>
                <c:pt idx="577">
                  <c:v>176</c:v>
                </c:pt>
                <c:pt idx="578">
                  <c:v>176</c:v>
                </c:pt>
                <c:pt idx="579">
                  <c:v>176</c:v>
                </c:pt>
                <c:pt idx="580">
                  <c:v>182</c:v>
                </c:pt>
                <c:pt idx="581">
                  <c:v>182</c:v>
                </c:pt>
                <c:pt idx="582">
                  <c:v>169</c:v>
                </c:pt>
                <c:pt idx="583">
                  <c:v>174</c:v>
                </c:pt>
                <c:pt idx="584">
                  <c:v>174</c:v>
                </c:pt>
                <c:pt idx="585">
                  <c:v>182</c:v>
                </c:pt>
                <c:pt idx="586">
                  <c:v>182</c:v>
                </c:pt>
                <c:pt idx="587">
                  <c:v>181</c:v>
                </c:pt>
                <c:pt idx="588">
                  <c:v>181</c:v>
                </c:pt>
                <c:pt idx="589">
                  <c:v>181</c:v>
                </c:pt>
                <c:pt idx="590">
                  <c:v>177</c:v>
                </c:pt>
                <c:pt idx="591">
                  <c:v>176</c:v>
                </c:pt>
                <c:pt idx="592">
                  <c:v>173</c:v>
                </c:pt>
                <c:pt idx="593">
                  <c:v>173</c:v>
                </c:pt>
                <c:pt idx="594">
                  <c:v>173</c:v>
                </c:pt>
                <c:pt idx="595">
                  <c:v>78</c:v>
                </c:pt>
                <c:pt idx="596">
                  <c:v>78</c:v>
                </c:pt>
                <c:pt idx="597">
                  <c:v>78</c:v>
                </c:pt>
                <c:pt idx="598">
                  <c:v>78</c:v>
                </c:pt>
                <c:pt idx="599">
                  <c:v>78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81</c:v>
                </c:pt>
                <c:pt idx="604">
                  <c:v>81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86</c:v>
                </c:pt>
                <c:pt idx="610">
                  <c:v>86</c:v>
                </c:pt>
                <c:pt idx="611">
                  <c:v>83</c:v>
                </c:pt>
                <c:pt idx="612">
                  <c:v>83</c:v>
                </c:pt>
                <c:pt idx="613">
                  <c:v>88</c:v>
                </c:pt>
                <c:pt idx="614">
                  <c:v>88</c:v>
                </c:pt>
                <c:pt idx="615">
                  <c:v>88</c:v>
                </c:pt>
                <c:pt idx="616">
                  <c:v>88</c:v>
                </c:pt>
                <c:pt idx="617">
                  <c:v>88</c:v>
                </c:pt>
                <c:pt idx="618">
                  <c:v>88</c:v>
                </c:pt>
                <c:pt idx="619">
                  <c:v>73</c:v>
                </c:pt>
                <c:pt idx="620">
                  <c:v>73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126</c:v>
                </c:pt>
                <c:pt idx="625">
                  <c:v>128</c:v>
                </c:pt>
                <c:pt idx="626">
                  <c:v>129</c:v>
                </c:pt>
                <c:pt idx="627">
                  <c:v>133</c:v>
                </c:pt>
                <c:pt idx="628">
                  <c:v>145</c:v>
                </c:pt>
                <c:pt idx="629">
                  <c:v>145</c:v>
                </c:pt>
                <c:pt idx="630">
                  <c:v>149</c:v>
                </c:pt>
                <c:pt idx="631">
                  <c:v>149</c:v>
                </c:pt>
                <c:pt idx="632">
                  <c:v>149</c:v>
                </c:pt>
                <c:pt idx="633">
                  <c:v>144</c:v>
                </c:pt>
                <c:pt idx="634">
                  <c:v>144</c:v>
                </c:pt>
                <c:pt idx="635">
                  <c:v>144</c:v>
                </c:pt>
                <c:pt idx="636">
                  <c:v>144</c:v>
                </c:pt>
                <c:pt idx="637">
                  <c:v>132</c:v>
                </c:pt>
                <c:pt idx="638">
                  <c:v>132</c:v>
                </c:pt>
                <c:pt idx="639">
                  <c:v>132</c:v>
                </c:pt>
                <c:pt idx="640">
                  <c:v>128</c:v>
                </c:pt>
                <c:pt idx="641">
                  <c:v>128</c:v>
                </c:pt>
                <c:pt idx="642">
                  <c:v>128</c:v>
                </c:pt>
                <c:pt idx="643">
                  <c:v>128</c:v>
                </c:pt>
                <c:pt idx="644">
                  <c:v>143</c:v>
                </c:pt>
                <c:pt idx="645">
                  <c:v>143</c:v>
                </c:pt>
                <c:pt idx="646">
                  <c:v>143</c:v>
                </c:pt>
                <c:pt idx="647">
                  <c:v>143</c:v>
                </c:pt>
                <c:pt idx="648">
                  <c:v>143</c:v>
                </c:pt>
                <c:pt idx="649">
                  <c:v>143</c:v>
                </c:pt>
                <c:pt idx="650">
                  <c:v>143</c:v>
                </c:pt>
                <c:pt idx="651">
                  <c:v>143</c:v>
                </c:pt>
                <c:pt idx="652">
                  <c:v>143</c:v>
                </c:pt>
                <c:pt idx="653">
                  <c:v>90</c:v>
                </c:pt>
                <c:pt idx="654">
                  <c:v>90</c:v>
                </c:pt>
                <c:pt idx="655">
                  <c:v>81</c:v>
                </c:pt>
                <c:pt idx="656">
                  <c:v>81</c:v>
                </c:pt>
                <c:pt idx="657">
                  <c:v>81</c:v>
                </c:pt>
                <c:pt idx="658">
                  <c:v>81</c:v>
                </c:pt>
                <c:pt idx="659">
                  <c:v>78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95</c:v>
                </c:pt>
                <c:pt idx="670">
                  <c:v>95</c:v>
                </c:pt>
                <c:pt idx="671">
                  <c:v>95</c:v>
                </c:pt>
                <c:pt idx="672">
                  <c:v>95</c:v>
                </c:pt>
                <c:pt idx="673">
                  <c:v>95</c:v>
                </c:pt>
                <c:pt idx="674">
                  <c:v>95</c:v>
                </c:pt>
                <c:pt idx="675">
                  <c:v>95</c:v>
                </c:pt>
                <c:pt idx="67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月送抽!$E$2:$E$678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20</c:v>
                </c:pt>
                <c:pt idx="530">
                  <c:v>30</c:v>
                </c:pt>
                <c:pt idx="531">
                  <c:v>40</c:v>
                </c:pt>
                <c:pt idx="532">
                  <c:v>50</c:v>
                </c:pt>
                <c:pt idx="533">
                  <c:v>60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100</c:v>
                </c:pt>
                <c:pt idx="538">
                  <c:v>110</c:v>
                </c:pt>
                <c:pt idx="539">
                  <c:v>120</c:v>
                </c:pt>
                <c:pt idx="540">
                  <c:v>130</c:v>
                </c:pt>
                <c:pt idx="541">
                  <c:v>140</c:v>
                </c:pt>
                <c:pt idx="542">
                  <c:v>150</c:v>
                </c:pt>
                <c:pt idx="543">
                  <c:v>160</c:v>
                </c:pt>
                <c:pt idx="544">
                  <c:v>170</c:v>
                </c:pt>
                <c:pt idx="545">
                  <c:v>180</c:v>
                </c:pt>
                <c:pt idx="546">
                  <c:v>190</c:v>
                </c:pt>
                <c:pt idx="547">
                  <c:v>210</c:v>
                </c:pt>
                <c:pt idx="548">
                  <c:v>220</c:v>
                </c:pt>
                <c:pt idx="549">
                  <c:v>230</c:v>
                </c:pt>
                <c:pt idx="550">
                  <c:v>240</c:v>
                </c:pt>
                <c:pt idx="551">
                  <c:v>260</c:v>
                </c:pt>
                <c:pt idx="552">
                  <c:v>260</c:v>
                </c:pt>
                <c:pt idx="553">
                  <c:v>270</c:v>
                </c:pt>
                <c:pt idx="554">
                  <c:v>280</c:v>
                </c:pt>
                <c:pt idx="555">
                  <c:v>290</c:v>
                </c:pt>
                <c:pt idx="556">
                  <c:v>310</c:v>
                </c:pt>
                <c:pt idx="557">
                  <c:v>310</c:v>
                </c:pt>
                <c:pt idx="558">
                  <c:v>310</c:v>
                </c:pt>
                <c:pt idx="559">
                  <c:v>310</c:v>
                </c:pt>
                <c:pt idx="560">
                  <c:v>320</c:v>
                </c:pt>
                <c:pt idx="561">
                  <c:v>310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330</c:v>
                </c:pt>
                <c:pt idx="566">
                  <c:v>400</c:v>
                </c:pt>
                <c:pt idx="567">
                  <c:v>400</c:v>
                </c:pt>
                <c:pt idx="568">
                  <c:v>390</c:v>
                </c:pt>
                <c:pt idx="569">
                  <c:v>380</c:v>
                </c:pt>
                <c:pt idx="570">
                  <c:v>370</c:v>
                </c:pt>
                <c:pt idx="571">
                  <c:v>360</c:v>
                </c:pt>
                <c:pt idx="572">
                  <c:v>330</c:v>
                </c:pt>
                <c:pt idx="573">
                  <c:v>330</c:v>
                </c:pt>
                <c:pt idx="574">
                  <c:v>320</c:v>
                </c:pt>
                <c:pt idx="575">
                  <c:v>320</c:v>
                </c:pt>
                <c:pt idx="576">
                  <c:v>300</c:v>
                </c:pt>
                <c:pt idx="577">
                  <c:v>270</c:v>
                </c:pt>
                <c:pt idx="578">
                  <c:v>270</c:v>
                </c:pt>
                <c:pt idx="579">
                  <c:v>260</c:v>
                </c:pt>
                <c:pt idx="580">
                  <c:v>250</c:v>
                </c:pt>
                <c:pt idx="581">
                  <c:v>250</c:v>
                </c:pt>
                <c:pt idx="582">
                  <c:v>230</c:v>
                </c:pt>
                <c:pt idx="583">
                  <c:v>230</c:v>
                </c:pt>
                <c:pt idx="584">
                  <c:v>220</c:v>
                </c:pt>
                <c:pt idx="585">
                  <c:v>200</c:v>
                </c:pt>
                <c:pt idx="586">
                  <c:v>200</c:v>
                </c:pt>
                <c:pt idx="587">
                  <c:v>180</c:v>
                </c:pt>
                <c:pt idx="588">
                  <c:v>180</c:v>
                </c:pt>
                <c:pt idx="589">
                  <c:v>170</c:v>
                </c:pt>
                <c:pt idx="590">
                  <c:v>160</c:v>
                </c:pt>
                <c:pt idx="591">
                  <c:v>140</c:v>
                </c:pt>
                <c:pt idx="592">
                  <c:v>110</c:v>
                </c:pt>
                <c:pt idx="593">
                  <c:v>110</c:v>
                </c:pt>
                <c:pt idx="594">
                  <c:v>110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10</c:v>
                </c:pt>
                <c:pt idx="625">
                  <c:v>20</c:v>
                </c:pt>
                <c:pt idx="626">
                  <c:v>30</c:v>
                </c:pt>
                <c:pt idx="627">
                  <c:v>40</c:v>
                </c:pt>
                <c:pt idx="628">
                  <c:v>50</c:v>
                </c:pt>
                <c:pt idx="629">
                  <c:v>50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50</c:v>
                </c:pt>
                <c:pt idx="654">
                  <c:v>50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月送抽!$F$2:$F$678</c:f>
              <c:numCache>
                <c:formatCode>0.00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430.625</c:v>
                </c:pt>
                <c:pt idx="481">
                  <c:v>430.625</c:v>
                </c:pt>
                <c:pt idx="482">
                  <c:v>430.625</c:v>
                </c:pt>
                <c:pt idx="483">
                  <c:v>430.625</c:v>
                </c:pt>
                <c:pt idx="484">
                  <c:v>389</c:v>
                </c:pt>
                <c:pt idx="485">
                  <c:v>379.16666666666669</c:v>
                </c:pt>
                <c:pt idx="486">
                  <c:v>379.16666666666669</c:v>
                </c:pt>
                <c:pt idx="487">
                  <c:v>379.16666666666669</c:v>
                </c:pt>
                <c:pt idx="488">
                  <c:v>168.08333333333331</c:v>
                </c:pt>
                <c:pt idx="489">
                  <c:v>168.08333333333331</c:v>
                </c:pt>
                <c:pt idx="490">
                  <c:v>170.08333333333331</c:v>
                </c:pt>
                <c:pt idx="491">
                  <c:v>170.08333333333331</c:v>
                </c:pt>
                <c:pt idx="492">
                  <c:v>170.08333333333331</c:v>
                </c:pt>
                <c:pt idx="493">
                  <c:v>190</c:v>
                </c:pt>
                <c:pt idx="494">
                  <c:v>190</c:v>
                </c:pt>
                <c:pt idx="495">
                  <c:v>190</c:v>
                </c:pt>
                <c:pt idx="496">
                  <c:v>190</c:v>
                </c:pt>
                <c:pt idx="497">
                  <c:v>190</c:v>
                </c:pt>
                <c:pt idx="498">
                  <c:v>190</c:v>
                </c:pt>
                <c:pt idx="499">
                  <c:v>161.25</c:v>
                </c:pt>
                <c:pt idx="500">
                  <c:v>161.25</c:v>
                </c:pt>
                <c:pt idx="501">
                  <c:v>146.83333333333331</c:v>
                </c:pt>
                <c:pt idx="502">
                  <c:v>146.83333333333331</c:v>
                </c:pt>
                <c:pt idx="503">
                  <c:v>146.83333333333331</c:v>
                </c:pt>
                <c:pt idx="504">
                  <c:v>146.83333333333331</c:v>
                </c:pt>
                <c:pt idx="505">
                  <c:v>153.20833333333331</c:v>
                </c:pt>
                <c:pt idx="506">
                  <c:v>153.20833333333331</c:v>
                </c:pt>
                <c:pt idx="507">
                  <c:v>153.20833333333331</c:v>
                </c:pt>
                <c:pt idx="508">
                  <c:v>153.20833333333331</c:v>
                </c:pt>
                <c:pt idx="509">
                  <c:v>153.20833333333331</c:v>
                </c:pt>
                <c:pt idx="510">
                  <c:v>153.20833333333331</c:v>
                </c:pt>
                <c:pt idx="511">
                  <c:v>153.20833333333331</c:v>
                </c:pt>
                <c:pt idx="512">
                  <c:v>152.41666666666669</c:v>
                </c:pt>
                <c:pt idx="513">
                  <c:v>152.41666666666669</c:v>
                </c:pt>
                <c:pt idx="514">
                  <c:v>152.41666666666669</c:v>
                </c:pt>
                <c:pt idx="515">
                  <c:v>136.58333333333331</c:v>
                </c:pt>
                <c:pt idx="516">
                  <c:v>153.125</c:v>
                </c:pt>
                <c:pt idx="517">
                  <c:v>116.04166666666667</c:v>
                </c:pt>
                <c:pt idx="518">
                  <c:v>119.45833333333333</c:v>
                </c:pt>
                <c:pt idx="519">
                  <c:v>139.45833333333331</c:v>
                </c:pt>
                <c:pt idx="520">
                  <c:v>139.45833333333331</c:v>
                </c:pt>
                <c:pt idx="521">
                  <c:v>141.54166666666669</c:v>
                </c:pt>
                <c:pt idx="522">
                  <c:v>145.58333333333331</c:v>
                </c:pt>
                <c:pt idx="523">
                  <c:v>162.625</c:v>
                </c:pt>
                <c:pt idx="524">
                  <c:v>162.625</c:v>
                </c:pt>
                <c:pt idx="525">
                  <c:v>203.08333333333331</c:v>
                </c:pt>
                <c:pt idx="526">
                  <c:v>203.08333333333331</c:v>
                </c:pt>
                <c:pt idx="527">
                  <c:v>203.08333333333331</c:v>
                </c:pt>
                <c:pt idx="528">
                  <c:v>203.08333333333331</c:v>
                </c:pt>
                <c:pt idx="529">
                  <c:v>206.08333333333331</c:v>
                </c:pt>
                <c:pt idx="530">
                  <c:v>241.29166666666669</c:v>
                </c:pt>
                <c:pt idx="531">
                  <c:v>251.29166666666669</c:v>
                </c:pt>
                <c:pt idx="532">
                  <c:v>298.66666666666663</c:v>
                </c:pt>
                <c:pt idx="533">
                  <c:v>318</c:v>
                </c:pt>
                <c:pt idx="534">
                  <c:v>357.375</c:v>
                </c:pt>
                <c:pt idx="535">
                  <c:v>357.375</c:v>
                </c:pt>
                <c:pt idx="536">
                  <c:v>357.375</c:v>
                </c:pt>
                <c:pt idx="537">
                  <c:v>393.375</c:v>
                </c:pt>
                <c:pt idx="538">
                  <c:v>405.20833333333337</c:v>
                </c:pt>
                <c:pt idx="539">
                  <c:v>420.375</c:v>
                </c:pt>
                <c:pt idx="540">
                  <c:v>432.20833333333337</c:v>
                </c:pt>
                <c:pt idx="541">
                  <c:v>428.75</c:v>
                </c:pt>
                <c:pt idx="542">
                  <c:v>440.58333333333337</c:v>
                </c:pt>
                <c:pt idx="543">
                  <c:v>446.29166666666663</c:v>
                </c:pt>
                <c:pt idx="544">
                  <c:v>485.33333333333337</c:v>
                </c:pt>
                <c:pt idx="545">
                  <c:v>509.16666666666663</c:v>
                </c:pt>
                <c:pt idx="546">
                  <c:v>519.16666666666663</c:v>
                </c:pt>
                <c:pt idx="547">
                  <c:v>538.04166666666663</c:v>
                </c:pt>
                <c:pt idx="548">
                  <c:v>550.70833333333337</c:v>
                </c:pt>
                <c:pt idx="549">
                  <c:v>565.58333333333337</c:v>
                </c:pt>
                <c:pt idx="550">
                  <c:v>595.33333333333337</c:v>
                </c:pt>
                <c:pt idx="551">
                  <c:v>605.08333333333337</c:v>
                </c:pt>
                <c:pt idx="552">
                  <c:v>605.08333333333337</c:v>
                </c:pt>
                <c:pt idx="553">
                  <c:v>610.04166666666663</c:v>
                </c:pt>
                <c:pt idx="554">
                  <c:v>625.20833333333337</c:v>
                </c:pt>
                <c:pt idx="555">
                  <c:v>620</c:v>
                </c:pt>
                <c:pt idx="556">
                  <c:v>652.45833333333337</c:v>
                </c:pt>
                <c:pt idx="557">
                  <c:v>652.45833333333337</c:v>
                </c:pt>
                <c:pt idx="558">
                  <c:v>608.875</c:v>
                </c:pt>
                <c:pt idx="559">
                  <c:v>620.95833333333337</c:v>
                </c:pt>
                <c:pt idx="560">
                  <c:v>630.95833333333337</c:v>
                </c:pt>
                <c:pt idx="561">
                  <c:v>600.91666666666663</c:v>
                </c:pt>
                <c:pt idx="562">
                  <c:v>608.08333333333337</c:v>
                </c:pt>
                <c:pt idx="563">
                  <c:v>602.33333333333337</c:v>
                </c:pt>
                <c:pt idx="564">
                  <c:v>595.91666666666663</c:v>
                </c:pt>
                <c:pt idx="565">
                  <c:v>608.16666666666663</c:v>
                </c:pt>
                <c:pt idx="566">
                  <c:v>739.54166666666663</c:v>
                </c:pt>
                <c:pt idx="567">
                  <c:v>741.625</c:v>
                </c:pt>
                <c:pt idx="568">
                  <c:v>707.875</c:v>
                </c:pt>
                <c:pt idx="569">
                  <c:v>696.45833333333337</c:v>
                </c:pt>
                <c:pt idx="570">
                  <c:v>681.70833333333337</c:v>
                </c:pt>
                <c:pt idx="571">
                  <c:v>671.70833333333337</c:v>
                </c:pt>
                <c:pt idx="572">
                  <c:v>643.58333333333337</c:v>
                </c:pt>
                <c:pt idx="573">
                  <c:v>643.58333333333337</c:v>
                </c:pt>
                <c:pt idx="574">
                  <c:v>612.54166666666663</c:v>
                </c:pt>
                <c:pt idx="575">
                  <c:v>616.66666666666663</c:v>
                </c:pt>
                <c:pt idx="576">
                  <c:v>573.08333333333337</c:v>
                </c:pt>
                <c:pt idx="577">
                  <c:v>540.04166666666663</c:v>
                </c:pt>
                <c:pt idx="578">
                  <c:v>540.04166666666663</c:v>
                </c:pt>
                <c:pt idx="579">
                  <c:v>523.25</c:v>
                </c:pt>
                <c:pt idx="580">
                  <c:v>512.20833333333337</c:v>
                </c:pt>
                <c:pt idx="581">
                  <c:v>512.20833333333337</c:v>
                </c:pt>
                <c:pt idx="582">
                  <c:v>486.54166666666669</c:v>
                </c:pt>
                <c:pt idx="583">
                  <c:v>494.45833333333331</c:v>
                </c:pt>
                <c:pt idx="584">
                  <c:v>484.04166666666669</c:v>
                </c:pt>
                <c:pt idx="585">
                  <c:v>472.66666666666669</c:v>
                </c:pt>
                <c:pt idx="586">
                  <c:v>472.66666666666669</c:v>
                </c:pt>
                <c:pt idx="587">
                  <c:v>451.45833333333331</c:v>
                </c:pt>
                <c:pt idx="588">
                  <c:v>451.45833333333331</c:v>
                </c:pt>
                <c:pt idx="589">
                  <c:v>443.33333333333331</c:v>
                </c:pt>
                <c:pt idx="590">
                  <c:v>429.75</c:v>
                </c:pt>
                <c:pt idx="591">
                  <c:v>402.70833333333331</c:v>
                </c:pt>
                <c:pt idx="592">
                  <c:v>371.125</c:v>
                </c:pt>
                <c:pt idx="593">
                  <c:v>371.125</c:v>
                </c:pt>
                <c:pt idx="594">
                  <c:v>371.125</c:v>
                </c:pt>
                <c:pt idx="595">
                  <c:v>165.29166666666669</c:v>
                </c:pt>
                <c:pt idx="596">
                  <c:v>165.29166666666669</c:v>
                </c:pt>
                <c:pt idx="597">
                  <c:v>165.70833333333331</c:v>
                </c:pt>
                <c:pt idx="598">
                  <c:v>164.45833333333331</c:v>
                </c:pt>
                <c:pt idx="599">
                  <c:v>164.45833333333331</c:v>
                </c:pt>
                <c:pt idx="600">
                  <c:v>174.875</c:v>
                </c:pt>
                <c:pt idx="601">
                  <c:v>174.875</c:v>
                </c:pt>
                <c:pt idx="602">
                  <c:v>174.875</c:v>
                </c:pt>
                <c:pt idx="603">
                  <c:v>174.04166666666669</c:v>
                </c:pt>
                <c:pt idx="604">
                  <c:v>174.04166666666669</c:v>
                </c:pt>
                <c:pt idx="605">
                  <c:v>192.5</c:v>
                </c:pt>
                <c:pt idx="606">
                  <c:v>192.5</c:v>
                </c:pt>
                <c:pt idx="607">
                  <c:v>192.5</c:v>
                </c:pt>
                <c:pt idx="608">
                  <c:v>192.5</c:v>
                </c:pt>
                <c:pt idx="609">
                  <c:v>177.41666666666669</c:v>
                </c:pt>
                <c:pt idx="610">
                  <c:v>177.41666666666669</c:v>
                </c:pt>
                <c:pt idx="611">
                  <c:v>179.45833333333331</c:v>
                </c:pt>
                <c:pt idx="612">
                  <c:v>179.45833333333331</c:v>
                </c:pt>
                <c:pt idx="613">
                  <c:v>175.08333333333331</c:v>
                </c:pt>
                <c:pt idx="614">
                  <c:v>175.08333333333331</c:v>
                </c:pt>
                <c:pt idx="615">
                  <c:v>175.08333333333331</c:v>
                </c:pt>
                <c:pt idx="616">
                  <c:v>182.66666666666669</c:v>
                </c:pt>
                <c:pt idx="617">
                  <c:v>182.66666666666669</c:v>
                </c:pt>
                <c:pt idx="618">
                  <c:v>182.66666666666669</c:v>
                </c:pt>
                <c:pt idx="619">
                  <c:v>201.70833333333334</c:v>
                </c:pt>
                <c:pt idx="620">
                  <c:v>201.70833333333334</c:v>
                </c:pt>
                <c:pt idx="621">
                  <c:v>201.70833333333334</c:v>
                </c:pt>
                <c:pt idx="622">
                  <c:v>218.29166666666666</c:v>
                </c:pt>
                <c:pt idx="623">
                  <c:v>218.29166666666666</c:v>
                </c:pt>
                <c:pt idx="624">
                  <c:v>285.70833333333337</c:v>
                </c:pt>
                <c:pt idx="625">
                  <c:v>297.70833333333337</c:v>
                </c:pt>
                <c:pt idx="626">
                  <c:v>310.91666666666663</c:v>
                </c:pt>
                <c:pt idx="627">
                  <c:v>326.16666666666663</c:v>
                </c:pt>
                <c:pt idx="628">
                  <c:v>355.45833333333337</c:v>
                </c:pt>
                <c:pt idx="629">
                  <c:v>355.45833333333337</c:v>
                </c:pt>
                <c:pt idx="630">
                  <c:v>375.29166666666663</c:v>
                </c:pt>
                <c:pt idx="631">
                  <c:v>375.29166666666663</c:v>
                </c:pt>
                <c:pt idx="632">
                  <c:v>375.29166666666663</c:v>
                </c:pt>
                <c:pt idx="633">
                  <c:v>359.66666666666663</c:v>
                </c:pt>
                <c:pt idx="634">
                  <c:v>359.66666666666663</c:v>
                </c:pt>
                <c:pt idx="635">
                  <c:v>359.66666666666663</c:v>
                </c:pt>
                <c:pt idx="636">
                  <c:v>359.66666666666663</c:v>
                </c:pt>
                <c:pt idx="637">
                  <c:v>346.875</c:v>
                </c:pt>
                <c:pt idx="638">
                  <c:v>346.875</c:v>
                </c:pt>
                <c:pt idx="639">
                  <c:v>346.875</c:v>
                </c:pt>
                <c:pt idx="640">
                  <c:v>340.04166666666663</c:v>
                </c:pt>
                <c:pt idx="641">
                  <c:v>340.04166666666663</c:v>
                </c:pt>
                <c:pt idx="642">
                  <c:v>340.04166666666663</c:v>
                </c:pt>
                <c:pt idx="643">
                  <c:v>340.04166666666663</c:v>
                </c:pt>
                <c:pt idx="644">
                  <c:v>321.33333333333331</c:v>
                </c:pt>
                <c:pt idx="645">
                  <c:v>321.33333333333331</c:v>
                </c:pt>
                <c:pt idx="646">
                  <c:v>321.33333333333331</c:v>
                </c:pt>
                <c:pt idx="647">
                  <c:v>321.33333333333331</c:v>
                </c:pt>
                <c:pt idx="648">
                  <c:v>321.33333333333331</c:v>
                </c:pt>
                <c:pt idx="649">
                  <c:v>321.33333333333331</c:v>
                </c:pt>
                <c:pt idx="650">
                  <c:v>321.33333333333331</c:v>
                </c:pt>
                <c:pt idx="651">
                  <c:v>321.33333333333331</c:v>
                </c:pt>
                <c:pt idx="652">
                  <c:v>321.33333333333331</c:v>
                </c:pt>
                <c:pt idx="653">
                  <c:v>238</c:v>
                </c:pt>
                <c:pt idx="654">
                  <c:v>238</c:v>
                </c:pt>
                <c:pt idx="655">
                  <c:v>200.91666666666669</c:v>
                </c:pt>
                <c:pt idx="656">
                  <c:v>200.91666666666669</c:v>
                </c:pt>
                <c:pt idx="657">
                  <c:v>200.91666666666669</c:v>
                </c:pt>
                <c:pt idx="658">
                  <c:v>200.91666666666669</c:v>
                </c:pt>
                <c:pt idx="659">
                  <c:v>245.16666666666666</c:v>
                </c:pt>
                <c:pt idx="660">
                  <c:v>245.16666666666666</c:v>
                </c:pt>
                <c:pt idx="661">
                  <c:v>245.16666666666666</c:v>
                </c:pt>
                <c:pt idx="662">
                  <c:v>245.16666666666666</c:v>
                </c:pt>
                <c:pt idx="663">
                  <c:v>245.16666666666666</c:v>
                </c:pt>
                <c:pt idx="664">
                  <c:v>245.16666666666666</c:v>
                </c:pt>
                <c:pt idx="665">
                  <c:v>245.16666666666666</c:v>
                </c:pt>
                <c:pt idx="666">
                  <c:v>245.16666666666666</c:v>
                </c:pt>
                <c:pt idx="667">
                  <c:v>245.16666666666666</c:v>
                </c:pt>
                <c:pt idx="668">
                  <c:v>245.16666666666666</c:v>
                </c:pt>
                <c:pt idx="669">
                  <c:v>250.66666666666666</c:v>
                </c:pt>
                <c:pt idx="670">
                  <c:v>250.66666666666666</c:v>
                </c:pt>
                <c:pt idx="671">
                  <c:v>250.66666666666666</c:v>
                </c:pt>
                <c:pt idx="672">
                  <c:v>250.66666666666666</c:v>
                </c:pt>
                <c:pt idx="673">
                  <c:v>250.66666666666666</c:v>
                </c:pt>
                <c:pt idx="674">
                  <c:v>250.66666666666666</c:v>
                </c:pt>
                <c:pt idx="675">
                  <c:v>250.66666666666666</c:v>
                </c:pt>
                <c:pt idx="676">
                  <c:v>250.66666666666666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AJ1" workbookViewId="0">
      <selection activeCell="AY11" sqref="AY11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37" t="s">
        <v>209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W1" s="538"/>
      <c r="X1" s="538"/>
      <c r="Y1" s="538"/>
      <c r="Z1" s="538"/>
      <c r="AA1" s="538"/>
      <c r="AB1" s="538"/>
      <c r="AC1" s="538"/>
      <c r="AD1" s="538"/>
      <c r="AE1" s="538"/>
      <c r="AF1" s="538"/>
      <c r="AG1" s="538"/>
      <c r="AH1" s="538"/>
      <c r="AI1" s="538"/>
      <c r="AJ1" s="538"/>
      <c r="AK1" s="538"/>
      <c r="AL1" s="539" t="s">
        <v>221</v>
      </c>
      <c r="AM1" s="540"/>
      <c r="AN1" s="540"/>
      <c r="AO1" s="540"/>
      <c r="AP1" s="540"/>
      <c r="AQ1" s="540"/>
      <c r="AR1" s="540"/>
      <c r="AS1" s="540"/>
      <c r="AT1" s="540"/>
      <c r="AU1" s="540"/>
      <c r="AV1" s="540"/>
      <c r="AW1" s="540"/>
      <c r="AX1" s="540"/>
      <c r="AY1" s="540"/>
      <c r="AZ1" s="540"/>
      <c r="BA1" s="540"/>
      <c r="BB1" s="540"/>
      <c r="BC1" s="540"/>
      <c r="BD1" s="540"/>
      <c r="BE1" s="540"/>
      <c r="BF1" s="540"/>
      <c r="BG1" s="540"/>
      <c r="BH1" s="540"/>
      <c r="BI1" s="540"/>
      <c r="BJ1" s="540"/>
      <c r="BK1" s="541"/>
    </row>
    <row r="2" spans="1:63" s="176" customFormat="1" ht="15.75" customHeight="1" x14ac:dyDescent="0.25">
      <c r="A2" s="518" t="s">
        <v>215</v>
      </c>
      <c r="B2" s="518"/>
      <c r="C2" s="519"/>
      <c r="D2" s="520" t="s">
        <v>60</v>
      </c>
      <c r="E2" s="518"/>
      <c r="F2" s="518"/>
      <c r="G2" s="518"/>
      <c r="H2" s="519"/>
      <c r="I2" s="515" t="s">
        <v>227</v>
      </c>
      <c r="J2" s="516"/>
      <c r="K2" s="516"/>
      <c r="L2" s="516"/>
      <c r="M2" s="516"/>
      <c r="N2" s="516"/>
      <c r="O2" s="516"/>
      <c r="P2" s="516"/>
      <c r="Q2" s="516"/>
      <c r="R2" s="516"/>
      <c r="S2" s="516"/>
      <c r="T2" s="517"/>
      <c r="U2" s="515" t="s">
        <v>250</v>
      </c>
      <c r="V2" s="516"/>
      <c r="W2" s="516"/>
      <c r="X2" s="516"/>
      <c r="Y2" s="516"/>
      <c r="Z2" s="516"/>
      <c r="AA2" s="517"/>
      <c r="AB2" s="515" t="s">
        <v>235</v>
      </c>
      <c r="AC2" s="516"/>
      <c r="AD2" s="516"/>
      <c r="AE2" s="516"/>
      <c r="AF2" s="516"/>
      <c r="AG2" s="516"/>
      <c r="AH2" s="516"/>
      <c r="AI2" s="516"/>
      <c r="AJ2" s="516"/>
      <c r="AK2" s="517"/>
      <c r="AL2" s="520" t="s">
        <v>220</v>
      </c>
      <c r="AM2" s="518"/>
      <c r="AN2" s="518"/>
      <c r="AO2" s="518"/>
      <c r="AP2" s="518"/>
      <c r="AQ2" s="518"/>
      <c r="AR2" s="519"/>
      <c r="AS2" s="520" t="s">
        <v>213</v>
      </c>
      <c r="AT2" s="518"/>
      <c r="AU2" s="518"/>
      <c r="AV2" s="518"/>
      <c r="AW2" s="518"/>
      <c r="AX2" s="518"/>
      <c r="AY2" s="518"/>
      <c r="AZ2" s="519"/>
      <c r="BA2" s="518" t="s">
        <v>214</v>
      </c>
      <c r="BB2" s="518"/>
      <c r="BC2" s="518"/>
      <c r="BD2" s="518"/>
      <c r="BE2" s="518"/>
      <c r="BF2" s="518"/>
      <c r="BG2" s="518"/>
      <c r="BH2" s="518"/>
      <c r="BI2" s="518"/>
      <c r="BJ2" s="518"/>
      <c r="BK2" s="519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521" t="s">
        <v>219</v>
      </c>
      <c r="AT3" s="522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10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27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11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521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11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521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11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521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11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28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1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521" t="s">
        <v>216</v>
      </c>
      <c r="E9" s="522"/>
      <c r="F9" s="522"/>
      <c r="G9" s="523">
        <v>2230</v>
      </c>
      <c r="H9" s="524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27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10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33" t="s">
        <v>226</v>
      </c>
      <c r="E10" s="534"/>
      <c r="F10" s="535">
        <v>140138020</v>
      </c>
      <c r="G10" s="535"/>
      <c r="H10" s="536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521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11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521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11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521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11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28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11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27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12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521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10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28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11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11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27" t="s">
        <v>68</v>
      </c>
      <c r="AT18" s="199" t="s">
        <v>210</v>
      </c>
      <c r="AU18" s="529">
        <f>MAX(SUM(BC28:BK32) - G9 + SUM(Z4:Z8),0)</f>
        <v>0</v>
      </c>
      <c r="AV18" s="529"/>
      <c r="AW18" s="529"/>
      <c r="AX18" s="529"/>
      <c r="AY18" s="529"/>
      <c r="AZ18" s="530"/>
      <c r="BA18" s="511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521"/>
      <c r="AT19" s="163" t="s">
        <v>224</v>
      </c>
      <c r="AU19" s="531">
        <f>ROUNDUP(AU18/AP6,0)</f>
        <v>0</v>
      </c>
      <c r="AV19" s="531"/>
      <c r="AW19" s="531"/>
      <c r="AX19" s="531"/>
      <c r="AY19" s="531"/>
      <c r="AZ19" s="532"/>
      <c r="BA19" s="511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521"/>
      <c r="AT20" s="201" t="s">
        <v>225</v>
      </c>
      <c r="AU20" s="525">
        <f>ROUNDUP(AU18/AP11,0)</f>
        <v>0</v>
      </c>
      <c r="AV20" s="525"/>
      <c r="AW20" s="525"/>
      <c r="AX20" s="525"/>
      <c r="AY20" s="525"/>
      <c r="AZ20" s="526"/>
      <c r="BA20" s="512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13">
        <f>MAX(SUM(BC34:BK38) - F10 + SUM(AA4:AA8),0)</f>
        <v>659861980</v>
      </c>
      <c r="AV21" s="513"/>
      <c r="AW21" s="513"/>
      <c r="AX21" s="513"/>
      <c r="AY21" s="513"/>
      <c r="AZ21" s="514"/>
      <c r="BA21" s="510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11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11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11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11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12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10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11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11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11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11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12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10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11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11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11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11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12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4" priority="8" operator="equal">
      <formula>"X"</formula>
    </cfRule>
    <cfRule type="cellIs" dxfId="53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5" activePane="bottomLeft" state="frozen"/>
      <selection pane="bottomLeft" sqref="A1:V20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42" t="s">
        <v>67</v>
      </c>
      <c r="B1" s="542"/>
      <c r="C1" s="542"/>
      <c r="D1" s="542"/>
      <c r="E1" s="542"/>
      <c r="F1" s="542"/>
      <c r="G1" s="542"/>
      <c r="H1" s="542"/>
      <c r="I1" s="542"/>
      <c r="J1" s="542"/>
      <c r="K1" s="542" t="s">
        <v>71</v>
      </c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21"/>
    </row>
    <row r="2" spans="1:23" s="157" customFormat="1" ht="15" customHeight="1" x14ac:dyDescent="0.25">
      <c r="A2" s="542" t="s">
        <v>204</v>
      </c>
      <c r="B2" s="542"/>
      <c r="C2" s="542"/>
      <c r="D2" s="542"/>
      <c r="E2" s="542"/>
      <c r="F2" s="542" t="s">
        <v>86</v>
      </c>
      <c r="G2" s="542"/>
      <c r="H2" s="542"/>
      <c r="I2" s="542"/>
      <c r="J2" s="542"/>
      <c r="K2" s="542" t="s">
        <v>204</v>
      </c>
      <c r="L2" s="542"/>
      <c r="M2" s="542"/>
      <c r="N2" s="542"/>
      <c r="O2" s="542"/>
      <c r="P2" s="542"/>
      <c r="Q2" s="542" t="s">
        <v>86</v>
      </c>
      <c r="R2" s="542"/>
      <c r="S2" s="542"/>
      <c r="T2" s="542"/>
      <c r="U2" s="542"/>
      <c r="V2" s="542"/>
      <c r="W2" s="21"/>
    </row>
    <row r="3" spans="1:23" s="157" customFormat="1" ht="15" customHeight="1" x14ac:dyDescent="0.25">
      <c r="A3" s="542" t="s">
        <v>202</v>
      </c>
      <c r="B3" s="542"/>
      <c r="C3" s="542"/>
      <c r="D3" s="542" t="s">
        <v>203</v>
      </c>
      <c r="E3" s="542"/>
      <c r="F3" s="542" t="s">
        <v>202</v>
      </c>
      <c r="G3" s="542"/>
      <c r="H3" s="542"/>
      <c r="I3" s="542" t="s">
        <v>203</v>
      </c>
      <c r="J3" s="542"/>
      <c r="K3" s="542" t="s">
        <v>202</v>
      </c>
      <c r="L3" s="542"/>
      <c r="M3" s="542"/>
      <c r="N3" s="542"/>
      <c r="O3" s="542" t="s">
        <v>203</v>
      </c>
      <c r="P3" s="542"/>
      <c r="Q3" s="542" t="s">
        <v>202</v>
      </c>
      <c r="R3" s="542"/>
      <c r="S3" s="542"/>
      <c r="T3" s="542"/>
      <c r="U3" s="542" t="s">
        <v>203</v>
      </c>
      <c r="V3" s="542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37" t="s">
        <v>209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W1" s="538"/>
      <c r="X1" s="538"/>
      <c r="Y1" s="538"/>
      <c r="Z1" s="538"/>
      <c r="AA1" s="538"/>
      <c r="AB1" s="538"/>
      <c r="AC1" s="538"/>
      <c r="AD1" s="538"/>
      <c r="AE1" s="538"/>
      <c r="AF1" s="538"/>
      <c r="AG1" s="538"/>
      <c r="AH1" s="538"/>
      <c r="AI1" s="538"/>
      <c r="AJ1" s="538"/>
      <c r="AK1" s="538"/>
      <c r="AL1" s="538"/>
      <c r="AM1" s="538"/>
      <c r="AN1" s="538"/>
      <c r="AO1" s="538"/>
      <c r="AP1" s="538"/>
      <c r="AQ1" s="538"/>
      <c r="AR1" s="538"/>
      <c r="AS1" s="538"/>
      <c r="AT1" s="539" t="s">
        <v>221</v>
      </c>
      <c r="AU1" s="540"/>
      <c r="AV1" s="540"/>
      <c r="AW1" s="540"/>
      <c r="AX1" s="540"/>
      <c r="AY1" s="540"/>
      <c r="AZ1" s="540"/>
      <c r="BA1" s="540"/>
      <c r="BB1" s="540"/>
      <c r="BC1" s="540"/>
      <c r="BD1" s="540"/>
      <c r="BE1" s="540"/>
      <c r="BF1" s="540"/>
      <c r="BG1" s="540"/>
      <c r="BH1" s="540"/>
      <c r="BI1" s="540"/>
      <c r="BJ1" s="540"/>
      <c r="BK1" s="540"/>
      <c r="BL1" s="540"/>
      <c r="BM1" s="540"/>
      <c r="BN1" s="540"/>
      <c r="BO1" s="540"/>
      <c r="BP1" s="540"/>
      <c r="BQ1" s="540"/>
      <c r="BR1" s="540"/>
      <c r="BS1" s="541"/>
    </row>
    <row r="2" spans="1:71" s="176" customFormat="1" ht="15.75" customHeight="1" x14ac:dyDescent="0.25">
      <c r="A2" s="515" t="s">
        <v>215</v>
      </c>
      <c r="B2" s="516"/>
      <c r="C2" s="516"/>
      <c r="D2" s="516"/>
      <c r="E2" s="517"/>
      <c r="F2" s="515" t="s">
        <v>60</v>
      </c>
      <c r="G2" s="516"/>
      <c r="H2" s="516"/>
      <c r="I2" s="516"/>
      <c r="J2" s="517"/>
      <c r="K2" s="554" t="s">
        <v>227</v>
      </c>
      <c r="L2" s="555"/>
      <c r="M2" s="555"/>
      <c r="N2" s="555"/>
      <c r="O2" s="555"/>
      <c r="P2" s="555"/>
      <c r="Q2" s="555"/>
      <c r="R2" s="555"/>
      <c r="S2" s="555"/>
      <c r="T2" s="555"/>
      <c r="U2" s="555"/>
      <c r="V2" s="555"/>
      <c r="W2" s="555"/>
      <c r="X2" s="555"/>
      <c r="Y2" s="555"/>
      <c r="Z2" s="555"/>
      <c r="AA2" s="556"/>
      <c r="AB2" s="515" t="s">
        <v>250</v>
      </c>
      <c r="AC2" s="516"/>
      <c r="AD2" s="516"/>
      <c r="AE2" s="516"/>
      <c r="AF2" s="516"/>
      <c r="AG2" s="516"/>
      <c r="AH2" s="516"/>
      <c r="AI2" s="517"/>
      <c r="AJ2" s="515" t="s">
        <v>235</v>
      </c>
      <c r="AK2" s="516"/>
      <c r="AL2" s="516"/>
      <c r="AM2" s="516"/>
      <c r="AN2" s="516"/>
      <c r="AO2" s="516"/>
      <c r="AP2" s="516"/>
      <c r="AQ2" s="516"/>
      <c r="AR2" s="516"/>
      <c r="AS2" s="517"/>
      <c r="AT2" s="557" t="s">
        <v>220</v>
      </c>
      <c r="AU2" s="558"/>
      <c r="AV2" s="558"/>
      <c r="AW2" s="558"/>
      <c r="AX2" s="558"/>
      <c r="AY2" s="558"/>
      <c r="AZ2" s="559"/>
      <c r="BA2" s="520" t="s">
        <v>213</v>
      </c>
      <c r="BB2" s="518"/>
      <c r="BC2" s="518"/>
      <c r="BD2" s="518"/>
      <c r="BE2" s="518"/>
      <c r="BF2" s="518"/>
      <c r="BG2" s="518"/>
      <c r="BH2" s="559"/>
      <c r="BI2" s="518" t="s">
        <v>214</v>
      </c>
      <c r="BJ2" s="518"/>
      <c r="BK2" s="518"/>
      <c r="BL2" s="518"/>
      <c r="BM2" s="518"/>
      <c r="BN2" s="518"/>
      <c r="BO2" s="518"/>
      <c r="BP2" s="518"/>
      <c r="BQ2" s="518"/>
      <c r="BR2" s="518"/>
      <c r="BS2" s="519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22" t="s">
        <v>204</v>
      </c>
      <c r="BB3" s="522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10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43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11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521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11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521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11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521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11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33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12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521" t="s">
        <v>216</v>
      </c>
      <c r="G9" s="522"/>
      <c r="H9" s="522"/>
      <c r="I9" s="523">
        <v>5639</v>
      </c>
      <c r="J9" s="523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43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10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521" t="s">
        <v>259</v>
      </c>
      <c r="G10" s="522"/>
      <c r="H10" s="553">
        <v>295</v>
      </c>
      <c r="I10" s="553"/>
      <c r="J10" s="553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521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11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33" t="s">
        <v>226</v>
      </c>
      <c r="G11" s="534"/>
      <c r="H11" s="535">
        <v>512790199</v>
      </c>
      <c r="I11" s="535"/>
      <c r="J11" s="535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521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11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521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11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33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11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43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12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521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10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521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11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43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46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521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46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33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46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44">
        <f>MAX(SUM(BK28:BS32) - H10 + SUM(AG4:AG8),0)</f>
        <v>0</v>
      </c>
      <c r="BD20" s="544"/>
      <c r="BE20" s="544"/>
      <c r="BF20" s="544"/>
      <c r="BG20" s="544"/>
      <c r="BH20" s="545"/>
      <c r="BI20" s="512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43" t="s">
        <v>68</v>
      </c>
      <c r="BB21" s="358" t="s">
        <v>210</v>
      </c>
      <c r="BC21" s="547">
        <f>MAX(SUM(BK34:BS38) - I9 + SUM(AH4:AH8),0)</f>
        <v>0</v>
      </c>
      <c r="BD21" s="547"/>
      <c r="BE21" s="547"/>
      <c r="BF21" s="547"/>
      <c r="BG21" s="547"/>
      <c r="BH21" s="548"/>
      <c r="BI21" s="510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33"/>
      <c r="BB22" s="353" t="s">
        <v>225</v>
      </c>
      <c r="BC22" s="549">
        <f>ROUNDUP(BC21/IF($BA$3="共鬥",$AX$11,IF($BA$3="單機",$AU$11)),0)</f>
        <v>0</v>
      </c>
      <c r="BD22" s="549"/>
      <c r="BE22" s="549"/>
      <c r="BF22" s="549"/>
      <c r="BG22" s="549"/>
      <c r="BH22" s="550"/>
      <c r="BI22" s="511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51">
        <f>MAX(SUM(BK40:BS44) - H11 + SUM(AI4:AI8),0)</f>
        <v>0</v>
      </c>
      <c r="BD23" s="551"/>
      <c r="BE23" s="551"/>
      <c r="BF23" s="551"/>
      <c r="BG23" s="551"/>
      <c r="BH23" s="552"/>
      <c r="BI23" s="511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11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11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12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10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11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11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11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11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12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10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11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11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11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11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12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10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11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11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11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11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12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2" priority="30" operator="equal">
      <formula>"X"</formula>
    </cfRule>
    <cfRule type="cellIs" dxfId="51" priority="72" operator="equal">
      <formula>"O"</formula>
    </cfRule>
  </conditionalFormatting>
  <conditionalFormatting sqref="M14:R14">
    <cfRule type="cellIs" dxfId="50" priority="17" operator="equal">
      <formula>"X"</formula>
    </cfRule>
    <cfRule type="cellIs" dxfId="49" priority="18" operator="equal">
      <formula>"O"</formula>
    </cfRule>
  </conditionalFormatting>
  <conditionalFormatting sqref="M26:R26">
    <cfRule type="cellIs" dxfId="48" priority="5" operator="equal">
      <formula>"X"</formula>
    </cfRule>
    <cfRule type="cellIs" dxfId="47" priority="6" operator="equal">
      <formula>"O"</formula>
    </cfRule>
  </conditionalFormatting>
  <conditionalFormatting sqref="M15:R23">
    <cfRule type="cellIs" dxfId="46" priority="13" operator="equal">
      <formula>"X"</formula>
    </cfRule>
    <cfRule type="cellIs" dxfId="45" priority="14" operator="equal">
      <formula>"O"</formula>
    </cfRule>
  </conditionalFormatting>
  <conditionalFormatting sqref="S15:T24">
    <cfRule type="cellIs" dxfId="44" priority="11" operator="equal">
      <formula>"X"</formula>
    </cfRule>
    <cfRule type="cellIs" dxfId="43" priority="12" operator="equal">
      <formula>"O"</formula>
    </cfRule>
  </conditionalFormatting>
  <conditionalFormatting sqref="M24:R24">
    <cfRule type="cellIs" dxfId="42" priority="9" operator="equal">
      <formula>"X"</formula>
    </cfRule>
    <cfRule type="cellIs" dxfId="41" priority="10" operator="equal">
      <formula>"O"</formula>
    </cfRule>
  </conditionalFormatting>
  <conditionalFormatting sqref="S26:T26">
    <cfRule type="cellIs" dxfId="40" priority="7" operator="equal">
      <formula>"X"</formula>
    </cfRule>
    <cfRule type="cellIs" dxfId="39" priority="8" operator="equal">
      <formula>"O"</formula>
    </cfRule>
  </conditionalFormatting>
  <conditionalFormatting sqref="M25:R25">
    <cfRule type="cellIs" dxfId="38" priority="1" operator="equal">
      <formula>"X"</formula>
    </cfRule>
    <cfRule type="cellIs" dxfId="37" priority="2" operator="equal">
      <formula>"O"</formula>
    </cfRule>
  </conditionalFormatting>
  <conditionalFormatting sqref="S25:T25">
    <cfRule type="cellIs" dxfId="36" priority="3" operator="equal">
      <formula>"X"</formula>
    </cfRule>
    <cfRule type="cellIs" dxfId="35" priority="4" operator="equal">
      <formula>"O"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60" t="s">
        <v>67</v>
      </c>
      <c r="D1" s="560"/>
      <c r="E1" s="560"/>
      <c r="F1" s="560"/>
      <c r="G1" s="560"/>
      <c r="H1" s="560" t="s">
        <v>71</v>
      </c>
      <c r="I1" s="560"/>
      <c r="J1" s="560"/>
      <c r="K1" s="560" t="s">
        <v>71</v>
      </c>
      <c r="L1" s="560"/>
      <c r="M1" s="560"/>
      <c r="O1" s="542" t="s">
        <v>75</v>
      </c>
      <c r="P1" s="542" t="s">
        <v>358</v>
      </c>
      <c r="Q1" s="542"/>
      <c r="R1" s="542" t="s">
        <v>134</v>
      </c>
      <c r="S1" s="542"/>
      <c r="T1" s="542" t="s">
        <v>113</v>
      </c>
      <c r="U1" s="542"/>
    </row>
    <row r="2" spans="1:21" s="262" customFormat="1" x14ac:dyDescent="0.25">
      <c r="A2" s="69" t="s">
        <v>204</v>
      </c>
      <c r="B2" s="69" t="s">
        <v>86</v>
      </c>
      <c r="C2" s="560" t="s">
        <v>204</v>
      </c>
      <c r="D2" s="560"/>
      <c r="E2" s="560" t="s">
        <v>86</v>
      </c>
      <c r="F2" s="560"/>
      <c r="G2" s="560"/>
      <c r="H2" s="560" t="s">
        <v>204</v>
      </c>
      <c r="I2" s="560"/>
      <c r="J2" s="560"/>
      <c r="K2" s="560" t="s">
        <v>86</v>
      </c>
      <c r="L2" s="560"/>
      <c r="M2" s="560"/>
      <c r="N2" s="277"/>
      <c r="O2" s="542"/>
      <c r="P2" s="542"/>
      <c r="Q2" s="542"/>
      <c r="R2" s="542"/>
      <c r="S2" s="542"/>
      <c r="T2" s="542"/>
      <c r="U2" s="542"/>
    </row>
    <row r="3" spans="1:21" s="262" customFormat="1" x14ac:dyDescent="0.25">
      <c r="A3" s="69" t="s">
        <v>202</v>
      </c>
      <c r="B3" s="69" t="s">
        <v>202</v>
      </c>
      <c r="C3" s="560" t="s">
        <v>202</v>
      </c>
      <c r="D3" s="560"/>
      <c r="E3" s="560" t="s">
        <v>202</v>
      </c>
      <c r="F3" s="560"/>
      <c r="G3" s="321" t="s">
        <v>203</v>
      </c>
      <c r="H3" s="560" t="s">
        <v>202</v>
      </c>
      <c r="I3" s="560"/>
      <c r="J3" s="560"/>
      <c r="K3" s="560" t="s">
        <v>202</v>
      </c>
      <c r="L3" s="560"/>
      <c r="M3" s="560"/>
      <c r="N3" s="277"/>
      <c r="O3" s="542"/>
      <c r="P3" s="542" t="s">
        <v>18</v>
      </c>
      <c r="Q3" s="542" t="s">
        <v>17</v>
      </c>
      <c r="R3" s="542" t="s">
        <v>18</v>
      </c>
      <c r="S3" s="542" t="s">
        <v>17</v>
      </c>
      <c r="T3" s="542" t="s">
        <v>18</v>
      </c>
      <c r="U3" s="542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42"/>
      <c r="P4" s="542"/>
      <c r="Q4" s="542"/>
      <c r="R4" s="542"/>
      <c r="S4" s="542"/>
      <c r="T4" s="542"/>
      <c r="U4" s="542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64" t="s">
        <v>209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  <c r="Q1" s="564"/>
      <c r="R1" s="564"/>
      <c r="S1" s="564"/>
      <c r="T1" s="564"/>
      <c r="U1" s="564"/>
      <c r="V1" s="564"/>
      <c r="W1" s="537" t="s">
        <v>243</v>
      </c>
      <c r="X1" s="538"/>
      <c r="Y1" s="538"/>
      <c r="Z1" s="538"/>
      <c r="AA1" s="538"/>
      <c r="AB1" s="538"/>
      <c r="AC1" s="538"/>
      <c r="AD1" s="538"/>
      <c r="AE1" s="538"/>
      <c r="AF1" s="538"/>
      <c r="AG1" s="538"/>
      <c r="AH1" s="538"/>
      <c r="AI1" s="538"/>
      <c r="AJ1" s="538"/>
      <c r="AK1" s="538"/>
      <c r="AL1" s="538"/>
      <c r="AM1" s="538"/>
      <c r="AN1" s="538"/>
      <c r="AO1" s="538"/>
      <c r="AP1" s="538"/>
      <c r="AQ1" s="538"/>
      <c r="AR1" s="538"/>
      <c r="AS1" s="538"/>
      <c r="AT1" s="565"/>
    </row>
    <row r="2" spans="1:46" ht="15.75" customHeight="1" x14ac:dyDescent="0.25">
      <c r="A2" s="515" t="s">
        <v>60</v>
      </c>
      <c r="B2" s="516"/>
      <c r="C2" s="516"/>
      <c r="D2" s="517"/>
      <c r="E2" s="515" t="s">
        <v>227</v>
      </c>
      <c r="F2" s="516"/>
      <c r="G2" s="516"/>
      <c r="H2" s="516"/>
      <c r="I2" s="516"/>
      <c r="J2" s="516"/>
      <c r="K2" s="516"/>
      <c r="L2" s="517"/>
      <c r="M2" s="515" t="s">
        <v>235</v>
      </c>
      <c r="N2" s="516"/>
      <c r="O2" s="516"/>
      <c r="P2" s="516"/>
      <c r="Q2" s="516"/>
      <c r="R2" s="516"/>
      <c r="S2" s="516"/>
      <c r="T2" s="516"/>
      <c r="U2" s="516"/>
      <c r="V2" s="517"/>
      <c r="W2" s="515" t="s">
        <v>240</v>
      </c>
      <c r="X2" s="516"/>
      <c r="Y2" s="516"/>
      <c r="Z2" s="516"/>
      <c r="AA2" s="517"/>
      <c r="AB2" s="515" t="s">
        <v>213</v>
      </c>
      <c r="AC2" s="516"/>
      <c r="AD2" s="516"/>
      <c r="AE2" s="516"/>
      <c r="AF2" s="516"/>
      <c r="AG2" s="516"/>
      <c r="AH2" s="516"/>
      <c r="AI2" s="517"/>
      <c r="AJ2" s="515" t="s">
        <v>214</v>
      </c>
      <c r="AK2" s="516"/>
      <c r="AL2" s="516"/>
      <c r="AM2" s="516"/>
      <c r="AN2" s="516"/>
      <c r="AO2" s="516"/>
      <c r="AP2" s="516"/>
      <c r="AQ2" s="516"/>
      <c r="AR2" s="516"/>
      <c r="AS2" s="516"/>
      <c r="AT2" s="517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43" t="s">
        <v>239</v>
      </c>
      <c r="AC3" s="566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63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27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61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521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61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28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61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27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61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521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62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28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61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27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61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521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61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28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61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61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62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61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61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61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61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61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62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4" priority="7" operator="equal">
      <formula>"X"</formula>
    </cfRule>
    <cfRule type="cellIs" dxfId="3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75" t="s">
        <v>185</v>
      </c>
      <c r="B1" s="576"/>
      <c r="C1" s="576"/>
      <c r="D1" s="576"/>
      <c r="E1" s="576"/>
      <c r="F1" s="576"/>
      <c r="G1" s="576"/>
      <c r="H1" s="577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72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73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74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69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70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71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67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67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68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587" t="s">
        <v>209</v>
      </c>
      <c r="B1" s="588"/>
      <c r="C1" s="588"/>
      <c r="D1" s="588"/>
      <c r="E1" s="588"/>
      <c r="F1" s="588"/>
      <c r="G1" s="588"/>
      <c r="H1" s="588"/>
      <c r="I1" s="588"/>
      <c r="J1" s="588"/>
      <c r="K1" s="588"/>
      <c r="L1" s="588"/>
      <c r="M1" s="588"/>
      <c r="N1" s="588"/>
      <c r="O1" s="588"/>
      <c r="P1" s="588"/>
      <c r="Q1" s="588"/>
      <c r="R1" s="588"/>
      <c r="S1" s="588"/>
      <c r="T1" s="588"/>
      <c r="U1" s="588"/>
      <c r="V1" s="588"/>
      <c r="W1" s="589"/>
      <c r="X1" s="582" t="s">
        <v>221</v>
      </c>
      <c r="Y1" s="583"/>
      <c r="Z1" s="583"/>
      <c r="AA1" s="583"/>
      <c r="AB1" s="583"/>
      <c r="AC1" s="583"/>
      <c r="AD1" s="583"/>
      <c r="AE1" s="583"/>
      <c r="AF1" s="583"/>
      <c r="AG1" s="583"/>
      <c r="AH1" s="583"/>
      <c r="AI1" s="583"/>
      <c r="AJ1" s="583"/>
      <c r="AK1" s="583"/>
      <c r="AL1" s="583"/>
      <c r="AM1" s="583"/>
      <c r="AN1" s="583"/>
      <c r="AO1" s="583"/>
      <c r="AP1" s="583"/>
      <c r="AQ1" s="583"/>
      <c r="AR1" s="583"/>
      <c r="AS1" s="583"/>
      <c r="AT1" s="583"/>
      <c r="AU1" s="583"/>
      <c r="AV1" s="583"/>
      <c r="AW1" s="583"/>
      <c r="AX1" s="583"/>
      <c r="AY1" s="583"/>
      <c r="AZ1" s="583"/>
      <c r="BA1" s="583"/>
      <c r="BB1" s="583"/>
      <c r="BC1" s="583"/>
      <c r="BD1" s="583"/>
      <c r="BE1" s="583"/>
      <c r="BF1" s="583"/>
      <c r="BG1" s="583"/>
      <c r="BH1" s="583"/>
      <c r="BI1" s="583"/>
      <c r="BJ1" s="583"/>
      <c r="BK1" s="583"/>
      <c r="BL1" s="583"/>
      <c r="BM1" s="583"/>
      <c r="BN1" s="583"/>
      <c r="BO1" s="583"/>
      <c r="BP1" s="583"/>
      <c r="BQ1" s="583"/>
      <c r="BR1" s="583"/>
      <c r="BS1" s="583"/>
      <c r="BT1" s="583"/>
      <c r="BU1" s="583"/>
      <c r="BV1" s="583"/>
      <c r="BW1" s="583"/>
      <c r="BX1" s="584"/>
    </row>
    <row r="2" spans="1:76" ht="18.75" customHeight="1" x14ac:dyDescent="0.25">
      <c r="A2" s="578" t="s">
        <v>215</v>
      </c>
      <c r="B2" s="578"/>
      <c r="C2" s="578"/>
      <c r="D2" s="578"/>
      <c r="E2" s="579" t="s">
        <v>60</v>
      </c>
      <c r="F2" s="579"/>
      <c r="G2" s="593" t="s">
        <v>227</v>
      </c>
      <c r="H2" s="594"/>
      <c r="I2" s="594"/>
      <c r="J2" s="594"/>
      <c r="K2" s="594"/>
      <c r="L2" s="594"/>
      <c r="M2" s="594"/>
      <c r="N2" s="594"/>
      <c r="O2" s="594"/>
      <c r="P2" s="594"/>
      <c r="Q2" s="580" t="s">
        <v>250</v>
      </c>
      <c r="R2" s="580"/>
      <c r="S2" s="590" t="s">
        <v>24</v>
      </c>
      <c r="T2" s="591"/>
      <c r="U2" s="591"/>
      <c r="V2" s="591"/>
      <c r="W2" s="592"/>
      <c r="X2" s="585" t="s">
        <v>439</v>
      </c>
      <c r="Y2" s="586"/>
      <c r="Z2" s="581" t="s">
        <v>220</v>
      </c>
      <c r="AA2" s="581"/>
      <c r="AB2" s="581"/>
      <c r="AC2" s="581"/>
      <c r="AD2" s="581"/>
      <c r="AE2" s="581"/>
      <c r="AF2" s="581"/>
      <c r="AG2" s="585" t="s">
        <v>436</v>
      </c>
      <c r="AH2" s="586"/>
      <c r="AI2" s="586"/>
      <c r="AJ2" s="586"/>
      <c r="AK2" s="586"/>
      <c r="AL2" s="586"/>
      <c r="AM2" s="586"/>
      <c r="AN2" s="586"/>
      <c r="AO2" s="586"/>
      <c r="AP2" s="586"/>
      <c r="AQ2" s="586"/>
      <c r="AR2" s="586"/>
      <c r="AS2" s="586"/>
      <c r="AT2" s="636"/>
      <c r="AU2" s="636"/>
      <c r="AV2" s="636"/>
      <c r="AW2" s="636"/>
      <c r="AX2" s="636"/>
      <c r="AY2" s="636"/>
      <c r="AZ2" s="636"/>
      <c r="BA2" s="636"/>
      <c r="BB2" s="636"/>
      <c r="BC2" s="636"/>
      <c r="BD2" s="636"/>
      <c r="BE2" s="636"/>
      <c r="BF2" s="636"/>
      <c r="BG2" s="636"/>
      <c r="BH2" s="636"/>
      <c r="BI2" s="636"/>
      <c r="BJ2" s="636"/>
      <c r="BK2" s="636"/>
      <c r="BL2" s="636"/>
      <c r="BM2" s="636"/>
      <c r="BN2" s="636"/>
      <c r="BO2" s="636"/>
      <c r="BP2" s="636"/>
      <c r="BQ2" s="636"/>
      <c r="BR2" s="636"/>
      <c r="BS2" s="637"/>
      <c r="BT2" s="624" t="s">
        <v>214</v>
      </c>
      <c r="BU2" s="625"/>
      <c r="BV2" s="625"/>
      <c r="BW2" s="625"/>
      <c r="BX2" s="626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85"/>
      <c r="AH3" s="586"/>
      <c r="AI3" s="586"/>
      <c r="AJ3" s="586"/>
      <c r="AK3" s="586"/>
      <c r="AL3" s="586"/>
      <c r="AM3" s="586"/>
      <c r="AN3" s="586"/>
      <c r="AO3" s="586"/>
      <c r="AP3" s="586"/>
      <c r="AQ3" s="586"/>
      <c r="AR3" s="586"/>
      <c r="AS3" s="635"/>
      <c r="AT3" s="638" t="s">
        <v>446</v>
      </c>
      <c r="AU3" s="639"/>
      <c r="AV3" s="639"/>
      <c r="AW3" s="639"/>
      <c r="AX3" s="639"/>
      <c r="AY3" s="639"/>
      <c r="AZ3" s="639"/>
      <c r="BA3" s="639"/>
      <c r="BB3" s="639"/>
      <c r="BC3" s="639"/>
      <c r="BD3" s="639"/>
      <c r="BE3" s="639"/>
      <c r="BF3" s="639"/>
      <c r="BG3" s="639"/>
      <c r="BH3" s="639"/>
      <c r="BI3" s="639"/>
      <c r="BJ3" s="639"/>
      <c r="BK3" s="639"/>
      <c r="BL3" s="639"/>
      <c r="BM3" s="639"/>
      <c r="BN3" s="639"/>
      <c r="BO3" s="639"/>
      <c r="BP3" s="639"/>
      <c r="BQ3" s="639"/>
      <c r="BR3" s="639"/>
      <c r="BS3" s="640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630" t="s">
        <v>418</v>
      </c>
      <c r="AH4" s="616" t="s">
        <v>65</v>
      </c>
      <c r="AI4" s="634"/>
      <c r="AJ4" s="634"/>
      <c r="AK4" s="617"/>
      <c r="AL4" s="616" t="s">
        <v>67</v>
      </c>
      <c r="AM4" s="634"/>
      <c r="AN4" s="634"/>
      <c r="AO4" s="617"/>
      <c r="AP4" s="616" t="s">
        <v>71</v>
      </c>
      <c r="AQ4" s="634"/>
      <c r="AR4" s="634"/>
      <c r="AS4" s="617"/>
      <c r="AT4" s="596" t="s">
        <v>422</v>
      </c>
      <c r="AU4" s="606" t="s">
        <v>418</v>
      </c>
      <c r="AV4" s="607"/>
      <c r="AW4" s="612">
        <f>MAX(VLOOKUP(AT4, $BU$4:$BX$9, 2, FALSE) - VLOOKUP(AU4, $E$4:$F$11, 2, FALSE) + VLOOKUP(AU4, $Q$4:$R$11, 2, FALSE), 0)</f>
        <v>801</v>
      </c>
      <c r="AX4" s="613"/>
      <c r="AY4" s="608" t="s">
        <v>419</v>
      </c>
      <c r="AZ4" s="609"/>
      <c r="BA4" s="612">
        <f>MAX(VLOOKUP(AT4, $BU$4:$BX$9, 3, FALSE) - VLOOKUP(AY4, $E$4:$F$11, 2, FALSE) + VLOOKUP(AY4, $Q$4:$R$11, 2, FALSE), 0)</f>
        <v>700</v>
      </c>
      <c r="BB4" s="613"/>
      <c r="BC4" s="610" t="s">
        <v>412</v>
      </c>
      <c r="BD4" s="611"/>
      <c r="BE4" s="612">
        <f>MAX(VLOOKUP(AT4, $BU$4:$BX$9, 4, FALSE) - VLOOKUP(AT4, $E$4:$F$11, 2, FALSE) + VLOOKUP(AT4, $Q$4:$R$11, 2, FALSE), 0)</f>
        <v>480</v>
      </c>
      <c r="BF4" s="613"/>
      <c r="BG4" s="596" t="s">
        <v>423</v>
      </c>
      <c r="BH4" s="606" t="s">
        <v>418</v>
      </c>
      <c r="BI4" s="607"/>
      <c r="BJ4" s="612">
        <f>MAX(VLOOKUP(BG4, $BU$4:$BX$9, 2, FALSE) - VLOOKUP(BH4, $E$4:$F$11, 2, FALSE) + VLOOKUP(BH4, $Q$4:$R$11, 2, FALSE), 0)</f>
        <v>801</v>
      </c>
      <c r="BK4" s="613"/>
      <c r="BL4" s="608" t="s">
        <v>419</v>
      </c>
      <c r="BM4" s="609"/>
      <c r="BN4" s="612">
        <f>MAX(VLOOKUP(BG4, $BU$4:$BX$9, 3, FALSE) - VLOOKUP(BL4, $E$4:$F$11, 2, FALSE) + VLOOKUP(BL4, $Q$4:$R$11, 2, FALSE), 0)</f>
        <v>700</v>
      </c>
      <c r="BO4" s="613"/>
      <c r="BP4" s="610" t="s">
        <v>412</v>
      </c>
      <c r="BQ4" s="611"/>
      <c r="BR4" s="612">
        <f>MAX(VLOOKUP(BG4, $BU$4:$BX$9, 4, FALSE) - VLOOKUP(BG4, $E$4:$F$11, 2, FALSE) + VLOOKUP(BG4, $Q$4:$R$11, 2, FALSE), 0)</f>
        <v>480</v>
      </c>
      <c r="BS4" s="613"/>
      <c r="BT4" s="627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631"/>
      <c r="AH5" s="616" t="s">
        <v>204</v>
      </c>
      <c r="AI5" s="617"/>
      <c r="AJ5" s="616" t="s">
        <v>86</v>
      </c>
      <c r="AK5" s="617"/>
      <c r="AL5" s="616" t="s">
        <v>204</v>
      </c>
      <c r="AM5" s="617"/>
      <c r="AN5" s="616" t="s">
        <v>86</v>
      </c>
      <c r="AO5" s="617"/>
      <c r="AP5" s="616" t="s">
        <v>204</v>
      </c>
      <c r="AQ5" s="617"/>
      <c r="AR5" s="616" t="s">
        <v>86</v>
      </c>
      <c r="AS5" s="617"/>
      <c r="AT5" s="596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96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628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96"/>
      <c r="AU6" s="604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604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604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96"/>
      <c r="BH6" s="604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604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604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628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618" t="s">
        <v>77</v>
      </c>
      <c r="O7" s="619"/>
      <c r="P7" s="620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96"/>
      <c r="AU7" s="605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605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605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96"/>
      <c r="BH7" s="605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605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605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628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621">
        <v>30</v>
      </c>
      <c r="O8" s="622"/>
      <c r="P8" s="623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96"/>
      <c r="AU8" s="604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604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604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96"/>
      <c r="BH8" s="604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604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604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628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618" t="s">
        <v>450</v>
      </c>
      <c r="O9" s="619"/>
      <c r="P9" s="620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96"/>
      <c r="AU9" s="605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605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605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96"/>
      <c r="BH9" s="605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605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605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629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621">
        <v>2</v>
      </c>
      <c r="O10" s="622"/>
      <c r="P10" s="623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96"/>
      <c r="AU10" s="604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604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604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96"/>
      <c r="BH10" s="604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604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604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627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97"/>
      <c r="AU11" s="605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605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605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97"/>
      <c r="BH11" s="605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605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605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628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95" t="s">
        <v>421</v>
      </c>
      <c r="AU12" s="598" t="s">
        <v>418</v>
      </c>
      <c r="AV12" s="599"/>
      <c r="AW12" s="600">
        <f>MAX(VLOOKUP(AT12, $BU$4:$BX$9, 2, FALSE) - VLOOKUP(AU12, $E$4:$F$11, 2, FALSE) + VLOOKUP(AU12, $Q$4:$R$11, 2, FALSE), 0)</f>
        <v>801</v>
      </c>
      <c r="AX12" s="601"/>
      <c r="AY12" s="602" t="s">
        <v>419</v>
      </c>
      <c r="AZ12" s="603"/>
      <c r="BA12" s="600">
        <f>MAX(VLOOKUP(AT12, $BU$4:$BX$9, 3, FALSE) - VLOOKUP(AY12, $E$4:$F$11, 2, FALSE) + VLOOKUP(AY12, $Q$4:$R$11, 2, FALSE), 0)</f>
        <v>700</v>
      </c>
      <c r="BB12" s="601"/>
      <c r="BC12" s="614" t="s">
        <v>412</v>
      </c>
      <c r="BD12" s="615"/>
      <c r="BE12" s="600">
        <f>MAX(VLOOKUP(AT12, $BU$4:$BX$9, 4, FALSE) - VLOOKUP(AT12, $E$4:$F$11, 2, FALSE) + VLOOKUP(AT12, $Q$4:$R$11, 2, FALSE), 0)</f>
        <v>480</v>
      </c>
      <c r="BF12" s="601"/>
      <c r="BG12" s="595" t="s">
        <v>424</v>
      </c>
      <c r="BH12" s="598" t="s">
        <v>418</v>
      </c>
      <c r="BI12" s="599"/>
      <c r="BJ12" s="600">
        <f>MAX(VLOOKUP(BG12, $BU$4:$BX$9, 2, FALSE) - VLOOKUP(BH12, $E$4:$F$11, 2, FALSE) + VLOOKUP(BH12, $Q$4:$R$11, 2, FALSE), 0)</f>
        <v>801</v>
      </c>
      <c r="BK12" s="601"/>
      <c r="BL12" s="602" t="s">
        <v>419</v>
      </c>
      <c r="BM12" s="603"/>
      <c r="BN12" s="600">
        <f>MAX(VLOOKUP(BG12, $BU$4:$BX$9, 3, FALSE) - VLOOKUP(BL12, $E$4:$F$11, 2, FALSE) + VLOOKUP(BL12, $Q$4:$R$11, 2, FALSE), 0)</f>
        <v>700</v>
      </c>
      <c r="BO12" s="601"/>
      <c r="BP12" s="614" t="s">
        <v>412</v>
      </c>
      <c r="BQ12" s="615"/>
      <c r="BR12" s="600">
        <f>MAX(VLOOKUP(BG12, $BU$4:$BX$9, 4, FALSE) - VLOOKUP(BG12, $E$4:$F$11, 2, FALSE) + VLOOKUP(BG12, $Q$4:$R$11, 2, FALSE), 0)</f>
        <v>480</v>
      </c>
      <c r="BS12" s="601"/>
      <c r="BT12" s="628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96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96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628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96"/>
      <c r="AU14" s="604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604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604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96"/>
      <c r="BH14" s="604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604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604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628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96"/>
      <c r="AU15" s="605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605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605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96"/>
      <c r="BH15" s="605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605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605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628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632" t="s">
        <v>419</v>
      </c>
      <c r="AH16" s="616" t="s">
        <v>65</v>
      </c>
      <c r="AI16" s="634"/>
      <c r="AJ16" s="634"/>
      <c r="AK16" s="617"/>
      <c r="AL16" s="616" t="s">
        <v>67</v>
      </c>
      <c r="AM16" s="634"/>
      <c r="AN16" s="634"/>
      <c r="AO16" s="617"/>
      <c r="AP16" s="616" t="s">
        <v>71</v>
      </c>
      <c r="AQ16" s="634"/>
      <c r="AR16" s="634"/>
      <c r="AS16" s="617"/>
      <c r="AT16" s="596"/>
      <c r="AU16" s="604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604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604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96"/>
      <c r="BH16" s="604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604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604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628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633"/>
      <c r="AH17" s="616" t="s">
        <v>204</v>
      </c>
      <c r="AI17" s="617"/>
      <c r="AJ17" s="616" t="s">
        <v>86</v>
      </c>
      <c r="AK17" s="617"/>
      <c r="AL17" s="616" t="s">
        <v>204</v>
      </c>
      <c r="AM17" s="617"/>
      <c r="AN17" s="616" t="s">
        <v>86</v>
      </c>
      <c r="AO17" s="617"/>
      <c r="AP17" s="616" t="s">
        <v>204</v>
      </c>
      <c r="AQ17" s="617"/>
      <c r="AR17" s="616" t="s">
        <v>86</v>
      </c>
      <c r="AS17" s="617"/>
      <c r="AT17" s="596"/>
      <c r="AU17" s="605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605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605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96"/>
      <c r="BH17" s="605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605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605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628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96"/>
      <c r="AU18" s="604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604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604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96"/>
      <c r="BH18" s="604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604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604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629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97"/>
      <c r="AU19" s="605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605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605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97"/>
      <c r="BH19" s="605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605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605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95" t="s">
        <v>425</v>
      </c>
      <c r="AU20" s="598" t="s">
        <v>418</v>
      </c>
      <c r="AV20" s="599"/>
      <c r="AW20" s="600">
        <f>MAX(VLOOKUP(AT20, $BU$4:$BX$9, 2, FALSE) - VLOOKUP(AU20, $E$4:$F$11, 2, FALSE) + VLOOKUP(AU20, $Q$4:$R$11, 2, FALSE), 0)</f>
        <v>801</v>
      </c>
      <c r="AX20" s="601"/>
      <c r="AY20" s="602" t="s">
        <v>419</v>
      </c>
      <c r="AZ20" s="603"/>
      <c r="BA20" s="600">
        <f>MAX(VLOOKUP(AT20, $BU$4:$BX$9, 3, FALSE) - VLOOKUP(AY20, $E$4:$F$11, 2, FALSE) + VLOOKUP(AY20, $Q$4:$R$11, 2, FALSE), 0)</f>
        <v>700</v>
      </c>
      <c r="BB20" s="601"/>
      <c r="BC20" s="614" t="s">
        <v>412</v>
      </c>
      <c r="BD20" s="615"/>
      <c r="BE20" s="600">
        <f>MAX(VLOOKUP(AT20, $BU$4:$BX$9, 4, FALSE) - VLOOKUP(AT20, $E$4:$F$11, 2, FALSE) + VLOOKUP(AT20, $Q$4:$R$11, 2, FALSE), 0)</f>
        <v>480</v>
      </c>
      <c r="BF20" s="601"/>
      <c r="BG20" s="595" t="s">
        <v>426</v>
      </c>
      <c r="BH20" s="598" t="s">
        <v>418</v>
      </c>
      <c r="BI20" s="599"/>
      <c r="BJ20" s="600">
        <f>MAX(VLOOKUP(BG20, $BU$4:$BX$9, 2, FALSE) - VLOOKUP(BH20, $E$4:$F$11, 2, FALSE) + VLOOKUP(BH20, $Q$4:$R$11, 2, FALSE), 0)</f>
        <v>801</v>
      </c>
      <c r="BK20" s="601"/>
      <c r="BL20" s="602" t="s">
        <v>419</v>
      </c>
      <c r="BM20" s="603"/>
      <c r="BN20" s="600">
        <f>MAX(VLOOKUP(BG20, $BU$4:$BX$9, 3, FALSE) - VLOOKUP(BL20, $E$4:$F$11, 2, FALSE) + VLOOKUP(BL20, $Q$4:$R$11, 2, FALSE), 0)</f>
        <v>700</v>
      </c>
      <c r="BO20" s="601"/>
      <c r="BP20" s="614" t="s">
        <v>412</v>
      </c>
      <c r="BQ20" s="615"/>
      <c r="BR20" s="600">
        <f>MAX(VLOOKUP(BG20, $BU$4:$BX$9, 4, FALSE) - VLOOKUP(BG20, $E$4:$F$11, 2, FALSE) + VLOOKUP(BG20, $Q$4:$R$11, 2, FALSE), 0)</f>
        <v>480</v>
      </c>
      <c r="BS20" s="601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96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96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96"/>
      <c r="AU22" s="604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604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604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96"/>
      <c r="BH22" s="604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604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604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96"/>
      <c r="AU23" s="605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605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605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96"/>
      <c r="BH23" s="605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605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605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96"/>
      <c r="AU24" s="604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604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604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96"/>
      <c r="BH24" s="604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604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604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96"/>
      <c r="AU25" s="605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605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605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96"/>
      <c r="BH25" s="605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605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605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96"/>
      <c r="AU26" s="604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604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604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96"/>
      <c r="BH26" s="604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604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604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97"/>
      <c r="AU27" s="605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605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605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97"/>
      <c r="BH27" s="605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605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605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2" priority="62" operator="equal">
      <formula>"X"</formula>
    </cfRule>
    <cfRule type="cellIs" dxfId="31" priority="63" operator="equal">
      <formula>"O"</formula>
    </cfRule>
  </conditionalFormatting>
  <conditionalFormatting sqref="H30:I30 H5:I8">
    <cfRule type="cellIs" dxfId="30" priority="29" operator="equal">
      <formula>"X"</formula>
    </cfRule>
    <cfRule type="cellIs" dxfId="29" priority="30" operator="equal">
      <formula>"O"</formula>
    </cfRule>
  </conditionalFormatting>
  <conditionalFormatting sqref="H10:I13">
    <cfRule type="cellIs" dxfId="28" priority="27" operator="equal">
      <formula>"X"</formula>
    </cfRule>
    <cfRule type="cellIs" dxfId="27" priority="28" operator="equal">
      <formula>"O"</formula>
    </cfRule>
  </conditionalFormatting>
  <conditionalFormatting sqref="H16:I19">
    <cfRule type="cellIs" dxfId="26" priority="25" operator="equal">
      <formula>"X"</formula>
    </cfRule>
    <cfRule type="cellIs" dxfId="25" priority="26" operator="equal">
      <formula>"O"</formula>
    </cfRule>
  </conditionalFormatting>
  <conditionalFormatting sqref="H24:I26">
    <cfRule type="cellIs" dxfId="24" priority="21" operator="equal">
      <formula>"X"</formula>
    </cfRule>
    <cfRule type="cellIs" dxfId="23" priority="22" operator="equal">
      <formula>"O"</formula>
    </cfRule>
  </conditionalFormatting>
  <conditionalFormatting sqref="I15">
    <cfRule type="cellIs" dxfId="22" priority="19" operator="equal">
      <formula>"X"</formula>
    </cfRule>
    <cfRule type="cellIs" dxfId="21" priority="20" operator="equal">
      <formula>"O"</formula>
    </cfRule>
  </conditionalFormatting>
  <conditionalFormatting sqref="I22">
    <cfRule type="cellIs" dxfId="20" priority="17" operator="equal">
      <formula>"X"</formula>
    </cfRule>
    <cfRule type="cellIs" dxfId="19" priority="18" operator="equal">
      <formula>"O"</formula>
    </cfRule>
  </conditionalFormatting>
  <conditionalFormatting sqref="W3:W8 W13:W1048576">
    <cfRule type="cellIs" dxfId="18" priority="5" operator="equal">
      <formula>47</formula>
    </cfRule>
    <cfRule type="cellIs" dxfId="17" priority="6" operator="equal">
      <formula>36</formula>
    </cfRule>
    <cfRule type="cellIs" dxfId="16" priority="7" operator="equal">
      <formula>25</formula>
    </cfRule>
    <cfRule type="cellIs" dxfId="15" priority="8" operator="equal">
      <formula>14</formula>
    </cfRule>
  </conditionalFormatting>
  <conditionalFormatting sqref="W9:W12">
    <cfRule type="cellIs" dxfId="14" priority="1" operator="equal">
      <formula>47</formula>
    </cfRule>
    <cfRule type="cellIs" dxfId="13" priority="2" operator="equal">
      <formula>36</formula>
    </cfRule>
    <cfRule type="cellIs" dxfId="12" priority="3" operator="equal">
      <formula>25</formula>
    </cfRule>
    <cfRule type="cellIs" dxfId="11" priority="4" operator="equal">
      <formula>14</formula>
    </cfRule>
  </conditionalFormatting>
  <conditionalFormatting sqref="T3:T1048576">
    <cfRule type="cellIs" dxfId="10" priority="13" operator="equal">
      <formula>47</formula>
    </cfRule>
    <cfRule type="cellIs" dxfId="9" priority="14" operator="equal">
      <formula>36</formula>
    </cfRule>
    <cfRule type="cellIs" dxfId="8" priority="15" operator="equal">
      <formula>25</formula>
    </cfRule>
    <cfRule type="cellIs" dxfId="7" priority="16" operator="equal">
      <formula>14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  <pageSetUpPr autoPageBreaks="0"/>
  </sheetPr>
  <dimension ref="A1:M714"/>
  <sheetViews>
    <sheetView topLeftCell="A697" zoomScaleNormal="100" workbookViewId="0">
      <selection activeCell="F714" sqref="F714:K714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41" t="s">
        <v>107</v>
      </c>
      <c r="F1" s="641"/>
      <c r="G1" s="641"/>
      <c r="H1" s="641"/>
      <c r="I1" s="641"/>
      <c r="J1" s="641"/>
      <c r="L1" s="542" t="s">
        <v>108</v>
      </c>
      <c r="M1" s="542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SUMIF($F6:$F99999,"&gt;0") / SCOUT_DAYS_FROM_EARLIEST * 30</f>
        <v>14714.951595554005</v>
      </c>
      <c r="F3" s="87" cm="1">
        <f t="array" ref="F3">SUMIF($H6:$H99999,"&gt;0") / SCOUT_DAYS_FROM_EARLIEST * 30</f>
        <v>47358.642944573025</v>
      </c>
      <c r="G3" s="87"/>
      <c r="H3" s="87" cm="1">
        <f t="array" ref="H3">(SUMIF($F6:$F99999,"&gt;0") + SUMIF($H6:$H99999,"&gt;0")) / SCOUT_DAYS_FROM_EARLIEST * 30</f>
        <v>62073.594540127029</v>
      </c>
      <c r="I3" s="87" cm="1">
        <f t="array" ref="I3">(SUMIF($F6:$F99999,"&lt;0") + SUMIF($H6:$H99999,"&lt;0")) / SCOUT_DAYS_FROM_EARLIEST * 30</f>
        <v>-67081.937090863983</v>
      </c>
      <c r="J3" s="87">
        <f>H3+I3</f>
        <v>-5008.3425507369539</v>
      </c>
      <c r="L3" s="10" cm="1">
        <f t="array" ref="L3">SUM(L6:L99999) / SCOUT_DAYS_FROM_EARLIEST * 30</f>
        <v>47776.651928331696</v>
      </c>
      <c r="M3" s="90" cm="1">
        <f t="array" ref="M3">SUM(M6:M99999) / SCOUT_DAYS_FROM_EARLIEST * 30</f>
        <v>884.37619180315494</v>
      </c>
    </row>
    <row r="4" spans="1:13" s="80" customFormat="1" ht="15" customHeight="1" x14ac:dyDescent="0.25">
      <c r="A4" s="642" t="s">
        <v>78</v>
      </c>
      <c r="B4" s="566" t="s">
        <v>83</v>
      </c>
      <c r="C4" s="566" t="s">
        <v>32</v>
      </c>
      <c r="D4" s="566"/>
      <c r="E4" s="566"/>
      <c r="F4" s="566" t="s">
        <v>33</v>
      </c>
      <c r="G4" s="566"/>
      <c r="H4" s="566"/>
      <c r="I4" s="566"/>
      <c r="J4" s="566"/>
      <c r="K4" s="98" t="s">
        <v>107</v>
      </c>
      <c r="L4" s="566" t="s">
        <v>93</v>
      </c>
      <c r="M4" s="566"/>
    </row>
    <row r="5" spans="1:13" s="73" customFormat="1" ht="15" customHeight="1" x14ac:dyDescent="0.25">
      <c r="A5" s="643"/>
      <c r="B5" s="522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$A$6:$A$14999,G$6:G$14999,"",-1,2),NA()))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$A$6:$A$14999,G$6:G$14999,"",-1,2),NA()))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$A$6:$A$14999,G$6:G$14999,"",-1,2),NA()))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$A$6:$A$14999,G$6:G$14999,"",-1,2),NA()))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25" si="53">_xlfn.SINGLE(IFERROR(G262 - _xlfn.XLOOKUP(A262-30, $A$6:$A$14999,G$6:G$14999,"",-1,2),NA()))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si="53"/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53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53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53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53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53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53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53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53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1">SUM(F313,H313)</f>
        <v>70</v>
      </c>
      <c r="J313" s="81">
        <f t="shared" si="58"/>
        <v>1.3333333333333333</v>
      </c>
      <c r="K313" s="76">
        <f t="shared" si="53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1"/>
        <v>-60</v>
      </c>
      <c r="J314" s="81">
        <f t="shared" si="58"/>
        <v>-1.1428571428571428</v>
      </c>
      <c r="K314" s="76">
        <f t="shared" si="53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1"/>
        <v>1210</v>
      </c>
      <c r="J315" s="81">
        <f t="shared" si="58"/>
        <v>23.047619047619044</v>
      </c>
      <c r="K315" s="76">
        <f t="shared" si="53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1"/>
        <v>0</v>
      </c>
      <c r="J316" s="81">
        <f t="shared" si="58"/>
        <v>0</v>
      </c>
      <c r="K316" s="76">
        <f t="shared" si="53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2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1"/>
        <v>-13230</v>
      </c>
      <c r="J317" s="81">
        <f t="shared" si="58"/>
        <v>-252</v>
      </c>
      <c r="K317" s="76">
        <f t="shared" si="53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2"/>
        <v>94695</v>
      </c>
      <c r="F318" s="76">
        <f t="shared" ref="F318:F323" si="63">C318-C317</f>
        <v>810</v>
      </c>
      <c r="G318" s="76">
        <f>SUMIF(F$6:F318,"&gt;0")</f>
        <v>162160</v>
      </c>
      <c r="H318" s="76">
        <f t="shared" ref="H318:H323" si="64">D318-D317</f>
        <v>-450</v>
      </c>
      <c r="I318" s="76">
        <f t="shared" si="61"/>
        <v>360</v>
      </c>
      <c r="J318" s="81">
        <f t="shared" si="58"/>
        <v>6.8571428571428577</v>
      </c>
      <c r="K318" s="76">
        <f t="shared" si="53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2"/>
        <v>95045</v>
      </c>
      <c r="F319" s="76">
        <f t="shared" si="63"/>
        <v>300</v>
      </c>
      <c r="G319" s="76">
        <f>SUMIF(F$6:F319,"&gt;0")</f>
        <v>162460</v>
      </c>
      <c r="H319" s="76">
        <f t="shared" si="64"/>
        <v>50</v>
      </c>
      <c r="I319" s="76">
        <f t="shared" si="61"/>
        <v>350</v>
      </c>
      <c r="J319" s="81">
        <f t="shared" ref="J319:J350" si="65">I319/4200*80</f>
        <v>6.6666666666666661</v>
      </c>
      <c r="K319" s="76">
        <f t="shared" si="53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2"/>
        <v>95465</v>
      </c>
      <c r="F320" s="76">
        <f t="shared" si="63"/>
        <v>370</v>
      </c>
      <c r="G320" s="76">
        <f>SUMIF(F$6:F320,"&gt;0")</f>
        <v>162830</v>
      </c>
      <c r="H320" s="76">
        <f t="shared" si="64"/>
        <v>50</v>
      </c>
      <c r="I320" s="76">
        <f t="shared" si="61"/>
        <v>420</v>
      </c>
      <c r="J320" s="81">
        <f t="shared" si="65"/>
        <v>8</v>
      </c>
      <c r="K320" s="76">
        <f t="shared" si="53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2"/>
        <v>95545</v>
      </c>
      <c r="F321" s="76">
        <f t="shared" si="63"/>
        <v>60</v>
      </c>
      <c r="G321" s="76">
        <f>SUMIF(F$6:F321,"&gt;0")</f>
        <v>162890</v>
      </c>
      <c r="H321" s="76">
        <f t="shared" si="64"/>
        <v>20</v>
      </c>
      <c r="I321" s="76">
        <f t="shared" si="61"/>
        <v>80</v>
      </c>
      <c r="J321" s="81">
        <f t="shared" si="65"/>
        <v>1.5238095238095239</v>
      </c>
      <c r="K321" s="76">
        <f t="shared" si="53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2"/>
        <v>95715</v>
      </c>
      <c r="F322" s="76">
        <f t="shared" si="63"/>
        <v>150</v>
      </c>
      <c r="G322" s="76">
        <f>SUMIF(F$6:F322,"&gt;0")</f>
        <v>163040</v>
      </c>
      <c r="H322" s="76">
        <f t="shared" si="64"/>
        <v>20</v>
      </c>
      <c r="I322" s="76">
        <f t="shared" si="61"/>
        <v>170</v>
      </c>
      <c r="J322" s="81">
        <f t="shared" si="65"/>
        <v>3.2380952380952381</v>
      </c>
      <c r="K322" s="76">
        <f t="shared" si="53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2"/>
        <v>95795</v>
      </c>
      <c r="F323" s="76">
        <f t="shared" si="63"/>
        <v>60</v>
      </c>
      <c r="G323" s="76">
        <f>SUMIF(F$6:F323,"&gt;0")</f>
        <v>163100</v>
      </c>
      <c r="H323" s="76">
        <f t="shared" si="64"/>
        <v>20</v>
      </c>
      <c r="I323" s="76">
        <f t="shared" si="61"/>
        <v>80</v>
      </c>
      <c r="J323" s="81">
        <f t="shared" si="65"/>
        <v>1.5238095238095239</v>
      </c>
      <c r="K323" s="76">
        <f t="shared" si="53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6">SUM(C324:D324)</f>
        <v>97185</v>
      </c>
      <c r="F324" s="76">
        <f t="shared" ref="F324:F329" si="67">C324-C323</f>
        <v>1370</v>
      </c>
      <c r="G324" s="76">
        <f>SUMIF(F$6:F324,"&gt;0")</f>
        <v>164470</v>
      </c>
      <c r="H324" s="76">
        <f t="shared" ref="H324:H329" si="68">D324-D323</f>
        <v>20</v>
      </c>
      <c r="I324" s="76">
        <f t="shared" si="61"/>
        <v>1390</v>
      </c>
      <c r="J324" s="81">
        <f t="shared" si="65"/>
        <v>26.476190476190474</v>
      </c>
      <c r="K324" s="76">
        <f t="shared" si="53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6"/>
        <v>97880</v>
      </c>
      <c r="F325" s="76">
        <f t="shared" si="67"/>
        <v>675</v>
      </c>
      <c r="G325" s="76">
        <f>SUMIF(F$6:F325,"&gt;0")</f>
        <v>165145</v>
      </c>
      <c r="H325" s="76">
        <f t="shared" si="68"/>
        <v>20</v>
      </c>
      <c r="I325" s="76">
        <f t="shared" si="61"/>
        <v>695</v>
      </c>
      <c r="J325" s="81">
        <f t="shared" si="65"/>
        <v>13.238095238095237</v>
      </c>
      <c r="K325" s="76">
        <f t="shared" si="53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6"/>
        <v>98555</v>
      </c>
      <c r="F326" s="76">
        <f t="shared" si="67"/>
        <v>100</v>
      </c>
      <c r="G326" s="76">
        <f>SUMIF(F$6:F326,"&gt;0")</f>
        <v>165245</v>
      </c>
      <c r="H326" s="76">
        <f t="shared" si="68"/>
        <v>575</v>
      </c>
      <c r="I326" s="76">
        <f t="shared" si="61"/>
        <v>675</v>
      </c>
      <c r="J326" s="81">
        <f t="shared" si="65"/>
        <v>12.857142857142858</v>
      </c>
      <c r="K326" s="76">
        <f t="shared" ref="K326:K390" si="69">_xlfn.SINGLE(IFERROR(G326 - _xlfn.XLOOKUP(A326-30, $A$6:$A$14999,G$6:G$14999,"",-1,2),NA()))</f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6"/>
        <v>98675</v>
      </c>
      <c r="F327" s="76">
        <f t="shared" si="67"/>
        <v>100</v>
      </c>
      <c r="G327" s="76">
        <f>SUMIF(F$6:F327,"&gt;0")</f>
        <v>165345</v>
      </c>
      <c r="H327" s="76">
        <f t="shared" si="68"/>
        <v>20</v>
      </c>
      <c r="I327" s="76">
        <f t="shared" si="61"/>
        <v>120</v>
      </c>
      <c r="J327" s="81">
        <f t="shared" si="65"/>
        <v>2.2857142857142856</v>
      </c>
      <c r="K327" s="76">
        <f t="shared" si="69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6"/>
        <v>98795</v>
      </c>
      <c r="F328" s="76">
        <f t="shared" si="67"/>
        <v>100</v>
      </c>
      <c r="G328" s="76">
        <f>SUMIF(F$6:F328,"&gt;0")</f>
        <v>165445</v>
      </c>
      <c r="H328" s="76">
        <f t="shared" si="68"/>
        <v>20</v>
      </c>
      <c r="I328" s="76">
        <f t="shared" si="61"/>
        <v>120</v>
      </c>
      <c r="J328" s="81">
        <f t="shared" si="65"/>
        <v>2.2857142857142856</v>
      </c>
      <c r="K328" s="76">
        <f t="shared" si="69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6"/>
        <v>99335</v>
      </c>
      <c r="F329" s="76">
        <f t="shared" si="67"/>
        <v>520</v>
      </c>
      <c r="G329" s="76">
        <f>SUMIF(F$6:F329,"&gt;0")</f>
        <v>165965</v>
      </c>
      <c r="H329" s="76">
        <f t="shared" si="68"/>
        <v>20</v>
      </c>
      <c r="I329" s="76">
        <f t="shared" si="61"/>
        <v>540</v>
      </c>
      <c r="J329" s="81">
        <f t="shared" si="65"/>
        <v>10.285714285714285</v>
      </c>
      <c r="K329" s="76">
        <f t="shared" si="69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6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1"/>
        <v>470</v>
      </c>
      <c r="J330" s="81">
        <f t="shared" si="65"/>
        <v>8.9523809523809526</v>
      </c>
      <c r="K330" s="76">
        <f t="shared" si="69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6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1"/>
        <v>-7680</v>
      </c>
      <c r="J331" s="81">
        <f t="shared" si="65"/>
        <v>-146.28571428571428</v>
      </c>
      <c r="K331" s="76">
        <f t="shared" si="69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6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1"/>
        <v>400</v>
      </c>
      <c r="J332" s="81">
        <f t="shared" si="65"/>
        <v>7.6190476190476186</v>
      </c>
      <c r="K332" s="76">
        <f t="shared" si="69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6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1"/>
        <v>200</v>
      </c>
      <c r="J333" s="81">
        <f t="shared" si="65"/>
        <v>3.8095238095238093</v>
      </c>
      <c r="K333" s="76">
        <f t="shared" si="69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6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1"/>
        <v>565</v>
      </c>
      <c r="J334" s="81">
        <f t="shared" si="65"/>
        <v>10.761904761904761</v>
      </c>
      <c r="K334" s="76">
        <f t="shared" si="69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6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1"/>
        <v>16770</v>
      </c>
      <c r="J335" s="81">
        <f t="shared" si="65"/>
        <v>319.42857142857144</v>
      </c>
      <c r="K335" s="76">
        <f t="shared" si="69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6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1"/>
        <v>120</v>
      </c>
      <c r="J336" s="81">
        <f t="shared" si="65"/>
        <v>2.2857142857142856</v>
      </c>
      <c r="K336" s="76">
        <f t="shared" si="69"/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6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1"/>
        <v>14130</v>
      </c>
      <c r="J337" s="81">
        <f t="shared" si="65"/>
        <v>269.14285714285717</v>
      </c>
      <c r="K337" s="76">
        <f t="shared" si="69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1"/>
        <v>-15960</v>
      </c>
      <c r="J338" s="81">
        <f t="shared" si="65"/>
        <v>-304</v>
      </c>
      <c r="K338" s="76">
        <f t="shared" si="69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1"/>
        <v>675</v>
      </c>
      <c r="J339" s="81">
        <f t="shared" si="65"/>
        <v>12.857142857142858</v>
      </c>
      <c r="K339" s="76">
        <f t="shared" si="69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1"/>
        <v>-3600</v>
      </c>
      <c r="J340" s="81">
        <f t="shared" si="65"/>
        <v>-68.571428571428569</v>
      </c>
      <c r="K340" s="76">
        <f t="shared" si="69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1"/>
        <v>1655</v>
      </c>
      <c r="J341" s="81">
        <f t="shared" si="65"/>
        <v>31.523809523809522</v>
      </c>
      <c r="K341" s="76">
        <f t="shared" si="69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1"/>
        <v>-480</v>
      </c>
      <c r="J342" s="81">
        <f t="shared" si="65"/>
        <v>-9.1428571428571423</v>
      </c>
      <c r="K342" s="76">
        <f t="shared" si="69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2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1"/>
        <v>70</v>
      </c>
      <c r="J343" s="81">
        <f t="shared" si="65"/>
        <v>1.3333333333333333</v>
      </c>
      <c r="K343" s="76">
        <f t="shared" si="69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2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1"/>
        <v>-5760</v>
      </c>
      <c r="J344" s="81">
        <f t="shared" si="65"/>
        <v>-109.71428571428572</v>
      </c>
      <c r="K344" s="76">
        <f t="shared" si="69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2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1"/>
        <v>100</v>
      </c>
      <c r="J345" s="81">
        <f t="shared" si="65"/>
        <v>1.9047619047619047</v>
      </c>
      <c r="K345" s="76">
        <f t="shared" si="69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2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1"/>
        <v>-30</v>
      </c>
      <c r="J346" s="81">
        <f t="shared" si="65"/>
        <v>-0.5714285714285714</v>
      </c>
      <c r="K346" s="76">
        <f t="shared" si="69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2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1"/>
        <v>545</v>
      </c>
      <c r="J347" s="81">
        <f t="shared" si="65"/>
        <v>10.380952380952381</v>
      </c>
      <c r="K347" s="76">
        <f t="shared" si="69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2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1"/>
        <v>380</v>
      </c>
      <c r="J348" s="81">
        <f t="shared" si="65"/>
        <v>7.2380952380952381</v>
      </c>
      <c r="K348" s="76">
        <f t="shared" si="69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1"/>
        <v>1200</v>
      </c>
      <c r="J349" s="81">
        <f t="shared" si="65"/>
        <v>22.857142857142854</v>
      </c>
      <c r="K349" s="76">
        <f t="shared" si="69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3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1"/>
        <v>0</v>
      </c>
      <c r="J350" s="81">
        <f t="shared" si="65"/>
        <v>0</v>
      </c>
      <c r="K350" s="76">
        <f t="shared" si="69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3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1"/>
        <v>395</v>
      </c>
      <c r="J351" s="81">
        <f t="shared" ref="J351:J382" si="74">I351/4200*80</f>
        <v>7.5238095238095237</v>
      </c>
      <c r="K351" s="76">
        <f t="shared" si="69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3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1"/>
        <v>-2160</v>
      </c>
      <c r="J352" s="81">
        <f t="shared" si="74"/>
        <v>-41.142857142857139</v>
      </c>
      <c r="K352" s="76">
        <f t="shared" si="69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3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1"/>
        <v>660</v>
      </c>
      <c r="J353" s="81">
        <f t="shared" si="74"/>
        <v>12.571428571428571</v>
      </c>
      <c r="K353" s="76">
        <f t="shared" si="69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3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1"/>
        <v>-780</v>
      </c>
      <c r="J354" s="81">
        <f t="shared" si="74"/>
        <v>-14.857142857142858</v>
      </c>
      <c r="K354" s="76">
        <f t="shared" si="69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3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1"/>
        <v>100</v>
      </c>
      <c r="J355" s="81">
        <f t="shared" si="74"/>
        <v>1.9047619047619047</v>
      </c>
      <c r="K355" s="76">
        <f t="shared" si="69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3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1"/>
        <v>600</v>
      </c>
      <c r="J356" s="81">
        <f t="shared" si="74"/>
        <v>11.428571428571427</v>
      </c>
      <c r="K356" s="76">
        <f t="shared" si="69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3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1"/>
        <v>70</v>
      </c>
      <c r="J357" s="81">
        <f t="shared" si="74"/>
        <v>1.3333333333333333</v>
      </c>
      <c r="K357" s="76">
        <f t="shared" si="69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3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1"/>
        <v>1270</v>
      </c>
      <c r="J358" s="81">
        <f t="shared" si="74"/>
        <v>24.19047619047619</v>
      </c>
      <c r="K358" s="76">
        <f t="shared" si="69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3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1"/>
        <v>-16830</v>
      </c>
      <c r="J359" s="81">
        <f t="shared" si="74"/>
        <v>-320.57142857142856</v>
      </c>
      <c r="K359" s="76">
        <f t="shared" si="69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3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1"/>
        <v>655</v>
      </c>
      <c r="J360" s="81">
        <f t="shared" si="74"/>
        <v>12.476190476190476</v>
      </c>
      <c r="K360" s="76">
        <f t="shared" si="69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3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1"/>
        <v>475</v>
      </c>
      <c r="J361" s="81">
        <f t="shared" si="74"/>
        <v>9.0476190476190474</v>
      </c>
      <c r="K361" s="76">
        <f t="shared" si="69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3"/>
        <v>87980</v>
      </c>
      <c r="F362" s="76">
        <f t="shared" ref="F362:F390" si="75">C362-C361</f>
        <v>400</v>
      </c>
      <c r="G362" s="76">
        <f>SUMIF(F$6:F362,"&gt;0")</f>
        <v>176820</v>
      </c>
      <c r="H362" s="76">
        <f t="shared" ref="H362:H390" si="76">D362-D361</f>
        <v>20</v>
      </c>
      <c r="I362" s="76">
        <f t="shared" si="61"/>
        <v>420</v>
      </c>
      <c r="J362" s="81">
        <f t="shared" si="74"/>
        <v>8</v>
      </c>
      <c r="K362" s="76">
        <f t="shared" si="69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3"/>
        <v>89085</v>
      </c>
      <c r="F363" s="76">
        <f t="shared" si="75"/>
        <v>1085</v>
      </c>
      <c r="G363" s="76">
        <f>SUMIF(F$6:F363,"&gt;0")</f>
        <v>177905</v>
      </c>
      <c r="H363" s="76">
        <f t="shared" si="76"/>
        <v>20</v>
      </c>
      <c r="I363" s="76">
        <f t="shared" si="61"/>
        <v>1105</v>
      </c>
      <c r="J363" s="81">
        <f t="shared" si="74"/>
        <v>21.047619047619047</v>
      </c>
      <c r="K363" s="76">
        <f t="shared" si="69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3"/>
        <v>89215</v>
      </c>
      <c r="F364" s="76">
        <f t="shared" si="75"/>
        <v>110</v>
      </c>
      <c r="G364" s="76">
        <f>SUMIF(F$6:F364,"&gt;0")</f>
        <v>178015</v>
      </c>
      <c r="H364" s="76">
        <f t="shared" si="76"/>
        <v>20</v>
      </c>
      <c r="I364" s="76">
        <f t="shared" si="61"/>
        <v>130</v>
      </c>
      <c r="J364" s="81">
        <f t="shared" si="74"/>
        <v>2.4761904761904763</v>
      </c>
      <c r="K364" s="76">
        <f t="shared" si="69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3"/>
        <v>89550</v>
      </c>
      <c r="F365" s="76">
        <f t="shared" si="75"/>
        <v>285</v>
      </c>
      <c r="G365" s="76">
        <f>SUMIF(F$6:F365,"&gt;0")</f>
        <v>178300</v>
      </c>
      <c r="H365" s="76">
        <f t="shared" si="76"/>
        <v>50</v>
      </c>
      <c r="I365" s="76">
        <f t="shared" si="61"/>
        <v>335</v>
      </c>
      <c r="J365" s="81">
        <f t="shared" si="74"/>
        <v>6.3809523809523805</v>
      </c>
      <c r="K365" s="76">
        <f t="shared" si="69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3"/>
        <v>89770</v>
      </c>
      <c r="F366" s="76">
        <f t="shared" si="75"/>
        <v>200</v>
      </c>
      <c r="G366" s="76">
        <f>SUMIF(F$6:F366,"&gt;0")</f>
        <v>178500</v>
      </c>
      <c r="H366" s="76">
        <f t="shared" si="76"/>
        <v>20</v>
      </c>
      <c r="I366" s="76">
        <f t="shared" si="61"/>
        <v>220</v>
      </c>
      <c r="J366" s="81">
        <f t="shared" si="74"/>
        <v>4.1904761904761907</v>
      </c>
      <c r="K366" s="76">
        <f t="shared" si="69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3"/>
        <v>89415</v>
      </c>
      <c r="F367" s="76">
        <f t="shared" si="75"/>
        <v>125</v>
      </c>
      <c r="G367" s="76">
        <f>SUMIF(F$6:F367,"&gt;0")</f>
        <v>178625</v>
      </c>
      <c r="H367" s="76">
        <f t="shared" si="76"/>
        <v>-480</v>
      </c>
      <c r="I367" s="76">
        <f t="shared" si="61"/>
        <v>-355</v>
      </c>
      <c r="J367" s="81">
        <f t="shared" si="74"/>
        <v>-6.7619047619047628</v>
      </c>
      <c r="K367" s="76">
        <f t="shared" si="69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3"/>
        <v>90060</v>
      </c>
      <c r="F368" s="76">
        <f t="shared" si="75"/>
        <v>100</v>
      </c>
      <c r="G368" s="76">
        <f>SUMIF(F$6:F368,"&gt;0")</f>
        <v>178725</v>
      </c>
      <c r="H368" s="76">
        <f t="shared" si="76"/>
        <v>545</v>
      </c>
      <c r="I368" s="76">
        <f t="shared" si="61"/>
        <v>645</v>
      </c>
      <c r="J368" s="81">
        <f t="shared" si="74"/>
        <v>12.285714285714286</v>
      </c>
      <c r="K368" s="76">
        <f t="shared" si="69"/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3"/>
        <v>90960</v>
      </c>
      <c r="F369" s="76">
        <f t="shared" si="75"/>
        <v>350</v>
      </c>
      <c r="G369" s="76">
        <f>SUMIF(F$6:F369,"&gt;0")</f>
        <v>179075</v>
      </c>
      <c r="H369" s="76">
        <f t="shared" si="76"/>
        <v>550</v>
      </c>
      <c r="I369" s="76">
        <f t="shared" si="61"/>
        <v>900</v>
      </c>
      <c r="J369" s="81">
        <f t="shared" si="74"/>
        <v>17.142857142857142</v>
      </c>
      <c r="K369" s="76">
        <f t="shared" si="69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5"/>
        <v>150</v>
      </c>
      <c r="G370" s="76">
        <f>SUMIF(F$6:F370,"&gt;0")</f>
        <v>179225</v>
      </c>
      <c r="H370" s="76">
        <f t="shared" si="76"/>
        <v>20</v>
      </c>
      <c r="I370" s="76">
        <f t="shared" si="61"/>
        <v>170</v>
      </c>
      <c r="J370" s="81">
        <f t="shared" si="74"/>
        <v>3.2380952380952381</v>
      </c>
      <c r="K370" s="76">
        <f t="shared" si="69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5"/>
        <v>350</v>
      </c>
      <c r="G371" s="76">
        <f>SUMIF(F$6:F371,"&gt;0")</f>
        <v>179575</v>
      </c>
      <c r="H371" s="76">
        <f t="shared" si="76"/>
        <v>545</v>
      </c>
      <c r="I371" s="76">
        <f t="shared" si="61"/>
        <v>895</v>
      </c>
      <c r="J371" s="81">
        <f t="shared" si="74"/>
        <v>17.047619047619047</v>
      </c>
      <c r="K371" s="76">
        <f t="shared" si="69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5"/>
        <v>350</v>
      </c>
      <c r="G372" s="76">
        <f>SUMIF(F$6:F372,"&gt;0")</f>
        <v>179925</v>
      </c>
      <c r="H372" s="76">
        <f t="shared" si="76"/>
        <v>20</v>
      </c>
      <c r="I372" s="76">
        <f t="shared" si="61"/>
        <v>370</v>
      </c>
      <c r="J372" s="81">
        <f t="shared" si="74"/>
        <v>7.0476190476190483</v>
      </c>
      <c r="K372" s="76">
        <f t="shared" si="69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5"/>
        <v>650</v>
      </c>
      <c r="G373" s="76">
        <f>SUMIF(F$6:F373,"&gt;0")</f>
        <v>180575</v>
      </c>
      <c r="H373" s="76">
        <f t="shared" si="76"/>
        <v>-16780</v>
      </c>
      <c r="I373" s="76">
        <f t="shared" si="61"/>
        <v>-16130</v>
      </c>
      <c r="J373" s="81">
        <f t="shared" si="74"/>
        <v>-307.23809523809524</v>
      </c>
      <c r="K373" s="76">
        <f t="shared" si="69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5"/>
        <v>300</v>
      </c>
      <c r="G374" s="76">
        <f>SUMIF(F$6:F374,"&gt;0")</f>
        <v>180875</v>
      </c>
      <c r="H374" s="76">
        <f t="shared" si="76"/>
        <v>-500</v>
      </c>
      <c r="I374" s="76">
        <f t="shared" si="61"/>
        <v>-200</v>
      </c>
      <c r="J374" s="81">
        <f t="shared" si="74"/>
        <v>-3.8095238095238093</v>
      </c>
      <c r="K374" s="76">
        <f t="shared" si="69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7">SUM(C375:D375)</f>
        <v>76085</v>
      </c>
      <c r="F375" s="76">
        <f t="shared" si="75"/>
        <v>0</v>
      </c>
      <c r="G375" s="76">
        <f>SUMIF(F$6:F375,"&gt;0")</f>
        <v>180875</v>
      </c>
      <c r="H375" s="76">
        <f t="shared" si="76"/>
        <v>20</v>
      </c>
      <c r="I375" s="76">
        <f t="shared" si="61"/>
        <v>20</v>
      </c>
      <c r="J375" s="81">
        <f t="shared" si="74"/>
        <v>0.38095238095238099</v>
      </c>
      <c r="K375" s="76">
        <f t="shared" si="69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7"/>
        <v>76765</v>
      </c>
      <c r="F376" s="76">
        <f t="shared" si="75"/>
        <v>200</v>
      </c>
      <c r="G376" s="76">
        <f>SUMIF(F$6:F376,"&gt;0")</f>
        <v>181075</v>
      </c>
      <c r="H376" s="76">
        <f t="shared" si="76"/>
        <v>480</v>
      </c>
      <c r="I376" s="76">
        <f t="shared" si="61"/>
        <v>680</v>
      </c>
      <c r="J376" s="81">
        <f t="shared" si="74"/>
        <v>12.952380952380953</v>
      </c>
      <c r="K376" s="76">
        <f t="shared" si="69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7"/>
        <v>76835</v>
      </c>
      <c r="F377" s="76">
        <f t="shared" si="75"/>
        <v>50</v>
      </c>
      <c r="G377" s="76">
        <f>SUMIF(F$6:F377,"&gt;0")</f>
        <v>181125</v>
      </c>
      <c r="H377" s="76">
        <f t="shared" si="76"/>
        <v>20</v>
      </c>
      <c r="I377" s="76">
        <f t="shared" ref="I377:I390" si="78">SUM(F377,H377)</f>
        <v>70</v>
      </c>
      <c r="J377" s="81">
        <f t="shared" si="74"/>
        <v>1.3333333333333333</v>
      </c>
      <c r="K377" s="76">
        <f t="shared" si="69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7"/>
        <v>77020</v>
      </c>
      <c r="F378" s="76">
        <f t="shared" si="75"/>
        <v>165</v>
      </c>
      <c r="G378" s="76">
        <f>SUMIF(F$6:F378,"&gt;0")</f>
        <v>181290</v>
      </c>
      <c r="H378" s="76">
        <f t="shared" si="76"/>
        <v>20</v>
      </c>
      <c r="I378" s="76">
        <f t="shared" si="78"/>
        <v>185</v>
      </c>
      <c r="J378" s="81">
        <f t="shared" si="74"/>
        <v>3.5238095238095242</v>
      </c>
      <c r="K378" s="76">
        <f t="shared" si="69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7"/>
        <v>77020</v>
      </c>
      <c r="F379" s="76">
        <f t="shared" si="75"/>
        <v>0</v>
      </c>
      <c r="G379" s="76">
        <f>SUMIF(F$6:F379,"&gt;0")</f>
        <v>181290</v>
      </c>
      <c r="H379" s="76">
        <f t="shared" si="76"/>
        <v>0</v>
      </c>
      <c r="I379" s="76">
        <f t="shared" si="78"/>
        <v>0</v>
      </c>
      <c r="J379" s="81">
        <f t="shared" si="74"/>
        <v>0</v>
      </c>
      <c r="K379" s="76">
        <f t="shared" si="69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7"/>
        <v>60190</v>
      </c>
      <c r="F380" s="76">
        <f t="shared" si="75"/>
        <v>-1200</v>
      </c>
      <c r="G380" s="76">
        <f>SUMIF(F$6:F380,"&gt;0")</f>
        <v>181290</v>
      </c>
      <c r="H380" s="76">
        <f t="shared" si="76"/>
        <v>-15630</v>
      </c>
      <c r="I380" s="76">
        <f t="shared" si="78"/>
        <v>-16830</v>
      </c>
      <c r="J380" s="81">
        <f t="shared" si="74"/>
        <v>-320.57142857142856</v>
      </c>
      <c r="K380" s="76">
        <f t="shared" si="69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7"/>
        <v>60440</v>
      </c>
      <c r="F381" s="76">
        <f t="shared" si="75"/>
        <v>200</v>
      </c>
      <c r="G381" s="76">
        <f>SUMIF(F$6:F381,"&gt;0")</f>
        <v>181490</v>
      </c>
      <c r="H381" s="76">
        <f t="shared" si="76"/>
        <v>50</v>
      </c>
      <c r="I381" s="76">
        <f t="shared" si="78"/>
        <v>250</v>
      </c>
      <c r="J381" s="81">
        <f t="shared" si="74"/>
        <v>4.7619047619047619</v>
      </c>
      <c r="K381" s="76">
        <f t="shared" si="69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79">SUM(C382:D382)</f>
        <v>60535</v>
      </c>
      <c r="F382" s="76">
        <f t="shared" si="75"/>
        <v>75</v>
      </c>
      <c r="G382" s="76">
        <f>SUMIF(F$6:F382,"&gt;0")</f>
        <v>181565</v>
      </c>
      <c r="H382" s="76">
        <f t="shared" si="76"/>
        <v>20</v>
      </c>
      <c r="I382" s="76">
        <f t="shared" si="78"/>
        <v>95</v>
      </c>
      <c r="J382" s="81">
        <f t="shared" si="74"/>
        <v>1.8095238095238095</v>
      </c>
      <c r="K382" s="76">
        <f t="shared" si="69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79"/>
        <v>60605</v>
      </c>
      <c r="F383" s="76">
        <f t="shared" si="75"/>
        <v>50</v>
      </c>
      <c r="G383" s="76">
        <f>SUMIF(F$6:F383,"&gt;0")</f>
        <v>181615</v>
      </c>
      <c r="H383" s="76">
        <f t="shared" si="76"/>
        <v>20</v>
      </c>
      <c r="I383" s="76">
        <f t="shared" si="78"/>
        <v>70</v>
      </c>
      <c r="J383" s="81">
        <f t="shared" ref="J383:J390" si="80">I383/4200*80</f>
        <v>1.3333333333333333</v>
      </c>
      <c r="K383" s="76">
        <f t="shared" si="69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79"/>
        <v>61005</v>
      </c>
      <c r="F384" s="76">
        <f t="shared" si="75"/>
        <v>350</v>
      </c>
      <c r="G384" s="76">
        <f>SUMIF(F$6:F384,"&gt;0")</f>
        <v>181965</v>
      </c>
      <c r="H384" s="76">
        <f t="shared" si="76"/>
        <v>50</v>
      </c>
      <c r="I384" s="76">
        <f t="shared" si="78"/>
        <v>400</v>
      </c>
      <c r="J384" s="81">
        <f t="shared" si="80"/>
        <v>7.6190476190476186</v>
      </c>
      <c r="K384" s="76">
        <f t="shared" si="69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79"/>
        <v>61375</v>
      </c>
      <c r="F385" s="76">
        <f t="shared" si="75"/>
        <v>350</v>
      </c>
      <c r="G385" s="76">
        <f>SUMIF(F$6:F385,"&gt;0")</f>
        <v>182315</v>
      </c>
      <c r="H385" s="76">
        <f t="shared" si="76"/>
        <v>20</v>
      </c>
      <c r="I385" s="76">
        <f t="shared" si="78"/>
        <v>370</v>
      </c>
      <c r="J385" s="81">
        <f t="shared" si="80"/>
        <v>7.0476190476190483</v>
      </c>
      <c r="K385" s="76">
        <f t="shared" si="69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79"/>
        <v>61445</v>
      </c>
      <c r="F386" s="76">
        <f t="shared" si="75"/>
        <v>50</v>
      </c>
      <c r="G386" s="76">
        <f>SUMIF(F$6:F386,"&gt;0")</f>
        <v>182365</v>
      </c>
      <c r="H386" s="76">
        <f t="shared" si="76"/>
        <v>20</v>
      </c>
      <c r="I386" s="76">
        <f t="shared" si="78"/>
        <v>70</v>
      </c>
      <c r="J386" s="81">
        <f t="shared" si="80"/>
        <v>1.3333333333333333</v>
      </c>
      <c r="K386" s="76">
        <f t="shared" si="69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79"/>
        <v>61630</v>
      </c>
      <c r="F387" s="76">
        <f t="shared" si="75"/>
        <v>165</v>
      </c>
      <c r="G387" s="76">
        <f>SUMIF(F$6:F387,"&gt;0")</f>
        <v>182530</v>
      </c>
      <c r="H387" s="76">
        <f t="shared" si="76"/>
        <v>20</v>
      </c>
      <c r="I387" s="76">
        <f t="shared" si="78"/>
        <v>185</v>
      </c>
      <c r="J387" s="81">
        <f t="shared" si="80"/>
        <v>3.5238095238095242</v>
      </c>
      <c r="K387" s="76">
        <f t="shared" si="69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79"/>
        <v>62665</v>
      </c>
      <c r="F388" s="76">
        <f t="shared" si="75"/>
        <v>995</v>
      </c>
      <c r="G388" s="76">
        <f>SUMIF(F$6:F388,"&gt;0")</f>
        <v>183525</v>
      </c>
      <c r="H388" s="76">
        <f t="shared" si="76"/>
        <v>40</v>
      </c>
      <c r="I388" s="76">
        <f t="shared" si="78"/>
        <v>1035</v>
      </c>
      <c r="J388" s="81">
        <f t="shared" si="80"/>
        <v>19.714285714285715</v>
      </c>
      <c r="K388" s="76">
        <f t="shared" si="69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79"/>
        <v>50625</v>
      </c>
      <c r="F389" s="76">
        <f t="shared" si="75"/>
        <v>585</v>
      </c>
      <c r="G389" s="76">
        <f>SUMIF(F$6:F389,"&gt;0")</f>
        <v>184110</v>
      </c>
      <c r="H389" s="76">
        <f t="shared" si="76"/>
        <v>-12625</v>
      </c>
      <c r="I389" s="76">
        <f t="shared" si="78"/>
        <v>-12040</v>
      </c>
      <c r="J389" s="81">
        <f t="shared" si="80"/>
        <v>-229.33333333333334</v>
      </c>
      <c r="K389" s="76">
        <f t="shared" si="69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79"/>
        <v>66625</v>
      </c>
      <c r="F390" s="76">
        <f t="shared" si="75"/>
        <v>0</v>
      </c>
      <c r="G390" s="76">
        <f>SUMIF(F$6:F390,"&gt;0")</f>
        <v>184110</v>
      </c>
      <c r="H390" s="76">
        <f t="shared" si="76"/>
        <v>16000</v>
      </c>
      <c r="I390" s="76">
        <f t="shared" si="78"/>
        <v>16000</v>
      </c>
      <c r="J390" s="81">
        <f t="shared" si="80"/>
        <v>304.76190476190476</v>
      </c>
      <c r="K390" s="76">
        <f t="shared" si="69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79"/>
        <v>66605</v>
      </c>
      <c r="F391" s="76">
        <f t="shared" ref="F391:F422" si="81">C391-C390</f>
        <v>-60</v>
      </c>
      <c r="G391" s="76">
        <f>SUMIF(F$6:F391,"&gt;0")</f>
        <v>184110</v>
      </c>
      <c r="H391" s="76">
        <f t="shared" ref="H391:H422" si="82">D391-D390</f>
        <v>40</v>
      </c>
      <c r="I391" s="76">
        <f t="shared" ref="I391:I422" si="83">SUM(F391,H391)</f>
        <v>-20</v>
      </c>
      <c r="J391" s="81">
        <f t="shared" ref="J391:J422" si="84">I391/4200*80</f>
        <v>-0.38095238095238099</v>
      </c>
      <c r="K391" s="76">
        <f t="shared" ref="K391:K422" si="85">IFERROR(G391 - _xlfn.XLOOKUP(A391-30, $A$6:$A$14999,G$6:G$14999,"",-1,2),NA())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79"/>
        <v>66665</v>
      </c>
      <c r="F392" s="76">
        <f t="shared" si="81"/>
        <v>60</v>
      </c>
      <c r="G392" s="76">
        <f>SUMIF(F$6:F392,"&gt;0")</f>
        <v>184170</v>
      </c>
      <c r="H392" s="76">
        <f t="shared" si="82"/>
        <v>0</v>
      </c>
      <c r="I392" s="76">
        <f t="shared" si="83"/>
        <v>60</v>
      </c>
      <c r="J392" s="81">
        <f t="shared" si="84"/>
        <v>1.1428571428571428</v>
      </c>
      <c r="K392" s="76">
        <f t="shared" si="85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79"/>
        <v>66745</v>
      </c>
      <c r="F393" s="76">
        <f t="shared" si="81"/>
        <v>60</v>
      </c>
      <c r="G393" s="76">
        <f>SUMIF(F$6:F393,"&gt;0")</f>
        <v>184230</v>
      </c>
      <c r="H393" s="76">
        <f t="shared" si="82"/>
        <v>20</v>
      </c>
      <c r="I393" s="76">
        <f t="shared" si="83"/>
        <v>80</v>
      </c>
      <c r="J393" s="81">
        <f t="shared" si="84"/>
        <v>1.5238095238095239</v>
      </c>
      <c r="K393" s="76">
        <f t="shared" si="85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79"/>
        <v>67125</v>
      </c>
      <c r="F394" s="76">
        <f t="shared" si="81"/>
        <v>360</v>
      </c>
      <c r="G394" s="76">
        <f>SUMIF(F$6:F394,"&gt;0")</f>
        <v>184590</v>
      </c>
      <c r="H394" s="76">
        <f t="shared" si="82"/>
        <v>20</v>
      </c>
      <c r="I394" s="76">
        <f t="shared" si="83"/>
        <v>380</v>
      </c>
      <c r="J394" s="81">
        <f t="shared" si="84"/>
        <v>7.2380952380952381</v>
      </c>
      <c r="K394" s="76">
        <f t="shared" si="85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79"/>
        <v>67185</v>
      </c>
      <c r="F395" s="76">
        <f t="shared" si="81"/>
        <v>540</v>
      </c>
      <c r="G395" s="76">
        <f>SUMIF(F$6:F395,"&gt;0")</f>
        <v>185130</v>
      </c>
      <c r="H395" s="76">
        <f t="shared" si="82"/>
        <v>-480</v>
      </c>
      <c r="I395" s="76">
        <f t="shared" si="83"/>
        <v>60</v>
      </c>
      <c r="J395" s="81">
        <f t="shared" si="84"/>
        <v>1.1428571428571428</v>
      </c>
      <c r="K395" s="76">
        <f t="shared" si="85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79"/>
        <v>66705</v>
      </c>
      <c r="F396" s="76">
        <f t="shared" si="81"/>
        <v>-480</v>
      </c>
      <c r="G396" s="76">
        <f>SUMIF(F$6:F396,"&gt;0")</f>
        <v>185130</v>
      </c>
      <c r="H396" s="76">
        <f t="shared" si="82"/>
        <v>0</v>
      </c>
      <c r="I396" s="76">
        <f t="shared" si="83"/>
        <v>-480</v>
      </c>
      <c r="J396" s="81">
        <f t="shared" si="84"/>
        <v>-9.1428571428571423</v>
      </c>
      <c r="K396" s="76">
        <f t="shared" si="85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79"/>
        <v>66815</v>
      </c>
      <c r="F397" s="76">
        <f t="shared" si="81"/>
        <v>60</v>
      </c>
      <c r="G397" s="76">
        <f>SUMIF(F$6:F397,"&gt;0")</f>
        <v>185190</v>
      </c>
      <c r="H397" s="76">
        <f t="shared" si="82"/>
        <v>50</v>
      </c>
      <c r="I397" s="76">
        <f t="shared" si="83"/>
        <v>110</v>
      </c>
      <c r="J397" s="81">
        <f t="shared" si="84"/>
        <v>2.0952380952380953</v>
      </c>
      <c r="K397" s="76">
        <f t="shared" si="85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79"/>
        <v>67660</v>
      </c>
      <c r="F398" s="76">
        <f t="shared" si="81"/>
        <v>825</v>
      </c>
      <c r="G398" s="76">
        <f>SUMIF(F$6:F398,"&gt;0")</f>
        <v>186015</v>
      </c>
      <c r="H398" s="76">
        <f t="shared" si="82"/>
        <v>20</v>
      </c>
      <c r="I398" s="76">
        <f t="shared" si="83"/>
        <v>845</v>
      </c>
      <c r="J398" s="81">
        <f t="shared" si="84"/>
        <v>16.095238095238095</v>
      </c>
      <c r="K398" s="76">
        <f t="shared" si="85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79"/>
        <v>68605</v>
      </c>
      <c r="F399" s="76">
        <f t="shared" si="81"/>
        <v>400</v>
      </c>
      <c r="G399" s="76">
        <f>SUMIF(F$6:F399,"&gt;0")</f>
        <v>186415</v>
      </c>
      <c r="H399" s="76">
        <f t="shared" si="82"/>
        <v>545</v>
      </c>
      <c r="I399" s="76">
        <f t="shared" si="83"/>
        <v>945</v>
      </c>
      <c r="J399" s="81">
        <f t="shared" si="84"/>
        <v>18</v>
      </c>
      <c r="K399" s="76">
        <f t="shared" si="85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79"/>
        <v>69070</v>
      </c>
      <c r="F400" s="76">
        <f t="shared" si="81"/>
        <v>425</v>
      </c>
      <c r="G400" s="76">
        <f>SUMIF(F$6:F400,"&gt;0")</f>
        <v>186840</v>
      </c>
      <c r="H400" s="76">
        <f t="shared" si="82"/>
        <v>40</v>
      </c>
      <c r="I400" s="76">
        <f t="shared" si="83"/>
        <v>465</v>
      </c>
      <c r="J400" s="81">
        <f t="shared" si="84"/>
        <v>8.8571428571428577</v>
      </c>
      <c r="K400" s="76">
        <f t="shared" si="85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79"/>
        <v>69165</v>
      </c>
      <c r="F401" s="76">
        <f t="shared" si="81"/>
        <v>75</v>
      </c>
      <c r="G401" s="76">
        <f>SUMIF(F$6:F401,"&gt;0")</f>
        <v>186915</v>
      </c>
      <c r="H401" s="76">
        <f t="shared" si="82"/>
        <v>20</v>
      </c>
      <c r="I401" s="76">
        <f t="shared" si="83"/>
        <v>95</v>
      </c>
      <c r="J401" s="81">
        <f t="shared" si="84"/>
        <v>1.8095238095238095</v>
      </c>
      <c r="K401" s="76">
        <f t="shared" si="85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79"/>
        <v>69990</v>
      </c>
      <c r="F402" s="76">
        <f t="shared" si="81"/>
        <v>275</v>
      </c>
      <c r="G402" s="76">
        <f>SUMIF(F$6:F402,"&gt;0")</f>
        <v>187190</v>
      </c>
      <c r="H402" s="76">
        <f t="shared" si="82"/>
        <v>550</v>
      </c>
      <c r="I402" s="76">
        <f t="shared" si="83"/>
        <v>825</v>
      </c>
      <c r="J402" s="81">
        <f t="shared" si="84"/>
        <v>15.714285714285714</v>
      </c>
      <c r="K402" s="76">
        <f t="shared" si="85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79"/>
        <v>68400</v>
      </c>
      <c r="F403" s="76">
        <f t="shared" si="81"/>
        <v>-1590</v>
      </c>
      <c r="G403" s="76">
        <f>SUMIF(F$6:F403,"&gt;0")</f>
        <v>187190</v>
      </c>
      <c r="H403" s="76">
        <f t="shared" si="82"/>
        <v>0</v>
      </c>
      <c r="I403" s="76">
        <f t="shared" si="83"/>
        <v>-1590</v>
      </c>
      <c r="J403" s="81">
        <f t="shared" si="84"/>
        <v>-30.285714285714285</v>
      </c>
      <c r="K403" s="76">
        <f t="shared" si="85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79"/>
        <v>68470</v>
      </c>
      <c r="F404" s="76">
        <f t="shared" si="81"/>
        <v>50</v>
      </c>
      <c r="G404" s="76">
        <f>SUMIF(F$6:F404,"&gt;0")</f>
        <v>187240</v>
      </c>
      <c r="H404" s="76">
        <f t="shared" si="82"/>
        <v>20</v>
      </c>
      <c r="I404" s="76">
        <f t="shared" si="83"/>
        <v>70</v>
      </c>
      <c r="J404" s="81">
        <f t="shared" si="84"/>
        <v>1.3333333333333333</v>
      </c>
      <c r="K404" s="76">
        <f t="shared" si="85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79"/>
        <v>67250</v>
      </c>
      <c r="F405" s="76">
        <f t="shared" si="81"/>
        <v>-1220</v>
      </c>
      <c r="G405" s="76">
        <f>SUMIF(F$6:F405,"&gt;0")</f>
        <v>187240</v>
      </c>
      <c r="H405" s="76">
        <f t="shared" si="82"/>
        <v>0</v>
      </c>
      <c r="I405" s="76">
        <f t="shared" si="83"/>
        <v>-1220</v>
      </c>
      <c r="J405" s="81">
        <f t="shared" si="84"/>
        <v>-23.238095238095241</v>
      </c>
      <c r="K405" s="76">
        <f t="shared" si="85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79"/>
        <v>67415</v>
      </c>
      <c r="F406" s="76">
        <f t="shared" si="81"/>
        <v>115</v>
      </c>
      <c r="G406" s="76">
        <f>SUMIF(F$6:F406,"&gt;0")</f>
        <v>187355</v>
      </c>
      <c r="H406" s="76">
        <f t="shared" si="82"/>
        <v>50</v>
      </c>
      <c r="I406" s="76">
        <f t="shared" si="83"/>
        <v>165</v>
      </c>
      <c r="J406" s="81">
        <f t="shared" si="84"/>
        <v>3.1428571428571428</v>
      </c>
      <c r="K406" s="76">
        <f t="shared" si="85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79"/>
        <v>66845</v>
      </c>
      <c r="F407" s="76">
        <f t="shared" si="81"/>
        <v>-540</v>
      </c>
      <c r="G407" s="76">
        <f>SUMIF(F$6:F407,"&gt;0")</f>
        <v>187355</v>
      </c>
      <c r="H407" s="76">
        <f t="shared" si="82"/>
        <v>-30</v>
      </c>
      <c r="I407" s="76">
        <f t="shared" si="83"/>
        <v>-570</v>
      </c>
      <c r="J407" s="81">
        <f t="shared" si="84"/>
        <v>-10.857142857142856</v>
      </c>
      <c r="K407" s="76">
        <f t="shared" si="85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79"/>
        <v>51095</v>
      </c>
      <c r="F408" s="76">
        <f t="shared" si="81"/>
        <v>-120</v>
      </c>
      <c r="G408" s="76">
        <f>SUMIF(F$6:F408,"&gt;0")</f>
        <v>187355</v>
      </c>
      <c r="H408" s="76">
        <f t="shared" si="82"/>
        <v>-15630</v>
      </c>
      <c r="I408" s="76">
        <f t="shared" si="83"/>
        <v>-15750</v>
      </c>
      <c r="J408" s="81">
        <f t="shared" si="84"/>
        <v>-300</v>
      </c>
      <c r="K408" s="76">
        <f t="shared" si="85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79"/>
        <v>51920</v>
      </c>
      <c r="F409" s="76">
        <f t="shared" si="81"/>
        <v>775</v>
      </c>
      <c r="G409" s="76">
        <f>SUMIF(F$6:F409,"&gt;0")</f>
        <v>188130</v>
      </c>
      <c r="H409" s="76">
        <f t="shared" si="82"/>
        <v>50</v>
      </c>
      <c r="I409" s="76">
        <f t="shared" si="83"/>
        <v>825</v>
      </c>
      <c r="J409" s="81">
        <f t="shared" si="84"/>
        <v>15.714285714285714</v>
      </c>
      <c r="K409" s="76">
        <f t="shared" si="85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6">SUM(C410:D410)</f>
        <v>51770</v>
      </c>
      <c r="F410" s="76">
        <f t="shared" si="81"/>
        <v>-150</v>
      </c>
      <c r="G410" s="76">
        <f>SUMIF(F$6:F410,"&gt;0")</f>
        <v>188130</v>
      </c>
      <c r="H410" s="76">
        <f t="shared" si="82"/>
        <v>0</v>
      </c>
      <c r="I410" s="76">
        <f t="shared" si="83"/>
        <v>-150</v>
      </c>
      <c r="J410" s="81">
        <f t="shared" si="84"/>
        <v>-2.8571428571428568</v>
      </c>
      <c r="K410" s="76">
        <f t="shared" si="85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6"/>
        <v>50630</v>
      </c>
      <c r="F411" s="76">
        <f t="shared" si="81"/>
        <v>-640</v>
      </c>
      <c r="G411" s="76">
        <f>SUMIF(F$6:F411,"&gt;0")</f>
        <v>188130</v>
      </c>
      <c r="H411" s="76">
        <f t="shared" si="82"/>
        <v>-500</v>
      </c>
      <c r="I411" s="76">
        <f t="shared" si="83"/>
        <v>-1140</v>
      </c>
      <c r="J411" s="81">
        <f t="shared" si="84"/>
        <v>-21.714285714285712</v>
      </c>
      <c r="K411" s="76">
        <f t="shared" si="85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6"/>
        <v>50875</v>
      </c>
      <c r="F412" s="76">
        <f t="shared" si="81"/>
        <v>-330</v>
      </c>
      <c r="G412" s="76">
        <f>SUMIF(F$6:F412,"&gt;0")</f>
        <v>188130</v>
      </c>
      <c r="H412" s="76">
        <f t="shared" si="82"/>
        <v>575</v>
      </c>
      <c r="I412" s="76">
        <f t="shared" si="83"/>
        <v>245</v>
      </c>
      <c r="J412" s="81">
        <f t="shared" si="84"/>
        <v>4.666666666666667</v>
      </c>
      <c r="K412" s="76">
        <f t="shared" si="85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6"/>
        <v>50995</v>
      </c>
      <c r="F413" s="76">
        <f t="shared" si="81"/>
        <v>150</v>
      </c>
      <c r="G413" s="76">
        <f>SUMIF(F$6:F413,"&gt;0")</f>
        <v>188280</v>
      </c>
      <c r="H413" s="76">
        <f t="shared" si="82"/>
        <v>-30</v>
      </c>
      <c r="I413" s="76">
        <f t="shared" si="83"/>
        <v>120</v>
      </c>
      <c r="J413" s="81">
        <f t="shared" si="84"/>
        <v>2.2857142857142856</v>
      </c>
      <c r="K413" s="76">
        <f t="shared" si="85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6"/>
        <v>50515</v>
      </c>
      <c r="F414" s="76">
        <f t="shared" si="81"/>
        <v>-480</v>
      </c>
      <c r="G414" s="76">
        <f>SUMIF(F$6:F414,"&gt;0")</f>
        <v>188280</v>
      </c>
      <c r="H414" s="76">
        <f t="shared" si="82"/>
        <v>0</v>
      </c>
      <c r="I414" s="76">
        <f t="shared" si="83"/>
        <v>-480</v>
      </c>
      <c r="J414" s="81">
        <f t="shared" si="84"/>
        <v>-9.1428571428571423</v>
      </c>
      <c r="K414" s="76">
        <f t="shared" si="85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6"/>
        <v>50710</v>
      </c>
      <c r="F415" s="76">
        <f t="shared" si="81"/>
        <v>175</v>
      </c>
      <c r="G415" s="76">
        <f>SUMIF(F$6:F415,"&gt;0")</f>
        <v>188455</v>
      </c>
      <c r="H415" s="76">
        <f t="shared" si="82"/>
        <v>20</v>
      </c>
      <c r="I415" s="76">
        <f t="shared" si="83"/>
        <v>195</v>
      </c>
      <c r="J415" s="81">
        <f t="shared" si="84"/>
        <v>3.7142857142857144</v>
      </c>
      <c r="K415" s="76">
        <f t="shared" si="85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6"/>
        <v>49445</v>
      </c>
      <c r="F416" s="76">
        <f t="shared" si="81"/>
        <v>-1265</v>
      </c>
      <c r="G416" s="76">
        <f>SUMIF(F$6:F416,"&gt;0")</f>
        <v>188455</v>
      </c>
      <c r="H416" s="76">
        <f t="shared" si="82"/>
        <v>0</v>
      </c>
      <c r="I416" s="76">
        <f t="shared" si="83"/>
        <v>-1265</v>
      </c>
      <c r="J416" s="81">
        <f t="shared" si="84"/>
        <v>-24.095238095238095</v>
      </c>
      <c r="K416" s="76">
        <f t="shared" si="85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6"/>
        <v>51000</v>
      </c>
      <c r="F417" s="76">
        <f t="shared" si="81"/>
        <v>1005</v>
      </c>
      <c r="G417" s="76">
        <f>SUMIF(F$6:F417,"&gt;0")</f>
        <v>189460</v>
      </c>
      <c r="H417" s="76">
        <f t="shared" si="82"/>
        <v>550</v>
      </c>
      <c r="I417" s="76">
        <f t="shared" si="83"/>
        <v>1555</v>
      </c>
      <c r="J417" s="81">
        <f t="shared" si="84"/>
        <v>29.61904761904762</v>
      </c>
      <c r="K417" s="76">
        <f t="shared" si="85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7">SUM(C418:D418)</f>
        <v>50850</v>
      </c>
      <c r="F418" s="76">
        <f t="shared" si="81"/>
        <v>-150</v>
      </c>
      <c r="G418" s="76">
        <f>SUMIF(F$6:F418,"&gt;0")</f>
        <v>189460</v>
      </c>
      <c r="H418" s="76">
        <f t="shared" si="82"/>
        <v>0</v>
      </c>
      <c r="I418" s="76">
        <f t="shared" si="83"/>
        <v>-150</v>
      </c>
      <c r="J418" s="81">
        <f t="shared" si="84"/>
        <v>-2.8571428571428568</v>
      </c>
      <c r="K418" s="76">
        <f t="shared" si="85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7"/>
        <v>51320</v>
      </c>
      <c r="F419" s="76">
        <f t="shared" si="81"/>
        <v>470</v>
      </c>
      <c r="G419" s="76">
        <f>SUMIF(F$6:F419,"&gt;0")</f>
        <v>189930</v>
      </c>
      <c r="H419" s="76">
        <f t="shared" si="82"/>
        <v>0</v>
      </c>
      <c r="I419" s="76">
        <f t="shared" si="83"/>
        <v>470</v>
      </c>
      <c r="J419" s="81">
        <f t="shared" si="84"/>
        <v>8.9523809523809526</v>
      </c>
      <c r="K419" s="76">
        <f t="shared" si="85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7"/>
        <v>51020</v>
      </c>
      <c r="F420" s="76">
        <f t="shared" si="81"/>
        <v>-300</v>
      </c>
      <c r="G420" s="76">
        <f>SUMIF(F$6:F420,"&gt;0")</f>
        <v>189930</v>
      </c>
      <c r="H420" s="76">
        <f t="shared" si="82"/>
        <v>0</v>
      </c>
      <c r="I420" s="76">
        <f t="shared" si="83"/>
        <v>-300</v>
      </c>
      <c r="J420" s="81">
        <f t="shared" si="84"/>
        <v>-5.7142857142857135</v>
      </c>
      <c r="K420" s="76">
        <f t="shared" si="85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7"/>
        <v>50450</v>
      </c>
      <c r="F421" s="76">
        <f t="shared" si="81"/>
        <v>-570</v>
      </c>
      <c r="G421" s="76">
        <f>SUMIF(F$6:F421,"&gt;0")</f>
        <v>189930</v>
      </c>
      <c r="H421" s="76">
        <f t="shared" si="82"/>
        <v>0</v>
      </c>
      <c r="I421" s="76">
        <f t="shared" si="83"/>
        <v>-570</v>
      </c>
      <c r="J421" s="81">
        <f t="shared" si="84"/>
        <v>-10.857142857142856</v>
      </c>
      <c r="K421" s="76">
        <f t="shared" si="85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7"/>
        <v>51635</v>
      </c>
      <c r="F422" s="76">
        <f t="shared" si="81"/>
        <v>1165</v>
      </c>
      <c r="G422" s="76">
        <f>SUMIF(F$6:F422,"&gt;0")</f>
        <v>191095</v>
      </c>
      <c r="H422" s="76">
        <f t="shared" si="82"/>
        <v>20</v>
      </c>
      <c r="I422" s="76">
        <f t="shared" si="83"/>
        <v>1185</v>
      </c>
      <c r="J422" s="81">
        <f t="shared" si="84"/>
        <v>22.571428571428569</v>
      </c>
      <c r="K422" s="76">
        <f t="shared" si="85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7"/>
        <v>50885</v>
      </c>
      <c r="F423" s="76">
        <f t="shared" ref="F423:F454" si="88">C423-C422</f>
        <v>-750</v>
      </c>
      <c r="G423" s="76">
        <f>SUMIF(F$6:F423,"&gt;0")</f>
        <v>191095</v>
      </c>
      <c r="H423" s="76">
        <f t="shared" ref="H423:H454" si="89">D423-D422</f>
        <v>0</v>
      </c>
      <c r="I423" s="76">
        <f t="shared" ref="I423:I454" si="90">SUM(F423,H423)</f>
        <v>-750</v>
      </c>
      <c r="J423" s="81">
        <f t="shared" ref="J423:J454" si="91">I423/4200*80</f>
        <v>-14.285714285714286</v>
      </c>
      <c r="K423" s="76">
        <f t="shared" ref="K423:K454" si="92">IFERROR(G423 - _xlfn.XLOOKUP(A423-30, $A$6:$A$14999,G$6:G$14999,"",-1,2),NA())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7"/>
        <v>51655</v>
      </c>
      <c r="F424" s="76">
        <f t="shared" si="88"/>
        <v>770</v>
      </c>
      <c r="G424" s="76">
        <f>SUMIF(F$6:F424,"&gt;0")</f>
        <v>191865</v>
      </c>
      <c r="H424" s="76">
        <f t="shared" si="89"/>
        <v>0</v>
      </c>
      <c r="I424" s="76">
        <f t="shared" si="90"/>
        <v>770</v>
      </c>
      <c r="J424" s="81">
        <f t="shared" si="91"/>
        <v>14.666666666666666</v>
      </c>
      <c r="K424" s="76">
        <f t="shared" si="92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7"/>
        <v>51205</v>
      </c>
      <c r="F425" s="76">
        <f t="shared" si="88"/>
        <v>-450</v>
      </c>
      <c r="G425" s="76">
        <f>SUMIF(F$6:F425,"&gt;0")</f>
        <v>191865</v>
      </c>
      <c r="H425" s="76">
        <f t="shared" si="89"/>
        <v>0</v>
      </c>
      <c r="I425" s="76">
        <f t="shared" si="90"/>
        <v>-450</v>
      </c>
      <c r="J425" s="81">
        <f t="shared" si="91"/>
        <v>-8.5714285714285712</v>
      </c>
      <c r="K425" s="76">
        <f t="shared" si="92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7"/>
        <v>51575</v>
      </c>
      <c r="F426" s="76">
        <f t="shared" si="88"/>
        <v>350</v>
      </c>
      <c r="G426" s="76">
        <f>SUMIF(F$6:F426,"&gt;0")</f>
        <v>192215</v>
      </c>
      <c r="H426" s="76">
        <f t="shared" si="89"/>
        <v>20</v>
      </c>
      <c r="I426" s="76">
        <f t="shared" si="90"/>
        <v>370</v>
      </c>
      <c r="J426" s="81">
        <f t="shared" si="91"/>
        <v>7.0476190476190483</v>
      </c>
      <c r="K426" s="76">
        <f t="shared" si="92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7"/>
        <v>49715</v>
      </c>
      <c r="F427" s="76">
        <f t="shared" si="88"/>
        <v>-1860</v>
      </c>
      <c r="G427" s="76">
        <f>SUMIF(F$6:F427,"&gt;0")</f>
        <v>192215</v>
      </c>
      <c r="H427" s="76">
        <f t="shared" si="89"/>
        <v>0</v>
      </c>
      <c r="I427" s="76">
        <f t="shared" si="90"/>
        <v>-1860</v>
      </c>
      <c r="J427" s="81">
        <f t="shared" si="91"/>
        <v>-35.428571428571431</v>
      </c>
      <c r="K427" s="76">
        <f t="shared" si="92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7"/>
        <v>43685</v>
      </c>
      <c r="F428" s="76">
        <f t="shared" si="88"/>
        <v>0</v>
      </c>
      <c r="G428" s="76">
        <f>SUMIF(F$6:F428,"&gt;0")</f>
        <v>192215</v>
      </c>
      <c r="H428" s="76">
        <f t="shared" si="89"/>
        <v>-6030</v>
      </c>
      <c r="I428" s="76">
        <f t="shared" si="90"/>
        <v>-6030</v>
      </c>
      <c r="J428" s="81">
        <f t="shared" si="91"/>
        <v>-114.85714285714286</v>
      </c>
      <c r="K428" s="76">
        <f t="shared" si="92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7"/>
        <v>43910</v>
      </c>
      <c r="F429" s="76">
        <f t="shared" si="88"/>
        <v>175</v>
      </c>
      <c r="G429" s="76">
        <f>SUMIF(F$6:F429,"&gt;0")</f>
        <v>192390</v>
      </c>
      <c r="H429" s="76">
        <f t="shared" si="89"/>
        <v>50</v>
      </c>
      <c r="I429" s="76">
        <f t="shared" si="90"/>
        <v>225</v>
      </c>
      <c r="J429" s="81">
        <f t="shared" si="91"/>
        <v>4.2857142857142856</v>
      </c>
      <c r="K429" s="76">
        <f t="shared" si="92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7"/>
        <v>43310</v>
      </c>
      <c r="F430" s="76">
        <f t="shared" si="88"/>
        <v>-600</v>
      </c>
      <c r="G430" s="76">
        <f>SUMIF(F$6:F430,"&gt;0")</f>
        <v>192390</v>
      </c>
      <c r="H430" s="76">
        <f t="shared" si="89"/>
        <v>0</v>
      </c>
      <c r="I430" s="76">
        <f t="shared" si="90"/>
        <v>-600</v>
      </c>
      <c r="J430" s="81">
        <f t="shared" si="91"/>
        <v>-11.428571428571427</v>
      </c>
      <c r="K430" s="76">
        <f t="shared" si="92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7"/>
        <v>75145</v>
      </c>
      <c r="F431" s="76">
        <f t="shared" si="88"/>
        <v>50</v>
      </c>
      <c r="G431" s="76">
        <f>SUMIF(F$6:F431,"&gt;0")</f>
        <v>192440</v>
      </c>
      <c r="H431" s="76">
        <f t="shared" si="89"/>
        <v>31785</v>
      </c>
      <c r="I431" s="76">
        <f t="shared" si="90"/>
        <v>31835</v>
      </c>
      <c r="J431" s="81">
        <f t="shared" si="91"/>
        <v>606.38095238095241</v>
      </c>
      <c r="K431" s="76">
        <f t="shared" si="92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7"/>
        <v>73765</v>
      </c>
      <c r="F432" s="76">
        <f t="shared" si="88"/>
        <v>-1380</v>
      </c>
      <c r="G432" s="76">
        <f>SUMIF(F$6:F432,"&gt;0")</f>
        <v>192440</v>
      </c>
      <c r="H432" s="76">
        <f t="shared" si="89"/>
        <v>0</v>
      </c>
      <c r="I432" s="76">
        <f t="shared" si="90"/>
        <v>-1380</v>
      </c>
      <c r="J432" s="81">
        <f t="shared" si="91"/>
        <v>-26.285714285714285</v>
      </c>
      <c r="K432" s="76">
        <f t="shared" si="92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7"/>
        <v>76085</v>
      </c>
      <c r="F433" s="76">
        <f t="shared" si="88"/>
        <v>2300</v>
      </c>
      <c r="G433" s="76">
        <f>SUMIF(F$6:F433,"&gt;0")</f>
        <v>194740</v>
      </c>
      <c r="H433" s="76">
        <f t="shared" si="89"/>
        <v>20</v>
      </c>
      <c r="I433" s="76">
        <f t="shared" si="90"/>
        <v>2320</v>
      </c>
      <c r="J433" s="81">
        <f t="shared" si="91"/>
        <v>44.19047619047619</v>
      </c>
      <c r="K433" s="76">
        <f t="shared" si="92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7"/>
        <v>75455</v>
      </c>
      <c r="F434" s="76">
        <f t="shared" si="88"/>
        <v>-630</v>
      </c>
      <c r="G434" s="76">
        <f>SUMIF(F$6:F434,"&gt;0")</f>
        <v>194740</v>
      </c>
      <c r="H434" s="76">
        <f t="shared" si="89"/>
        <v>0</v>
      </c>
      <c r="I434" s="76">
        <f t="shared" si="90"/>
        <v>-630</v>
      </c>
      <c r="J434" s="81">
        <f t="shared" si="91"/>
        <v>-12</v>
      </c>
      <c r="K434" s="76">
        <f t="shared" si="92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7"/>
        <v>72545</v>
      </c>
      <c r="F435" s="76">
        <f t="shared" si="88"/>
        <v>-2910</v>
      </c>
      <c r="G435" s="76">
        <f>SUMIF(F$6:F435,"&gt;0")</f>
        <v>194740</v>
      </c>
      <c r="H435" s="76">
        <f t="shared" si="89"/>
        <v>0</v>
      </c>
      <c r="I435" s="76">
        <f t="shared" si="90"/>
        <v>-2910</v>
      </c>
      <c r="J435" s="81">
        <f t="shared" si="91"/>
        <v>-55.428571428571431</v>
      </c>
      <c r="K435" s="76">
        <f t="shared" si="92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7"/>
        <v>74180</v>
      </c>
      <c r="F436" s="76">
        <f t="shared" si="88"/>
        <v>1615</v>
      </c>
      <c r="G436" s="76">
        <f>SUMIF(F$6:F436,"&gt;0")</f>
        <v>196355</v>
      </c>
      <c r="H436" s="76">
        <f t="shared" si="89"/>
        <v>20</v>
      </c>
      <c r="I436" s="76">
        <f t="shared" si="90"/>
        <v>1635</v>
      </c>
      <c r="J436" s="81">
        <f t="shared" si="91"/>
        <v>31.142857142857142</v>
      </c>
      <c r="K436" s="76">
        <f t="shared" si="92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7"/>
        <v>71910</v>
      </c>
      <c r="F437" s="76">
        <f t="shared" si="88"/>
        <v>-2250</v>
      </c>
      <c r="G437" s="76">
        <f>SUMIF(F$6:F437,"&gt;0")</f>
        <v>196355</v>
      </c>
      <c r="H437" s="76">
        <f t="shared" si="89"/>
        <v>-20</v>
      </c>
      <c r="I437" s="76">
        <f t="shared" si="90"/>
        <v>-2270</v>
      </c>
      <c r="J437" s="81">
        <f t="shared" si="91"/>
        <v>-43.238095238095234</v>
      </c>
      <c r="K437" s="76">
        <f t="shared" si="92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7"/>
        <v>72230</v>
      </c>
      <c r="F438" s="76">
        <f t="shared" si="88"/>
        <v>250</v>
      </c>
      <c r="G438" s="76">
        <f>SUMIF(F$6:F438,"&gt;0")</f>
        <v>196605</v>
      </c>
      <c r="H438" s="76">
        <f t="shared" si="89"/>
        <v>70</v>
      </c>
      <c r="I438" s="76">
        <f t="shared" si="90"/>
        <v>320</v>
      </c>
      <c r="J438" s="81">
        <f t="shared" si="91"/>
        <v>6.0952380952380958</v>
      </c>
      <c r="K438" s="76">
        <f t="shared" si="92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7"/>
        <v>70070</v>
      </c>
      <c r="F439" s="76">
        <f t="shared" si="88"/>
        <v>-2160</v>
      </c>
      <c r="G439" s="76">
        <f>SUMIF(F$6:F439,"&gt;0")</f>
        <v>196605</v>
      </c>
      <c r="H439" s="76">
        <f t="shared" si="89"/>
        <v>0</v>
      </c>
      <c r="I439" s="76">
        <f t="shared" si="90"/>
        <v>-2160</v>
      </c>
      <c r="J439" s="81">
        <f t="shared" si="91"/>
        <v>-41.142857142857139</v>
      </c>
      <c r="K439" s="76">
        <f t="shared" si="92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7"/>
        <v>72390</v>
      </c>
      <c r="F440" s="76">
        <f t="shared" si="88"/>
        <v>2300</v>
      </c>
      <c r="G440" s="76">
        <f>SUMIF(F$6:F440,"&gt;0")</f>
        <v>198905</v>
      </c>
      <c r="H440" s="76">
        <f t="shared" si="89"/>
        <v>20</v>
      </c>
      <c r="I440" s="76">
        <f t="shared" si="90"/>
        <v>2320</v>
      </c>
      <c r="J440" s="81">
        <f t="shared" si="91"/>
        <v>44.19047619047619</v>
      </c>
      <c r="K440" s="76">
        <f t="shared" si="92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7"/>
        <v>69450</v>
      </c>
      <c r="F441" s="76">
        <f t="shared" si="88"/>
        <v>-2940</v>
      </c>
      <c r="G441" s="76">
        <f>SUMIF(F$6:F441,"&gt;0")</f>
        <v>198905</v>
      </c>
      <c r="H441" s="76">
        <f t="shared" si="89"/>
        <v>0</v>
      </c>
      <c r="I441" s="76">
        <f t="shared" si="90"/>
        <v>-2940</v>
      </c>
      <c r="J441" s="81">
        <f t="shared" si="91"/>
        <v>-56</v>
      </c>
      <c r="K441" s="76">
        <f t="shared" si="92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7"/>
        <v>69995</v>
      </c>
      <c r="F442" s="76">
        <f t="shared" si="88"/>
        <v>525</v>
      </c>
      <c r="G442" s="76">
        <f>SUMIF(F$6:F442,"&gt;0")</f>
        <v>199430</v>
      </c>
      <c r="H442" s="76">
        <f t="shared" si="89"/>
        <v>20</v>
      </c>
      <c r="I442" s="76">
        <f t="shared" si="90"/>
        <v>545</v>
      </c>
      <c r="J442" s="81">
        <f t="shared" si="91"/>
        <v>10.380952380952381</v>
      </c>
      <c r="K442" s="76">
        <f t="shared" si="92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7"/>
        <v>60995</v>
      </c>
      <c r="F443" s="76">
        <f t="shared" si="88"/>
        <v>-930</v>
      </c>
      <c r="G443" s="76">
        <f>SUMIF(F$6:F443,"&gt;0")</f>
        <v>199430</v>
      </c>
      <c r="H443" s="76">
        <f t="shared" si="89"/>
        <v>-8070</v>
      </c>
      <c r="I443" s="76">
        <f t="shared" si="90"/>
        <v>-9000</v>
      </c>
      <c r="J443" s="81">
        <f t="shared" si="91"/>
        <v>-171.42857142857142</v>
      </c>
      <c r="K443" s="76">
        <f t="shared" si="92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7"/>
        <v>64745</v>
      </c>
      <c r="F444" s="76">
        <f t="shared" si="88"/>
        <v>3700</v>
      </c>
      <c r="G444" s="76">
        <f>SUMIF(F$6:F444,"&gt;0")</f>
        <v>203130</v>
      </c>
      <c r="H444" s="76">
        <f t="shared" si="89"/>
        <v>50</v>
      </c>
      <c r="I444" s="76">
        <f t="shared" si="90"/>
        <v>3750</v>
      </c>
      <c r="J444" s="81">
        <f t="shared" si="91"/>
        <v>71.428571428571431</v>
      </c>
      <c r="K444" s="76">
        <f t="shared" si="92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7"/>
        <v>57605</v>
      </c>
      <c r="F445" s="76">
        <f t="shared" si="88"/>
        <v>-3690</v>
      </c>
      <c r="G445" s="76">
        <f>SUMIF(F$6:F445,"&gt;0")</f>
        <v>203130</v>
      </c>
      <c r="H445" s="76">
        <f t="shared" si="89"/>
        <v>-3450</v>
      </c>
      <c r="I445" s="76">
        <f t="shared" si="90"/>
        <v>-7140</v>
      </c>
      <c r="J445" s="81">
        <f t="shared" si="91"/>
        <v>-136</v>
      </c>
      <c r="K445" s="76">
        <f t="shared" si="92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7"/>
        <v>58020</v>
      </c>
      <c r="F446" s="76">
        <f t="shared" si="88"/>
        <v>375</v>
      </c>
      <c r="G446" s="76">
        <f>SUMIF(F$6:F446,"&gt;0")</f>
        <v>203505</v>
      </c>
      <c r="H446" s="76">
        <f t="shared" si="89"/>
        <v>40</v>
      </c>
      <c r="I446" s="76">
        <f t="shared" si="90"/>
        <v>415</v>
      </c>
      <c r="J446" s="81">
        <f t="shared" si="91"/>
        <v>7.9047619047619042</v>
      </c>
      <c r="K446" s="76">
        <f t="shared" si="92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7"/>
        <v>48660</v>
      </c>
      <c r="F447" s="76">
        <f t="shared" si="88"/>
        <v>-360</v>
      </c>
      <c r="G447" s="76">
        <f>SUMIF(F$6:F447,"&gt;0")</f>
        <v>203505</v>
      </c>
      <c r="H447" s="76">
        <f t="shared" si="89"/>
        <v>-9000</v>
      </c>
      <c r="I447" s="76">
        <f t="shared" si="90"/>
        <v>-9360</v>
      </c>
      <c r="J447" s="81">
        <f t="shared" si="91"/>
        <v>-178.28571428571428</v>
      </c>
      <c r="K447" s="76">
        <f t="shared" si="92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7"/>
        <v>49510</v>
      </c>
      <c r="F448" s="76">
        <f t="shared" si="88"/>
        <v>275</v>
      </c>
      <c r="G448" s="76">
        <f>SUMIF(F$6:F448,"&gt;0")</f>
        <v>203780</v>
      </c>
      <c r="H448" s="76">
        <f t="shared" si="89"/>
        <v>575</v>
      </c>
      <c r="I448" s="76">
        <f t="shared" si="90"/>
        <v>850</v>
      </c>
      <c r="J448" s="81">
        <f t="shared" si="91"/>
        <v>16.19047619047619</v>
      </c>
      <c r="K448" s="76">
        <f t="shared" si="92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7"/>
        <v>46000</v>
      </c>
      <c r="F449" s="76">
        <f t="shared" si="88"/>
        <v>-300</v>
      </c>
      <c r="G449" s="76">
        <f>SUMIF(F$6:F449,"&gt;0")</f>
        <v>203780</v>
      </c>
      <c r="H449" s="76">
        <f t="shared" si="89"/>
        <v>-3210</v>
      </c>
      <c r="I449" s="76">
        <f t="shared" si="90"/>
        <v>-3510</v>
      </c>
      <c r="J449" s="81">
        <f t="shared" si="91"/>
        <v>-66.857142857142861</v>
      </c>
      <c r="K449" s="76">
        <f t="shared" si="92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7"/>
        <v>46690</v>
      </c>
      <c r="F450" s="76">
        <f t="shared" si="88"/>
        <v>670</v>
      </c>
      <c r="G450" s="76">
        <f>SUMIF(F$6:F450,"&gt;0")</f>
        <v>204450</v>
      </c>
      <c r="H450" s="76">
        <f t="shared" si="89"/>
        <v>20</v>
      </c>
      <c r="I450" s="76">
        <f t="shared" si="90"/>
        <v>690</v>
      </c>
      <c r="J450" s="81">
        <f t="shared" si="91"/>
        <v>13.142857142857142</v>
      </c>
      <c r="K450" s="76">
        <f t="shared" si="92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7"/>
        <v>42280</v>
      </c>
      <c r="F451" s="76">
        <f t="shared" si="88"/>
        <v>-660</v>
      </c>
      <c r="G451" s="76">
        <f>SUMIF(F$6:F451,"&gt;0")</f>
        <v>204450</v>
      </c>
      <c r="H451" s="76">
        <f t="shared" si="89"/>
        <v>-3750</v>
      </c>
      <c r="I451" s="76">
        <f t="shared" si="90"/>
        <v>-4410</v>
      </c>
      <c r="J451" s="81">
        <f t="shared" si="91"/>
        <v>-84</v>
      </c>
      <c r="K451" s="76">
        <f t="shared" si="92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7"/>
        <v>42595</v>
      </c>
      <c r="F452" s="76">
        <f t="shared" si="88"/>
        <v>295</v>
      </c>
      <c r="G452" s="76">
        <f>SUMIF(F$6:F452,"&gt;0")</f>
        <v>204745</v>
      </c>
      <c r="H452" s="76">
        <f t="shared" si="89"/>
        <v>20</v>
      </c>
      <c r="I452" s="76">
        <f t="shared" si="90"/>
        <v>315</v>
      </c>
      <c r="J452" s="81">
        <f t="shared" si="91"/>
        <v>6</v>
      </c>
      <c r="K452" s="76">
        <f t="shared" si="92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7"/>
        <v>36895</v>
      </c>
      <c r="F453" s="76">
        <f t="shared" si="88"/>
        <v>-300</v>
      </c>
      <c r="G453" s="76">
        <f>SUMIF(F$6:F453,"&gt;0")</f>
        <v>204745</v>
      </c>
      <c r="H453" s="76">
        <f t="shared" si="89"/>
        <v>-5400</v>
      </c>
      <c r="I453" s="76">
        <f t="shared" si="90"/>
        <v>-5700</v>
      </c>
      <c r="J453" s="81">
        <f t="shared" si="91"/>
        <v>-108.57142857142858</v>
      </c>
      <c r="K453" s="76">
        <f t="shared" si="92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7"/>
        <v>37505</v>
      </c>
      <c r="F454" s="76">
        <f t="shared" si="88"/>
        <v>590</v>
      </c>
      <c r="G454" s="76">
        <f>SUMIF(F$6:F454,"&gt;0")</f>
        <v>205335</v>
      </c>
      <c r="H454" s="76">
        <f t="shared" si="89"/>
        <v>20</v>
      </c>
      <c r="I454" s="76">
        <f t="shared" si="90"/>
        <v>610</v>
      </c>
      <c r="J454" s="81">
        <f t="shared" si="91"/>
        <v>11.61904761904762</v>
      </c>
      <c r="K454" s="76">
        <f t="shared" si="92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7"/>
        <v>32675</v>
      </c>
      <c r="F455" s="76">
        <f t="shared" ref="F455:F486" si="93">C455-C454</f>
        <v>-570</v>
      </c>
      <c r="G455" s="76">
        <f>SUMIF(F$6:F455,"&gt;0")</f>
        <v>205335</v>
      </c>
      <c r="H455" s="76">
        <f t="shared" ref="H455:H486" si="94">D455-D454</f>
        <v>-4260</v>
      </c>
      <c r="I455" s="76">
        <f t="shared" ref="I455:I486" si="95">SUM(F455,H455)</f>
        <v>-4830</v>
      </c>
      <c r="J455" s="81">
        <f t="shared" ref="J455:J486" si="96">I455/4200*80</f>
        <v>-92</v>
      </c>
      <c r="K455" s="76">
        <f t="shared" ref="K455:K486" si="97">IFERROR(G455 - _xlfn.XLOOKUP(A455-30, $A$6:$A$14999,G$6:G$14999,"",-1,2),NA())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7"/>
        <v>32645</v>
      </c>
      <c r="F456" s="76">
        <f t="shared" si="93"/>
        <v>0</v>
      </c>
      <c r="G456" s="76">
        <f>SUMIF(F$6:F456,"&gt;0")</f>
        <v>205335</v>
      </c>
      <c r="H456" s="76">
        <f t="shared" si="94"/>
        <v>-30</v>
      </c>
      <c r="I456" s="76">
        <f t="shared" si="95"/>
        <v>-30</v>
      </c>
      <c r="J456" s="81">
        <f t="shared" si="96"/>
        <v>-0.5714285714285714</v>
      </c>
      <c r="K456" s="76">
        <f t="shared" si="97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7"/>
        <v>33610</v>
      </c>
      <c r="F457" s="76">
        <f t="shared" si="93"/>
        <v>915</v>
      </c>
      <c r="G457" s="76">
        <f>SUMIF(F$6:F457,"&gt;0")</f>
        <v>206250</v>
      </c>
      <c r="H457" s="76">
        <f t="shared" si="94"/>
        <v>50</v>
      </c>
      <c r="I457" s="76">
        <f t="shared" si="95"/>
        <v>965</v>
      </c>
      <c r="J457" s="81">
        <f t="shared" si="96"/>
        <v>18.38095238095238</v>
      </c>
      <c r="K457" s="76">
        <f t="shared" si="97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7"/>
        <v>28630</v>
      </c>
      <c r="F458" s="76">
        <f t="shared" si="93"/>
        <v>-930</v>
      </c>
      <c r="G458" s="76">
        <f>SUMIF(F$6:F458,"&gt;0")</f>
        <v>206250</v>
      </c>
      <c r="H458" s="76">
        <f t="shared" si="94"/>
        <v>-4050</v>
      </c>
      <c r="I458" s="76">
        <f t="shared" si="95"/>
        <v>-4980</v>
      </c>
      <c r="J458" s="81">
        <f t="shared" si="96"/>
        <v>-94.857142857142861</v>
      </c>
      <c r="K458" s="76">
        <f t="shared" si="97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7"/>
        <v>28620</v>
      </c>
      <c r="F459" s="76">
        <f t="shared" si="93"/>
        <v>470</v>
      </c>
      <c r="G459" s="76">
        <f>SUMIF(F$6:F459,"&gt;0")</f>
        <v>206720</v>
      </c>
      <c r="H459" s="76">
        <f t="shared" si="94"/>
        <v>-480</v>
      </c>
      <c r="I459" s="76">
        <f t="shared" si="95"/>
        <v>-10</v>
      </c>
      <c r="J459" s="81">
        <f t="shared" si="96"/>
        <v>-0.19047619047619049</v>
      </c>
      <c r="K459" s="76">
        <f t="shared" si="97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7"/>
        <v>21330</v>
      </c>
      <c r="F460" s="76">
        <f t="shared" si="93"/>
        <v>-480</v>
      </c>
      <c r="G460" s="76">
        <f>SUMIF(F$6:F460,"&gt;0")</f>
        <v>206720</v>
      </c>
      <c r="H460" s="76">
        <f t="shared" si="94"/>
        <v>-6810</v>
      </c>
      <c r="I460" s="76">
        <f t="shared" si="95"/>
        <v>-7290</v>
      </c>
      <c r="J460" s="81">
        <f t="shared" si="96"/>
        <v>-138.85714285714286</v>
      </c>
      <c r="K460" s="76">
        <f t="shared" si="97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7"/>
        <v>22240</v>
      </c>
      <c r="F461" s="76">
        <f t="shared" si="93"/>
        <v>335</v>
      </c>
      <c r="G461" s="76">
        <f>SUMIF(F$6:F461,"&gt;0")</f>
        <v>207055</v>
      </c>
      <c r="H461" s="76">
        <f t="shared" si="94"/>
        <v>575</v>
      </c>
      <c r="I461" s="76">
        <f t="shared" si="95"/>
        <v>910</v>
      </c>
      <c r="J461" s="81">
        <f t="shared" si="96"/>
        <v>17.333333333333336</v>
      </c>
      <c r="K461" s="76">
        <f t="shared" si="97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7"/>
        <v>15190</v>
      </c>
      <c r="F462" s="76">
        <f t="shared" si="93"/>
        <v>-330</v>
      </c>
      <c r="G462" s="76">
        <f>SUMIF(F$6:F462,"&gt;0")</f>
        <v>207055</v>
      </c>
      <c r="H462" s="76">
        <f t="shared" si="94"/>
        <v>-6720</v>
      </c>
      <c r="I462" s="76">
        <f t="shared" si="95"/>
        <v>-7050</v>
      </c>
      <c r="J462" s="81">
        <f t="shared" si="96"/>
        <v>-134.28571428571428</v>
      </c>
      <c r="K462" s="76">
        <f t="shared" si="97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7"/>
        <v>15395</v>
      </c>
      <c r="F463" s="76">
        <f t="shared" si="93"/>
        <v>185</v>
      </c>
      <c r="G463" s="76">
        <f>SUMIF(F$6:F463,"&gt;0")</f>
        <v>207240</v>
      </c>
      <c r="H463" s="76">
        <f t="shared" si="94"/>
        <v>20</v>
      </c>
      <c r="I463" s="76">
        <f t="shared" si="95"/>
        <v>205</v>
      </c>
      <c r="J463" s="81">
        <f t="shared" si="96"/>
        <v>3.9047619047619047</v>
      </c>
      <c r="K463" s="76">
        <f t="shared" si="97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7"/>
        <v>14165</v>
      </c>
      <c r="F464" s="76">
        <f t="shared" si="93"/>
        <v>-180</v>
      </c>
      <c r="G464" s="76">
        <f>SUMIF(F$6:F464,"&gt;0")</f>
        <v>207240</v>
      </c>
      <c r="H464" s="76">
        <f t="shared" si="94"/>
        <v>-1050</v>
      </c>
      <c r="I464" s="76">
        <f t="shared" si="95"/>
        <v>-1230</v>
      </c>
      <c r="J464" s="81">
        <f t="shared" si="96"/>
        <v>-23.428571428571431</v>
      </c>
      <c r="K464" s="76">
        <f t="shared" si="97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7"/>
        <v>14435</v>
      </c>
      <c r="F465" s="76">
        <f t="shared" si="93"/>
        <v>250</v>
      </c>
      <c r="G465" s="76">
        <f>SUMIF(F$6:F465,"&gt;0")</f>
        <v>207490</v>
      </c>
      <c r="H465" s="76">
        <f t="shared" si="94"/>
        <v>20</v>
      </c>
      <c r="I465" s="76">
        <f t="shared" si="95"/>
        <v>270</v>
      </c>
      <c r="J465" s="81">
        <f t="shared" si="96"/>
        <v>5.1428571428571423</v>
      </c>
      <c r="K465" s="76">
        <f t="shared" si="97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7"/>
        <v>3005</v>
      </c>
      <c r="F466" s="76">
        <f t="shared" si="93"/>
        <v>-240</v>
      </c>
      <c r="G466" s="76">
        <f>SUMIF(F$6:F466,"&gt;0")</f>
        <v>207490</v>
      </c>
      <c r="H466" s="76">
        <f t="shared" si="94"/>
        <v>-11190</v>
      </c>
      <c r="I466" s="76">
        <f t="shared" si="95"/>
        <v>-11430</v>
      </c>
      <c r="J466" s="81">
        <f t="shared" si="96"/>
        <v>-217.71428571428572</v>
      </c>
      <c r="K466" s="76">
        <f t="shared" si="97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7"/>
        <v>3200</v>
      </c>
      <c r="F467" s="76">
        <f t="shared" si="93"/>
        <v>175</v>
      </c>
      <c r="G467" s="76">
        <f>SUMIF(F$6:F467,"&gt;0")</f>
        <v>207665</v>
      </c>
      <c r="H467" s="76">
        <f t="shared" si="94"/>
        <v>20</v>
      </c>
      <c r="I467" s="76">
        <f t="shared" si="95"/>
        <v>195</v>
      </c>
      <c r="J467" s="81">
        <f t="shared" si="96"/>
        <v>3.7142857142857144</v>
      </c>
      <c r="K467" s="76">
        <f t="shared" si="97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7"/>
        <v>830</v>
      </c>
      <c r="F468" s="76">
        <f t="shared" si="93"/>
        <v>-180</v>
      </c>
      <c r="G468" s="76">
        <f>SUMIF(F$6:F468,"&gt;0")</f>
        <v>207665</v>
      </c>
      <c r="H468" s="76">
        <f t="shared" si="94"/>
        <v>-2190</v>
      </c>
      <c r="I468" s="76">
        <f t="shared" si="95"/>
        <v>-2370</v>
      </c>
      <c r="J468" s="81">
        <f t="shared" si="96"/>
        <v>-45.142857142857139</v>
      </c>
      <c r="K468" s="76">
        <f t="shared" si="97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7"/>
        <v>9755</v>
      </c>
      <c r="F469" s="76">
        <f t="shared" si="93"/>
        <v>0</v>
      </c>
      <c r="G469" s="76">
        <f>SUMIF(F$6:F469,"&gt;0")</f>
        <v>207665</v>
      </c>
      <c r="H469" s="76">
        <f t="shared" si="94"/>
        <v>8925</v>
      </c>
      <c r="I469" s="76">
        <f t="shared" si="95"/>
        <v>8925</v>
      </c>
      <c r="J469" s="81">
        <f t="shared" si="96"/>
        <v>170</v>
      </c>
      <c r="K469" s="76">
        <f t="shared" si="97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7"/>
        <v>5855</v>
      </c>
      <c r="F470" s="76">
        <f t="shared" si="93"/>
        <v>0</v>
      </c>
      <c r="G470" s="76">
        <f>SUMIF(F$6:F470,"&gt;0")</f>
        <v>207665</v>
      </c>
      <c r="H470" s="76">
        <f t="shared" si="94"/>
        <v>-3900</v>
      </c>
      <c r="I470" s="76">
        <f t="shared" si="95"/>
        <v>-3900</v>
      </c>
      <c r="J470" s="81">
        <f t="shared" si="96"/>
        <v>-74.285714285714292</v>
      </c>
      <c r="K470" s="76">
        <f t="shared" si="97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7"/>
        <v>6125</v>
      </c>
      <c r="F471" s="76">
        <f t="shared" si="93"/>
        <v>250</v>
      </c>
      <c r="G471" s="76">
        <f>SUMIF(F$6:F471,"&gt;0")</f>
        <v>207915</v>
      </c>
      <c r="H471" s="76">
        <f t="shared" si="94"/>
        <v>20</v>
      </c>
      <c r="I471" s="76">
        <f t="shared" si="95"/>
        <v>270</v>
      </c>
      <c r="J471" s="81">
        <f t="shared" si="96"/>
        <v>5.1428571428571423</v>
      </c>
      <c r="K471" s="76">
        <f t="shared" si="97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7"/>
        <v>1595</v>
      </c>
      <c r="F472" s="76">
        <f t="shared" si="93"/>
        <v>-240</v>
      </c>
      <c r="G472" s="76">
        <f>SUMIF(F$6:F472,"&gt;0")</f>
        <v>207915</v>
      </c>
      <c r="H472" s="76">
        <f t="shared" si="94"/>
        <v>-4290</v>
      </c>
      <c r="I472" s="76">
        <f t="shared" si="95"/>
        <v>-4530</v>
      </c>
      <c r="J472" s="81">
        <f t="shared" si="96"/>
        <v>-86.285714285714278</v>
      </c>
      <c r="K472" s="76">
        <f t="shared" si="97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7"/>
        <v>9995</v>
      </c>
      <c r="F473" s="76">
        <f t="shared" si="93"/>
        <v>0</v>
      </c>
      <c r="G473" s="76">
        <f>SUMIF(F$6:F473,"&gt;0")</f>
        <v>207915</v>
      </c>
      <c r="H473" s="76">
        <f t="shared" si="94"/>
        <v>8400</v>
      </c>
      <c r="I473" s="76">
        <f t="shared" si="95"/>
        <v>8400</v>
      </c>
      <c r="J473" s="81">
        <f t="shared" si="96"/>
        <v>160</v>
      </c>
      <c r="K473" s="76">
        <f t="shared" si="97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7"/>
        <v>7655</v>
      </c>
      <c r="F474" s="76">
        <f t="shared" si="93"/>
        <v>0</v>
      </c>
      <c r="G474" s="76">
        <f>SUMIF(F$6:F474,"&gt;0")</f>
        <v>207915</v>
      </c>
      <c r="H474" s="76">
        <f t="shared" si="94"/>
        <v>-2340</v>
      </c>
      <c r="I474" s="76">
        <f t="shared" si="95"/>
        <v>-2340</v>
      </c>
      <c r="J474" s="81">
        <f t="shared" si="96"/>
        <v>-44.571428571428569</v>
      </c>
      <c r="K474" s="76">
        <f t="shared" si="97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7"/>
        <v>8375</v>
      </c>
      <c r="F475" s="76">
        <f t="shared" si="93"/>
        <v>700</v>
      </c>
      <c r="G475" s="76">
        <f>SUMIF(F$6:F475,"&gt;0")</f>
        <v>208615</v>
      </c>
      <c r="H475" s="76">
        <f t="shared" si="94"/>
        <v>20</v>
      </c>
      <c r="I475" s="76">
        <f t="shared" si="95"/>
        <v>720</v>
      </c>
      <c r="J475" s="81">
        <f t="shared" si="96"/>
        <v>13.714285714285715</v>
      </c>
      <c r="K475" s="76">
        <f t="shared" si="97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7"/>
        <v>1115</v>
      </c>
      <c r="F476" s="76">
        <f t="shared" si="93"/>
        <v>-720</v>
      </c>
      <c r="G476" s="76">
        <f>SUMIF(F$6:F476,"&gt;0")</f>
        <v>208615</v>
      </c>
      <c r="H476" s="76">
        <f t="shared" si="94"/>
        <v>-6540</v>
      </c>
      <c r="I476" s="76">
        <f t="shared" si="95"/>
        <v>-7260</v>
      </c>
      <c r="J476" s="81">
        <f t="shared" si="96"/>
        <v>-138.28571428571428</v>
      </c>
      <c r="K476" s="76">
        <f t="shared" si="97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7"/>
        <v>9995</v>
      </c>
      <c r="F477" s="76">
        <f t="shared" si="93"/>
        <v>0</v>
      </c>
      <c r="G477" s="76">
        <f>SUMIF(F$6:F477,"&gt;0")</f>
        <v>208615</v>
      </c>
      <c r="H477" s="76">
        <f t="shared" si="94"/>
        <v>8880</v>
      </c>
      <c r="I477" s="76">
        <f t="shared" si="95"/>
        <v>8880</v>
      </c>
      <c r="J477" s="81">
        <f t="shared" si="96"/>
        <v>169.14285714285714</v>
      </c>
      <c r="K477" s="76">
        <f t="shared" si="97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7"/>
        <v>3200</v>
      </c>
      <c r="F478" s="76">
        <f t="shared" si="93"/>
        <v>75</v>
      </c>
      <c r="G478" s="76">
        <f>SUMIF(F$6:F478,"&gt;0")</f>
        <v>208690</v>
      </c>
      <c r="H478" s="76">
        <f t="shared" si="94"/>
        <v>-6870</v>
      </c>
      <c r="I478" s="76">
        <f t="shared" si="95"/>
        <v>-6795</v>
      </c>
      <c r="J478" s="81">
        <f t="shared" si="96"/>
        <v>-129.42857142857144</v>
      </c>
      <c r="K478" s="76">
        <f t="shared" si="97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7"/>
        <v>3620</v>
      </c>
      <c r="F479" s="76">
        <f t="shared" si="93"/>
        <v>300</v>
      </c>
      <c r="G479" s="76">
        <f>SUMIF(F$6:F479,"&gt;0")</f>
        <v>208990</v>
      </c>
      <c r="H479" s="76">
        <f t="shared" si="94"/>
        <v>120</v>
      </c>
      <c r="I479" s="76">
        <f t="shared" si="95"/>
        <v>420</v>
      </c>
      <c r="J479" s="81">
        <f t="shared" si="96"/>
        <v>8</v>
      </c>
      <c r="K479" s="76">
        <f t="shared" si="97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7"/>
        <v>12020</v>
      </c>
      <c r="F480" s="76">
        <f t="shared" si="93"/>
        <v>0</v>
      </c>
      <c r="G480" s="76">
        <f>SUMIF(F$6:F480,"&gt;0")</f>
        <v>208990</v>
      </c>
      <c r="H480" s="76">
        <f t="shared" si="94"/>
        <v>8400</v>
      </c>
      <c r="I480" s="76">
        <f t="shared" si="95"/>
        <v>8400</v>
      </c>
      <c r="J480" s="81">
        <f t="shared" si="96"/>
        <v>160</v>
      </c>
      <c r="K480" s="76">
        <f t="shared" si="97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7"/>
        <v>20</v>
      </c>
      <c r="F481" s="76">
        <f t="shared" si="93"/>
        <v>-360</v>
      </c>
      <c r="G481" s="76">
        <f>SUMIF(F$6:F481,"&gt;0")</f>
        <v>208990</v>
      </c>
      <c r="H481" s="76">
        <f t="shared" si="94"/>
        <v>-11640</v>
      </c>
      <c r="I481" s="76">
        <f t="shared" si="95"/>
        <v>-12000</v>
      </c>
      <c r="J481" s="81">
        <f t="shared" si="96"/>
        <v>-228.57142857142858</v>
      </c>
      <c r="K481" s="76">
        <f t="shared" si="97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7"/>
        <v>12620</v>
      </c>
      <c r="F482" s="76">
        <f t="shared" si="93"/>
        <v>0</v>
      </c>
      <c r="G482" s="76">
        <f>SUMIF(F$6:F482,"&gt;0")</f>
        <v>208990</v>
      </c>
      <c r="H482" s="76">
        <f t="shared" si="94"/>
        <v>12600</v>
      </c>
      <c r="I482" s="76">
        <f t="shared" si="95"/>
        <v>12600</v>
      </c>
      <c r="J482" s="81">
        <f t="shared" si="96"/>
        <v>240</v>
      </c>
      <c r="K482" s="76">
        <f t="shared" si="97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7"/>
        <v>11720</v>
      </c>
      <c r="F483" s="76">
        <f t="shared" si="93"/>
        <v>0</v>
      </c>
      <c r="G483" s="76">
        <f>SUMIF(F$6:F483,"&gt;0")</f>
        <v>208990</v>
      </c>
      <c r="H483" s="76">
        <f t="shared" si="94"/>
        <v>-900</v>
      </c>
      <c r="I483" s="76">
        <f t="shared" si="95"/>
        <v>-900</v>
      </c>
      <c r="J483" s="81">
        <f t="shared" si="96"/>
        <v>-17.142857142857142</v>
      </c>
      <c r="K483" s="76">
        <f t="shared" si="97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7"/>
        <v>12215</v>
      </c>
      <c r="F484" s="76">
        <f t="shared" si="93"/>
        <v>475</v>
      </c>
      <c r="G484" s="76">
        <f>SUMIF(F$6:F484,"&gt;0")</f>
        <v>209465</v>
      </c>
      <c r="H484" s="76">
        <f t="shared" si="94"/>
        <v>20</v>
      </c>
      <c r="I484" s="76">
        <f t="shared" si="95"/>
        <v>495</v>
      </c>
      <c r="J484" s="81">
        <f t="shared" si="96"/>
        <v>9.4285714285714288</v>
      </c>
      <c r="K484" s="76">
        <f t="shared" si="97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7"/>
        <v>2135</v>
      </c>
      <c r="F485" s="76">
        <f t="shared" si="93"/>
        <v>-240</v>
      </c>
      <c r="G485" s="76">
        <f>SUMIF(F$6:F485,"&gt;0")</f>
        <v>209465</v>
      </c>
      <c r="H485" s="76">
        <f t="shared" si="94"/>
        <v>-9840</v>
      </c>
      <c r="I485" s="76">
        <f t="shared" si="95"/>
        <v>-10080</v>
      </c>
      <c r="J485" s="81">
        <f t="shared" si="96"/>
        <v>-192</v>
      </c>
      <c r="K485" s="76">
        <f t="shared" si="97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7"/>
        <v>12745</v>
      </c>
      <c r="F486" s="76">
        <f t="shared" si="93"/>
        <v>1665</v>
      </c>
      <c r="G486" s="76">
        <f>SUMIF(F$6:F486,"&gt;0")</f>
        <v>211130</v>
      </c>
      <c r="H486" s="76">
        <f t="shared" si="94"/>
        <v>8945</v>
      </c>
      <c r="I486" s="76">
        <f t="shared" si="95"/>
        <v>10610</v>
      </c>
      <c r="J486" s="81">
        <f t="shared" si="96"/>
        <v>202.09523809523807</v>
      </c>
      <c r="K486" s="76">
        <f t="shared" si="97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7"/>
        <v>3455</v>
      </c>
      <c r="F487" s="76">
        <f t="shared" ref="F487:F518" si="98">C487-C486</f>
        <v>-1920</v>
      </c>
      <c r="G487" s="76">
        <f>SUMIF(F$6:F487,"&gt;0")</f>
        <v>211130</v>
      </c>
      <c r="H487" s="76">
        <f t="shared" ref="H487:H518" si="99">D487-D486</f>
        <v>-7370</v>
      </c>
      <c r="I487" s="76">
        <f t="shared" ref="I487:I518" si="100">SUM(F487,H487)</f>
        <v>-9290</v>
      </c>
      <c r="J487" s="81">
        <f t="shared" ref="J487:J518" si="101">I487/4200*80</f>
        <v>-176.95238095238096</v>
      </c>
      <c r="K487" s="76">
        <f t="shared" ref="K487:K518" si="102">IFERROR(G487 - _xlfn.XLOOKUP(A487-30, $A$6:$A$14999,G$6:G$14999,"",-1,2),NA())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7"/>
        <v>3650</v>
      </c>
      <c r="F488" s="76">
        <f t="shared" si="98"/>
        <v>175</v>
      </c>
      <c r="G488" s="76">
        <f>SUMIF(F$6:F488,"&gt;0")</f>
        <v>211305</v>
      </c>
      <c r="H488" s="76">
        <f t="shared" si="99"/>
        <v>20</v>
      </c>
      <c r="I488" s="76">
        <f t="shared" si="100"/>
        <v>195</v>
      </c>
      <c r="J488" s="81">
        <f t="shared" si="101"/>
        <v>3.7142857142857144</v>
      </c>
      <c r="K488" s="76">
        <f t="shared" si="102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7"/>
        <v>24850</v>
      </c>
      <c r="F489" s="76">
        <f t="shared" si="98"/>
        <v>200</v>
      </c>
      <c r="G489" s="76">
        <f>SUMIF(F$6:F489,"&gt;0")</f>
        <v>211505</v>
      </c>
      <c r="H489" s="76">
        <f t="shared" si="99"/>
        <v>21000</v>
      </c>
      <c r="I489" s="76">
        <f t="shared" si="100"/>
        <v>21200</v>
      </c>
      <c r="J489" s="81">
        <f t="shared" si="101"/>
        <v>403.8095238095238</v>
      </c>
      <c r="K489" s="76">
        <f t="shared" si="102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7"/>
        <v>4420</v>
      </c>
      <c r="F490" s="76">
        <f t="shared" si="98"/>
        <v>0</v>
      </c>
      <c r="G490" s="76">
        <f>SUMIF(F$6:F490,"&gt;0")</f>
        <v>211505</v>
      </c>
      <c r="H490" s="76">
        <f t="shared" si="99"/>
        <v>-20430</v>
      </c>
      <c r="I490" s="76">
        <f t="shared" si="100"/>
        <v>-20430</v>
      </c>
      <c r="J490" s="81">
        <f t="shared" si="101"/>
        <v>-389.14285714285711</v>
      </c>
      <c r="K490" s="76">
        <f t="shared" si="102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7"/>
        <v>5015</v>
      </c>
      <c r="F491" s="76">
        <f t="shared" si="98"/>
        <v>545</v>
      </c>
      <c r="G491" s="76">
        <f>SUMIF(F$6:F491,"&gt;0")</f>
        <v>212050</v>
      </c>
      <c r="H491" s="76">
        <f t="shared" si="99"/>
        <v>50</v>
      </c>
      <c r="I491" s="76">
        <f t="shared" si="100"/>
        <v>595</v>
      </c>
      <c r="J491" s="81">
        <f t="shared" si="101"/>
        <v>11.333333333333332</v>
      </c>
      <c r="K491" s="76">
        <f t="shared" si="102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7"/>
        <v>5640</v>
      </c>
      <c r="F492" s="76">
        <f t="shared" si="98"/>
        <v>75</v>
      </c>
      <c r="G492" s="76">
        <f>SUMIF(F$6:F492,"&gt;0")</f>
        <v>212125</v>
      </c>
      <c r="H492" s="76">
        <f t="shared" si="99"/>
        <v>550</v>
      </c>
      <c r="I492" s="76">
        <f t="shared" si="100"/>
        <v>625</v>
      </c>
      <c r="J492" s="81">
        <f t="shared" si="101"/>
        <v>11.904761904761905</v>
      </c>
      <c r="K492" s="76">
        <f t="shared" si="102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7"/>
        <v>6385</v>
      </c>
      <c r="F493" s="76">
        <f t="shared" si="98"/>
        <v>725</v>
      </c>
      <c r="G493" s="76">
        <f>SUMIF(F$6:F493,"&gt;0")</f>
        <v>212850</v>
      </c>
      <c r="H493" s="76">
        <f t="shared" si="99"/>
        <v>20</v>
      </c>
      <c r="I493" s="76">
        <f t="shared" si="100"/>
        <v>745</v>
      </c>
      <c r="J493" s="81">
        <f t="shared" si="101"/>
        <v>14.190476190476192</v>
      </c>
      <c r="K493" s="76">
        <f t="shared" si="102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7"/>
        <v>6295</v>
      </c>
      <c r="F494" s="76">
        <f t="shared" si="98"/>
        <v>-90</v>
      </c>
      <c r="G494" s="76">
        <f>SUMIF(F$6:F494,"&gt;0")</f>
        <v>212850</v>
      </c>
      <c r="H494" s="76">
        <f t="shared" si="99"/>
        <v>0</v>
      </c>
      <c r="I494" s="76">
        <f t="shared" si="100"/>
        <v>-90</v>
      </c>
      <c r="J494" s="81">
        <f t="shared" si="101"/>
        <v>-1.7142857142857144</v>
      </c>
      <c r="K494" s="76">
        <f t="shared" si="102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7"/>
        <v>4405</v>
      </c>
      <c r="F495" s="76">
        <f t="shared" si="98"/>
        <v>-690</v>
      </c>
      <c r="G495" s="76">
        <f>SUMIF(F$6:F495,"&gt;0")</f>
        <v>212850</v>
      </c>
      <c r="H495" s="76">
        <f t="shared" si="99"/>
        <v>-1200</v>
      </c>
      <c r="I495" s="76">
        <f t="shared" si="100"/>
        <v>-1890</v>
      </c>
      <c r="J495" s="81">
        <f t="shared" si="101"/>
        <v>-36</v>
      </c>
      <c r="K495" s="76">
        <f t="shared" si="102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7"/>
        <v>3415</v>
      </c>
      <c r="F496" s="76">
        <f t="shared" si="98"/>
        <v>-930</v>
      </c>
      <c r="G496" s="76">
        <f>SUMIF(F$6:F496,"&gt;0")</f>
        <v>212850</v>
      </c>
      <c r="H496" s="76">
        <f t="shared" si="99"/>
        <v>-60</v>
      </c>
      <c r="I496" s="76">
        <f t="shared" si="100"/>
        <v>-990</v>
      </c>
      <c r="J496" s="81">
        <f t="shared" si="101"/>
        <v>-18.857142857142858</v>
      </c>
      <c r="K496" s="76">
        <f t="shared" si="102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7"/>
        <v>3705</v>
      </c>
      <c r="F497" s="76">
        <f t="shared" si="98"/>
        <v>240</v>
      </c>
      <c r="G497" s="76">
        <f>SUMIF(F$6:F497,"&gt;0")</f>
        <v>213090</v>
      </c>
      <c r="H497" s="76">
        <f t="shared" si="99"/>
        <v>50</v>
      </c>
      <c r="I497" s="76">
        <f t="shared" si="100"/>
        <v>290</v>
      </c>
      <c r="J497" s="81">
        <f t="shared" si="101"/>
        <v>5.5238095238095237</v>
      </c>
      <c r="K497" s="76">
        <f t="shared" si="102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7"/>
        <v>15</v>
      </c>
      <c r="F498" s="76">
        <f t="shared" si="98"/>
        <v>-240</v>
      </c>
      <c r="G498" s="76">
        <f>SUMIF(F$6:F498,"&gt;0")</f>
        <v>213090</v>
      </c>
      <c r="H498" s="76">
        <f t="shared" si="99"/>
        <v>-3450</v>
      </c>
      <c r="I498" s="76">
        <f t="shared" si="100"/>
        <v>-3690</v>
      </c>
      <c r="J498" s="81">
        <f t="shared" si="101"/>
        <v>-70.285714285714278</v>
      </c>
      <c r="K498" s="76">
        <f t="shared" si="102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7"/>
        <v>4215</v>
      </c>
      <c r="F499" s="76">
        <f t="shared" si="98"/>
        <v>0</v>
      </c>
      <c r="G499" s="76">
        <f>SUMIF(F$6:F499,"&gt;0")</f>
        <v>213090</v>
      </c>
      <c r="H499" s="76">
        <f t="shared" si="99"/>
        <v>4200</v>
      </c>
      <c r="I499" s="76">
        <f t="shared" si="100"/>
        <v>4200</v>
      </c>
      <c r="J499" s="81">
        <f t="shared" si="101"/>
        <v>80</v>
      </c>
      <c r="K499" s="76">
        <f t="shared" si="102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7"/>
        <v>4310</v>
      </c>
      <c r="F500" s="76">
        <f t="shared" si="98"/>
        <v>75</v>
      </c>
      <c r="G500" s="76">
        <f>SUMIF(F$6:F500,"&gt;0")</f>
        <v>213165</v>
      </c>
      <c r="H500" s="76">
        <f t="shared" si="99"/>
        <v>20</v>
      </c>
      <c r="I500" s="76">
        <f t="shared" si="100"/>
        <v>95</v>
      </c>
      <c r="J500" s="81">
        <f t="shared" si="101"/>
        <v>1.8095238095238095</v>
      </c>
      <c r="K500" s="76">
        <f t="shared" si="102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98"/>
        <v>0</v>
      </c>
      <c r="G501" s="76">
        <f>SUMIF(F$6:F501,"&gt;0")</f>
        <v>213165</v>
      </c>
      <c r="H501" s="76">
        <f t="shared" si="99"/>
        <v>29925</v>
      </c>
      <c r="I501" s="76">
        <f t="shared" si="100"/>
        <v>29925</v>
      </c>
      <c r="J501" s="81">
        <f t="shared" si="101"/>
        <v>570</v>
      </c>
      <c r="K501" s="76">
        <f t="shared" si="102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3">SUM(C502:D502)</f>
        <v>245</v>
      </c>
      <c r="F502" s="76">
        <f t="shared" si="98"/>
        <v>0</v>
      </c>
      <c r="G502" s="76">
        <f>SUMIF(F$6:F502,"&gt;0")</f>
        <v>213165</v>
      </c>
      <c r="H502" s="76">
        <f t="shared" si="99"/>
        <v>-33990</v>
      </c>
      <c r="I502" s="76">
        <f t="shared" si="100"/>
        <v>-33990</v>
      </c>
      <c r="J502" s="81">
        <f t="shared" si="101"/>
        <v>-647.42857142857144</v>
      </c>
      <c r="K502" s="76">
        <f t="shared" si="102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3"/>
        <v>1035</v>
      </c>
      <c r="F503" s="76">
        <f t="shared" si="98"/>
        <v>740</v>
      </c>
      <c r="G503" s="76">
        <f>SUMIF(F$6:F503,"&gt;0")</f>
        <v>213905</v>
      </c>
      <c r="H503" s="76">
        <f t="shared" si="99"/>
        <v>50</v>
      </c>
      <c r="I503" s="76">
        <f t="shared" si="100"/>
        <v>790</v>
      </c>
      <c r="J503" s="81">
        <f t="shared" si="101"/>
        <v>15.047619047619047</v>
      </c>
      <c r="K503" s="76">
        <f t="shared" si="102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3"/>
        <v>795</v>
      </c>
      <c r="F504" s="76">
        <f t="shared" si="98"/>
        <v>-240</v>
      </c>
      <c r="G504" s="76">
        <f>SUMIF(F$6:F504,"&gt;0")</f>
        <v>213905</v>
      </c>
      <c r="H504" s="76">
        <f t="shared" si="99"/>
        <v>0</v>
      </c>
      <c r="I504" s="76">
        <f t="shared" si="100"/>
        <v>-240</v>
      </c>
      <c r="J504" s="81">
        <f t="shared" si="101"/>
        <v>-4.5714285714285712</v>
      </c>
      <c r="K504" s="76">
        <f t="shared" si="102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3"/>
        <v>910</v>
      </c>
      <c r="F505" s="76">
        <f t="shared" si="98"/>
        <v>115</v>
      </c>
      <c r="G505" s="76">
        <f>SUMIF(F$6:F505,"&gt;0")</f>
        <v>214020</v>
      </c>
      <c r="H505" s="76">
        <f t="shared" si="99"/>
        <v>0</v>
      </c>
      <c r="I505" s="76">
        <f t="shared" si="100"/>
        <v>115</v>
      </c>
      <c r="J505" s="81">
        <f t="shared" si="101"/>
        <v>2.1904761904761907</v>
      </c>
      <c r="K505" s="76">
        <f t="shared" si="102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3"/>
        <v>220</v>
      </c>
      <c r="F506" s="76">
        <f t="shared" si="98"/>
        <v>-690</v>
      </c>
      <c r="G506" s="76">
        <f>SUMIF(F$6:F506,"&gt;0")</f>
        <v>214020</v>
      </c>
      <c r="H506" s="76">
        <f t="shared" si="99"/>
        <v>0</v>
      </c>
      <c r="I506" s="76">
        <f t="shared" si="100"/>
        <v>-690</v>
      </c>
      <c r="J506" s="81">
        <f t="shared" si="101"/>
        <v>-13.142857142857142</v>
      </c>
      <c r="K506" s="76">
        <f t="shared" si="102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3"/>
        <v>315</v>
      </c>
      <c r="F507" s="76">
        <f t="shared" si="98"/>
        <v>75</v>
      </c>
      <c r="G507" s="76">
        <f>SUMIF(F$6:F507,"&gt;0")</f>
        <v>214095</v>
      </c>
      <c r="H507" s="76">
        <f t="shared" si="99"/>
        <v>20</v>
      </c>
      <c r="I507" s="76">
        <f t="shared" si="100"/>
        <v>95</v>
      </c>
      <c r="J507" s="81">
        <f t="shared" si="101"/>
        <v>1.8095238095238095</v>
      </c>
      <c r="K507" s="76">
        <f t="shared" si="102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3"/>
        <v>4995</v>
      </c>
      <c r="F508" s="76">
        <f t="shared" si="98"/>
        <v>0</v>
      </c>
      <c r="G508" s="76">
        <f>SUMIF(F$6:F508,"&gt;0")</f>
        <v>214095</v>
      </c>
      <c r="H508" s="76">
        <f t="shared" si="99"/>
        <v>4680</v>
      </c>
      <c r="I508" s="76">
        <f t="shared" si="100"/>
        <v>4680</v>
      </c>
      <c r="J508" s="81">
        <f t="shared" si="101"/>
        <v>89.142857142857139</v>
      </c>
      <c r="K508" s="76">
        <f t="shared" si="102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3"/>
        <v>4495</v>
      </c>
      <c r="F509" s="76">
        <f t="shared" si="98"/>
        <v>0</v>
      </c>
      <c r="G509" s="76">
        <f>SUMIF(F$6:F509,"&gt;0")</f>
        <v>214095</v>
      </c>
      <c r="H509" s="76">
        <f t="shared" si="99"/>
        <v>-500</v>
      </c>
      <c r="I509" s="76">
        <f t="shared" si="100"/>
        <v>-500</v>
      </c>
      <c r="J509" s="81">
        <f t="shared" si="101"/>
        <v>-9.5238095238095237</v>
      </c>
      <c r="K509" s="76">
        <f t="shared" si="102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3"/>
        <v>5215</v>
      </c>
      <c r="F510" s="76">
        <f t="shared" si="98"/>
        <v>650</v>
      </c>
      <c r="G510" s="76">
        <f>SUMIF(F$6:F510,"&gt;0")</f>
        <v>214745</v>
      </c>
      <c r="H510" s="76">
        <f t="shared" si="99"/>
        <v>70</v>
      </c>
      <c r="I510" s="76">
        <f t="shared" si="100"/>
        <v>720</v>
      </c>
      <c r="J510" s="81">
        <f t="shared" si="101"/>
        <v>13.714285714285715</v>
      </c>
      <c r="K510" s="76">
        <f t="shared" si="102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3"/>
        <v>5655</v>
      </c>
      <c r="F511" s="76">
        <f t="shared" si="98"/>
        <v>400</v>
      </c>
      <c r="G511" s="76">
        <f>SUMIF(F$6:F511,"&gt;0")</f>
        <v>215145</v>
      </c>
      <c r="H511" s="76">
        <f t="shared" si="99"/>
        <v>40</v>
      </c>
      <c r="I511" s="76">
        <f t="shared" si="100"/>
        <v>440</v>
      </c>
      <c r="J511" s="81">
        <f t="shared" si="101"/>
        <v>8.3809523809523814</v>
      </c>
      <c r="K511" s="76">
        <f t="shared" si="102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3"/>
        <v>5925</v>
      </c>
      <c r="F512" s="76">
        <f t="shared" si="98"/>
        <v>250</v>
      </c>
      <c r="G512" s="76">
        <f>SUMIF(F$6:F512,"&gt;0")</f>
        <v>215395</v>
      </c>
      <c r="H512" s="76">
        <f t="shared" si="99"/>
        <v>20</v>
      </c>
      <c r="I512" s="76">
        <f t="shared" si="100"/>
        <v>270</v>
      </c>
      <c r="J512" s="81">
        <f t="shared" si="101"/>
        <v>5.1428571428571423</v>
      </c>
      <c r="K512" s="76">
        <f t="shared" si="102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3"/>
        <v>6095</v>
      </c>
      <c r="F513" s="76">
        <f t="shared" si="98"/>
        <v>150</v>
      </c>
      <c r="G513" s="76">
        <f>SUMIF(F$6:F513,"&gt;0")</f>
        <v>215545</v>
      </c>
      <c r="H513" s="76">
        <f t="shared" si="99"/>
        <v>20</v>
      </c>
      <c r="I513" s="76">
        <f t="shared" si="100"/>
        <v>170</v>
      </c>
      <c r="J513" s="81">
        <f t="shared" si="101"/>
        <v>3.2380952380952381</v>
      </c>
      <c r="K513" s="76">
        <f t="shared" si="102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3"/>
        <v>6595</v>
      </c>
      <c r="F514" s="76">
        <f t="shared" si="98"/>
        <v>480</v>
      </c>
      <c r="G514" s="76">
        <f>SUMIF(F$6:F514,"&gt;0")</f>
        <v>216025</v>
      </c>
      <c r="H514" s="76">
        <f t="shared" si="99"/>
        <v>20</v>
      </c>
      <c r="I514" s="76">
        <f t="shared" si="100"/>
        <v>500</v>
      </c>
      <c r="J514" s="81">
        <f t="shared" si="101"/>
        <v>9.5238095238095237</v>
      </c>
      <c r="K514" s="76">
        <f t="shared" si="102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3"/>
        <v>7170</v>
      </c>
      <c r="F515" s="76">
        <f t="shared" si="98"/>
        <v>525</v>
      </c>
      <c r="G515" s="76">
        <f>SUMIF(F$6:F515,"&gt;0")</f>
        <v>216550</v>
      </c>
      <c r="H515" s="76">
        <f t="shared" si="99"/>
        <v>50</v>
      </c>
      <c r="I515" s="76">
        <f t="shared" si="100"/>
        <v>575</v>
      </c>
      <c r="J515" s="81">
        <f t="shared" si="101"/>
        <v>10.952380952380953</v>
      </c>
      <c r="K515" s="76">
        <f t="shared" si="102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3"/>
        <v>7550</v>
      </c>
      <c r="F516" s="76">
        <f t="shared" si="98"/>
        <v>360</v>
      </c>
      <c r="G516" s="76">
        <f>SUMIF(F$6:F516,"&gt;0")</f>
        <v>216910</v>
      </c>
      <c r="H516" s="76">
        <f t="shared" si="99"/>
        <v>20</v>
      </c>
      <c r="I516" s="76">
        <f t="shared" si="100"/>
        <v>380</v>
      </c>
      <c r="J516" s="81">
        <f t="shared" si="101"/>
        <v>7.2380952380952381</v>
      </c>
      <c r="K516" s="76">
        <f t="shared" si="102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3"/>
        <v>33275</v>
      </c>
      <c r="F517" s="76">
        <f t="shared" si="98"/>
        <v>0</v>
      </c>
      <c r="G517" s="76">
        <f>SUMIF(F$6:F517,"&gt;0")</f>
        <v>216910</v>
      </c>
      <c r="H517" s="76">
        <f t="shared" si="99"/>
        <v>25725</v>
      </c>
      <c r="I517" s="76">
        <f t="shared" si="100"/>
        <v>25725</v>
      </c>
      <c r="J517" s="81">
        <f t="shared" si="101"/>
        <v>490</v>
      </c>
      <c r="K517" s="76">
        <f t="shared" si="102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3"/>
        <v>29035</v>
      </c>
      <c r="F518" s="76">
        <f t="shared" si="98"/>
        <v>520</v>
      </c>
      <c r="G518" s="76">
        <f>SUMIF(F$6:F518,"&gt;0")</f>
        <v>217430</v>
      </c>
      <c r="H518" s="76">
        <f t="shared" si="99"/>
        <v>-4760</v>
      </c>
      <c r="I518" s="76">
        <f t="shared" si="100"/>
        <v>-4240</v>
      </c>
      <c r="J518" s="81">
        <f t="shared" si="101"/>
        <v>-80.761904761904759</v>
      </c>
      <c r="K518" s="76">
        <f t="shared" si="102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3"/>
        <v>29415</v>
      </c>
      <c r="F519" s="76">
        <f t="shared" ref="F519:F550" si="104">C519-C518</f>
        <v>360</v>
      </c>
      <c r="G519" s="76">
        <f>SUMIF(F$6:F519,"&gt;0")</f>
        <v>217790</v>
      </c>
      <c r="H519" s="76">
        <f t="shared" ref="H519:H550" si="105">D519-D518</f>
        <v>20</v>
      </c>
      <c r="I519" s="76">
        <f t="shared" ref="I519:I550" si="106">SUM(F519,H519)</f>
        <v>380</v>
      </c>
      <c r="J519" s="81">
        <f t="shared" ref="J519:J520" si="107">I519/4200*80</f>
        <v>7.2380952380952381</v>
      </c>
      <c r="K519" s="76">
        <f t="shared" ref="K519:K550" si="108">IFERROR(G519 - _xlfn.XLOOKUP(A519-30, $A$6:$A$14999,G$6:G$14999,"",-1,2),NA())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3"/>
        <v>29295</v>
      </c>
      <c r="F520" s="76">
        <f t="shared" si="104"/>
        <v>360</v>
      </c>
      <c r="G520" s="76">
        <f>SUMIF(F$6:F520,"&gt;0")</f>
        <v>218150</v>
      </c>
      <c r="H520" s="76">
        <f t="shared" si="105"/>
        <v>-480</v>
      </c>
      <c r="I520" s="76">
        <f t="shared" si="106"/>
        <v>-120</v>
      </c>
      <c r="J520" s="81">
        <f t="shared" si="107"/>
        <v>-2.2857142857142856</v>
      </c>
      <c r="K520" s="76">
        <f t="shared" si="108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4"/>
        <v>2165</v>
      </c>
      <c r="G521" s="76">
        <f>SUMIF(F$6:F521,"&gt;0")</f>
        <v>220315</v>
      </c>
      <c r="H521" s="76">
        <f t="shared" si="105"/>
        <v>1075</v>
      </c>
      <c r="I521" s="76">
        <f t="shared" si="106"/>
        <v>3240</v>
      </c>
      <c r="J521" s="81">
        <f t="shared" ref="J521:J526" si="109">I521/4200*80</f>
        <v>61.714285714285715</v>
      </c>
      <c r="K521" s="76">
        <f t="shared" si="108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4"/>
        <v>60</v>
      </c>
      <c r="G522" s="76">
        <f>SUMIF(F$6:F522,"&gt;0")</f>
        <v>220375</v>
      </c>
      <c r="H522" s="76">
        <f t="shared" si="105"/>
        <v>20</v>
      </c>
      <c r="I522" s="76">
        <f t="shared" si="106"/>
        <v>80</v>
      </c>
      <c r="J522" s="81">
        <f t="shared" si="109"/>
        <v>1.5238095238095239</v>
      </c>
      <c r="K522" s="76">
        <f t="shared" si="108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0">SUM(C523:D523)</f>
        <v>34735</v>
      </c>
      <c r="F523" s="76">
        <f t="shared" si="104"/>
        <v>2100</v>
      </c>
      <c r="G523" s="76">
        <f>SUMIF(F$6:F523,"&gt;0")</f>
        <v>222475</v>
      </c>
      <c r="H523" s="76">
        <f t="shared" si="105"/>
        <v>20</v>
      </c>
      <c r="I523" s="76">
        <f t="shared" si="106"/>
        <v>2120</v>
      </c>
      <c r="J523" s="81">
        <f t="shared" si="109"/>
        <v>40.38095238095238</v>
      </c>
      <c r="K523" s="76">
        <f t="shared" si="108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0"/>
        <v>34355</v>
      </c>
      <c r="F524" s="76">
        <f t="shared" si="104"/>
        <v>100</v>
      </c>
      <c r="G524" s="76">
        <f>SUMIF(F$6:F524,"&gt;0")</f>
        <v>222575</v>
      </c>
      <c r="H524" s="76">
        <f t="shared" si="105"/>
        <v>-480</v>
      </c>
      <c r="I524" s="76">
        <f t="shared" si="106"/>
        <v>-380</v>
      </c>
      <c r="J524" s="81">
        <f t="shared" si="109"/>
        <v>-7.2380952380952381</v>
      </c>
      <c r="K524" s="76">
        <f t="shared" si="108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0"/>
        <v>34815</v>
      </c>
      <c r="F525" s="76">
        <f t="shared" si="104"/>
        <v>460</v>
      </c>
      <c r="G525" s="76">
        <f>SUMIF(F$6:F525,"&gt;0")</f>
        <v>223035</v>
      </c>
      <c r="H525" s="76">
        <f t="shared" si="105"/>
        <v>0</v>
      </c>
      <c r="I525" s="76">
        <f t="shared" si="106"/>
        <v>460</v>
      </c>
      <c r="J525" s="81">
        <f t="shared" si="109"/>
        <v>8.7619047619047628</v>
      </c>
      <c r="K525" s="76">
        <f t="shared" si="108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0"/>
        <v>36030</v>
      </c>
      <c r="F526" s="76">
        <f t="shared" si="104"/>
        <v>1195</v>
      </c>
      <c r="G526" s="76">
        <f>SUMIF(F$6:F526,"&gt;0")</f>
        <v>224230</v>
      </c>
      <c r="H526" s="76">
        <f t="shared" si="105"/>
        <v>20</v>
      </c>
      <c r="I526" s="76">
        <f t="shared" si="106"/>
        <v>1215</v>
      </c>
      <c r="J526" s="81">
        <f t="shared" si="109"/>
        <v>23.142857142857146</v>
      </c>
      <c r="K526" s="76">
        <f t="shared" si="108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0"/>
        <v>36975</v>
      </c>
      <c r="F527" s="76">
        <f t="shared" si="104"/>
        <v>375</v>
      </c>
      <c r="G527" s="76">
        <f>SUMIF(F$6:F527,"&gt;0")</f>
        <v>224605</v>
      </c>
      <c r="H527" s="76">
        <f t="shared" si="105"/>
        <v>570</v>
      </c>
      <c r="I527" s="76">
        <f t="shared" si="106"/>
        <v>945</v>
      </c>
      <c r="J527" s="81">
        <f t="shared" ref="J527:J558" si="111">I527/4200*80</f>
        <v>18</v>
      </c>
      <c r="K527" s="76">
        <f t="shared" si="108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0"/>
        <v>37715</v>
      </c>
      <c r="F528" s="76">
        <f t="shared" si="104"/>
        <v>720</v>
      </c>
      <c r="G528" s="76">
        <f>SUMIF(F$6:F528,"&gt;0")</f>
        <v>225325</v>
      </c>
      <c r="H528" s="76">
        <f t="shared" si="105"/>
        <v>20</v>
      </c>
      <c r="I528" s="76">
        <f t="shared" si="106"/>
        <v>740</v>
      </c>
      <c r="J528" s="81">
        <f t="shared" si="111"/>
        <v>14.095238095238097</v>
      </c>
      <c r="K528" s="76">
        <f t="shared" si="108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0"/>
        <v>38085</v>
      </c>
      <c r="F529" s="76">
        <f t="shared" si="104"/>
        <v>350</v>
      </c>
      <c r="G529" s="76">
        <f>SUMIF(F$6:F529,"&gt;0")</f>
        <v>225675</v>
      </c>
      <c r="H529" s="76">
        <f t="shared" si="105"/>
        <v>20</v>
      </c>
      <c r="I529" s="76">
        <f t="shared" si="106"/>
        <v>370</v>
      </c>
      <c r="J529" s="81">
        <f t="shared" si="111"/>
        <v>7.0476190476190483</v>
      </c>
      <c r="K529" s="76">
        <f t="shared" si="108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2">SUM(C530:D530)</f>
        <v>38505</v>
      </c>
      <c r="F530" s="76">
        <f t="shared" si="104"/>
        <v>400</v>
      </c>
      <c r="G530" s="76">
        <f>SUMIF(F$6:F530,"&gt;0")</f>
        <v>226075</v>
      </c>
      <c r="H530" s="76">
        <f t="shared" si="105"/>
        <v>20</v>
      </c>
      <c r="I530" s="76">
        <f t="shared" si="106"/>
        <v>420</v>
      </c>
      <c r="J530" s="81">
        <f t="shared" si="111"/>
        <v>8</v>
      </c>
      <c r="K530" s="76">
        <f t="shared" si="108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2"/>
        <v>39100</v>
      </c>
      <c r="F531" s="76">
        <f t="shared" si="104"/>
        <v>50</v>
      </c>
      <c r="G531" s="76">
        <f>SUMIF(F$6:F531,"&gt;0")</f>
        <v>226125</v>
      </c>
      <c r="H531" s="76">
        <f t="shared" si="105"/>
        <v>545</v>
      </c>
      <c r="I531" s="76">
        <f t="shared" si="106"/>
        <v>595</v>
      </c>
      <c r="J531" s="81">
        <f t="shared" si="111"/>
        <v>11.333333333333332</v>
      </c>
      <c r="K531" s="76">
        <f t="shared" si="108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2"/>
        <v>25870</v>
      </c>
      <c r="F532" s="76">
        <f t="shared" si="104"/>
        <v>0</v>
      </c>
      <c r="G532" s="76">
        <f>SUMIF(F$6:F532,"&gt;0")</f>
        <v>226125</v>
      </c>
      <c r="H532" s="76">
        <f t="shared" si="105"/>
        <v>-13230</v>
      </c>
      <c r="I532" s="76">
        <f t="shared" si="106"/>
        <v>-13230</v>
      </c>
      <c r="J532" s="81">
        <f t="shared" si="111"/>
        <v>-252</v>
      </c>
      <c r="K532" s="76">
        <f t="shared" si="108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2"/>
        <v>26840</v>
      </c>
      <c r="F533" s="76">
        <f t="shared" si="104"/>
        <v>950</v>
      </c>
      <c r="G533" s="76">
        <f>SUMIF(F$6:F533,"&gt;0")</f>
        <v>227075</v>
      </c>
      <c r="H533" s="76">
        <f t="shared" si="105"/>
        <v>20</v>
      </c>
      <c r="I533" s="76">
        <f t="shared" si="106"/>
        <v>970</v>
      </c>
      <c r="J533" s="81">
        <f t="shared" si="111"/>
        <v>18.476190476190478</v>
      </c>
      <c r="K533" s="76">
        <f t="shared" si="108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2"/>
        <v>31565</v>
      </c>
      <c r="F534" s="76">
        <f t="shared" si="104"/>
        <v>605</v>
      </c>
      <c r="G534" s="76">
        <f>SUMIF(F$6:F534,"&gt;0")</f>
        <v>227680</v>
      </c>
      <c r="H534" s="76">
        <f t="shared" si="105"/>
        <v>4120</v>
      </c>
      <c r="I534" s="76">
        <f t="shared" si="106"/>
        <v>4725</v>
      </c>
      <c r="J534" s="81">
        <f t="shared" si="111"/>
        <v>90</v>
      </c>
      <c r="K534" s="76">
        <f t="shared" si="108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2"/>
        <v>40730</v>
      </c>
      <c r="F535" s="76">
        <f t="shared" si="104"/>
        <v>400</v>
      </c>
      <c r="G535" s="76">
        <f>SUMIF(F$6:F535,"&gt;0")</f>
        <v>228080</v>
      </c>
      <c r="H535" s="76">
        <f t="shared" si="105"/>
        <v>8765</v>
      </c>
      <c r="I535" s="76">
        <f t="shared" si="106"/>
        <v>9165</v>
      </c>
      <c r="J535" s="81">
        <f t="shared" si="111"/>
        <v>174.57142857142856</v>
      </c>
      <c r="K535" s="76">
        <f t="shared" si="108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2"/>
        <v>22900</v>
      </c>
      <c r="F536" s="76">
        <f t="shared" si="104"/>
        <v>-1050</v>
      </c>
      <c r="G536" s="76">
        <f>SUMIF(F$6:F536,"&gt;0")</f>
        <v>228080</v>
      </c>
      <c r="H536" s="76">
        <f t="shared" si="105"/>
        <v>-16780</v>
      </c>
      <c r="I536" s="76">
        <f t="shared" si="106"/>
        <v>-17830</v>
      </c>
      <c r="J536" s="81">
        <f t="shared" si="111"/>
        <v>-339.61904761904759</v>
      </c>
      <c r="K536" s="76">
        <f t="shared" si="108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2"/>
        <v>23300</v>
      </c>
      <c r="F537" s="76">
        <f t="shared" si="104"/>
        <v>350</v>
      </c>
      <c r="G537" s="76">
        <f>SUMIF(F$6:F537,"&gt;0")</f>
        <v>228430</v>
      </c>
      <c r="H537" s="76">
        <f t="shared" si="105"/>
        <v>50</v>
      </c>
      <c r="I537" s="76">
        <f t="shared" si="106"/>
        <v>400</v>
      </c>
      <c r="J537" s="81">
        <f t="shared" si="111"/>
        <v>7.6190476190476186</v>
      </c>
      <c r="K537" s="76">
        <f t="shared" si="108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2"/>
        <v>23820</v>
      </c>
      <c r="F538" s="76">
        <f t="shared" si="104"/>
        <v>500</v>
      </c>
      <c r="G538" s="76">
        <f>SUMIF(F$6:F538,"&gt;0")</f>
        <v>228930</v>
      </c>
      <c r="H538" s="76">
        <f t="shared" si="105"/>
        <v>20</v>
      </c>
      <c r="I538" s="76">
        <f t="shared" si="106"/>
        <v>520</v>
      </c>
      <c r="J538" s="81">
        <f t="shared" si="111"/>
        <v>9.9047619047619051</v>
      </c>
      <c r="K538" s="76">
        <f t="shared" si="108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3">SUM(C539:D539)</f>
        <v>23965</v>
      </c>
      <c r="F539" s="76">
        <f t="shared" si="104"/>
        <v>125</v>
      </c>
      <c r="G539" s="76">
        <f>SUMIF(F$6:F539,"&gt;0")</f>
        <v>229055</v>
      </c>
      <c r="H539" s="76">
        <f t="shared" si="105"/>
        <v>20</v>
      </c>
      <c r="I539" s="76">
        <f t="shared" si="106"/>
        <v>145</v>
      </c>
      <c r="J539" s="81">
        <f t="shared" si="111"/>
        <v>2.7619047619047619</v>
      </c>
      <c r="K539" s="76">
        <f t="shared" si="108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3"/>
        <v>24035</v>
      </c>
      <c r="F540" s="76">
        <f t="shared" si="104"/>
        <v>50</v>
      </c>
      <c r="G540" s="76">
        <f>SUMIF(F$6:F540,"&gt;0")</f>
        <v>229105</v>
      </c>
      <c r="H540" s="76">
        <f t="shared" si="105"/>
        <v>20</v>
      </c>
      <c r="I540" s="76">
        <f t="shared" si="106"/>
        <v>70</v>
      </c>
      <c r="J540" s="81">
        <f t="shared" si="111"/>
        <v>1.3333333333333333</v>
      </c>
      <c r="K540" s="76">
        <f t="shared" si="108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3"/>
        <v>24220</v>
      </c>
      <c r="F541" s="76">
        <f t="shared" si="104"/>
        <v>165</v>
      </c>
      <c r="G541" s="76">
        <f>SUMIF(F$6:F541,"&gt;0")</f>
        <v>229270</v>
      </c>
      <c r="H541" s="76">
        <f t="shared" si="105"/>
        <v>20</v>
      </c>
      <c r="I541" s="76">
        <f t="shared" si="106"/>
        <v>185</v>
      </c>
      <c r="J541" s="81">
        <f t="shared" si="111"/>
        <v>3.5238095238095242</v>
      </c>
      <c r="K541" s="76">
        <f t="shared" si="108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3"/>
        <v>24370</v>
      </c>
      <c r="F542" s="76">
        <f t="shared" si="104"/>
        <v>50</v>
      </c>
      <c r="G542" s="76">
        <f>SUMIF(F$6:F542,"&gt;0")</f>
        <v>229320</v>
      </c>
      <c r="H542" s="76">
        <f t="shared" si="105"/>
        <v>100</v>
      </c>
      <c r="I542" s="76">
        <f t="shared" si="106"/>
        <v>150</v>
      </c>
      <c r="J542" s="81">
        <f t="shared" si="111"/>
        <v>2.8571428571428568</v>
      </c>
      <c r="K542" s="76">
        <f t="shared" si="108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3"/>
        <v>25230</v>
      </c>
      <c r="F543" s="76">
        <f t="shared" si="104"/>
        <v>840</v>
      </c>
      <c r="G543" s="76">
        <f>SUMIF(F$6:F543,"&gt;0")</f>
        <v>230160</v>
      </c>
      <c r="H543" s="76">
        <f t="shared" si="105"/>
        <v>20</v>
      </c>
      <c r="I543" s="76">
        <f t="shared" si="106"/>
        <v>860</v>
      </c>
      <c r="J543" s="81">
        <f t="shared" si="111"/>
        <v>16.38095238095238</v>
      </c>
      <c r="K543" s="76">
        <f t="shared" si="108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3"/>
        <v>37790</v>
      </c>
      <c r="F544" s="76">
        <f t="shared" si="104"/>
        <v>1250</v>
      </c>
      <c r="G544" s="76">
        <f>SUMIF(F$6:F544,"&gt;0")</f>
        <v>231410</v>
      </c>
      <c r="H544" s="76">
        <f t="shared" si="105"/>
        <v>11310</v>
      </c>
      <c r="I544" s="76">
        <f t="shared" si="106"/>
        <v>12560</v>
      </c>
      <c r="J544" s="81">
        <f t="shared" si="111"/>
        <v>239.23809523809524</v>
      </c>
      <c r="K544" s="76">
        <f t="shared" si="108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3"/>
        <v>20960</v>
      </c>
      <c r="F545" s="76">
        <f t="shared" si="104"/>
        <v>0</v>
      </c>
      <c r="G545" s="76">
        <f>SUMIF(F$6:F545,"&gt;0")</f>
        <v>231410</v>
      </c>
      <c r="H545" s="76">
        <f t="shared" si="105"/>
        <v>-16830</v>
      </c>
      <c r="I545" s="76">
        <f t="shared" si="106"/>
        <v>-16830</v>
      </c>
      <c r="J545" s="81">
        <f t="shared" si="111"/>
        <v>-320.57142857142856</v>
      </c>
      <c r="K545" s="76">
        <f t="shared" si="108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3"/>
        <v>20870</v>
      </c>
      <c r="F546" s="76">
        <f t="shared" si="104"/>
        <v>360</v>
      </c>
      <c r="G546" s="76">
        <f>SUMIF(F$6:F546,"&gt;0")</f>
        <v>231770</v>
      </c>
      <c r="H546" s="76">
        <f t="shared" si="105"/>
        <v>-450</v>
      </c>
      <c r="I546" s="76">
        <f t="shared" si="106"/>
        <v>-90</v>
      </c>
      <c r="J546" s="81">
        <f t="shared" si="111"/>
        <v>-1.7142857142857144</v>
      </c>
      <c r="K546" s="76">
        <f t="shared" si="108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3"/>
        <v>24005</v>
      </c>
      <c r="F547" s="76">
        <f t="shared" si="104"/>
        <v>3175</v>
      </c>
      <c r="G547" s="76">
        <f>SUMIF(F$6:F547,"&gt;0")</f>
        <v>234945</v>
      </c>
      <c r="H547" s="76">
        <f t="shared" si="105"/>
        <v>-40</v>
      </c>
      <c r="I547" s="76">
        <f t="shared" si="106"/>
        <v>3135</v>
      </c>
      <c r="J547" s="81">
        <f t="shared" si="111"/>
        <v>59.714285714285715</v>
      </c>
      <c r="K547" s="76">
        <f t="shared" si="108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3"/>
        <v>28275</v>
      </c>
      <c r="F548" s="76">
        <f t="shared" si="104"/>
        <v>3500</v>
      </c>
      <c r="G548" s="76">
        <f>SUMIF(F$6:F548,"&gt;0")</f>
        <v>238445</v>
      </c>
      <c r="H548" s="76">
        <f t="shared" si="105"/>
        <v>770</v>
      </c>
      <c r="I548" s="76">
        <f t="shared" si="106"/>
        <v>4270</v>
      </c>
      <c r="J548" s="81">
        <f t="shared" si="111"/>
        <v>81.333333333333329</v>
      </c>
      <c r="K548" s="76">
        <f t="shared" si="108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3"/>
        <v>28395</v>
      </c>
      <c r="F549" s="76">
        <f t="shared" si="104"/>
        <v>100</v>
      </c>
      <c r="G549" s="76">
        <f>SUMIF(F$6:F549,"&gt;0")</f>
        <v>238545</v>
      </c>
      <c r="H549" s="76">
        <f t="shared" si="105"/>
        <v>20</v>
      </c>
      <c r="I549" s="76">
        <f t="shared" si="106"/>
        <v>120</v>
      </c>
      <c r="J549" s="81">
        <f t="shared" si="111"/>
        <v>2.2857142857142856</v>
      </c>
      <c r="K549" s="76">
        <f t="shared" si="108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4">SUM(C550:D550)</f>
        <v>29295</v>
      </c>
      <c r="F550" s="76">
        <f t="shared" si="104"/>
        <v>880</v>
      </c>
      <c r="G550" s="76">
        <f>SUMIF(F$6:F550,"&gt;0")</f>
        <v>239425</v>
      </c>
      <c r="H550" s="76">
        <f t="shared" si="105"/>
        <v>20</v>
      </c>
      <c r="I550" s="76">
        <f t="shared" si="106"/>
        <v>900</v>
      </c>
      <c r="J550" s="81">
        <f t="shared" si="111"/>
        <v>17.142857142857142</v>
      </c>
      <c r="K550" s="76">
        <f t="shared" si="108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4"/>
        <v>29665</v>
      </c>
      <c r="F551" s="76">
        <f t="shared" ref="F551:F586" si="115">C551-C550</f>
        <v>350</v>
      </c>
      <c r="G551" s="76">
        <f>SUMIF(F$6:F551,"&gt;0")</f>
        <v>239775</v>
      </c>
      <c r="H551" s="76">
        <f t="shared" ref="H551:H586" si="116">D551-D550</f>
        <v>20</v>
      </c>
      <c r="I551" s="76">
        <f t="shared" ref="I551:I582" si="117">SUM(F551,H551)</f>
        <v>370</v>
      </c>
      <c r="J551" s="81">
        <f t="shared" si="111"/>
        <v>7.0476190476190483</v>
      </c>
      <c r="K551" s="76">
        <f t="shared" ref="K551:K586" si="118">IFERROR(G551 - _xlfn.XLOOKUP(A551-30, $A$6:$A$14999,G$6:G$14999,"",-1,2),NA())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4"/>
        <v>30760</v>
      </c>
      <c r="F552" s="76">
        <f t="shared" si="115"/>
        <v>1050</v>
      </c>
      <c r="G552" s="76">
        <f>SUMIF(F$6:F552,"&gt;0")</f>
        <v>240825</v>
      </c>
      <c r="H552" s="76">
        <f t="shared" si="116"/>
        <v>45</v>
      </c>
      <c r="I552" s="76">
        <f t="shared" si="117"/>
        <v>1095</v>
      </c>
      <c r="J552" s="81">
        <f t="shared" si="111"/>
        <v>20.857142857142858</v>
      </c>
      <c r="K552" s="76">
        <f t="shared" si="118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4"/>
        <v>31455</v>
      </c>
      <c r="F553" s="76">
        <f t="shared" si="115"/>
        <v>125</v>
      </c>
      <c r="G553" s="76">
        <f>SUMIF(F$6:F553,"&gt;0")</f>
        <v>240950</v>
      </c>
      <c r="H553" s="76">
        <f t="shared" si="116"/>
        <v>570</v>
      </c>
      <c r="I553" s="76">
        <f t="shared" si="117"/>
        <v>695</v>
      </c>
      <c r="J553" s="81">
        <f t="shared" si="111"/>
        <v>13.238095238095237</v>
      </c>
      <c r="K553" s="76">
        <f t="shared" si="118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4"/>
        <v>31800</v>
      </c>
      <c r="F554" s="76">
        <f t="shared" si="115"/>
        <v>325</v>
      </c>
      <c r="G554" s="76">
        <f>SUMIF(F$6:F554,"&gt;0")</f>
        <v>241275</v>
      </c>
      <c r="H554" s="76">
        <f t="shared" si="116"/>
        <v>20</v>
      </c>
      <c r="I554" s="76">
        <f t="shared" si="117"/>
        <v>345</v>
      </c>
      <c r="J554" s="81">
        <f t="shared" si="111"/>
        <v>6.5714285714285712</v>
      </c>
      <c r="K554" s="76">
        <f t="shared" si="118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4"/>
        <v>19770</v>
      </c>
      <c r="F555" s="76">
        <f t="shared" si="115"/>
        <v>-9600</v>
      </c>
      <c r="G555" s="76">
        <f>SUMIF(F$6:F555,"&gt;0")</f>
        <v>241275</v>
      </c>
      <c r="H555" s="76">
        <f t="shared" si="116"/>
        <v>-2430</v>
      </c>
      <c r="I555" s="76">
        <f t="shared" si="117"/>
        <v>-12030</v>
      </c>
      <c r="J555" s="81">
        <f t="shared" si="111"/>
        <v>-229.14285714285714</v>
      </c>
      <c r="K555" s="76">
        <f t="shared" si="118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4"/>
        <v>20420</v>
      </c>
      <c r="F556" s="76">
        <f t="shared" si="115"/>
        <v>600</v>
      </c>
      <c r="G556" s="76">
        <f>SUMIF(F$6:F556,"&gt;0")</f>
        <v>241875</v>
      </c>
      <c r="H556" s="76">
        <f t="shared" si="116"/>
        <v>50</v>
      </c>
      <c r="I556" s="76">
        <f t="shared" si="117"/>
        <v>650</v>
      </c>
      <c r="J556" s="81">
        <f t="shared" si="111"/>
        <v>12.380952380952381</v>
      </c>
      <c r="K556" s="76">
        <f t="shared" si="118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617" si="119">SUM(C557:D557)</f>
        <v>22130</v>
      </c>
      <c r="F557" s="76">
        <f t="shared" si="115"/>
        <v>1165</v>
      </c>
      <c r="G557" s="76">
        <f>SUMIF(F$6:F557,"&gt;0")</f>
        <v>243040</v>
      </c>
      <c r="H557" s="76">
        <f t="shared" si="116"/>
        <v>545</v>
      </c>
      <c r="I557" s="76">
        <f t="shared" si="117"/>
        <v>1710</v>
      </c>
      <c r="J557" s="81">
        <f t="shared" si="111"/>
        <v>32.571428571428569</v>
      </c>
      <c r="K557" s="76">
        <f t="shared" si="118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19"/>
        <v>22620</v>
      </c>
      <c r="F558" s="76">
        <f t="shared" si="115"/>
        <v>450</v>
      </c>
      <c r="G558" s="76">
        <f>SUMIF(F$6:F558,"&gt;0")</f>
        <v>243490</v>
      </c>
      <c r="H558" s="76">
        <f t="shared" si="116"/>
        <v>40</v>
      </c>
      <c r="I558" s="76">
        <f t="shared" si="117"/>
        <v>490</v>
      </c>
      <c r="J558" s="81">
        <f t="shared" si="111"/>
        <v>9.3333333333333339</v>
      </c>
      <c r="K558" s="76">
        <f t="shared" si="118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19"/>
        <v>23520</v>
      </c>
      <c r="F559" s="76">
        <f t="shared" si="115"/>
        <v>850</v>
      </c>
      <c r="G559" s="76">
        <f>SUMIF(F$6:F559,"&gt;0")</f>
        <v>244340</v>
      </c>
      <c r="H559" s="76">
        <f t="shared" si="116"/>
        <v>50</v>
      </c>
      <c r="I559" s="76">
        <f t="shared" si="117"/>
        <v>900</v>
      </c>
      <c r="J559" s="81">
        <f t="shared" ref="J559:J586" si="120">I559/4200*80</f>
        <v>17.142857142857142</v>
      </c>
      <c r="K559" s="76">
        <f t="shared" si="118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19"/>
        <v>1290</v>
      </c>
      <c r="F560" s="76">
        <f t="shared" si="115"/>
        <v>-19200</v>
      </c>
      <c r="G560" s="76">
        <f>SUMIF(F$6:F560,"&gt;0")</f>
        <v>244340</v>
      </c>
      <c r="H560" s="76">
        <f t="shared" si="116"/>
        <v>-3030</v>
      </c>
      <c r="I560" s="76">
        <f t="shared" si="117"/>
        <v>-22230</v>
      </c>
      <c r="J560" s="81">
        <f t="shared" si="120"/>
        <v>-423.42857142857144</v>
      </c>
      <c r="K560" s="76">
        <f t="shared" si="118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19"/>
        <v>1460</v>
      </c>
      <c r="F561" s="76">
        <f t="shared" si="115"/>
        <v>100</v>
      </c>
      <c r="G561" s="76">
        <f>SUMIF(F$6:F561,"&gt;0")</f>
        <v>244440</v>
      </c>
      <c r="H561" s="76">
        <f t="shared" si="116"/>
        <v>70</v>
      </c>
      <c r="I561" s="76">
        <f t="shared" si="117"/>
        <v>170</v>
      </c>
      <c r="J561" s="81">
        <f t="shared" si="120"/>
        <v>3.2380952380952381</v>
      </c>
      <c r="K561" s="76">
        <f t="shared" si="118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19"/>
        <v>1580</v>
      </c>
      <c r="F562" s="76">
        <f t="shared" si="115"/>
        <v>100</v>
      </c>
      <c r="G562" s="76">
        <f>SUMIF(F$6:F562,"&gt;0")</f>
        <v>244540</v>
      </c>
      <c r="H562" s="76">
        <f t="shared" si="116"/>
        <v>20</v>
      </c>
      <c r="I562" s="76">
        <f t="shared" si="117"/>
        <v>120</v>
      </c>
      <c r="J562" s="81">
        <f t="shared" si="120"/>
        <v>2.2857142857142856</v>
      </c>
      <c r="K562" s="76">
        <f t="shared" si="118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19"/>
        <v>1700</v>
      </c>
      <c r="F563" s="76">
        <f t="shared" si="115"/>
        <v>100</v>
      </c>
      <c r="G563" s="76">
        <f>SUMIF(F$6:F563,"&gt;0")</f>
        <v>244640</v>
      </c>
      <c r="H563" s="76">
        <f t="shared" si="116"/>
        <v>20</v>
      </c>
      <c r="I563" s="76">
        <f t="shared" si="117"/>
        <v>120</v>
      </c>
      <c r="J563" s="81">
        <f t="shared" si="120"/>
        <v>2.2857142857142856</v>
      </c>
      <c r="K563" s="76">
        <f t="shared" si="118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19"/>
        <v>2295</v>
      </c>
      <c r="F564" s="76">
        <f t="shared" si="115"/>
        <v>50</v>
      </c>
      <c r="G564" s="76">
        <f>SUMIF(F$6:F564,"&gt;0")</f>
        <v>244690</v>
      </c>
      <c r="H564" s="76">
        <f t="shared" si="116"/>
        <v>545</v>
      </c>
      <c r="I564" s="76">
        <f t="shared" si="117"/>
        <v>595</v>
      </c>
      <c r="J564" s="81">
        <f t="shared" si="120"/>
        <v>11.333333333333332</v>
      </c>
      <c r="K564" s="76">
        <f t="shared" si="118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19"/>
        <v>2370</v>
      </c>
      <c r="F565" s="76">
        <f t="shared" si="115"/>
        <v>25</v>
      </c>
      <c r="G565" s="76">
        <f>SUMIF(F$6:F565,"&gt;0")</f>
        <v>244715</v>
      </c>
      <c r="H565" s="76">
        <f t="shared" si="116"/>
        <v>50</v>
      </c>
      <c r="I565" s="76">
        <f t="shared" si="117"/>
        <v>75</v>
      </c>
      <c r="J565" s="81">
        <f t="shared" si="120"/>
        <v>1.4285714285714284</v>
      </c>
      <c r="K565" s="76">
        <f t="shared" si="118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19"/>
        <v>2630</v>
      </c>
      <c r="F566" s="76">
        <f t="shared" si="115"/>
        <v>240</v>
      </c>
      <c r="G566" s="76">
        <f>SUMIF(F$6:F566,"&gt;0")</f>
        <v>244955</v>
      </c>
      <c r="H566" s="76">
        <f t="shared" si="116"/>
        <v>20</v>
      </c>
      <c r="I566" s="76">
        <f t="shared" si="117"/>
        <v>260</v>
      </c>
      <c r="J566" s="81">
        <f t="shared" si="120"/>
        <v>4.9523809523809526</v>
      </c>
      <c r="K566" s="76">
        <f t="shared" si="118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19"/>
        <v>3285</v>
      </c>
      <c r="F567" s="76">
        <f t="shared" si="115"/>
        <v>635</v>
      </c>
      <c r="G567" s="76">
        <f>SUMIF(F$6:F567,"&gt;0")</f>
        <v>245590</v>
      </c>
      <c r="H567" s="76">
        <f t="shared" si="116"/>
        <v>20</v>
      </c>
      <c r="I567" s="76">
        <f t="shared" si="117"/>
        <v>655</v>
      </c>
      <c r="J567" s="81">
        <f t="shared" si="120"/>
        <v>12.476190476190476</v>
      </c>
      <c r="K567" s="76">
        <f t="shared" si="118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19"/>
        <v>4280</v>
      </c>
      <c r="F568" s="76">
        <f t="shared" si="115"/>
        <v>955</v>
      </c>
      <c r="G568" s="76">
        <f>SUMIF(F$6:F568,"&gt;0")</f>
        <v>246545</v>
      </c>
      <c r="H568" s="76">
        <f t="shared" si="116"/>
        <v>40</v>
      </c>
      <c r="I568" s="76">
        <f t="shared" si="117"/>
        <v>995</v>
      </c>
      <c r="J568" s="81">
        <f t="shared" si="120"/>
        <v>18.952380952380953</v>
      </c>
      <c r="K568" s="76">
        <f t="shared" si="118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19"/>
        <v>35805</v>
      </c>
      <c r="F569" s="76">
        <f t="shared" si="115"/>
        <v>0</v>
      </c>
      <c r="G569" s="76">
        <f>SUMIF(F$6:F569,"&gt;0")</f>
        <v>246545</v>
      </c>
      <c r="H569" s="76">
        <f t="shared" si="116"/>
        <v>31525</v>
      </c>
      <c r="I569" s="76">
        <f t="shared" si="117"/>
        <v>31525</v>
      </c>
      <c r="J569" s="81">
        <f t="shared" si="120"/>
        <v>600.47619047619048</v>
      </c>
      <c r="K569" s="76">
        <f t="shared" si="118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19"/>
        <v>36505</v>
      </c>
      <c r="F570" s="76">
        <f t="shared" si="115"/>
        <v>700</v>
      </c>
      <c r="G570" s="76">
        <f>SUMIF(F$6:F570,"&gt;0")</f>
        <v>247245</v>
      </c>
      <c r="H570" s="76">
        <f t="shared" si="116"/>
        <v>0</v>
      </c>
      <c r="I570" s="76">
        <f t="shared" si="117"/>
        <v>700</v>
      </c>
      <c r="J570" s="81">
        <f t="shared" si="120"/>
        <v>13.333333333333332</v>
      </c>
      <c r="K570" s="76">
        <f t="shared" si="118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19"/>
        <v>19195</v>
      </c>
      <c r="F571" s="76">
        <f t="shared" si="115"/>
        <v>-480</v>
      </c>
      <c r="G571" s="76">
        <f>SUMIF(F$6:F571,"&gt;0")</f>
        <v>247245</v>
      </c>
      <c r="H571" s="76">
        <f t="shared" si="116"/>
        <v>-16830</v>
      </c>
      <c r="I571" s="76">
        <f t="shared" si="117"/>
        <v>-17310</v>
      </c>
      <c r="J571" s="81">
        <f t="shared" si="120"/>
        <v>-329.71428571428567</v>
      </c>
      <c r="K571" s="76">
        <f t="shared" si="118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19"/>
        <v>19605</v>
      </c>
      <c r="F572" s="76">
        <f t="shared" si="115"/>
        <v>860</v>
      </c>
      <c r="G572" s="76">
        <f>SUMIF(F$6:F572,"&gt;0")</f>
        <v>248105</v>
      </c>
      <c r="H572" s="76">
        <f t="shared" si="116"/>
        <v>-450</v>
      </c>
      <c r="I572" s="76">
        <f t="shared" si="117"/>
        <v>410</v>
      </c>
      <c r="J572" s="81">
        <f t="shared" si="120"/>
        <v>7.8095238095238093</v>
      </c>
      <c r="K572" s="76">
        <f t="shared" si="118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19"/>
        <v>21415</v>
      </c>
      <c r="F573" s="76">
        <f t="shared" si="115"/>
        <v>1760</v>
      </c>
      <c r="G573" s="76">
        <f>SUMIF(F$6:F573,"&gt;0")</f>
        <v>249865</v>
      </c>
      <c r="H573" s="76">
        <f t="shared" si="116"/>
        <v>50</v>
      </c>
      <c r="I573" s="76">
        <f t="shared" si="117"/>
        <v>1810</v>
      </c>
      <c r="J573" s="81">
        <f t="shared" si="120"/>
        <v>34.476190476190482</v>
      </c>
      <c r="K573" s="76">
        <f t="shared" si="118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19"/>
        <v>21545</v>
      </c>
      <c r="F574" s="76">
        <f t="shared" si="115"/>
        <v>110</v>
      </c>
      <c r="G574" s="76">
        <f>SUMIF(F$6:F574,"&gt;0")</f>
        <v>249975</v>
      </c>
      <c r="H574" s="76">
        <f t="shared" si="116"/>
        <v>20</v>
      </c>
      <c r="I574" s="76">
        <f t="shared" si="117"/>
        <v>130</v>
      </c>
      <c r="J574" s="81">
        <f t="shared" si="120"/>
        <v>2.4761904761904763</v>
      </c>
      <c r="K574" s="76">
        <f t="shared" si="118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19"/>
        <v>22205</v>
      </c>
      <c r="F575" s="76">
        <f t="shared" si="115"/>
        <v>640</v>
      </c>
      <c r="G575" s="76">
        <f>SUMIF(F$6:F575,"&gt;0")</f>
        <v>250615</v>
      </c>
      <c r="H575" s="76">
        <f t="shared" si="116"/>
        <v>20</v>
      </c>
      <c r="I575" s="76">
        <f t="shared" si="117"/>
        <v>660</v>
      </c>
      <c r="J575" s="81">
        <f t="shared" si="120"/>
        <v>12.571428571428571</v>
      </c>
      <c r="K575" s="76">
        <f t="shared" si="118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19"/>
        <v>23080</v>
      </c>
      <c r="F576" s="76">
        <f t="shared" si="115"/>
        <v>855</v>
      </c>
      <c r="G576" s="76">
        <f>SUMIF(F$6:F576,"&gt;0")</f>
        <v>251470</v>
      </c>
      <c r="H576" s="76">
        <f t="shared" si="116"/>
        <v>20</v>
      </c>
      <c r="I576" s="76">
        <f t="shared" si="117"/>
        <v>875</v>
      </c>
      <c r="J576" s="81">
        <f t="shared" si="120"/>
        <v>16.666666666666668</v>
      </c>
      <c r="K576" s="76">
        <f t="shared" si="118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19"/>
        <v>23230</v>
      </c>
      <c r="F577" s="76">
        <f t="shared" si="115"/>
        <v>110</v>
      </c>
      <c r="G577" s="76">
        <f>SUMIF(F$6:F577,"&gt;0")</f>
        <v>251580</v>
      </c>
      <c r="H577" s="76">
        <f t="shared" si="116"/>
        <v>40</v>
      </c>
      <c r="I577" s="76">
        <f t="shared" si="117"/>
        <v>150</v>
      </c>
      <c r="J577" s="81">
        <f t="shared" si="120"/>
        <v>2.8571428571428568</v>
      </c>
      <c r="K577" s="76">
        <f t="shared" si="118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19"/>
        <v>23830</v>
      </c>
      <c r="F578" s="76">
        <f t="shared" si="115"/>
        <v>50</v>
      </c>
      <c r="G578" s="76">
        <f>SUMIF(F$6:F578,"&gt;0")</f>
        <v>251630</v>
      </c>
      <c r="H578" s="76">
        <f t="shared" si="116"/>
        <v>550</v>
      </c>
      <c r="I578" s="76">
        <f t="shared" si="117"/>
        <v>600</v>
      </c>
      <c r="J578" s="81">
        <f t="shared" si="120"/>
        <v>11.428571428571427</v>
      </c>
      <c r="K578" s="76">
        <f t="shared" si="118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19"/>
        <v>25245</v>
      </c>
      <c r="F579" s="76">
        <f t="shared" si="115"/>
        <v>850</v>
      </c>
      <c r="G579" s="76">
        <f>SUMIF(F$6:F579,"&gt;0")</f>
        <v>252480</v>
      </c>
      <c r="H579" s="76">
        <f t="shared" si="116"/>
        <v>565</v>
      </c>
      <c r="I579" s="76">
        <f t="shared" si="117"/>
        <v>1415</v>
      </c>
      <c r="J579" s="81">
        <f t="shared" si="120"/>
        <v>26.952380952380956</v>
      </c>
      <c r="K579" s="76">
        <f t="shared" si="118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19"/>
        <v>26550</v>
      </c>
      <c r="F580" s="76">
        <f t="shared" si="115"/>
        <v>1175</v>
      </c>
      <c r="G580" s="76">
        <f>SUMIF(F$6:F580,"&gt;0")</f>
        <v>253655</v>
      </c>
      <c r="H580" s="76">
        <f t="shared" si="116"/>
        <v>130</v>
      </c>
      <c r="I580" s="76">
        <f t="shared" si="117"/>
        <v>1305</v>
      </c>
      <c r="J580" s="81">
        <f t="shared" si="120"/>
        <v>24.857142857142858</v>
      </c>
      <c r="K580" s="76">
        <f t="shared" si="118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19"/>
        <v>8160</v>
      </c>
      <c r="F581" s="76">
        <f t="shared" si="115"/>
        <v>-6360</v>
      </c>
      <c r="G581" s="76">
        <f>SUMIF(F$6:F581,"&gt;0")</f>
        <v>253655</v>
      </c>
      <c r="H581" s="76">
        <f t="shared" si="116"/>
        <v>-12030</v>
      </c>
      <c r="I581" s="76">
        <f t="shared" si="117"/>
        <v>-18390</v>
      </c>
      <c r="J581" s="81">
        <f t="shared" si="120"/>
        <v>-350.28571428571433</v>
      </c>
      <c r="K581" s="76">
        <f t="shared" si="118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19"/>
        <v>43280</v>
      </c>
      <c r="F582" s="76">
        <f t="shared" si="115"/>
        <v>1805</v>
      </c>
      <c r="G582" s="76">
        <f>SUMIF(F$6:F582,"&gt;0")</f>
        <v>255460</v>
      </c>
      <c r="H582" s="76">
        <f t="shared" si="116"/>
        <v>33315</v>
      </c>
      <c r="I582" s="76">
        <f t="shared" si="117"/>
        <v>35120</v>
      </c>
      <c r="J582" s="81">
        <f t="shared" si="120"/>
        <v>668.95238095238096</v>
      </c>
      <c r="K582" s="76">
        <f t="shared" si="118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19"/>
        <v>43515</v>
      </c>
      <c r="F583" s="76">
        <f t="shared" si="115"/>
        <v>215</v>
      </c>
      <c r="G583" s="76">
        <f>SUMIF(F$6:F583,"&gt;0")</f>
        <v>255675</v>
      </c>
      <c r="H583" s="76">
        <f t="shared" si="116"/>
        <v>20</v>
      </c>
      <c r="I583" s="76">
        <f t="shared" ref="I583:I586" si="121">SUM(F583,H583)</f>
        <v>235</v>
      </c>
      <c r="J583" s="81">
        <f t="shared" si="120"/>
        <v>4.4761904761904763</v>
      </c>
      <c r="K583" s="76">
        <f t="shared" si="118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19"/>
        <v>44840</v>
      </c>
      <c r="F584" s="76">
        <f t="shared" si="115"/>
        <v>750</v>
      </c>
      <c r="G584" s="76">
        <f>SUMIF(F$6:F584,"&gt;0")</f>
        <v>256425</v>
      </c>
      <c r="H584" s="76">
        <f t="shared" si="116"/>
        <v>575</v>
      </c>
      <c r="I584" s="76">
        <f t="shared" si="121"/>
        <v>1325</v>
      </c>
      <c r="J584" s="81">
        <f t="shared" si="120"/>
        <v>25.238095238095237</v>
      </c>
      <c r="K584" s="76">
        <f t="shared" si="118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19"/>
        <v>26810</v>
      </c>
      <c r="F585" s="76">
        <f t="shared" si="115"/>
        <v>-1200</v>
      </c>
      <c r="G585" s="76">
        <f>SUMIF(F$6:F585,"&gt;0")</f>
        <v>256425</v>
      </c>
      <c r="H585" s="76">
        <f t="shared" si="116"/>
        <v>-16830</v>
      </c>
      <c r="I585" s="76">
        <f t="shared" si="121"/>
        <v>-18030</v>
      </c>
      <c r="J585" s="81">
        <f t="shared" si="120"/>
        <v>-343.42857142857144</v>
      </c>
      <c r="K585" s="76">
        <f t="shared" si="118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19"/>
        <v>27435</v>
      </c>
      <c r="F586" s="76">
        <f t="shared" si="115"/>
        <v>575</v>
      </c>
      <c r="G586" s="76">
        <f>SUMIF(F$6:F586,"&gt;0")</f>
        <v>257000</v>
      </c>
      <c r="H586" s="76">
        <f t="shared" si="116"/>
        <v>50</v>
      </c>
      <c r="I586" s="76">
        <f t="shared" si="121"/>
        <v>625</v>
      </c>
      <c r="J586" s="81">
        <f t="shared" si="120"/>
        <v>11.904761904761905</v>
      </c>
      <c r="K586" s="76">
        <f t="shared" si="118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19"/>
        <v>27910</v>
      </c>
      <c r="F587" s="76">
        <f t="shared" ref="F587" si="122">C587-C586</f>
        <v>415</v>
      </c>
      <c r="G587" s="76">
        <f>SUMIF(F$6:F587,"&gt;0")</f>
        <v>257415</v>
      </c>
      <c r="H587" s="76">
        <f t="shared" ref="H587" si="123">D587-D586</f>
        <v>60</v>
      </c>
      <c r="I587" s="76">
        <f t="shared" ref="I587" si="124">SUM(F587,H587)</f>
        <v>475</v>
      </c>
      <c r="J587" s="81">
        <f t="shared" ref="J587" si="125">I587/4200*80</f>
        <v>9.0476190476190474</v>
      </c>
      <c r="K587" s="76">
        <f t="shared" ref="K587" si="126">IFERROR(G587 - _xlfn.XLOOKUP(A587-30, $A$6:$A$14999,G$6:G$14999,"",-1,2),NA())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19"/>
        <v>28180</v>
      </c>
      <c r="F588" s="76">
        <f t="shared" ref="F588" si="127">C588-C587</f>
        <v>200</v>
      </c>
      <c r="G588" s="76">
        <f>SUMIF(F$6:F588,"&gt;0")</f>
        <v>257615</v>
      </c>
      <c r="H588" s="76">
        <f t="shared" ref="H588" si="128">D588-D587</f>
        <v>70</v>
      </c>
      <c r="I588" s="76">
        <f t="shared" ref="I588" si="129">SUM(F588,H588)</f>
        <v>270</v>
      </c>
      <c r="J588" s="81">
        <f t="shared" ref="J588" si="130">I588/4200*80</f>
        <v>5.1428571428571423</v>
      </c>
      <c r="K588" s="76">
        <f t="shared" ref="K588" si="131">IFERROR(G588 - _xlfn.XLOOKUP(A588-30, $A$6:$A$14999,G$6:G$14999,"",-1,2),NA())</f>
        <v>12925</v>
      </c>
    </row>
    <row r="589" spans="1:13" x14ac:dyDescent="0.25">
      <c r="A589" s="77">
        <v>44420.800694444442</v>
      </c>
      <c r="C589" s="74">
        <v>6605</v>
      </c>
      <c r="D589" s="74">
        <v>24005</v>
      </c>
      <c r="E589" s="74">
        <f t="shared" si="119"/>
        <v>30610</v>
      </c>
      <c r="F589" s="76">
        <f t="shared" ref="F589" si="132">C589-C588</f>
        <v>890</v>
      </c>
      <c r="G589" s="76">
        <f>SUMIF(F$6:F589,"&gt;0")</f>
        <v>258505</v>
      </c>
      <c r="H589" s="76">
        <f t="shared" ref="H589" si="133">D589-D588</f>
        <v>1540</v>
      </c>
      <c r="I589" s="76">
        <f t="shared" ref="I589" si="134">SUM(F589,H589)</f>
        <v>2430</v>
      </c>
      <c r="J589" s="81">
        <f t="shared" ref="J589" si="135">I589/4200*80</f>
        <v>46.285714285714292</v>
      </c>
      <c r="K589" s="76">
        <f t="shared" ref="K589" si="136">IFERROR(G589 - _xlfn.XLOOKUP(A589-30, $A$6:$A$14999,G$6:G$14999,"",-1,2),NA())</f>
        <v>12915</v>
      </c>
      <c r="L589" s="74">
        <v>1500</v>
      </c>
      <c r="M589" s="74">
        <v>8</v>
      </c>
    </row>
    <row r="590" spans="1:13" x14ac:dyDescent="0.25">
      <c r="A590" s="77">
        <v>44421.125</v>
      </c>
      <c r="C590" s="74">
        <v>6605</v>
      </c>
      <c r="D590" s="74">
        <v>11975</v>
      </c>
      <c r="E590" s="74">
        <f t="shared" si="119"/>
        <v>18580</v>
      </c>
      <c r="F590" s="76">
        <f t="shared" ref="F590" si="137">C590-C589</f>
        <v>0</v>
      </c>
      <c r="G590" s="76">
        <f>SUMIF(F$6:F590,"&gt;0")</f>
        <v>258505</v>
      </c>
      <c r="H590" s="76">
        <f t="shared" ref="H590" si="138">D590-D589</f>
        <v>-12030</v>
      </c>
      <c r="I590" s="76">
        <f t="shared" ref="I590" si="139">SUM(F590,H590)</f>
        <v>-12030</v>
      </c>
      <c r="J590" s="81">
        <f t="shared" ref="J590" si="140">I590/4200*80</f>
        <v>-229.14285714285714</v>
      </c>
      <c r="K590" s="76">
        <f t="shared" ref="K590" si="141">IFERROR(G590 - _xlfn.XLOOKUP(A590-30, $A$6:$A$14999,G$6:G$14999,"",-1,2),NA())</f>
        <v>12915</v>
      </c>
    </row>
    <row r="591" spans="1:13" x14ac:dyDescent="0.25">
      <c r="A591" s="77">
        <v>44422.18472222222</v>
      </c>
      <c r="C591" s="74">
        <v>9865</v>
      </c>
      <c r="D591" s="74">
        <v>11595</v>
      </c>
      <c r="E591" s="74">
        <f t="shared" si="119"/>
        <v>21460</v>
      </c>
      <c r="F591" s="76">
        <f t="shared" ref="F591" si="142">C591-C590</f>
        <v>3260</v>
      </c>
      <c r="G591" s="76">
        <f>SUMIF(F$6:F591,"&gt;0")</f>
        <v>261765</v>
      </c>
      <c r="H591" s="76">
        <f t="shared" ref="H591" si="143">D591-D590</f>
        <v>-380</v>
      </c>
      <c r="I591" s="76">
        <f t="shared" ref="I591" si="144">SUM(F591,H591)</f>
        <v>2880</v>
      </c>
      <c r="J591" s="81">
        <f t="shared" ref="J591" si="145">I591/4200*80</f>
        <v>54.857142857142861</v>
      </c>
      <c r="K591" s="76">
        <f t="shared" ref="K591" si="146">IFERROR(G591 - _xlfn.XLOOKUP(A591-30, $A$6:$A$14999,G$6:G$14999,"",-1,2),NA())</f>
        <v>14520</v>
      </c>
    </row>
    <row r="592" spans="1:13" x14ac:dyDescent="0.25">
      <c r="A592" s="77">
        <v>44425.225694444445</v>
      </c>
      <c r="C592" s="74">
        <v>11415</v>
      </c>
      <c r="D592" s="74">
        <v>11685</v>
      </c>
      <c r="E592" s="74">
        <f t="shared" si="119"/>
        <v>23100</v>
      </c>
      <c r="F592" s="76">
        <f t="shared" ref="F592" si="147">C592-C591</f>
        <v>1550</v>
      </c>
      <c r="G592" s="76">
        <f>SUMIF(F$6:F592,"&gt;0")</f>
        <v>263315</v>
      </c>
      <c r="H592" s="76">
        <f t="shared" ref="H592" si="148">D592-D591</f>
        <v>90</v>
      </c>
      <c r="I592" s="76">
        <f t="shared" ref="I592" si="149">SUM(F592,H592)</f>
        <v>1640</v>
      </c>
      <c r="J592" s="81">
        <f t="shared" ref="J592" si="150">I592/4200*80</f>
        <v>31.238095238095237</v>
      </c>
      <c r="K592" s="76">
        <f t="shared" ref="K592" si="151">IFERROR(G592 - _xlfn.XLOOKUP(A592-30, $A$6:$A$14999,G$6:G$14999,"",-1,2),NA())</f>
        <v>13340</v>
      </c>
    </row>
    <row r="593" spans="1:13" x14ac:dyDescent="0.25">
      <c r="A593" s="77">
        <v>44427.193055555559</v>
      </c>
      <c r="C593" s="74">
        <v>12060</v>
      </c>
      <c r="D593" s="74">
        <v>11725</v>
      </c>
      <c r="E593" s="74">
        <f t="shared" si="119"/>
        <v>23785</v>
      </c>
      <c r="F593" s="76">
        <f t="shared" ref="F593" si="152">C593-C592</f>
        <v>645</v>
      </c>
      <c r="G593" s="76">
        <f>SUMIF(F$6:F593,"&gt;0")</f>
        <v>263960</v>
      </c>
      <c r="H593" s="76">
        <f t="shared" ref="H593" si="153">D593-D592</f>
        <v>40</v>
      </c>
      <c r="I593" s="76">
        <f t="shared" ref="I593" si="154">SUM(F593,H593)</f>
        <v>685</v>
      </c>
      <c r="J593" s="81">
        <f t="shared" ref="J593" si="155">I593/4200*80</f>
        <v>13.047619047619047</v>
      </c>
      <c r="K593" s="76">
        <f t="shared" ref="K593" si="156">IFERROR(G593 - _xlfn.XLOOKUP(A593-30, $A$6:$A$14999,G$6:G$14999,"",-1,2),NA())</f>
        <v>12490</v>
      </c>
    </row>
    <row r="594" spans="1:13" x14ac:dyDescent="0.25">
      <c r="A594" s="77">
        <v>44430.296527777777</v>
      </c>
      <c r="C594" s="74">
        <v>12460</v>
      </c>
      <c r="D594" s="74">
        <v>12315</v>
      </c>
      <c r="E594" s="74">
        <f t="shared" si="119"/>
        <v>24775</v>
      </c>
      <c r="F594" s="76">
        <f t="shared" ref="F594:F595" si="157">C594-C593</f>
        <v>400</v>
      </c>
      <c r="G594" s="76">
        <f>SUMIF(F$6:F594,"&gt;0")</f>
        <v>264360</v>
      </c>
      <c r="H594" s="76">
        <f t="shared" ref="H594:H595" si="158">D594-D593</f>
        <v>590</v>
      </c>
      <c r="I594" s="76">
        <f t="shared" ref="I594:I595" si="159">SUM(F594,H594)</f>
        <v>990</v>
      </c>
      <c r="J594" s="81">
        <f t="shared" ref="J594:J595" si="160">I594/4200*80</f>
        <v>18.857142857142858</v>
      </c>
      <c r="K594" s="76">
        <f>IFERROR(G594 - _xlfn.XLOOKUP(A594-30, $A$6:$A$14999,G$6:G$14999,"",-1,2),NA())</f>
        <v>12730</v>
      </c>
    </row>
    <row r="595" spans="1:13" x14ac:dyDescent="0.25">
      <c r="A595" s="77">
        <v>44436.177777777775</v>
      </c>
      <c r="C595" s="74">
        <v>14860</v>
      </c>
      <c r="D595" s="74">
        <v>13020</v>
      </c>
      <c r="E595" s="74">
        <f t="shared" si="119"/>
        <v>27880</v>
      </c>
      <c r="F595" s="76">
        <f t="shared" si="157"/>
        <v>2400</v>
      </c>
      <c r="G595" s="76">
        <f>SUMIF(F$6:F595,"&gt;0")</f>
        <v>266760</v>
      </c>
      <c r="H595" s="76">
        <f t="shared" si="158"/>
        <v>705</v>
      </c>
      <c r="I595" s="76">
        <f t="shared" si="159"/>
        <v>3105</v>
      </c>
      <c r="J595" s="81">
        <f t="shared" si="160"/>
        <v>59.142857142857146</v>
      </c>
      <c r="K595" s="76">
        <f>IFERROR(G595 - _xlfn.XLOOKUP(A595-30, $A$6:$A$14999,G$6:G$14999,"",-1,2),NA())</f>
        <v>14280</v>
      </c>
    </row>
    <row r="596" spans="1:13" x14ac:dyDescent="0.25">
      <c r="A596" s="77">
        <v>44438.03125</v>
      </c>
      <c r="C596" s="74">
        <v>14985</v>
      </c>
      <c r="D596" s="74">
        <v>13040</v>
      </c>
      <c r="E596" s="74">
        <f t="shared" si="119"/>
        <v>28025</v>
      </c>
      <c r="F596" s="76">
        <f t="shared" ref="F596" si="161">C596-C595</f>
        <v>125</v>
      </c>
      <c r="G596" s="76">
        <f>SUMIF(F$6:F596,"&gt;0")</f>
        <v>266885</v>
      </c>
      <c r="H596" s="76">
        <f t="shared" ref="H596" si="162">D596-D595</f>
        <v>20</v>
      </c>
      <c r="I596" s="76">
        <f t="shared" ref="I596" si="163">SUM(F596,H596)</f>
        <v>145</v>
      </c>
      <c r="J596" s="81">
        <f t="shared" ref="J596" si="164">I596/4200*80</f>
        <v>2.7619047619047619</v>
      </c>
      <c r="K596" s="76">
        <f t="shared" ref="K596" si="165">IFERROR(G596 - _xlfn.XLOOKUP(A596-30, $A$6:$A$14999,G$6:G$14999,"",-1,2),NA())</f>
        <v>13230</v>
      </c>
    </row>
    <row r="597" spans="1:13" x14ac:dyDescent="0.25">
      <c r="A597" s="77">
        <v>44438.086805555555</v>
      </c>
      <c r="B597" s="105" t="s">
        <v>487</v>
      </c>
      <c r="C597" s="74">
        <v>8985</v>
      </c>
      <c r="D597" s="74">
        <v>13010</v>
      </c>
      <c r="E597" s="74">
        <f t="shared" si="119"/>
        <v>21995</v>
      </c>
      <c r="F597" s="76">
        <f t="shared" ref="F597" si="166">C597-C596</f>
        <v>-6000</v>
      </c>
      <c r="G597" s="76">
        <f>SUMIF(F$6:F597,"&gt;0")</f>
        <v>266885</v>
      </c>
      <c r="H597" s="76">
        <f t="shared" ref="H597" si="167">D597-D596</f>
        <v>-30</v>
      </c>
      <c r="I597" s="76">
        <f t="shared" ref="I597" si="168">SUM(F597,H597)</f>
        <v>-6030</v>
      </c>
      <c r="J597" s="81">
        <f t="shared" ref="J597" si="169">I597/4200*80</f>
        <v>-114.85714285714286</v>
      </c>
      <c r="K597" s="76">
        <f t="shared" ref="K597" si="170">IFERROR(G597 - _xlfn.XLOOKUP(A597-30, $A$6:$A$14999,G$6:G$14999,"",-1,2),NA())</f>
        <v>13230</v>
      </c>
    </row>
    <row r="598" spans="1:13" x14ac:dyDescent="0.25">
      <c r="A598" s="77">
        <v>44438.879166666666</v>
      </c>
      <c r="C598" s="74">
        <v>9085</v>
      </c>
      <c r="D598" s="74">
        <v>13010</v>
      </c>
      <c r="E598" s="74">
        <f t="shared" si="119"/>
        <v>22095</v>
      </c>
      <c r="F598" s="76">
        <f t="shared" ref="F598" si="171">C598-C597</f>
        <v>100</v>
      </c>
      <c r="G598" s="76">
        <f>SUMIF(F$6:F598,"&gt;0")</f>
        <v>266985</v>
      </c>
      <c r="H598" s="76">
        <f t="shared" ref="H598" si="172">D598-D597</f>
        <v>0</v>
      </c>
      <c r="I598" s="76">
        <f t="shared" ref="I598" si="173">SUM(F598,H598)</f>
        <v>100</v>
      </c>
      <c r="J598" s="81">
        <f t="shared" ref="J598" si="174">I598/4200*80</f>
        <v>1.9047619047619047</v>
      </c>
      <c r="K598" s="76">
        <f t="shared" ref="K598" si="175">IFERROR(G598 - _xlfn.XLOOKUP(A598-30, $A$6:$A$14999,G$6:G$14999,"",-1,2),NA())</f>
        <v>13330</v>
      </c>
    </row>
    <row r="599" spans="1:13" x14ac:dyDescent="0.25">
      <c r="A599" s="77">
        <v>44442.029166666667</v>
      </c>
      <c r="C599" s="74">
        <v>10385</v>
      </c>
      <c r="D599" s="74">
        <v>13150</v>
      </c>
      <c r="E599" s="74">
        <f t="shared" si="119"/>
        <v>23535</v>
      </c>
      <c r="F599" s="76">
        <f t="shared" ref="F599" si="176">C599-C598</f>
        <v>1300</v>
      </c>
      <c r="G599" s="76">
        <f>SUMIF(F$6:F599,"&gt;0")</f>
        <v>268285</v>
      </c>
      <c r="H599" s="76">
        <f t="shared" ref="H599" si="177">D599-D598</f>
        <v>140</v>
      </c>
      <c r="I599" s="76">
        <f t="shared" ref="I599" si="178">SUM(F599,H599)</f>
        <v>1440</v>
      </c>
      <c r="J599" s="81">
        <f t="shared" ref="J599" si="179">I599/4200*80</f>
        <v>27.428571428571431</v>
      </c>
      <c r="K599" s="76">
        <f t="shared" ref="K599" si="180">IFERROR(G599 - _xlfn.XLOOKUP(A599-30, $A$6:$A$14999,G$6:G$14999,"",-1,2),NA())</f>
        <v>11860</v>
      </c>
    </row>
    <row r="600" spans="1:13" x14ac:dyDescent="0.25">
      <c r="A600" s="77">
        <v>44442.154166666667</v>
      </c>
      <c r="B600" s="105" t="s">
        <v>488</v>
      </c>
      <c r="C600" s="74">
        <v>4385</v>
      </c>
      <c r="D600" s="74">
        <v>1120</v>
      </c>
      <c r="E600" s="74">
        <f t="shared" si="119"/>
        <v>5505</v>
      </c>
      <c r="F600" s="76">
        <f t="shared" ref="F600" si="181">C600-C599</f>
        <v>-6000</v>
      </c>
      <c r="G600" s="76">
        <f>SUMIF(F$6:F600,"&gt;0")</f>
        <v>268285</v>
      </c>
      <c r="H600" s="76">
        <f t="shared" ref="H600" si="182">D600-D599</f>
        <v>-12030</v>
      </c>
      <c r="I600" s="76">
        <f t="shared" ref="I600" si="183">SUM(F600,H600)</f>
        <v>-18030</v>
      </c>
      <c r="J600" s="81">
        <f t="shared" ref="J600" si="184">I600/4200*80</f>
        <v>-343.42857142857144</v>
      </c>
      <c r="K600" s="76">
        <f t="shared" ref="K600" si="185">IFERROR(G600 - _xlfn.XLOOKUP(A600-30, $A$6:$A$14999,G$6:G$14999,"",-1,2),NA())</f>
        <v>11860</v>
      </c>
    </row>
    <row r="601" spans="1:13" x14ac:dyDescent="0.25">
      <c r="A601" s="77">
        <v>44449.21875</v>
      </c>
      <c r="C601" s="74">
        <v>6100</v>
      </c>
      <c r="D601" s="74">
        <v>1815</v>
      </c>
      <c r="E601" s="74">
        <f t="shared" si="119"/>
        <v>7915</v>
      </c>
      <c r="F601" s="76">
        <f t="shared" ref="F601" si="186">C601-C600</f>
        <v>1715</v>
      </c>
      <c r="G601" s="76">
        <f>SUMIF(F$6:F601,"&gt;0")</f>
        <v>270000</v>
      </c>
      <c r="H601" s="76">
        <f t="shared" ref="H601" si="187">D601-D600</f>
        <v>695</v>
      </c>
      <c r="I601" s="76">
        <f t="shared" ref="I601" si="188">SUM(F601,H601)</f>
        <v>2410</v>
      </c>
      <c r="J601" s="81">
        <f t="shared" ref="J601" si="189">I601/4200*80</f>
        <v>45.904761904761898</v>
      </c>
      <c r="K601" s="76">
        <f t="shared" ref="K601" si="190">IFERROR(G601 - _xlfn.XLOOKUP(A601-30, $A$6:$A$14999,G$6:G$14999,"",-1,2),NA())</f>
        <v>12385</v>
      </c>
      <c r="L601" s="74">
        <v>1005</v>
      </c>
      <c r="M601" s="74">
        <v>17</v>
      </c>
    </row>
    <row r="602" spans="1:13" x14ac:dyDescent="0.25">
      <c r="A602" s="77">
        <v>44451.445833333331</v>
      </c>
      <c r="C602" s="74">
        <v>6895</v>
      </c>
      <c r="D602" s="74">
        <v>2380</v>
      </c>
      <c r="E602" s="74">
        <f t="shared" si="119"/>
        <v>9275</v>
      </c>
      <c r="F602" s="76">
        <f t="shared" ref="F602" si="191">C602-C601</f>
        <v>795</v>
      </c>
      <c r="G602" s="76">
        <f>SUMIF(F$6:F602,"&gt;0")</f>
        <v>270795</v>
      </c>
      <c r="H602" s="76">
        <f t="shared" ref="H602" si="192">D602-D601</f>
        <v>565</v>
      </c>
      <c r="I602" s="76">
        <f t="shared" ref="I602" si="193">SUM(F602,H602)</f>
        <v>1360</v>
      </c>
      <c r="J602" s="81">
        <f t="shared" ref="J602" si="194">I602/4200*80</f>
        <v>25.904761904761905</v>
      </c>
      <c r="K602" s="76">
        <f t="shared" ref="K602" si="195">IFERROR(G602 - _xlfn.XLOOKUP(A602-30, $A$6:$A$14999,G$6:G$14999,"",-1,2),NA())</f>
        <v>12290</v>
      </c>
    </row>
    <row r="603" spans="1:13" x14ac:dyDescent="0.25">
      <c r="A603" s="77">
        <v>44451.448611111111</v>
      </c>
      <c r="C603" s="74">
        <v>6895</v>
      </c>
      <c r="D603" s="74">
        <v>18980</v>
      </c>
      <c r="E603" s="74">
        <f t="shared" si="119"/>
        <v>25875</v>
      </c>
      <c r="F603" s="76">
        <f t="shared" ref="F603" si="196">C603-C602</f>
        <v>0</v>
      </c>
      <c r="G603" s="76">
        <f>SUMIF(F$6:F603,"&gt;0")</f>
        <v>270795</v>
      </c>
      <c r="H603" s="76">
        <f t="shared" ref="H603" si="197">D603-D602</f>
        <v>16600</v>
      </c>
      <c r="I603" s="76">
        <f t="shared" ref="I603" si="198">SUM(F603,H603)</f>
        <v>16600</v>
      </c>
      <c r="J603" s="81">
        <f t="shared" ref="J603" si="199">I603/4200*80</f>
        <v>316.1904761904762</v>
      </c>
      <c r="K603" s="76">
        <f t="shared" ref="K603" si="200">IFERROR(G603 - _xlfn.XLOOKUP(A603-30, $A$6:$A$14999,G$6:G$14999,"",-1,2),NA())</f>
        <v>12290</v>
      </c>
      <c r="L603" s="74">
        <v>16600</v>
      </c>
      <c r="M603" s="74">
        <v>320</v>
      </c>
    </row>
    <row r="604" spans="1:13" x14ac:dyDescent="0.25">
      <c r="A604" s="77">
        <v>44452.125</v>
      </c>
      <c r="B604" s="105" t="s">
        <v>489</v>
      </c>
      <c r="C604" s="74">
        <v>5695</v>
      </c>
      <c r="D604" s="74">
        <v>9350</v>
      </c>
      <c r="E604" s="74">
        <f t="shared" si="119"/>
        <v>15045</v>
      </c>
      <c r="F604" s="76">
        <f t="shared" ref="F604" si="201">C604-C603</f>
        <v>-1200</v>
      </c>
      <c r="G604" s="76">
        <f>SUMIF(F$6:F604,"&gt;0")</f>
        <v>270795</v>
      </c>
      <c r="H604" s="76">
        <f t="shared" ref="H604" si="202">D604-D603</f>
        <v>-9630</v>
      </c>
      <c r="I604" s="76">
        <f t="shared" ref="I604" si="203">SUM(F604,H604)</f>
        <v>-10830</v>
      </c>
      <c r="J604" s="81">
        <f t="shared" ref="J604" si="204">I604/4200*80</f>
        <v>-206.28571428571431</v>
      </c>
      <c r="K604" s="76">
        <f t="shared" ref="K604" si="205">IFERROR(G604 - _xlfn.XLOOKUP(A604-30, $A$6:$A$14999,G$6:G$14999,"",-1,2),NA())</f>
        <v>12290</v>
      </c>
    </row>
    <row r="605" spans="1:13" x14ac:dyDescent="0.25">
      <c r="A605" s="77">
        <v>44453.745138888888</v>
      </c>
      <c r="C605" s="74">
        <v>6815</v>
      </c>
      <c r="D605" s="74">
        <v>8870</v>
      </c>
      <c r="E605" s="74">
        <f t="shared" si="119"/>
        <v>15685</v>
      </c>
      <c r="F605" s="76">
        <f t="shared" ref="F605" si="206">C605-C604</f>
        <v>1120</v>
      </c>
      <c r="G605" s="76">
        <f>SUMIF(F$6:F605,"&gt;0")</f>
        <v>271915</v>
      </c>
      <c r="H605" s="76">
        <f t="shared" ref="H605" si="207">D605-D604</f>
        <v>-480</v>
      </c>
      <c r="I605" s="76">
        <f t="shared" ref="I605" si="208">SUM(F605,H605)</f>
        <v>640</v>
      </c>
      <c r="J605" s="81">
        <f t="shared" ref="J605" si="209">I605/4200*80</f>
        <v>12.190476190476192</v>
      </c>
      <c r="K605" s="76">
        <f t="shared" ref="K605" si="210">IFERROR(G605 - _xlfn.XLOOKUP(A605-30, $A$6:$A$14999,G$6:G$14999,"",-1,2),NA())</f>
        <v>10150</v>
      </c>
    </row>
    <row r="606" spans="1:13" x14ac:dyDescent="0.25">
      <c r="A606" s="77">
        <v>44454.372916666667</v>
      </c>
      <c r="C606" s="74">
        <v>8080</v>
      </c>
      <c r="D606" s="74">
        <v>8970</v>
      </c>
      <c r="E606" s="74">
        <f t="shared" si="119"/>
        <v>17050</v>
      </c>
      <c r="F606" s="76">
        <f t="shared" ref="F606" si="211">C606-C605</f>
        <v>1265</v>
      </c>
      <c r="G606" s="76">
        <f>SUMIF(F$6:F606,"&gt;0")</f>
        <v>273180</v>
      </c>
      <c r="H606" s="76">
        <f t="shared" ref="H606" si="212">D606-D605</f>
        <v>100</v>
      </c>
      <c r="I606" s="76">
        <f t="shared" ref="I606" si="213">SUM(F606,H606)</f>
        <v>1365</v>
      </c>
      <c r="J606" s="81">
        <f t="shared" ref="J606" si="214">I606/4200*80</f>
        <v>26</v>
      </c>
      <c r="K606" s="76">
        <f t="shared" ref="K606" si="215">IFERROR(G606 - _xlfn.XLOOKUP(A606-30, $A$6:$A$14999,G$6:G$14999,"",-1,2),NA())</f>
        <v>11415</v>
      </c>
      <c r="L606" s="74">
        <v>480</v>
      </c>
      <c r="M606" s="74">
        <v>10</v>
      </c>
    </row>
    <row r="607" spans="1:13" x14ac:dyDescent="0.25">
      <c r="A607" s="77">
        <v>44455.883333333331</v>
      </c>
      <c r="C607" s="74">
        <v>8180</v>
      </c>
      <c r="D607" s="74">
        <v>8990</v>
      </c>
      <c r="E607" s="74">
        <f t="shared" si="119"/>
        <v>17170</v>
      </c>
      <c r="F607" s="76">
        <f t="shared" ref="F607" si="216">C607-C606</f>
        <v>100</v>
      </c>
      <c r="G607" s="76">
        <f>SUMIF(F$6:F607,"&gt;0")</f>
        <v>273280</v>
      </c>
      <c r="H607" s="76">
        <f t="shared" ref="H607" si="217">D607-D606</f>
        <v>20</v>
      </c>
      <c r="I607" s="76">
        <f t="shared" ref="I607" si="218">SUM(F607,H607)</f>
        <v>120</v>
      </c>
      <c r="J607" s="81">
        <f t="shared" ref="J607" si="219">I607/4200*80</f>
        <v>2.2857142857142856</v>
      </c>
      <c r="K607" s="76">
        <f t="shared" ref="K607" si="220">IFERROR(G607 - _xlfn.XLOOKUP(A607-30, $A$6:$A$14999,G$6:G$14999,"",-1,2),NA())</f>
        <v>9965</v>
      </c>
    </row>
    <row r="608" spans="1:13" x14ac:dyDescent="0.25">
      <c r="A608" s="77">
        <v>44456.552083333336</v>
      </c>
      <c r="C608" s="74">
        <v>8350</v>
      </c>
      <c r="D608" s="74">
        <v>9010</v>
      </c>
      <c r="E608" s="74">
        <f t="shared" si="119"/>
        <v>17360</v>
      </c>
      <c r="F608" s="76">
        <f t="shared" ref="F608" si="221">C608-C607</f>
        <v>170</v>
      </c>
      <c r="G608" s="76">
        <f>SUMIF(F$6:F608,"&gt;0")</f>
        <v>273450</v>
      </c>
      <c r="H608" s="76">
        <f t="shared" ref="H608" si="222">D608-D607</f>
        <v>20</v>
      </c>
      <c r="I608" s="76">
        <f t="shared" ref="I608" si="223">SUM(F608,H608)</f>
        <v>190</v>
      </c>
      <c r="J608" s="81">
        <f t="shared" ref="J608" si="224">I608/4200*80</f>
        <v>3.6190476190476191</v>
      </c>
      <c r="K608" s="76">
        <f t="shared" ref="K608" si="225">IFERROR(G608 - _xlfn.XLOOKUP(A608-30, $A$6:$A$14999,G$6:G$14999,"",-1,2),NA())</f>
        <v>10135</v>
      </c>
    </row>
    <row r="609" spans="1:13" x14ac:dyDescent="0.25">
      <c r="A609" s="77">
        <v>44458.804861111108</v>
      </c>
      <c r="C609" s="74">
        <v>10195</v>
      </c>
      <c r="D609" s="74">
        <v>9050</v>
      </c>
      <c r="E609" s="74">
        <f t="shared" si="119"/>
        <v>19245</v>
      </c>
      <c r="F609" s="76">
        <f t="shared" ref="F609" si="226">C609-C608</f>
        <v>1845</v>
      </c>
      <c r="G609" s="76">
        <f>SUMIF(F$6:F609,"&gt;0")</f>
        <v>275295</v>
      </c>
      <c r="H609" s="76">
        <f t="shared" ref="H609" si="227">D609-D608</f>
        <v>40</v>
      </c>
      <c r="I609" s="76">
        <f t="shared" ref="I609" si="228">SUM(F609,H609)</f>
        <v>1885</v>
      </c>
      <c r="J609" s="81">
        <f t="shared" ref="J609" si="229">I609/4200*80</f>
        <v>35.904761904761905</v>
      </c>
      <c r="K609" s="76">
        <f t="shared" ref="K609" si="230">IFERROR(G609 - _xlfn.XLOOKUP(A609-30, $A$6:$A$14999,G$6:G$14999,"",-1,2),NA())</f>
        <v>11335</v>
      </c>
    </row>
    <row r="610" spans="1:13" x14ac:dyDescent="0.25">
      <c r="A610" s="77">
        <v>44459.826388888891</v>
      </c>
      <c r="C610" s="74">
        <v>10205</v>
      </c>
      <c r="D610" s="74">
        <v>9070</v>
      </c>
      <c r="E610" s="74">
        <f t="shared" si="119"/>
        <v>19275</v>
      </c>
      <c r="F610" s="76">
        <f t="shared" ref="F610" si="231">C610-C609</f>
        <v>10</v>
      </c>
      <c r="G610" s="76">
        <f>SUMIF(F$6:F610,"&gt;0")</f>
        <v>275305</v>
      </c>
      <c r="H610" s="76">
        <f t="shared" ref="H610" si="232">D610-D609</f>
        <v>20</v>
      </c>
      <c r="I610" s="76">
        <f t="shared" ref="I610" si="233">SUM(F610,H610)</f>
        <v>30</v>
      </c>
      <c r="J610" s="81">
        <f t="shared" ref="J610" si="234">I610/4200*80</f>
        <v>0.5714285714285714</v>
      </c>
      <c r="K610" s="76">
        <f t="shared" ref="K610" si="235">IFERROR(G610 - _xlfn.XLOOKUP(A610-30, $A$6:$A$14999,G$6:G$14999,"",-1,2),NA())</f>
        <v>11345</v>
      </c>
    </row>
    <row r="611" spans="1:13" x14ac:dyDescent="0.25">
      <c r="A611" s="77">
        <v>44460.709027777775</v>
      </c>
      <c r="C611" s="74">
        <v>10850</v>
      </c>
      <c r="D611" s="74">
        <v>9120</v>
      </c>
      <c r="E611" s="74">
        <f t="shared" si="119"/>
        <v>19970</v>
      </c>
      <c r="F611" s="76">
        <f t="shared" ref="F611" si="236">C611-C610</f>
        <v>645</v>
      </c>
      <c r="G611" s="76">
        <f>SUMIF(F$6:F611,"&gt;0")</f>
        <v>275950</v>
      </c>
      <c r="H611" s="76">
        <f t="shared" ref="H611" si="237">D611-D610</f>
        <v>50</v>
      </c>
      <c r="I611" s="76">
        <f t="shared" ref="I611" si="238">SUM(F611,H611)</f>
        <v>695</v>
      </c>
      <c r="J611" s="81">
        <f t="shared" ref="J611" si="239">I611/4200*80</f>
        <v>13.238095238095237</v>
      </c>
      <c r="K611" s="76">
        <f t="shared" ref="K611" si="240">IFERROR(G611 - _xlfn.XLOOKUP(A611-30, $A$6:$A$14999,G$6:G$14999,"",-1,2),NA())</f>
        <v>11590</v>
      </c>
    </row>
    <row r="612" spans="1:13" x14ac:dyDescent="0.25">
      <c r="A612" s="77">
        <v>44462.981944444444</v>
      </c>
      <c r="C612" s="74">
        <v>12175</v>
      </c>
      <c r="D612" s="74">
        <v>9685</v>
      </c>
      <c r="E612" s="74">
        <f t="shared" si="119"/>
        <v>21860</v>
      </c>
      <c r="F612" s="76">
        <f t="shared" ref="F612" si="241">C612-C611</f>
        <v>1325</v>
      </c>
      <c r="G612" s="76">
        <f>SUMIF(F$6:F612,"&gt;0")</f>
        <v>277275</v>
      </c>
      <c r="H612" s="76">
        <f t="shared" ref="H612" si="242">D612-D611</f>
        <v>565</v>
      </c>
      <c r="I612" s="76">
        <f t="shared" ref="I612" si="243">SUM(F612,H612)</f>
        <v>1890</v>
      </c>
      <c r="J612" s="81">
        <f t="shared" ref="J612" si="244">I612/4200*80</f>
        <v>36</v>
      </c>
      <c r="K612" s="76">
        <f t="shared" ref="K612" si="245">IFERROR(G612 - _xlfn.XLOOKUP(A612-30, $A$6:$A$14999,G$6:G$14999,"",-1,2),NA())</f>
        <v>12915</v>
      </c>
    </row>
    <row r="613" spans="1:13" x14ac:dyDescent="0.25">
      <c r="A613" s="77">
        <v>44467.04791666667</v>
      </c>
      <c r="C613" s="74">
        <v>12950</v>
      </c>
      <c r="D613" s="74">
        <v>15590</v>
      </c>
      <c r="E613" s="74">
        <f t="shared" si="119"/>
        <v>28540</v>
      </c>
      <c r="F613" s="76">
        <f t="shared" ref="F613" si="246">C613-C612</f>
        <v>775</v>
      </c>
      <c r="G613" s="76">
        <f>SUMIF(F$6:F613,"&gt;0")</f>
        <v>278050</v>
      </c>
      <c r="H613" s="76">
        <f t="shared" ref="H613" si="247">D613-D612</f>
        <v>5905</v>
      </c>
      <c r="I613" s="76">
        <f t="shared" ref="I613" si="248">SUM(F613,H613)</f>
        <v>6680</v>
      </c>
      <c r="J613" s="81">
        <f t="shared" ref="J613" si="249">I613/4200*80</f>
        <v>127.23809523809523</v>
      </c>
      <c r="K613" s="76">
        <f t="shared" ref="K613" si="250">IFERROR(G613 - _xlfn.XLOOKUP(A613-30, $A$6:$A$14999,G$6:G$14999,"",-1,2),NA())</f>
        <v>11290</v>
      </c>
      <c r="L613" s="74">
        <f>4800+525</f>
        <v>5325</v>
      </c>
      <c r="M613" s="74">
        <v>87</v>
      </c>
    </row>
    <row r="614" spans="1:13" x14ac:dyDescent="0.25">
      <c r="A614" s="77">
        <v>44468.963888888888</v>
      </c>
      <c r="C614" s="74">
        <v>16200</v>
      </c>
      <c r="D614" s="74">
        <v>15660</v>
      </c>
      <c r="E614" s="74">
        <f t="shared" si="119"/>
        <v>31860</v>
      </c>
      <c r="F614" s="76">
        <f t="shared" ref="F614" si="251">C614-C613</f>
        <v>3250</v>
      </c>
      <c r="G614" s="76">
        <f>SUMIF(F$6:F614,"&gt;0")</f>
        <v>281300</v>
      </c>
      <c r="H614" s="76">
        <f t="shared" ref="H614" si="252">D614-D613</f>
        <v>70</v>
      </c>
      <c r="I614" s="76">
        <f t="shared" ref="I614" si="253">SUM(F614,H614)</f>
        <v>3320</v>
      </c>
      <c r="J614" s="81">
        <f t="shared" ref="J614" si="254">I614/4200*80</f>
        <v>63.238095238095234</v>
      </c>
      <c r="K614" s="76">
        <f t="shared" ref="K614" si="255">IFERROR(G614 - _xlfn.XLOOKUP(A614-30, $A$6:$A$14999,G$6:G$14999,"",-1,2),NA())</f>
        <v>14315</v>
      </c>
    </row>
    <row r="615" spans="1:13" x14ac:dyDescent="0.25">
      <c r="A615" s="77">
        <v>44469.140277777777</v>
      </c>
      <c r="B615" s="105" t="s">
        <v>490</v>
      </c>
      <c r="C615" s="74">
        <v>3000</v>
      </c>
      <c r="D615" s="74">
        <v>8430</v>
      </c>
      <c r="E615" s="74">
        <f t="shared" si="119"/>
        <v>11430</v>
      </c>
      <c r="F615" s="76">
        <f t="shared" ref="F615" si="256">C615-C614</f>
        <v>-13200</v>
      </c>
      <c r="G615" s="76">
        <f>SUMIF(F$6:F615,"&gt;0")</f>
        <v>281300</v>
      </c>
      <c r="H615" s="76">
        <f t="shared" ref="H615" si="257">D615-D614</f>
        <v>-7230</v>
      </c>
      <c r="I615" s="76">
        <f t="shared" ref="I615" si="258">SUM(F615,H615)</f>
        <v>-20430</v>
      </c>
      <c r="J615" s="81">
        <f t="shared" ref="J615" si="259">I615/4200*80</f>
        <v>-389.14285714285711</v>
      </c>
      <c r="K615" s="76">
        <f t="shared" ref="K615" si="260">IFERROR(G615 - _xlfn.XLOOKUP(A615-30, $A$6:$A$14999,G$6:G$14999,"",-1,2),NA())</f>
        <v>14315</v>
      </c>
    </row>
    <row r="616" spans="1:13" x14ac:dyDescent="0.25">
      <c r="A616" s="77">
        <v>44469.723611111112</v>
      </c>
      <c r="C616" s="74">
        <v>4450</v>
      </c>
      <c r="D616" s="74">
        <v>8480</v>
      </c>
      <c r="E616" s="74">
        <f t="shared" si="119"/>
        <v>12930</v>
      </c>
      <c r="F616" s="76">
        <f t="shared" ref="F616" si="261">C616-C615</f>
        <v>1450</v>
      </c>
      <c r="G616" s="76">
        <f>SUMIF(F$6:F616,"&gt;0")</f>
        <v>282750</v>
      </c>
      <c r="H616" s="76">
        <f t="shared" ref="H616" si="262">D616-D615</f>
        <v>50</v>
      </c>
      <c r="I616" s="76">
        <f t="shared" ref="I616" si="263">SUM(F616,H616)</f>
        <v>1500</v>
      </c>
      <c r="J616" s="81">
        <f t="shared" ref="J616" si="264">I616/4200*80</f>
        <v>28.571428571428573</v>
      </c>
      <c r="K616" s="76">
        <f t="shared" ref="K616" si="265">IFERROR(G616 - _xlfn.XLOOKUP(A616-30, $A$6:$A$14999,G$6:G$14999,"",-1,2),NA())</f>
        <v>15765</v>
      </c>
    </row>
    <row r="617" spans="1:13" x14ac:dyDescent="0.25">
      <c r="A617" s="77">
        <v>44470.84652777778</v>
      </c>
      <c r="C617" s="74">
        <v>5085</v>
      </c>
      <c r="D617" s="74">
        <v>8000</v>
      </c>
      <c r="E617" s="74">
        <f t="shared" si="119"/>
        <v>13085</v>
      </c>
      <c r="F617" s="76">
        <f t="shared" ref="F617" si="266">C617-C616</f>
        <v>635</v>
      </c>
      <c r="G617" s="76">
        <f>SUMIF(F$6:F617,"&gt;0")</f>
        <v>283385</v>
      </c>
      <c r="H617" s="76">
        <f t="shared" ref="H617" si="267">D617-D616</f>
        <v>-480</v>
      </c>
      <c r="I617" s="76">
        <f t="shared" ref="I617" si="268">SUM(F617,H617)</f>
        <v>155</v>
      </c>
      <c r="J617" s="81">
        <f t="shared" ref="J617" si="269">I617/4200*80</f>
        <v>2.9523809523809526</v>
      </c>
      <c r="K617" s="76">
        <f t="shared" ref="K617" si="270">IFERROR(G617 - _xlfn.XLOOKUP(A617-30, $A$6:$A$14999,G$6:G$14999,"",-1,2),NA())</f>
        <v>16400</v>
      </c>
    </row>
    <row r="618" spans="1:13" x14ac:dyDescent="0.25">
      <c r="A618" s="77">
        <v>44471.875</v>
      </c>
      <c r="C618" s="74">
        <v>6085</v>
      </c>
      <c r="D618" s="74">
        <v>8020</v>
      </c>
      <c r="E618" s="74">
        <f t="shared" ref="E618:E619" si="271">SUM(C618:D618)</f>
        <v>14105</v>
      </c>
      <c r="F618" s="76">
        <f t="shared" ref="F618" si="272">C618-C617</f>
        <v>1000</v>
      </c>
      <c r="G618" s="76">
        <f>SUMIF(F$6:F618,"&gt;0")</f>
        <v>284385</v>
      </c>
      <c r="H618" s="76">
        <f t="shared" ref="H618" si="273">D618-D617</f>
        <v>20</v>
      </c>
      <c r="I618" s="76">
        <f t="shared" ref="I618" si="274">SUM(F618,H618)</f>
        <v>1020</v>
      </c>
      <c r="J618" s="81">
        <f t="shared" ref="J618" si="275">I618/4200*80</f>
        <v>19.428571428571427</v>
      </c>
      <c r="K618" s="76">
        <f t="shared" ref="K618" si="276">IFERROR(G618 - _xlfn.XLOOKUP(A618-30, $A$6:$A$14999,G$6:G$14999,"",-1,2),NA())</f>
        <v>17400</v>
      </c>
    </row>
    <row r="619" spans="1:13" x14ac:dyDescent="0.25">
      <c r="A619" s="77">
        <v>44474.04583333333</v>
      </c>
      <c r="C619" s="74">
        <v>6830</v>
      </c>
      <c r="D619" s="74">
        <v>8590</v>
      </c>
      <c r="E619" s="74">
        <f t="shared" si="271"/>
        <v>15420</v>
      </c>
      <c r="F619" s="76">
        <f t="shared" ref="F619" si="277">C619-C618</f>
        <v>745</v>
      </c>
      <c r="G619" s="76">
        <f>SUMIF(F$6:F619,"&gt;0")</f>
        <v>285130</v>
      </c>
      <c r="H619" s="76">
        <f t="shared" ref="H619" si="278">D619-D618</f>
        <v>570</v>
      </c>
      <c r="I619" s="76">
        <f t="shared" ref="I619" si="279">SUM(F619,H619)</f>
        <v>1315</v>
      </c>
      <c r="J619" s="81">
        <f t="shared" ref="J619" si="280">I619/4200*80</f>
        <v>25.047619047619047</v>
      </c>
      <c r="K619" s="76">
        <f t="shared" ref="K619" si="281">IFERROR(G619 - _xlfn.XLOOKUP(A619-30, $A$6:$A$14999,G$6:G$14999,"",-1,2),NA())</f>
        <v>16845</v>
      </c>
    </row>
    <row r="620" spans="1:13" x14ac:dyDescent="0.25">
      <c r="A620" s="77">
        <v>44474.050694444442</v>
      </c>
      <c r="B620" s="105" t="s">
        <v>491</v>
      </c>
      <c r="C620" s="74">
        <v>710</v>
      </c>
      <c r="D620" s="74">
        <v>160</v>
      </c>
      <c r="E620" s="74">
        <f t="shared" ref="E620" si="282">SUM(C620:D620)</f>
        <v>870</v>
      </c>
      <c r="F620" s="76">
        <f t="shared" ref="F620" si="283">C620-C619</f>
        <v>-6120</v>
      </c>
      <c r="G620" s="76">
        <f>SUMIF(F$6:F620,"&gt;0")</f>
        <v>285130</v>
      </c>
      <c r="H620" s="76">
        <f t="shared" ref="H620" si="284">D620-D619</f>
        <v>-8430</v>
      </c>
      <c r="I620" s="76">
        <f t="shared" ref="I620" si="285">SUM(F620,H620)</f>
        <v>-14550</v>
      </c>
      <c r="J620" s="81">
        <f t="shared" ref="J620" si="286">I620/4200*80</f>
        <v>-277.14285714285717</v>
      </c>
      <c r="K620" s="76">
        <f t="shared" ref="K620" si="287">IFERROR(G620 - _xlfn.XLOOKUP(A620-30, $A$6:$A$14999,G$6:G$14999,"",-1,2),NA())</f>
        <v>16845</v>
      </c>
    </row>
    <row r="621" spans="1:13" x14ac:dyDescent="0.25">
      <c r="A621" s="77">
        <v>44474.144444444442</v>
      </c>
      <c r="C621" s="74">
        <v>810</v>
      </c>
      <c r="D621" s="74">
        <v>21295</v>
      </c>
      <c r="E621" s="74">
        <f t="shared" ref="E621:E706" si="288">SUM(C621:D621)</f>
        <v>22105</v>
      </c>
      <c r="F621" s="76">
        <f t="shared" ref="F621" si="289">C621-C620</f>
        <v>100</v>
      </c>
      <c r="G621" s="76">
        <f>SUMIF(F$6:F621,"&gt;0")</f>
        <v>285230</v>
      </c>
      <c r="H621" s="76">
        <f t="shared" ref="H621" si="290">D621-D620</f>
        <v>21135</v>
      </c>
      <c r="I621" s="76">
        <f t="shared" ref="I621" si="291">SUM(F621,H621)</f>
        <v>21235</v>
      </c>
      <c r="J621" s="81">
        <f t="shared" ref="J621" si="292">I621/4200*80</f>
        <v>404.47619047619048</v>
      </c>
      <c r="K621" s="76">
        <f t="shared" ref="K621" si="293">IFERROR(G621 - _xlfn.XLOOKUP(A621-30, $A$6:$A$14999,G$6:G$14999,"",-1,2),NA())</f>
        <v>16945</v>
      </c>
      <c r="L621" s="74">
        <v>21085</v>
      </c>
      <c r="M621" s="74">
        <v>339</v>
      </c>
    </row>
    <row r="622" spans="1:13" x14ac:dyDescent="0.25">
      <c r="A622" s="77">
        <v>44475.90625</v>
      </c>
      <c r="C622" s="74">
        <v>2510</v>
      </c>
      <c r="D622" s="74">
        <v>21315</v>
      </c>
      <c r="E622" s="74">
        <f t="shared" si="288"/>
        <v>23825</v>
      </c>
      <c r="F622" s="76">
        <f t="shared" ref="F622" si="294">C622-C621</f>
        <v>1700</v>
      </c>
      <c r="G622" s="76">
        <f>SUMIF(F$6:F622,"&gt;0")</f>
        <v>286930</v>
      </c>
      <c r="H622" s="76">
        <f t="shared" ref="H622" si="295">D622-D621</f>
        <v>20</v>
      </c>
      <c r="I622" s="76">
        <f t="shared" ref="I622" si="296">SUM(F622,H622)</f>
        <v>1720</v>
      </c>
      <c r="J622" s="81">
        <f t="shared" ref="J622" si="297">I622/4200*80</f>
        <v>32.761904761904759</v>
      </c>
      <c r="K622" s="76">
        <f t="shared" ref="K622" si="298">IFERROR(G622 - _xlfn.XLOOKUP(A622-30, $A$6:$A$14999,G$6:G$14999,"",-1,2),NA())</f>
        <v>18645</v>
      </c>
    </row>
    <row r="623" spans="1:13" x14ac:dyDescent="0.25">
      <c r="A623" s="77">
        <v>44476.90625</v>
      </c>
      <c r="C623" s="74">
        <v>2610</v>
      </c>
      <c r="D623" s="74">
        <v>21335</v>
      </c>
      <c r="E623" s="74">
        <f t="shared" si="288"/>
        <v>23945</v>
      </c>
      <c r="F623" s="76">
        <f t="shared" ref="F623" si="299">C623-C622</f>
        <v>100</v>
      </c>
      <c r="G623" s="76">
        <f>SUMIF(F$6:F623,"&gt;0")</f>
        <v>287030</v>
      </c>
      <c r="H623" s="76">
        <f t="shared" ref="H623" si="300">D623-D622</f>
        <v>20</v>
      </c>
      <c r="I623" s="76">
        <f t="shared" ref="I623" si="301">SUM(F623,H623)</f>
        <v>120</v>
      </c>
      <c r="J623" s="81">
        <f t="shared" ref="J623" si="302">I623/4200*80</f>
        <v>2.2857142857142856</v>
      </c>
      <c r="K623" s="76">
        <f t="shared" ref="K623" si="303">IFERROR(G623 - _xlfn.XLOOKUP(A623-30, $A$6:$A$14999,G$6:G$14999,"",-1,2),NA())</f>
        <v>18745</v>
      </c>
    </row>
    <row r="624" spans="1:13" x14ac:dyDescent="0.25">
      <c r="A624" s="77">
        <v>44477.90625</v>
      </c>
      <c r="C624" s="74">
        <v>3110</v>
      </c>
      <c r="D624" s="74">
        <v>21355</v>
      </c>
      <c r="E624" s="74">
        <f t="shared" si="288"/>
        <v>24465</v>
      </c>
      <c r="F624" s="76">
        <f t="shared" ref="F624" si="304">C624-C623</f>
        <v>500</v>
      </c>
      <c r="G624" s="76">
        <f>SUMIF(F$6:F624,"&gt;0")</f>
        <v>287530</v>
      </c>
      <c r="H624" s="76">
        <f t="shared" ref="H624" si="305">D624-D623</f>
        <v>20</v>
      </c>
      <c r="I624" s="76">
        <f t="shared" ref="I624" si="306">SUM(F624,H624)</f>
        <v>520</v>
      </c>
      <c r="J624" s="81">
        <f t="shared" ref="J624" si="307">I624/4200*80</f>
        <v>9.9047619047619051</v>
      </c>
      <c r="K624" s="76">
        <f t="shared" ref="K624" si="308">IFERROR(G624 - _xlfn.XLOOKUP(A624-30, $A$6:$A$14999,G$6:G$14999,"",-1,2),NA())</f>
        <v>19245</v>
      </c>
    </row>
    <row r="625" spans="1:13" x14ac:dyDescent="0.25">
      <c r="A625" s="77">
        <v>44478.90625</v>
      </c>
      <c r="C625" s="74">
        <v>3210</v>
      </c>
      <c r="D625" s="74">
        <v>21395</v>
      </c>
      <c r="E625" s="74">
        <f t="shared" si="288"/>
        <v>24605</v>
      </c>
      <c r="F625" s="76">
        <f t="shared" ref="F625" si="309">C625-C624</f>
        <v>100</v>
      </c>
      <c r="G625" s="76">
        <f>SUMIF(F$6:F625,"&gt;0")</f>
        <v>287630</v>
      </c>
      <c r="H625" s="76">
        <f t="shared" ref="H625" si="310">D625-D624</f>
        <v>40</v>
      </c>
      <c r="I625" s="76">
        <f t="shared" ref="I625" si="311">SUM(F625,H625)</f>
        <v>140</v>
      </c>
      <c r="J625" s="81">
        <f t="shared" ref="J625" si="312">I625/4200*80</f>
        <v>2.6666666666666665</v>
      </c>
      <c r="K625" s="76">
        <f t="shared" ref="K625" si="313">IFERROR(G625 - _xlfn.XLOOKUP(A625-30, $A$6:$A$14999,G$6:G$14999,"",-1,2),NA())</f>
        <v>19345</v>
      </c>
    </row>
    <row r="626" spans="1:13" x14ac:dyDescent="0.25">
      <c r="A626" s="77">
        <v>44479.897222222222</v>
      </c>
      <c r="C626" s="74">
        <v>3310</v>
      </c>
      <c r="D626" s="74">
        <v>21425</v>
      </c>
      <c r="E626" s="74">
        <f t="shared" si="288"/>
        <v>24735</v>
      </c>
      <c r="F626" s="76">
        <f t="shared" ref="F626" si="314">C626-C625</f>
        <v>100</v>
      </c>
      <c r="G626" s="76">
        <f>SUMIF(F$6:F626,"&gt;0")</f>
        <v>287730</v>
      </c>
      <c r="H626" s="76">
        <f t="shared" ref="H626" si="315">D626-D625</f>
        <v>30</v>
      </c>
      <c r="I626" s="76">
        <f t="shared" ref="I626" si="316">SUM(F626,H626)</f>
        <v>130</v>
      </c>
      <c r="J626" s="81">
        <f t="shared" ref="J626" si="317">I626/4200*80</f>
        <v>2.4761904761904763</v>
      </c>
      <c r="K626" s="76">
        <f t="shared" ref="K626" si="318">IFERROR(G626 - _xlfn.XLOOKUP(A626-30, $A$6:$A$14999,G$6:G$14999,"",-1,2),NA())</f>
        <v>17730</v>
      </c>
    </row>
    <row r="627" spans="1:13" x14ac:dyDescent="0.25">
      <c r="A627" s="77">
        <v>44480.813194444447</v>
      </c>
      <c r="C627" s="74">
        <v>3410</v>
      </c>
      <c r="D627" s="74">
        <v>21445</v>
      </c>
      <c r="E627" s="74">
        <f t="shared" si="288"/>
        <v>24855</v>
      </c>
      <c r="F627" s="76">
        <f t="shared" ref="F627" si="319">C627-C626</f>
        <v>100</v>
      </c>
      <c r="G627" s="76">
        <f>SUMIF(F$6:F627,"&gt;0")</f>
        <v>287830</v>
      </c>
      <c r="H627" s="76">
        <f t="shared" ref="H627" si="320">D627-D626</f>
        <v>20</v>
      </c>
      <c r="I627" s="76">
        <f t="shared" ref="I627" si="321">SUM(F627,H627)</f>
        <v>120</v>
      </c>
      <c r="J627" s="81">
        <f t="shared" ref="J627" si="322">I627/4200*80</f>
        <v>2.2857142857142856</v>
      </c>
      <c r="K627" s="76">
        <f t="shared" ref="K627" si="323">IFERROR(G627 - _xlfn.XLOOKUP(A627-30, $A$6:$A$14999,G$6:G$14999,"",-1,2),NA())</f>
        <v>17830</v>
      </c>
    </row>
    <row r="628" spans="1:13" x14ac:dyDescent="0.25">
      <c r="A628" s="77">
        <v>44481.76458333333</v>
      </c>
      <c r="C628" s="74">
        <v>3810</v>
      </c>
      <c r="D628" s="74">
        <v>21465</v>
      </c>
      <c r="E628" s="74">
        <f t="shared" si="288"/>
        <v>25275</v>
      </c>
      <c r="F628" s="76">
        <f t="shared" ref="F628" si="324">C628-C627</f>
        <v>400</v>
      </c>
      <c r="G628" s="76">
        <f>SUMIF(F$6:F628,"&gt;0")</f>
        <v>288230</v>
      </c>
      <c r="H628" s="76">
        <f t="shared" ref="H628" si="325">D628-D627</f>
        <v>20</v>
      </c>
      <c r="I628" s="76">
        <f t="shared" ref="I628" si="326">SUM(F628,H628)</f>
        <v>420</v>
      </c>
      <c r="J628" s="81">
        <f t="shared" ref="J628" si="327">I628/4200*80</f>
        <v>8</v>
      </c>
      <c r="K628" s="76">
        <f t="shared" ref="K628" si="328">IFERROR(G628 - _xlfn.XLOOKUP(A628-30, $A$6:$A$14999,G$6:G$14999,"",-1,2),NA())</f>
        <v>17435</v>
      </c>
    </row>
    <row r="629" spans="1:13" x14ac:dyDescent="0.25">
      <c r="A629" s="77">
        <v>44482.463194444441</v>
      </c>
      <c r="C629" s="74">
        <v>5135</v>
      </c>
      <c r="D629" s="74">
        <v>21485</v>
      </c>
      <c r="E629" s="74">
        <f t="shared" si="288"/>
        <v>26620</v>
      </c>
      <c r="F629" s="76">
        <f t="shared" ref="F629" si="329">C629-C628</f>
        <v>1325</v>
      </c>
      <c r="G629" s="76">
        <f>SUMIF(F$6:F629,"&gt;0")</f>
        <v>289555</v>
      </c>
      <c r="H629" s="76">
        <f t="shared" ref="H629" si="330">D629-D628</f>
        <v>20</v>
      </c>
      <c r="I629" s="76">
        <f t="shared" ref="I629" si="331">SUM(F629,H629)</f>
        <v>1345</v>
      </c>
      <c r="J629" s="81">
        <f t="shared" ref="J629" si="332">I629/4200*80</f>
        <v>25.619047619047617</v>
      </c>
      <c r="K629" s="76">
        <f t="shared" ref="K629" si="333">IFERROR(G629 - _xlfn.XLOOKUP(A629-30, $A$6:$A$14999,G$6:G$14999,"",-1,2),NA())</f>
        <v>18760</v>
      </c>
    </row>
    <row r="630" spans="1:13" x14ac:dyDescent="0.25">
      <c r="A630" s="77">
        <v>44483.835416666669</v>
      </c>
      <c r="C630" s="74">
        <v>7435</v>
      </c>
      <c r="D630" s="74">
        <v>20505</v>
      </c>
      <c r="E630" s="74">
        <f t="shared" si="288"/>
        <v>27940</v>
      </c>
      <c r="F630" s="76">
        <f t="shared" ref="F630" si="334">C630-C629</f>
        <v>2300</v>
      </c>
      <c r="G630" s="76">
        <f>SUMIF(F$6:F630,"&gt;0")</f>
        <v>291855</v>
      </c>
      <c r="H630" s="76">
        <f t="shared" ref="H630" si="335">D630-D629</f>
        <v>-980</v>
      </c>
      <c r="I630" s="76">
        <f t="shared" ref="I630" si="336">SUM(F630,H630)</f>
        <v>1320</v>
      </c>
      <c r="J630" s="81">
        <f t="shared" ref="J630" si="337">I630/4200*80</f>
        <v>25.142857142857142</v>
      </c>
      <c r="K630" s="76">
        <f t="shared" ref="K630" si="338">IFERROR(G630 - _xlfn.XLOOKUP(A630-30, $A$6:$A$14999,G$6:G$14999,"",-1,2),NA())</f>
        <v>19940</v>
      </c>
    </row>
    <row r="631" spans="1:13" x14ac:dyDescent="0.25">
      <c r="A631" s="77">
        <v>44484.0625</v>
      </c>
      <c r="B631" s="105" t="s">
        <v>501</v>
      </c>
      <c r="C631" s="74">
        <v>235</v>
      </c>
      <c r="D631" s="74">
        <v>75</v>
      </c>
      <c r="E631" s="74">
        <f t="shared" si="288"/>
        <v>310</v>
      </c>
      <c r="F631" s="76">
        <f t="shared" ref="F631" si="339">C631-C630</f>
        <v>-7200</v>
      </c>
      <c r="G631" s="76">
        <f>SUMIF(F$6:F631,"&gt;0")</f>
        <v>291855</v>
      </c>
      <c r="H631" s="76">
        <f t="shared" ref="H631" si="340">D631-D630</f>
        <v>-20430</v>
      </c>
      <c r="I631" s="76">
        <f t="shared" ref="I631" si="341">SUM(F631,H631)</f>
        <v>-27630</v>
      </c>
      <c r="J631" s="81">
        <f t="shared" ref="J631" si="342">I631/4200*80</f>
        <v>-526.28571428571422</v>
      </c>
      <c r="K631" s="76">
        <f t="shared" ref="K631" si="343">IFERROR(G631 - _xlfn.XLOOKUP(A631-30, $A$6:$A$14999,G$6:G$14999,"",-1,2),NA())</f>
        <v>19940</v>
      </c>
    </row>
    <row r="632" spans="1:13" x14ac:dyDescent="0.25">
      <c r="A632" s="77">
        <v>44484.583333333336</v>
      </c>
      <c r="C632" s="74">
        <v>1185</v>
      </c>
      <c r="D632" s="74">
        <v>1180</v>
      </c>
      <c r="E632" s="74">
        <f t="shared" si="288"/>
        <v>2365</v>
      </c>
      <c r="F632" s="76">
        <f t="shared" ref="F632" si="344">C632-C631</f>
        <v>950</v>
      </c>
      <c r="G632" s="76">
        <f>SUMIF(F$6:F632,"&gt;0")</f>
        <v>292805</v>
      </c>
      <c r="H632" s="76">
        <f t="shared" ref="H632" si="345">D632-D631</f>
        <v>1105</v>
      </c>
      <c r="I632" s="76">
        <f t="shared" ref="I632" si="346">SUM(F632,H632)</f>
        <v>2055</v>
      </c>
      <c r="J632" s="81">
        <f t="shared" ref="J632" si="347">I632/4200*80</f>
        <v>39.142857142857139</v>
      </c>
      <c r="K632" s="76">
        <f t="shared" ref="K632" si="348">IFERROR(G632 - _xlfn.XLOOKUP(A632-30, $A$6:$A$14999,G$6:G$14999,"",-1,2),NA())</f>
        <v>19625</v>
      </c>
      <c r="L632" s="74">
        <v>525</v>
      </c>
      <c r="M632" s="74">
        <v>7</v>
      </c>
    </row>
    <row r="633" spans="1:13" x14ac:dyDescent="0.25">
      <c r="A633" s="77">
        <v>44485.474305555559</v>
      </c>
      <c r="C633" s="74">
        <v>1485</v>
      </c>
      <c r="D633" s="74">
        <v>1200</v>
      </c>
      <c r="E633" s="74">
        <f t="shared" si="288"/>
        <v>2685</v>
      </c>
      <c r="F633" s="76">
        <f t="shared" ref="F633" si="349">C633-C632</f>
        <v>300</v>
      </c>
      <c r="G633" s="76">
        <f>SUMIF(F$6:F633,"&gt;0")</f>
        <v>293105</v>
      </c>
      <c r="H633" s="76">
        <f t="shared" ref="H633" si="350">D633-D632</f>
        <v>20</v>
      </c>
      <c r="I633" s="76">
        <f t="shared" ref="I633" si="351">SUM(F633,H633)</f>
        <v>320</v>
      </c>
      <c r="J633" s="81">
        <f t="shared" ref="J633" si="352">I633/4200*80</f>
        <v>6.0952380952380958</v>
      </c>
      <c r="K633" s="76">
        <f t="shared" ref="K633" si="353">IFERROR(G633 - _xlfn.XLOOKUP(A633-30, $A$6:$A$14999,G$6:G$14999,"",-1,2),NA())</f>
        <v>19925</v>
      </c>
    </row>
    <row r="634" spans="1:13" x14ac:dyDescent="0.25">
      <c r="A634" s="77">
        <v>44486.304166666669</v>
      </c>
      <c r="C634" s="74">
        <v>1785</v>
      </c>
      <c r="D634" s="74">
        <v>1220</v>
      </c>
      <c r="E634" s="74">
        <f t="shared" si="288"/>
        <v>3005</v>
      </c>
      <c r="F634" s="76">
        <f t="shared" ref="F634" si="354">C634-C633</f>
        <v>300</v>
      </c>
      <c r="G634" s="76">
        <f>SUMIF(F$6:F634,"&gt;0")</f>
        <v>293405</v>
      </c>
      <c r="H634" s="76">
        <f t="shared" ref="H634" si="355">D634-D633</f>
        <v>20</v>
      </c>
      <c r="I634" s="76">
        <f t="shared" ref="I634" si="356">SUM(F634,H634)</f>
        <v>320</v>
      </c>
      <c r="J634" s="81">
        <f t="shared" ref="J634" si="357">I634/4200*80</f>
        <v>6.0952380952380958</v>
      </c>
      <c r="K634" s="76">
        <f t="shared" ref="K634" si="358">IFERROR(G634 - _xlfn.XLOOKUP(A634-30, $A$6:$A$14999,G$6:G$14999,"",-1,2),NA())</f>
        <v>20125</v>
      </c>
    </row>
    <row r="635" spans="1:13" x14ac:dyDescent="0.25">
      <c r="A635" s="77">
        <v>44487.609027777777</v>
      </c>
      <c r="C635" s="74">
        <v>2660</v>
      </c>
      <c r="D635" s="74">
        <v>5965</v>
      </c>
      <c r="E635" s="74">
        <f t="shared" si="288"/>
        <v>8625</v>
      </c>
      <c r="F635" s="76">
        <f t="shared" ref="F635" si="359">C635-C634</f>
        <v>875</v>
      </c>
      <c r="G635" s="76">
        <f>SUMIF(F$6:F635,"&gt;0")</f>
        <v>294280</v>
      </c>
      <c r="H635" s="76">
        <f t="shared" ref="H635" si="360">D635-D634</f>
        <v>4745</v>
      </c>
      <c r="I635" s="76">
        <f t="shared" ref="I635" si="361">SUM(F635,H635)</f>
        <v>5620</v>
      </c>
      <c r="J635" s="81">
        <f t="shared" ref="J635" si="362">I635/4200*80</f>
        <v>107.04761904761904</v>
      </c>
      <c r="K635" s="76">
        <f t="shared" ref="K635" si="363">IFERROR(G635 - _xlfn.XLOOKUP(A635-30, $A$6:$A$14999,G$6:G$14999,"",-1,2),NA())</f>
        <v>20830</v>
      </c>
      <c r="L635" s="74">
        <v>4725</v>
      </c>
      <c r="M635" s="74">
        <v>7</v>
      </c>
    </row>
    <row r="636" spans="1:13" x14ac:dyDescent="0.25">
      <c r="A636" s="77">
        <v>44487.734027777777</v>
      </c>
      <c r="C636" s="74">
        <v>2660</v>
      </c>
      <c r="D636" s="74">
        <v>3565</v>
      </c>
      <c r="E636" s="74">
        <f t="shared" si="288"/>
        <v>6225</v>
      </c>
      <c r="F636" s="76">
        <f t="shared" ref="F636" si="364">C636-C635</f>
        <v>0</v>
      </c>
      <c r="G636" s="76">
        <f>SUMIF(F$6:F636,"&gt;0")</f>
        <v>294280</v>
      </c>
      <c r="H636" s="76">
        <f t="shared" ref="H636" si="365">D636-D635</f>
        <v>-2400</v>
      </c>
      <c r="I636" s="76">
        <f t="shared" ref="I636" si="366">SUM(F636,H636)</f>
        <v>-2400</v>
      </c>
      <c r="J636" s="81">
        <f t="shared" ref="J636" si="367">I636/4200*80</f>
        <v>-45.714285714285708</v>
      </c>
      <c r="K636" s="76">
        <f t="shared" ref="K636" si="368">IFERROR(G636 - _xlfn.XLOOKUP(A636-30, $A$6:$A$14999,G$6:G$14999,"",-1,2),NA())</f>
        <v>20830</v>
      </c>
    </row>
    <row r="637" spans="1:13" x14ac:dyDescent="0.25">
      <c r="A637" s="77">
        <v>44488.708333333336</v>
      </c>
      <c r="C637" s="74">
        <v>4310</v>
      </c>
      <c r="D637" s="74">
        <v>3585</v>
      </c>
      <c r="E637" s="74">
        <f t="shared" si="288"/>
        <v>7895</v>
      </c>
      <c r="F637" s="76">
        <f t="shared" ref="F637" si="369">C637-C636</f>
        <v>1650</v>
      </c>
      <c r="G637" s="76">
        <f>SUMIF(F$6:F637,"&gt;0")</f>
        <v>295930</v>
      </c>
      <c r="H637" s="76">
        <f t="shared" ref="H637" si="370">D637-D636</f>
        <v>20</v>
      </c>
      <c r="I637" s="76">
        <f t="shared" ref="I637" si="371">SUM(F637,H637)</f>
        <v>1670</v>
      </c>
      <c r="J637" s="81">
        <f t="shared" ref="J637" si="372">I637/4200*80</f>
        <v>31.809523809523807</v>
      </c>
      <c r="K637" s="76">
        <f t="shared" ref="K637" si="373">IFERROR(G637 - _xlfn.XLOOKUP(A637-30, $A$6:$A$14999,G$6:G$14999,"",-1,2),NA())</f>
        <v>22480</v>
      </c>
    </row>
    <row r="638" spans="1:13" x14ac:dyDescent="0.25">
      <c r="A638" s="77">
        <v>44490.667361111111</v>
      </c>
      <c r="C638" s="74">
        <v>5055</v>
      </c>
      <c r="D638" s="74">
        <v>4155</v>
      </c>
      <c r="E638" s="74">
        <f t="shared" si="288"/>
        <v>9210</v>
      </c>
      <c r="F638" s="76">
        <f t="shared" ref="F638" si="374">C638-C637</f>
        <v>745</v>
      </c>
      <c r="G638" s="76">
        <f>SUMIF(F$6:F638,"&gt;0")</f>
        <v>296675</v>
      </c>
      <c r="H638" s="76">
        <f t="shared" ref="H638" si="375">D638-D637</f>
        <v>570</v>
      </c>
      <c r="I638" s="76">
        <f t="shared" ref="I638" si="376">SUM(F638,H638)</f>
        <v>1315</v>
      </c>
      <c r="J638" s="81">
        <f t="shared" ref="J638" si="377">I638/4200*80</f>
        <v>25.047619047619047</v>
      </c>
      <c r="K638" s="76">
        <f t="shared" ref="K638" si="378">IFERROR(G638 - _xlfn.XLOOKUP(A638-30, $A$6:$A$14999,G$6:G$14999,"",-1,2),NA())</f>
        <v>21370</v>
      </c>
      <c r="L638" s="74">
        <v>480</v>
      </c>
      <c r="M638" s="74">
        <v>10</v>
      </c>
    </row>
    <row r="639" spans="1:13" x14ac:dyDescent="0.25">
      <c r="A639" s="77">
        <v>44491.955555555556</v>
      </c>
      <c r="C639" s="74">
        <v>5455</v>
      </c>
      <c r="D639" s="74">
        <v>4175</v>
      </c>
      <c r="E639" s="74">
        <f t="shared" si="288"/>
        <v>9630</v>
      </c>
      <c r="F639" s="76">
        <f t="shared" ref="F639" si="379">C639-C638</f>
        <v>400</v>
      </c>
      <c r="G639" s="76">
        <f>SUMIF(F$6:F639,"&gt;0")</f>
        <v>297075</v>
      </c>
      <c r="H639" s="76">
        <f t="shared" ref="H639" si="380">D639-D638</f>
        <v>20</v>
      </c>
      <c r="I639" s="76">
        <f t="shared" ref="I639" si="381">SUM(F639,H639)</f>
        <v>420</v>
      </c>
      <c r="J639" s="81">
        <f t="shared" ref="J639" si="382">I639/4200*80</f>
        <v>8</v>
      </c>
      <c r="K639" s="76">
        <f t="shared" ref="K639" si="383">IFERROR(G639 - _xlfn.XLOOKUP(A639-30, $A$6:$A$14999,G$6:G$14999,"",-1,2),NA())</f>
        <v>21125</v>
      </c>
    </row>
    <row r="640" spans="1:13" x14ac:dyDescent="0.25">
      <c r="A640" s="77">
        <v>44492.913888888892</v>
      </c>
      <c r="C640" s="74">
        <v>5955</v>
      </c>
      <c r="D640" s="74">
        <v>4195</v>
      </c>
      <c r="E640" s="74">
        <f t="shared" si="288"/>
        <v>10150</v>
      </c>
      <c r="F640" s="76">
        <f t="shared" ref="F640" si="384">C640-C639</f>
        <v>500</v>
      </c>
      <c r="G640" s="76">
        <f>SUMIF(F$6:F640,"&gt;0")</f>
        <v>297575</v>
      </c>
      <c r="H640" s="76">
        <f t="shared" ref="H640" si="385">D640-D639</f>
        <v>20</v>
      </c>
      <c r="I640" s="76">
        <f t="shared" ref="I640" si="386">SUM(F640,H640)</f>
        <v>520</v>
      </c>
      <c r="J640" s="81">
        <f t="shared" ref="J640" si="387">I640/4200*80</f>
        <v>9.9047619047619051</v>
      </c>
      <c r="K640" s="76">
        <f t="shared" ref="K640" si="388">IFERROR(G640 - _xlfn.XLOOKUP(A640-30, $A$6:$A$14999,G$6:G$14999,"",-1,2),NA())</f>
        <v>21625</v>
      </c>
    </row>
    <row r="641" spans="1:13" x14ac:dyDescent="0.25">
      <c r="A641" s="77">
        <v>44493.913888888892</v>
      </c>
      <c r="C641" s="74">
        <v>6055</v>
      </c>
      <c r="D641" s="74">
        <v>3715</v>
      </c>
      <c r="E641" s="74">
        <f t="shared" si="288"/>
        <v>9770</v>
      </c>
      <c r="F641" s="76">
        <f t="shared" ref="F641" si="389">C641-C640</f>
        <v>100</v>
      </c>
      <c r="G641" s="76">
        <f>SUMIF(F$6:F641,"&gt;0")</f>
        <v>297675</v>
      </c>
      <c r="H641" s="76">
        <f t="shared" ref="H641" si="390">D641-D640</f>
        <v>-480</v>
      </c>
      <c r="I641" s="76">
        <f t="shared" ref="I641" si="391">SUM(F641,H641)</f>
        <v>-380</v>
      </c>
      <c r="J641" s="81">
        <f t="shared" ref="J641" si="392">I641/4200*80</f>
        <v>-7.2380952380952381</v>
      </c>
      <c r="K641" s="76">
        <f t="shared" ref="K641" si="393">IFERROR(G641 - _xlfn.XLOOKUP(A641-30, $A$6:$A$14999,G$6:G$14999,"",-1,2),NA())</f>
        <v>20400</v>
      </c>
    </row>
    <row r="642" spans="1:13" x14ac:dyDescent="0.25">
      <c r="A642" s="77">
        <v>44495.950694444444</v>
      </c>
      <c r="C642" s="74">
        <v>6230</v>
      </c>
      <c r="D642" s="74">
        <v>3755</v>
      </c>
      <c r="E642" s="74">
        <f t="shared" si="288"/>
        <v>9985</v>
      </c>
      <c r="F642" s="76">
        <f t="shared" ref="F642" si="394">C642-C641</f>
        <v>175</v>
      </c>
      <c r="G642" s="76">
        <f>SUMIF(F$6:F642,"&gt;0")</f>
        <v>297850</v>
      </c>
      <c r="H642" s="76">
        <f t="shared" ref="H642" si="395">D642-D641</f>
        <v>40</v>
      </c>
      <c r="I642" s="76">
        <f t="shared" ref="I642" si="396">SUM(F642,H642)</f>
        <v>215</v>
      </c>
      <c r="J642" s="81">
        <f t="shared" ref="J642" si="397">I642/4200*80</f>
        <v>4.0952380952380949</v>
      </c>
      <c r="K642" s="76">
        <f t="shared" ref="K642" si="398">IFERROR(G642 - _xlfn.XLOOKUP(A642-30, $A$6:$A$14999,G$6:G$14999,"",-1,2),NA())</f>
        <v>20575</v>
      </c>
    </row>
    <row r="643" spans="1:13" x14ac:dyDescent="0.25">
      <c r="A643" s="77">
        <v>44496.986111111109</v>
      </c>
      <c r="C643" s="74">
        <v>6280</v>
      </c>
      <c r="D643" s="74">
        <v>4305</v>
      </c>
      <c r="E643" s="74">
        <f t="shared" si="288"/>
        <v>10585</v>
      </c>
      <c r="F643" s="76">
        <f t="shared" ref="F643" si="399">C643-C642</f>
        <v>50</v>
      </c>
      <c r="G643" s="76">
        <f>SUMIF(F$6:F643,"&gt;0")</f>
        <v>297900</v>
      </c>
      <c r="H643" s="76">
        <f t="shared" ref="H643" si="400">D643-D642</f>
        <v>550</v>
      </c>
      <c r="I643" s="76">
        <f t="shared" ref="I643" si="401">SUM(F643,H643)</f>
        <v>600</v>
      </c>
      <c r="J643" s="81">
        <f t="shared" ref="J643" si="402">I643/4200*80</f>
        <v>11.428571428571427</v>
      </c>
      <c r="K643" s="76">
        <f t="shared" ref="K643" si="403">IFERROR(G643 - _xlfn.XLOOKUP(A643-30, $A$6:$A$14999,G$6:G$14999,"",-1,2),NA())</f>
        <v>20625</v>
      </c>
    </row>
    <row r="644" spans="1:13" x14ac:dyDescent="0.25">
      <c r="A644" s="77">
        <v>44497.978472222225</v>
      </c>
      <c r="C644" s="74">
        <v>6705</v>
      </c>
      <c r="D644" s="74">
        <v>4325</v>
      </c>
      <c r="E644" s="74">
        <f t="shared" si="288"/>
        <v>11030</v>
      </c>
      <c r="F644" s="76">
        <f t="shared" ref="F644" si="404">C644-C643</f>
        <v>425</v>
      </c>
      <c r="G644" s="76">
        <f>SUMIF(F$6:F644,"&gt;0")</f>
        <v>298325</v>
      </c>
      <c r="H644" s="76">
        <f t="shared" ref="H644" si="405">D644-D643</f>
        <v>20</v>
      </c>
      <c r="I644" s="76">
        <f t="shared" ref="I644" si="406">SUM(F644,H644)</f>
        <v>445</v>
      </c>
      <c r="J644" s="81">
        <f t="shared" ref="J644" si="407">I644/4200*80</f>
        <v>8.4761904761904763</v>
      </c>
      <c r="K644" s="76">
        <f t="shared" ref="K644" si="408">IFERROR(G644 - _xlfn.XLOOKUP(A644-30, $A$6:$A$14999,G$6:G$14999,"",-1,2),NA())</f>
        <v>20275</v>
      </c>
    </row>
    <row r="645" spans="1:13" x14ac:dyDescent="0.25">
      <c r="A645" s="77">
        <v>44498.061805555553</v>
      </c>
      <c r="C645" s="74">
        <v>6705</v>
      </c>
      <c r="D645" s="74">
        <v>34420</v>
      </c>
      <c r="E645" s="74">
        <f t="shared" si="288"/>
        <v>41125</v>
      </c>
      <c r="F645" s="76">
        <f t="shared" ref="F645" si="409">C645-C644</f>
        <v>0</v>
      </c>
      <c r="G645" s="76">
        <f>SUMIF(F$6:F645,"&gt;0")</f>
        <v>298325</v>
      </c>
      <c r="H645" s="76">
        <f t="shared" ref="H645" si="410">D645-D644</f>
        <v>30095</v>
      </c>
      <c r="I645" s="76">
        <f t="shared" ref="I645" si="411">SUM(F645,H645)</f>
        <v>30095</v>
      </c>
      <c r="J645" s="81">
        <f t="shared" ref="J645" si="412">I645/4200*80</f>
        <v>573.23809523809518</v>
      </c>
      <c r="K645" s="76">
        <f t="shared" ref="K645" si="413">IFERROR(G645 - _xlfn.XLOOKUP(A645-30, $A$6:$A$14999,G$6:G$14999,"",-1,2),NA())</f>
        <v>20275</v>
      </c>
      <c r="L645" s="74">
        <v>29925</v>
      </c>
      <c r="M645" s="74">
        <v>567</v>
      </c>
    </row>
    <row r="646" spans="1:13" x14ac:dyDescent="0.25">
      <c r="A646" s="77">
        <v>44498.083333333336</v>
      </c>
      <c r="B646" s="105" t="s">
        <v>502</v>
      </c>
      <c r="C646" s="74">
        <v>6705</v>
      </c>
      <c r="D646" s="74">
        <v>1820</v>
      </c>
      <c r="E646" s="74">
        <f t="shared" si="288"/>
        <v>8525</v>
      </c>
      <c r="F646" s="76">
        <f t="shared" ref="F646" si="414">C646-C645</f>
        <v>0</v>
      </c>
      <c r="G646" s="76">
        <f>SUMIF(F$6:F646,"&gt;0")</f>
        <v>298325</v>
      </c>
      <c r="H646" s="76">
        <f t="shared" ref="H646" si="415">D646-D645</f>
        <v>-32600</v>
      </c>
      <c r="I646" s="76">
        <f t="shared" ref="I646" si="416">SUM(F646,H646)</f>
        <v>-32600</v>
      </c>
      <c r="J646" s="81">
        <f t="shared" ref="J646" si="417">I646/4200*80</f>
        <v>-620.95238095238096</v>
      </c>
      <c r="K646" s="76">
        <f t="shared" ref="K646" si="418">IFERROR(G646 - _xlfn.XLOOKUP(A646-30, $A$6:$A$14999,G$6:G$14999,"",-1,2),NA())</f>
        <v>20275</v>
      </c>
    </row>
    <row r="647" spans="1:13" x14ac:dyDescent="0.25">
      <c r="A647" s="77">
        <v>44499.083333333336</v>
      </c>
      <c r="C647" s="74">
        <v>7430</v>
      </c>
      <c r="D647" s="74">
        <v>1890</v>
      </c>
      <c r="E647" s="74">
        <f t="shared" si="288"/>
        <v>9320</v>
      </c>
      <c r="F647" s="76">
        <f t="shared" ref="F647" si="419">C647-C646</f>
        <v>725</v>
      </c>
      <c r="G647" s="76">
        <f>SUMIF(F$6:F647,"&gt;0")</f>
        <v>299050</v>
      </c>
      <c r="H647" s="76">
        <f t="shared" ref="H647" si="420">D647-D646</f>
        <v>70</v>
      </c>
      <c r="I647" s="76">
        <f t="shared" ref="I647" si="421">SUM(F647,H647)</f>
        <v>795</v>
      </c>
      <c r="J647" s="81">
        <f t="shared" ref="J647" si="422">I647/4200*80</f>
        <v>15.142857142857142</v>
      </c>
      <c r="K647" s="76">
        <f t="shared" ref="K647" si="423">IFERROR(G647 - _xlfn.XLOOKUP(A647-30, $A$6:$A$14999,G$6:G$14999,"",-1,2),NA())</f>
        <v>17750</v>
      </c>
    </row>
    <row r="648" spans="1:13" x14ac:dyDescent="0.25">
      <c r="A648" s="77">
        <v>44500.243055555555</v>
      </c>
      <c r="C648" s="74">
        <v>7580</v>
      </c>
      <c r="D648" s="74">
        <v>1910</v>
      </c>
      <c r="E648" s="74">
        <f t="shared" si="288"/>
        <v>9490</v>
      </c>
      <c r="F648" s="76">
        <f t="shared" ref="F648" si="424">C648-C647</f>
        <v>150</v>
      </c>
      <c r="G648" s="76">
        <f>SUMIF(F$6:F648,"&gt;0")</f>
        <v>299200</v>
      </c>
      <c r="H648" s="76">
        <f t="shared" ref="H648" si="425">D648-D647</f>
        <v>20</v>
      </c>
      <c r="I648" s="76">
        <f t="shared" ref="I648" si="426">SUM(F648,H648)</f>
        <v>170</v>
      </c>
      <c r="J648" s="81">
        <f t="shared" ref="J648" si="427">I648/4200*80</f>
        <v>3.2380952380952381</v>
      </c>
      <c r="K648" s="76">
        <f t="shared" ref="K648" si="428">IFERROR(G648 - _xlfn.XLOOKUP(A648-30, $A$6:$A$14999,G$6:G$14999,"",-1,2),NA())</f>
        <v>16450</v>
      </c>
    </row>
    <row r="649" spans="1:13" x14ac:dyDescent="0.25">
      <c r="A649" s="77">
        <v>44501.25</v>
      </c>
      <c r="C649" s="74">
        <v>8485</v>
      </c>
      <c r="D649" s="74">
        <v>1910</v>
      </c>
      <c r="E649" s="74">
        <f t="shared" si="288"/>
        <v>10395</v>
      </c>
      <c r="F649" s="76">
        <f t="shared" ref="F649" si="429">C649-C648</f>
        <v>905</v>
      </c>
      <c r="G649" s="76">
        <f>SUMIF(F$6:F649,"&gt;0")</f>
        <v>300105</v>
      </c>
      <c r="H649" s="76">
        <f t="shared" ref="H649" si="430">D649-D648</f>
        <v>0</v>
      </c>
      <c r="I649" s="76">
        <f t="shared" ref="I649" si="431">SUM(F649,H649)</f>
        <v>905</v>
      </c>
      <c r="J649" s="81">
        <f t="shared" ref="J649" si="432">I649/4200*80</f>
        <v>17.238095238095241</v>
      </c>
      <c r="K649" s="76">
        <f t="shared" ref="K649" si="433">IFERROR(G649 - _xlfn.XLOOKUP(A649-30, $A$6:$A$14999,G$6:G$14999,"",-1,2),NA())</f>
        <v>16720</v>
      </c>
    </row>
    <row r="650" spans="1:13" x14ac:dyDescent="0.25">
      <c r="A650" s="77">
        <v>44502.15347222222</v>
      </c>
      <c r="C650" s="74">
        <v>8835</v>
      </c>
      <c r="D650" s="74">
        <v>1980</v>
      </c>
      <c r="E650" s="74">
        <f t="shared" si="288"/>
        <v>10815</v>
      </c>
      <c r="F650" s="76">
        <f t="shared" ref="F650" si="434">C650-C649</f>
        <v>350</v>
      </c>
      <c r="G650" s="76">
        <f>SUMIF(F$6:F650,"&gt;0")</f>
        <v>300455</v>
      </c>
      <c r="H650" s="76">
        <f t="shared" ref="H650" si="435">D650-D649</f>
        <v>70</v>
      </c>
      <c r="I650" s="76">
        <f t="shared" ref="I650" si="436">SUM(F650,H650)</f>
        <v>420</v>
      </c>
      <c r="J650" s="81">
        <f t="shared" ref="J650" si="437">I650/4200*80</f>
        <v>8</v>
      </c>
      <c r="K650" s="76">
        <f t="shared" ref="K650" si="438">IFERROR(G650 - _xlfn.XLOOKUP(A650-30, $A$6:$A$14999,G$6:G$14999,"",-1,2),NA())</f>
        <v>16070</v>
      </c>
    </row>
    <row r="651" spans="1:13" x14ac:dyDescent="0.25">
      <c r="A651" s="77">
        <v>44503.479166666664</v>
      </c>
      <c r="C651" s="74">
        <v>8985</v>
      </c>
      <c r="D651" s="74">
        <v>2000</v>
      </c>
      <c r="E651" s="74">
        <f t="shared" si="288"/>
        <v>10985</v>
      </c>
      <c r="F651" s="76">
        <f t="shared" ref="F651" si="439">C651-C650</f>
        <v>150</v>
      </c>
      <c r="G651" s="76">
        <f>SUMIF(F$6:F651,"&gt;0")</f>
        <v>300605</v>
      </c>
      <c r="H651" s="76">
        <f t="shared" ref="H651" si="440">D651-D650</f>
        <v>20</v>
      </c>
      <c r="I651" s="76">
        <f t="shared" ref="I651" si="441">SUM(F651,H651)</f>
        <v>170</v>
      </c>
      <c r="J651" s="81">
        <f t="shared" ref="J651" si="442">I651/4200*80</f>
        <v>3.2380952380952381</v>
      </c>
      <c r="K651" s="76">
        <f t="shared" ref="K651" si="443">IFERROR(G651 - _xlfn.XLOOKUP(A651-30, $A$6:$A$14999,G$6:G$14999,"",-1,2),NA())</f>
        <v>16220</v>
      </c>
    </row>
    <row r="652" spans="1:13" x14ac:dyDescent="0.25">
      <c r="A652" s="77">
        <v>44504.427083333336</v>
      </c>
      <c r="C652" s="74">
        <v>9035</v>
      </c>
      <c r="D652" s="74">
        <v>2020</v>
      </c>
      <c r="E652" s="74">
        <f t="shared" si="288"/>
        <v>11055</v>
      </c>
      <c r="F652" s="76">
        <f t="shared" ref="F652" si="444">C652-C651</f>
        <v>50</v>
      </c>
      <c r="G652" s="76">
        <f>SUMIF(F$6:F652,"&gt;0")</f>
        <v>300655</v>
      </c>
      <c r="H652" s="76">
        <f t="shared" ref="H652" si="445">D652-D651</f>
        <v>20</v>
      </c>
      <c r="I652" s="76">
        <f t="shared" ref="I652" si="446">SUM(F652,H652)</f>
        <v>70</v>
      </c>
      <c r="J652" s="81">
        <f t="shared" ref="J652" si="447">I652/4200*80</f>
        <v>1.3333333333333333</v>
      </c>
      <c r="K652" s="76">
        <f t="shared" ref="K652" si="448">IFERROR(G652 - _xlfn.XLOOKUP(A652-30, $A$6:$A$14999,G$6:G$14999,"",-1,2),NA())</f>
        <v>15425</v>
      </c>
    </row>
    <row r="653" spans="1:13" x14ac:dyDescent="0.25">
      <c r="A653" s="77">
        <v>44505.427777777775</v>
      </c>
      <c r="C653" s="74">
        <v>9285</v>
      </c>
      <c r="D653" s="74">
        <v>2040</v>
      </c>
      <c r="E653" s="74">
        <f t="shared" si="288"/>
        <v>11325</v>
      </c>
      <c r="F653" s="76">
        <f t="shared" ref="F653" si="449">C653-C652</f>
        <v>250</v>
      </c>
      <c r="G653" s="76">
        <f>SUMIF(F$6:F653,"&gt;0")</f>
        <v>300905</v>
      </c>
      <c r="H653" s="76">
        <f t="shared" ref="H653" si="450">D653-D652</f>
        <v>20</v>
      </c>
      <c r="I653" s="76">
        <f t="shared" ref="I653" si="451">SUM(F653,H653)</f>
        <v>270</v>
      </c>
      <c r="J653" s="81">
        <f t="shared" ref="J653" si="452">I653/4200*80</f>
        <v>5.1428571428571423</v>
      </c>
      <c r="K653" s="76">
        <f t="shared" ref="K653" si="453">IFERROR(G653 - _xlfn.XLOOKUP(A653-30, $A$6:$A$14999,G$6:G$14999,"",-1,2),NA())</f>
        <v>15675</v>
      </c>
    </row>
    <row r="654" spans="1:13" x14ac:dyDescent="0.25">
      <c r="A654" s="77">
        <v>44506.427777777775</v>
      </c>
      <c r="C654" s="74">
        <v>9335</v>
      </c>
      <c r="D654" s="74">
        <v>2060</v>
      </c>
      <c r="E654" s="74">
        <f t="shared" si="288"/>
        <v>11395</v>
      </c>
      <c r="F654" s="76">
        <f t="shared" ref="F654" si="454">C654-C653</f>
        <v>50</v>
      </c>
      <c r="G654" s="76">
        <f>SUMIF(F$6:F654,"&gt;0")</f>
        <v>300955</v>
      </c>
      <c r="H654" s="76">
        <f t="shared" ref="H654" si="455">D654-D653</f>
        <v>20</v>
      </c>
      <c r="I654" s="76">
        <f t="shared" ref="I654" si="456">SUM(F654,H654)</f>
        <v>70</v>
      </c>
      <c r="J654" s="81">
        <f t="shared" ref="J654" si="457">I654/4200*80</f>
        <v>1.3333333333333333</v>
      </c>
      <c r="K654" s="76">
        <f t="shared" ref="K654" si="458">IFERROR(G654 - _xlfn.XLOOKUP(A654-30, $A$6:$A$14999,G$6:G$14999,"",-1,2),NA())</f>
        <v>14025</v>
      </c>
    </row>
    <row r="655" spans="1:13" x14ac:dyDescent="0.25">
      <c r="A655" s="77">
        <v>44507.427777777775</v>
      </c>
      <c r="C655" s="74">
        <v>9385</v>
      </c>
      <c r="D655" s="74">
        <v>2080</v>
      </c>
      <c r="E655" s="74">
        <f t="shared" si="288"/>
        <v>11465</v>
      </c>
      <c r="F655" s="76">
        <f t="shared" ref="F655" si="459">C655-C654</f>
        <v>50</v>
      </c>
      <c r="G655" s="76">
        <f>SUMIF(F$6:F655,"&gt;0")</f>
        <v>301005</v>
      </c>
      <c r="H655" s="76">
        <f t="shared" ref="H655" si="460">D655-D654</f>
        <v>20</v>
      </c>
      <c r="I655" s="76">
        <f t="shared" ref="I655" si="461">SUM(F655,H655)</f>
        <v>70</v>
      </c>
      <c r="J655" s="81">
        <f t="shared" ref="J655" si="462">I655/4200*80</f>
        <v>1.3333333333333333</v>
      </c>
      <c r="K655" s="76">
        <f t="shared" ref="K655" si="463">IFERROR(G655 - _xlfn.XLOOKUP(A655-30, $A$6:$A$14999,G$6:G$14999,"",-1,2),NA())</f>
        <v>13975</v>
      </c>
    </row>
    <row r="656" spans="1:13" x14ac:dyDescent="0.25">
      <c r="A656" s="77">
        <v>44508.427777777775</v>
      </c>
      <c r="C656" s="74">
        <v>9435</v>
      </c>
      <c r="D656" s="74">
        <v>2130</v>
      </c>
      <c r="E656" s="74">
        <f t="shared" si="288"/>
        <v>11565</v>
      </c>
      <c r="F656" s="76">
        <f t="shared" ref="F656" si="464">C656-C655</f>
        <v>50</v>
      </c>
      <c r="G656" s="76">
        <f>SUMIF(F$6:F656,"&gt;0")</f>
        <v>301055</v>
      </c>
      <c r="H656" s="76">
        <f t="shared" ref="H656" si="465">D656-D655</f>
        <v>50</v>
      </c>
      <c r="I656" s="76">
        <f t="shared" ref="I656" si="466">SUM(F656,H656)</f>
        <v>100</v>
      </c>
      <c r="J656" s="81">
        <f t="shared" ref="J656" si="467">I656/4200*80</f>
        <v>1.9047619047619047</v>
      </c>
      <c r="K656" s="76">
        <f t="shared" ref="K656" si="468">IFERROR(G656 - _xlfn.XLOOKUP(A656-30, $A$6:$A$14999,G$6:G$14999,"",-1,2),NA())</f>
        <v>13525</v>
      </c>
    </row>
    <row r="657" spans="1:13" x14ac:dyDescent="0.25">
      <c r="A657" s="77">
        <v>44509.781944444447</v>
      </c>
      <c r="C657" s="74">
        <v>9535</v>
      </c>
      <c r="D657" s="74">
        <v>2150</v>
      </c>
      <c r="E657" s="74">
        <f t="shared" si="288"/>
        <v>11685</v>
      </c>
      <c r="F657" s="76">
        <f t="shared" ref="F657" si="469">C657-C656</f>
        <v>100</v>
      </c>
      <c r="G657" s="76">
        <f>SUMIF(F$6:F657,"&gt;0")</f>
        <v>301155</v>
      </c>
      <c r="H657" s="76">
        <f t="shared" ref="H657" si="470">D657-D656</f>
        <v>20</v>
      </c>
      <c r="I657" s="76">
        <f t="shared" ref="I657" si="471">SUM(F657,H657)</f>
        <v>120</v>
      </c>
      <c r="J657" s="81">
        <f t="shared" ref="J657" si="472">I657/4200*80</f>
        <v>2.2857142857142856</v>
      </c>
      <c r="K657" s="76">
        <f t="shared" ref="K657" si="473">IFERROR(G657 - _xlfn.XLOOKUP(A657-30, $A$6:$A$14999,G$6:G$14999,"",-1,2),NA())</f>
        <v>13525</v>
      </c>
    </row>
    <row r="658" spans="1:13" x14ac:dyDescent="0.25">
      <c r="A658" s="77">
        <v>44511.945138888892</v>
      </c>
      <c r="C658" s="74">
        <v>10720</v>
      </c>
      <c r="D658" s="74">
        <v>2190</v>
      </c>
      <c r="E658" s="74">
        <f t="shared" si="288"/>
        <v>12910</v>
      </c>
      <c r="F658" s="76">
        <f t="shared" ref="F658" si="474">C658-C657</f>
        <v>1185</v>
      </c>
      <c r="G658" s="76">
        <f>SUMIF(F$6:F658,"&gt;0")</f>
        <v>302340</v>
      </c>
      <c r="H658" s="76">
        <f t="shared" ref="H658" si="475">D658-D657</f>
        <v>40</v>
      </c>
      <c r="I658" s="76">
        <f t="shared" ref="I658" si="476">SUM(F658,H658)</f>
        <v>1225</v>
      </c>
      <c r="J658" s="81">
        <f t="shared" ref="J658" si="477">I658/4200*80</f>
        <v>23.333333333333336</v>
      </c>
      <c r="K658" s="76">
        <f t="shared" ref="K658" si="478">IFERROR(G658 - _xlfn.XLOOKUP(A658-30, $A$6:$A$14999,G$6:G$14999,"",-1,2),NA())</f>
        <v>14110</v>
      </c>
    </row>
    <row r="659" spans="1:13" x14ac:dyDescent="0.25">
      <c r="A659" s="77">
        <v>44512.883333333331</v>
      </c>
      <c r="C659" s="74">
        <v>11680</v>
      </c>
      <c r="D659" s="74">
        <v>1710</v>
      </c>
      <c r="E659" s="74">
        <f t="shared" si="288"/>
        <v>13390</v>
      </c>
      <c r="F659" s="76">
        <f t="shared" ref="F659" si="479">C659-C658</f>
        <v>960</v>
      </c>
      <c r="G659" s="76">
        <f>SUMIF(F$6:F659,"&gt;0")</f>
        <v>303300</v>
      </c>
      <c r="H659" s="76">
        <f t="shared" ref="H659" si="480">D659-D658</f>
        <v>-480</v>
      </c>
      <c r="I659" s="76">
        <f t="shared" ref="I659" si="481">SUM(F659,H659)</f>
        <v>480</v>
      </c>
      <c r="J659" s="81">
        <f t="shared" ref="J659" si="482">I659/4200*80</f>
        <v>9.1428571428571423</v>
      </c>
      <c r="K659" s="76">
        <f t="shared" ref="K659" si="483">IFERROR(G659 - _xlfn.XLOOKUP(A659-30, $A$6:$A$14999,G$6:G$14999,"",-1,2),NA())</f>
        <v>13745</v>
      </c>
    </row>
    <row r="660" spans="1:13" x14ac:dyDescent="0.25">
      <c r="A660" s="77">
        <v>44513.255555555559</v>
      </c>
      <c r="C660" s="74">
        <v>11935</v>
      </c>
      <c r="D660" s="74">
        <v>1730</v>
      </c>
      <c r="E660" s="74">
        <f t="shared" si="288"/>
        <v>13665</v>
      </c>
      <c r="F660" s="76">
        <f t="shared" ref="F660" si="484">C660-C659</f>
        <v>255</v>
      </c>
      <c r="G660" s="76">
        <f>SUMIF(F$6:F660,"&gt;0")</f>
        <v>303555</v>
      </c>
      <c r="H660" s="76">
        <f t="shared" ref="H660" si="485">D660-D659</f>
        <v>20</v>
      </c>
      <c r="I660" s="76">
        <f t="shared" ref="I660" si="486">SUM(F660,H660)</f>
        <v>275</v>
      </c>
      <c r="J660" s="81">
        <f t="shared" ref="J660" si="487">I660/4200*80</f>
        <v>5.2380952380952381</v>
      </c>
      <c r="K660" s="76">
        <f t="shared" ref="K660" si="488">IFERROR(G660 - _xlfn.XLOOKUP(A660-30, $A$6:$A$14999,G$6:G$14999,"",-1,2),NA())</f>
        <v>14000</v>
      </c>
    </row>
    <row r="661" spans="1:13" x14ac:dyDescent="0.25">
      <c r="A661" s="77">
        <v>44514.26458333333</v>
      </c>
      <c r="C661" s="74">
        <v>12005</v>
      </c>
      <c r="D661" s="74">
        <v>31505</v>
      </c>
      <c r="E661" s="74">
        <f t="shared" si="288"/>
        <v>43510</v>
      </c>
      <c r="F661" s="76">
        <f t="shared" ref="F661" si="489">C661-C660</f>
        <v>70</v>
      </c>
      <c r="G661" s="76">
        <f>SUMIF(F$6:F661,"&gt;0")</f>
        <v>303625</v>
      </c>
      <c r="H661" s="76">
        <f t="shared" ref="H661" si="490">D661-D660</f>
        <v>29775</v>
      </c>
      <c r="I661" s="76">
        <f t="shared" ref="I661" si="491">SUM(F661,H661)</f>
        <v>29845</v>
      </c>
      <c r="J661" s="81">
        <f t="shared" ref="J661" si="492">I661/4200*80</f>
        <v>568.47619047619048</v>
      </c>
      <c r="K661" s="76">
        <f t="shared" ref="K661" si="493">IFERROR(G661 - _xlfn.XLOOKUP(A661-30, $A$6:$A$14999,G$6:G$14999,"",-1,2),NA())</f>
        <v>11770</v>
      </c>
      <c r="L661" s="74">
        <v>30205</v>
      </c>
      <c r="M661" s="74">
        <v>577</v>
      </c>
    </row>
    <row r="662" spans="1:13" x14ac:dyDescent="0.25">
      <c r="A662" s="77">
        <v>44516.890972222223</v>
      </c>
      <c r="C662" s="74">
        <v>13070</v>
      </c>
      <c r="D662" s="74">
        <v>31545</v>
      </c>
      <c r="E662" s="74">
        <f t="shared" si="288"/>
        <v>44615</v>
      </c>
      <c r="F662" s="76">
        <f t="shared" ref="F662" si="494">C662-C661</f>
        <v>1065</v>
      </c>
      <c r="G662" s="76">
        <f>SUMIF(F$6:F662,"&gt;0")</f>
        <v>304690</v>
      </c>
      <c r="H662" s="76">
        <f t="shared" ref="H662" si="495">D662-D661</f>
        <v>40</v>
      </c>
      <c r="I662" s="76">
        <f t="shared" ref="I662" si="496">SUM(F662,H662)</f>
        <v>1105</v>
      </c>
      <c r="J662" s="81">
        <f t="shared" ref="J662" si="497">I662/4200*80</f>
        <v>21.047619047619047</v>
      </c>
      <c r="K662" s="76">
        <f t="shared" ref="K662" si="498">IFERROR(G662 - _xlfn.XLOOKUP(A662-30, $A$6:$A$14999,G$6:G$14999,"",-1,2),NA())</f>
        <v>11285</v>
      </c>
    </row>
    <row r="663" spans="1:13" x14ac:dyDescent="0.25">
      <c r="A663" s="77">
        <v>44517.821527777778</v>
      </c>
      <c r="C663" s="74">
        <v>13130</v>
      </c>
      <c r="D663" s="74">
        <v>31565</v>
      </c>
      <c r="E663" s="74">
        <f t="shared" si="288"/>
        <v>44695</v>
      </c>
      <c r="F663" s="76">
        <f t="shared" ref="F663" si="499">C663-C662</f>
        <v>60</v>
      </c>
      <c r="G663" s="76">
        <f>SUMIF(F$6:F663,"&gt;0")</f>
        <v>304750</v>
      </c>
      <c r="H663" s="76">
        <f t="shared" ref="H663" si="500">D663-D662</f>
        <v>20</v>
      </c>
      <c r="I663" s="76">
        <f t="shared" ref="I663" si="501">SUM(F663,H663)</f>
        <v>80</v>
      </c>
      <c r="J663" s="81">
        <f t="shared" ref="J663" si="502">I663/4200*80</f>
        <v>1.5238095238095239</v>
      </c>
      <c r="K663" s="76">
        <f t="shared" ref="K663" si="503">IFERROR(G663 - _xlfn.XLOOKUP(A663-30, $A$6:$A$14999,G$6:G$14999,"",-1,2),NA())</f>
        <v>10470</v>
      </c>
    </row>
    <row r="664" spans="1:13" x14ac:dyDescent="0.25">
      <c r="A664" s="77">
        <v>44519.700694444444</v>
      </c>
      <c r="C664" s="74">
        <v>13935</v>
      </c>
      <c r="D664" s="74">
        <v>31605</v>
      </c>
      <c r="E664" s="74">
        <f t="shared" si="288"/>
        <v>45540</v>
      </c>
      <c r="F664" s="76">
        <f t="shared" ref="F664" si="504">C664-C663</f>
        <v>805</v>
      </c>
      <c r="G664" s="76">
        <f>SUMIF(F$6:F664,"&gt;0")</f>
        <v>305555</v>
      </c>
      <c r="H664" s="76">
        <f t="shared" ref="H664" si="505">D664-D663</f>
        <v>40</v>
      </c>
      <c r="I664" s="76">
        <f t="shared" ref="I664" si="506">SUM(F664,H664)</f>
        <v>845</v>
      </c>
      <c r="J664" s="81">
        <f t="shared" ref="J664" si="507">I664/4200*80</f>
        <v>16.095238095238095</v>
      </c>
      <c r="K664" s="76">
        <f t="shared" ref="K664" si="508">IFERROR(G664 - _xlfn.XLOOKUP(A664-30, $A$6:$A$14999,G$6:G$14999,"",-1,2),NA())</f>
        <v>9625</v>
      </c>
    </row>
    <row r="665" spans="1:13" x14ac:dyDescent="0.25">
      <c r="A665" s="77">
        <v>44520.743055555555</v>
      </c>
      <c r="C665" s="74">
        <v>15560</v>
      </c>
      <c r="D665" s="74">
        <v>31655</v>
      </c>
      <c r="E665" s="74">
        <f t="shared" si="288"/>
        <v>47215</v>
      </c>
      <c r="F665" s="76">
        <f t="shared" ref="F665" si="509">C665-C664</f>
        <v>1625</v>
      </c>
      <c r="G665" s="76">
        <f>SUMIF(F$6:F665,"&gt;0")</f>
        <v>307180</v>
      </c>
      <c r="H665" s="76">
        <f t="shared" ref="H665" si="510">D665-D664</f>
        <v>50</v>
      </c>
      <c r="I665" s="76">
        <f t="shared" ref="I665" si="511">SUM(F665,H665)</f>
        <v>1675</v>
      </c>
      <c r="J665" s="81">
        <f t="shared" ref="J665" si="512">I665/4200*80</f>
        <v>31.904761904761905</v>
      </c>
      <c r="K665" s="76">
        <f t="shared" ref="K665" si="513">IFERROR(G665 - _xlfn.XLOOKUP(A665-30, $A$6:$A$14999,G$6:G$14999,"",-1,2),NA())</f>
        <v>10505</v>
      </c>
    </row>
    <row r="666" spans="1:13" x14ac:dyDescent="0.25">
      <c r="A666" s="77">
        <v>44521.57708333333</v>
      </c>
      <c r="C666" s="74">
        <v>15910</v>
      </c>
      <c r="D666" s="74">
        <v>31675</v>
      </c>
      <c r="E666" s="74">
        <f t="shared" si="288"/>
        <v>47585</v>
      </c>
      <c r="F666" s="76">
        <f t="shared" ref="F666" si="514">C666-C665</f>
        <v>350</v>
      </c>
      <c r="G666" s="76">
        <f>SUMIF(F$6:F666,"&gt;0")</f>
        <v>307530</v>
      </c>
      <c r="H666" s="76">
        <f t="shared" ref="H666" si="515">D666-D665</f>
        <v>20</v>
      </c>
      <c r="I666" s="76">
        <f t="shared" ref="I666" si="516">SUM(F666,H666)</f>
        <v>370</v>
      </c>
      <c r="J666" s="81">
        <f t="shared" ref="J666" si="517">I666/4200*80</f>
        <v>7.0476190476190483</v>
      </c>
      <c r="K666" s="76">
        <f t="shared" ref="K666" si="518">IFERROR(G666 - _xlfn.XLOOKUP(A666-30, $A$6:$A$14999,G$6:G$14999,"",-1,2),NA())</f>
        <v>10855</v>
      </c>
    </row>
    <row r="667" spans="1:13" x14ac:dyDescent="0.25">
      <c r="A667" s="77">
        <v>44522.693749999999</v>
      </c>
      <c r="C667" s="74">
        <v>16260</v>
      </c>
      <c r="D667" s="74">
        <v>31695</v>
      </c>
      <c r="E667" s="74">
        <f t="shared" si="288"/>
        <v>47955</v>
      </c>
      <c r="F667" s="76">
        <f t="shared" ref="F667" si="519">C667-C666</f>
        <v>350</v>
      </c>
      <c r="G667" s="76">
        <f>SUMIF(F$6:F667,"&gt;0")</f>
        <v>307880</v>
      </c>
      <c r="H667" s="76">
        <f t="shared" ref="H667" si="520">D667-D666</f>
        <v>20</v>
      </c>
      <c r="I667" s="76">
        <f t="shared" ref="I667" si="521">SUM(F667,H667)</f>
        <v>370</v>
      </c>
      <c r="J667" s="81">
        <f t="shared" ref="J667" si="522">I667/4200*80</f>
        <v>7.0476190476190483</v>
      </c>
      <c r="K667" s="76">
        <f t="shared" ref="K667" si="523">IFERROR(G667 - _xlfn.XLOOKUP(A667-30, $A$6:$A$14999,G$6:G$14999,"",-1,2),NA())</f>
        <v>10805</v>
      </c>
    </row>
    <row r="668" spans="1:13" x14ac:dyDescent="0.25">
      <c r="A668" s="77">
        <v>44524.254166666666</v>
      </c>
      <c r="C668" s="74">
        <v>16935</v>
      </c>
      <c r="D668" s="74">
        <v>31735</v>
      </c>
      <c r="E668" s="74">
        <f t="shared" si="288"/>
        <v>48670</v>
      </c>
      <c r="F668" s="76">
        <f t="shared" ref="F668" si="524">C668-C667</f>
        <v>675</v>
      </c>
      <c r="G668" s="76">
        <f>SUMIF(F$6:F668,"&gt;0")</f>
        <v>308555</v>
      </c>
      <c r="H668" s="76">
        <f t="shared" ref="H668" si="525">D668-D667</f>
        <v>40</v>
      </c>
      <c r="I668" s="76">
        <f t="shared" ref="I668" si="526">SUM(F668,H668)</f>
        <v>715</v>
      </c>
      <c r="J668" s="81">
        <f t="shared" ref="J668" si="527">I668/4200*80</f>
        <v>13.61904761904762</v>
      </c>
      <c r="K668" s="76">
        <f t="shared" ref="K668" si="528">IFERROR(G668 - _xlfn.XLOOKUP(A668-30, $A$6:$A$14999,G$6:G$14999,"",-1,2),NA())</f>
        <v>10880</v>
      </c>
    </row>
    <row r="669" spans="1:13" x14ac:dyDescent="0.25">
      <c r="A669" s="77">
        <v>44526.870138888888</v>
      </c>
      <c r="C669" s="74">
        <v>17085</v>
      </c>
      <c r="D669" s="74">
        <v>31725</v>
      </c>
      <c r="E669" s="74">
        <f t="shared" si="288"/>
        <v>48810</v>
      </c>
      <c r="F669" s="76">
        <f t="shared" ref="F669" si="529">C669-C668</f>
        <v>150</v>
      </c>
      <c r="G669" s="76">
        <f>SUMIF(F$6:F669,"&gt;0")</f>
        <v>308705</v>
      </c>
      <c r="H669" s="76">
        <f t="shared" ref="H669" si="530">D669-D668</f>
        <v>-10</v>
      </c>
      <c r="I669" s="76">
        <f t="shared" ref="I669" si="531">SUM(F669,H669)</f>
        <v>140</v>
      </c>
      <c r="J669" s="81">
        <f t="shared" ref="J669" si="532">I669/4200*80</f>
        <v>2.6666666666666665</v>
      </c>
      <c r="K669" s="76">
        <f t="shared" ref="K669" si="533">IFERROR(G669 - _xlfn.XLOOKUP(A669-30, $A$6:$A$14999,G$6:G$14999,"",-1,2),NA())</f>
        <v>10855</v>
      </c>
    </row>
    <row r="670" spans="1:13" x14ac:dyDescent="0.25">
      <c r="A670" s="77">
        <v>44527.841666666667</v>
      </c>
      <c r="C670" s="74">
        <v>17360</v>
      </c>
      <c r="D670" s="74">
        <v>32850</v>
      </c>
      <c r="E670" s="74">
        <f t="shared" si="288"/>
        <v>50210</v>
      </c>
      <c r="F670" s="76">
        <f t="shared" ref="F670" si="534">C670-C669</f>
        <v>275</v>
      </c>
      <c r="G670" s="76">
        <f>SUMIF(F$6:F670,"&gt;0")</f>
        <v>308980</v>
      </c>
      <c r="H670" s="76">
        <f t="shared" ref="H670" si="535">D670-D669</f>
        <v>1125</v>
      </c>
      <c r="I670" s="76">
        <f t="shared" ref="I670" si="536">SUM(F670,H670)</f>
        <v>1400</v>
      </c>
      <c r="J670" s="81">
        <f t="shared" ref="J670" si="537">I670/4200*80</f>
        <v>26.666666666666664</v>
      </c>
      <c r="K670" s="76">
        <f t="shared" ref="K670" si="538">IFERROR(G670 - _xlfn.XLOOKUP(A670-30, $A$6:$A$14999,G$6:G$14999,"",-1,2),NA())</f>
        <v>11080</v>
      </c>
    </row>
    <row r="671" spans="1:13" x14ac:dyDescent="0.25">
      <c r="A671" s="77">
        <v>44528.841666666667</v>
      </c>
      <c r="C671" s="74">
        <v>17835</v>
      </c>
      <c r="D671" s="74">
        <v>31670</v>
      </c>
      <c r="E671" s="74">
        <f t="shared" si="288"/>
        <v>49505</v>
      </c>
      <c r="F671" s="76">
        <f t="shared" ref="F671" si="539">C671-C670</f>
        <v>475</v>
      </c>
      <c r="G671" s="76">
        <f>SUMIF(F$6:F671,"&gt;0")</f>
        <v>309455</v>
      </c>
      <c r="H671" s="76">
        <f t="shared" ref="H671" si="540">D671-D670</f>
        <v>-1180</v>
      </c>
      <c r="I671" s="76">
        <f t="shared" ref="I671" si="541">SUM(F671,H671)</f>
        <v>-705</v>
      </c>
      <c r="J671" s="81">
        <f t="shared" ref="J671" si="542">I671/4200*80</f>
        <v>-13.428571428571427</v>
      </c>
      <c r="K671" s="76">
        <f t="shared" ref="K671" si="543">IFERROR(G671 - _xlfn.XLOOKUP(A671-30, $A$6:$A$14999,G$6:G$14999,"",-1,2),NA())</f>
        <v>11130</v>
      </c>
    </row>
    <row r="672" spans="1:13" x14ac:dyDescent="0.25">
      <c r="A672" s="77">
        <v>44529.25</v>
      </c>
      <c r="B672" s="105" t="s">
        <v>504</v>
      </c>
      <c r="C672" s="74">
        <v>15435</v>
      </c>
      <c r="D672" s="74">
        <v>18440</v>
      </c>
      <c r="E672" s="74">
        <f t="shared" si="288"/>
        <v>33875</v>
      </c>
      <c r="F672" s="76">
        <f t="shared" ref="F672" si="544">C672-C671</f>
        <v>-2400</v>
      </c>
      <c r="G672" s="76">
        <f>SUMIF(F$6:F672,"&gt;0")</f>
        <v>309455</v>
      </c>
      <c r="H672" s="76">
        <f t="shared" ref="H672" si="545">D672-D671</f>
        <v>-13230</v>
      </c>
      <c r="I672" s="76">
        <f t="shared" ref="I672" si="546">SUM(F672,H672)</f>
        <v>-15630</v>
      </c>
      <c r="J672" s="81">
        <f t="shared" ref="J672" si="547">I672/4200*80</f>
        <v>-297.71428571428572</v>
      </c>
      <c r="K672" s="76">
        <f t="shared" ref="K672" si="548">IFERROR(G672 - _xlfn.XLOOKUP(A672-30, $A$6:$A$14999,G$6:G$14999,"",-1,2),NA())</f>
        <v>10405</v>
      </c>
    </row>
    <row r="673" spans="1:13" x14ac:dyDescent="0.25">
      <c r="A673" s="77">
        <v>44532.705555555556</v>
      </c>
      <c r="C673" s="74">
        <v>17010</v>
      </c>
      <c r="D673" s="74">
        <v>18580</v>
      </c>
      <c r="E673" s="74">
        <f t="shared" si="288"/>
        <v>35590</v>
      </c>
      <c r="F673" s="76">
        <f t="shared" ref="F673" si="549">C673-C672</f>
        <v>1575</v>
      </c>
      <c r="G673" s="76">
        <f>SUMIF(F$6:F673,"&gt;0")</f>
        <v>311030</v>
      </c>
      <c r="H673" s="76">
        <f t="shared" ref="H673" si="550">D673-D672</f>
        <v>140</v>
      </c>
      <c r="I673" s="76">
        <f t="shared" ref="I673" si="551">SUM(F673,H673)</f>
        <v>1715</v>
      </c>
      <c r="J673" s="81">
        <f t="shared" ref="J673" si="552">I673/4200*80</f>
        <v>32.666666666666664</v>
      </c>
      <c r="K673" s="76">
        <f t="shared" ref="K673" si="553">IFERROR(G673 - _xlfn.XLOOKUP(A673-30, $A$6:$A$14999,G$6:G$14999,"",-1,2),NA())</f>
        <v>10575</v>
      </c>
    </row>
    <row r="674" spans="1:13" x14ac:dyDescent="0.25">
      <c r="A674" s="77">
        <v>44534.65347222222</v>
      </c>
      <c r="C674" s="74">
        <v>17110</v>
      </c>
      <c r="D674" s="74">
        <v>18620</v>
      </c>
      <c r="E674" s="74">
        <f t="shared" si="288"/>
        <v>35730</v>
      </c>
      <c r="F674" s="76">
        <f t="shared" ref="F674" si="554">C674-C673</f>
        <v>100</v>
      </c>
      <c r="G674" s="76">
        <f>SUMIF(F$6:F674,"&gt;0")</f>
        <v>311130</v>
      </c>
      <c r="H674" s="76">
        <f t="shared" ref="H674" si="555">D674-D673</f>
        <v>40</v>
      </c>
      <c r="I674" s="76">
        <f t="shared" ref="I674" si="556">SUM(F674,H674)</f>
        <v>140</v>
      </c>
      <c r="J674" s="81">
        <f t="shared" ref="J674" si="557">I674/4200*80</f>
        <v>2.6666666666666665</v>
      </c>
      <c r="K674" s="76">
        <f t="shared" ref="K674" si="558">IFERROR(G674 - _xlfn.XLOOKUP(A674-30, $A$6:$A$14999,G$6:G$14999,"",-1,2),NA())</f>
        <v>10475</v>
      </c>
    </row>
    <row r="675" spans="1:13" x14ac:dyDescent="0.25">
      <c r="A675" s="77">
        <v>44535.125</v>
      </c>
      <c r="C675" s="74">
        <v>17160</v>
      </c>
      <c r="D675" s="74">
        <v>18640</v>
      </c>
      <c r="E675" s="74">
        <f t="shared" si="288"/>
        <v>35800</v>
      </c>
      <c r="F675" s="76">
        <f t="shared" ref="F675" si="559">C675-C674</f>
        <v>50</v>
      </c>
      <c r="G675" s="76">
        <f>SUMIF(F$6:F675,"&gt;0")</f>
        <v>311180</v>
      </c>
      <c r="H675" s="76">
        <f t="shared" ref="H675" si="560">D675-D674</f>
        <v>20</v>
      </c>
      <c r="I675" s="76">
        <f t="shared" ref="I675" si="561">SUM(F675,H675)</f>
        <v>70</v>
      </c>
      <c r="J675" s="81">
        <f t="shared" ref="J675" si="562">I675/4200*80</f>
        <v>1.3333333333333333</v>
      </c>
      <c r="K675" s="76">
        <f t="shared" ref="K675" si="563">IFERROR(G675 - _xlfn.XLOOKUP(A675-30, $A$6:$A$14999,G$6:G$14999,"",-1,2),NA())</f>
        <v>10525</v>
      </c>
    </row>
    <row r="676" spans="1:13" x14ac:dyDescent="0.25">
      <c r="A676" s="77">
        <v>44535.145833333336</v>
      </c>
      <c r="B676" s="105" t="s">
        <v>505</v>
      </c>
      <c r="C676" s="74">
        <v>17160</v>
      </c>
      <c r="D676" s="74">
        <v>7840</v>
      </c>
      <c r="E676" s="74">
        <f t="shared" si="288"/>
        <v>25000</v>
      </c>
      <c r="F676" s="76">
        <f t="shared" ref="F676" si="564">C676-C675</f>
        <v>0</v>
      </c>
      <c r="G676" s="76">
        <f>SUMIF(F$6:F676,"&gt;0")</f>
        <v>311180</v>
      </c>
      <c r="H676" s="76">
        <f t="shared" ref="H676" si="565">D676-D675</f>
        <v>-10800</v>
      </c>
      <c r="I676" s="76">
        <f t="shared" ref="I676" si="566">SUM(F676,H676)</f>
        <v>-10800</v>
      </c>
      <c r="J676" s="81">
        <f t="shared" ref="J676" si="567">I676/4200*80</f>
        <v>-205.71428571428572</v>
      </c>
      <c r="K676" s="76">
        <f t="shared" ref="K676" si="568">IFERROR(G676 - _xlfn.XLOOKUP(A676-30, $A$6:$A$14999,G$6:G$14999,"",-1,2),NA())</f>
        <v>10525</v>
      </c>
    </row>
    <row r="677" spans="1:13" x14ac:dyDescent="0.25">
      <c r="A677" s="77">
        <v>44537.065972222219</v>
      </c>
      <c r="C677" s="74">
        <v>17310</v>
      </c>
      <c r="D677" s="74">
        <v>7830</v>
      </c>
      <c r="E677" s="74">
        <f t="shared" si="288"/>
        <v>25140</v>
      </c>
      <c r="F677" s="76">
        <f t="shared" ref="F677" si="569">C677-C676</f>
        <v>150</v>
      </c>
      <c r="G677" s="76">
        <f>SUMIF(F$6:F677,"&gt;0")</f>
        <v>311330</v>
      </c>
      <c r="H677" s="76">
        <f t="shared" ref="H677" si="570">D677-D676</f>
        <v>-10</v>
      </c>
      <c r="I677" s="76">
        <f t="shared" ref="I677" si="571">SUM(F677,H677)</f>
        <v>140</v>
      </c>
      <c r="J677" s="81">
        <f t="shared" ref="J677" si="572">I677/4200*80</f>
        <v>2.6666666666666665</v>
      </c>
      <c r="K677" s="76">
        <f t="shared" ref="K677" si="573">IFERROR(G677 - _xlfn.XLOOKUP(A677-30, $A$6:$A$14999,G$6:G$14999,"",-1,2),NA())</f>
        <v>10375</v>
      </c>
    </row>
    <row r="678" spans="1:13" x14ac:dyDescent="0.25">
      <c r="A678" s="77">
        <v>44540.908333333333</v>
      </c>
      <c r="C678" s="74">
        <v>18520</v>
      </c>
      <c r="D678" s="74">
        <v>7970</v>
      </c>
      <c r="E678" s="74">
        <f t="shared" si="288"/>
        <v>26490</v>
      </c>
      <c r="F678" s="76">
        <f t="shared" ref="F678" si="574">C678-C677</f>
        <v>1210</v>
      </c>
      <c r="G678" s="76">
        <f>SUMIF(F$6:F678,"&gt;0")</f>
        <v>312540</v>
      </c>
      <c r="H678" s="76">
        <f t="shared" ref="H678" si="575">D678-D677</f>
        <v>140</v>
      </c>
      <c r="I678" s="76">
        <f t="shared" ref="I678" si="576">SUM(F678,H678)</f>
        <v>1350</v>
      </c>
      <c r="J678" s="81">
        <f t="shared" ref="J678" si="577">I678/4200*80</f>
        <v>25.714285714285715</v>
      </c>
      <c r="K678" s="76">
        <f t="shared" ref="K678" si="578">IFERROR(G678 - _xlfn.XLOOKUP(A678-30, $A$6:$A$14999,G$6:G$14999,"",-1,2),NA())</f>
        <v>11385</v>
      </c>
    </row>
    <row r="679" spans="1:13" x14ac:dyDescent="0.25">
      <c r="A679" s="77">
        <v>44542.65347222222</v>
      </c>
      <c r="C679" s="74">
        <v>19485</v>
      </c>
      <c r="D679" s="74">
        <v>7510</v>
      </c>
      <c r="E679" s="74">
        <f t="shared" si="288"/>
        <v>26995</v>
      </c>
      <c r="F679" s="76">
        <f t="shared" ref="F679" si="579">C679-C678</f>
        <v>965</v>
      </c>
      <c r="G679" s="76">
        <f>SUMIF(F$6:F679,"&gt;0")</f>
        <v>313505</v>
      </c>
      <c r="H679" s="76">
        <f t="shared" ref="H679" si="580">D679-D678</f>
        <v>-460</v>
      </c>
      <c r="I679" s="76">
        <f t="shared" ref="I679" si="581">SUM(F679,H679)</f>
        <v>505</v>
      </c>
      <c r="J679" s="81">
        <f t="shared" ref="J679" si="582">I679/4200*80</f>
        <v>9.6190476190476186</v>
      </c>
      <c r="K679" s="76">
        <f t="shared" ref="K679" si="583">IFERROR(G679 - _xlfn.XLOOKUP(A679-30, $A$6:$A$14999,G$6:G$14999,"",-1,2),NA())</f>
        <v>11165</v>
      </c>
    </row>
    <row r="680" spans="1:13" x14ac:dyDescent="0.25">
      <c r="A680" s="77">
        <v>44546.693055555559</v>
      </c>
      <c r="C680" s="74">
        <v>21425</v>
      </c>
      <c r="D680" s="74">
        <v>7620</v>
      </c>
      <c r="E680" s="74">
        <f t="shared" si="288"/>
        <v>29045</v>
      </c>
      <c r="F680" s="76">
        <f t="shared" ref="F680" si="584">C680-C679</f>
        <v>1940</v>
      </c>
      <c r="G680" s="76">
        <f>SUMIF(F$6:F680,"&gt;0")</f>
        <v>315445</v>
      </c>
      <c r="H680" s="76">
        <f t="shared" ref="H680" si="585">D680-D679</f>
        <v>110</v>
      </c>
      <c r="I680" s="76">
        <f t="shared" ref="I680" si="586">SUM(F680,H680)</f>
        <v>2050</v>
      </c>
      <c r="J680" s="81">
        <f t="shared" ref="J680" si="587">I680/4200*80</f>
        <v>39.047619047619044</v>
      </c>
      <c r="K680" s="76">
        <f t="shared" ref="K680" si="588">IFERROR(G680 - _xlfn.XLOOKUP(A680-30, $A$6:$A$14999,G$6:G$14999,"",-1,2),NA())</f>
        <v>11820</v>
      </c>
    </row>
    <row r="681" spans="1:13" x14ac:dyDescent="0.25">
      <c r="A681" s="77">
        <v>44547.987500000003</v>
      </c>
      <c r="C681" s="74">
        <v>21700</v>
      </c>
      <c r="D681" s="74">
        <v>7640</v>
      </c>
      <c r="E681" s="74">
        <f t="shared" si="288"/>
        <v>29340</v>
      </c>
      <c r="F681" s="76">
        <f t="shared" ref="F681" si="589">C681-C680</f>
        <v>275</v>
      </c>
      <c r="G681" s="76">
        <f>SUMIF(F$6:F681,"&gt;0")</f>
        <v>315720</v>
      </c>
      <c r="H681" s="76">
        <f t="shared" ref="H681" si="590">D681-D680</f>
        <v>20</v>
      </c>
      <c r="I681" s="76">
        <f t="shared" ref="I681" si="591">SUM(F681,H681)</f>
        <v>295</v>
      </c>
      <c r="J681" s="81">
        <f t="shared" ref="J681" si="592">I681/4200*80</f>
        <v>5.6190476190476186</v>
      </c>
      <c r="K681" s="76">
        <f t="shared" ref="K681" si="593">IFERROR(G681 - _xlfn.XLOOKUP(A681-30, $A$6:$A$14999,G$6:G$14999,"",-1,2),NA())</f>
        <v>10970</v>
      </c>
    </row>
    <row r="682" spans="1:13" x14ac:dyDescent="0.25">
      <c r="A682" s="77">
        <v>44548.350694444445</v>
      </c>
      <c r="B682" s="105" t="s">
        <v>143</v>
      </c>
      <c r="C682" s="74">
        <v>2850</v>
      </c>
      <c r="D682" s="74">
        <v>460</v>
      </c>
      <c r="E682" s="74">
        <f t="shared" si="288"/>
        <v>3310</v>
      </c>
      <c r="F682" s="76">
        <f t="shared" ref="F682" si="594">C682-C681</f>
        <v>-18850</v>
      </c>
      <c r="G682" s="76">
        <f>SUMIF(F$6:F682,"&gt;0")</f>
        <v>315720</v>
      </c>
      <c r="H682" s="76">
        <f t="shared" ref="H682" si="595">D682-D681</f>
        <v>-7180</v>
      </c>
      <c r="I682" s="76">
        <f t="shared" ref="I682" si="596">SUM(F682,H682)</f>
        <v>-26030</v>
      </c>
      <c r="J682" s="81">
        <f t="shared" ref="J682" si="597">I682/4200*80</f>
        <v>-495.80952380952385</v>
      </c>
      <c r="K682" s="76">
        <f t="shared" ref="K682" si="598">IFERROR(G682 - _xlfn.XLOOKUP(A682-30, $A$6:$A$14999,G$6:G$14999,"",-1,2),NA())</f>
        <v>10970</v>
      </c>
    </row>
    <row r="683" spans="1:13" x14ac:dyDescent="0.25">
      <c r="A683" s="77">
        <v>44550.240972222222</v>
      </c>
      <c r="C683" s="74">
        <v>4260</v>
      </c>
      <c r="D683" s="74">
        <v>1555</v>
      </c>
      <c r="E683" s="74">
        <f t="shared" si="288"/>
        <v>5815</v>
      </c>
      <c r="F683" s="76">
        <f t="shared" ref="F683" si="599">C683-C682</f>
        <v>1410</v>
      </c>
      <c r="G683" s="76">
        <f>SUMIF(F$6:F683,"&gt;0")</f>
        <v>317130</v>
      </c>
      <c r="H683" s="76">
        <f t="shared" ref="H683" si="600">D683-D682</f>
        <v>1095</v>
      </c>
      <c r="I683" s="76">
        <f t="shared" ref="I683" si="601">SUM(F683,H683)</f>
        <v>2505</v>
      </c>
      <c r="J683" s="81">
        <f t="shared" ref="J683" si="602">I683/4200*80</f>
        <v>47.714285714285715</v>
      </c>
      <c r="K683" s="76">
        <f t="shared" ref="K683" si="603">IFERROR(G683 - _xlfn.XLOOKUP(A683-30, $A$6:$A$14999,G$6:G$14999,"",-1,2),NA())</f>
        <v>11575</v>
      </c>
      <c r="L683" s="74">
        <v>525</v>
      </c>
      <c r="M683" s="74">
        <v>7</v>
      </c>
    </row>
    <row r="684" spans="1:13" x14ac:dyDescent="0.25">
      <c r="A684" s="77">
        <v>44553.689583333333</v>
      </c>
      <c r="C684" s="74">
        <v>5460</v>
      </c>
      <c r="D684" s="74">
        <v>1115</v>
      </c>
      <c r="E684" s="74">
        <f t="shared" si="288"/>
        <v>6575</v>
      </c>
      <c r="F684" s="76">
        <f t="shared" ref="F684" si="604">C684-C683</f>
        <v>1200</v>
      </c>
      <c r="G684" s="76">
        <f>SUMIF(F$6:F684,"&gt;0")</f>
        <v>318330</v>
      </c>
      <c r="H684" s="76">
        <f t="shared" ref="H684" si="605">D684-D683</f>
        <v>-440</v>
      </c>
      <c r="I684" s="76">
        <f t="shared" ref="I684" si="606">SUM(F684,H684)</f>
        <v>760</v>
      </c>
      <c r="J684" s="81">
        <f t="shared" ref="J684" si="607">I684/4200*80</f>
        <v>14.476190476190476</v>
      </c>
      <c r="K684" s="76">
        <f t="shared" ref="K684" si="608">IFERROR(G684 - _xlfn.XLOOKUP(A684-30, $A$6:$A$14999,G$6:G$14999,"",-1,2),NA())</f>
        <v>10450</v>
      </c>
    </row>
    <row r="685" spans="1:13" x14ac:dyDescent="0.25">
      <c r="A685" s="77">
        <v>44556.202777777777</v>
      </c>
      <c r="C685" s="74">
        <v>7045</v>
      </c>
      <c r="D685" s="74">
        <v>5705</v>
      </c>
      <c r="E685" s="74">
        <f t="shared" si="288"/>
        <v>12750</v>
      </c>
      <c r="F685" s="76">
        <f t="shared" ref="F685" si="609">C685-C684</f>
        <v>1585</v>
      </c>
      <c r="G685" s="76">
        <f>SUMIF(F$6:F685,"&gt;0")</f>
        <v>319915</v>
      </c>
      <c r="H685" s="76">
        <f t="shared" ref="H685" si="610">D685-D684</f>
        <v>4590</v>
      </c>
      <c r="I685" s="76">
        <f t="shared" ref="I685" si="611">SUM(F685,H685)</f>
        <v>6175</v>
      </c>
      <c r="J685" s="81">
        <f t="shared" ref="J685" si="612">I685/4200*80</f>
        <v>117.61904761904762</v>
      </c>
      <c r="K685" s="76">
        <f t="shared" ref="K685" si="613">IFERROR(G685 - _xlfn.XLOOKUP(A685-30, $A$6:$A$14999,G$6:G$14999,"",-1,2),NA())</f>
        <v>11360</v>
      </c>
    </row>
    <row r="686" spans="1:13" x14ac:dyDescent="0.25">
      <c r="A686" s="77">
        <v>44559.042361111111</v>
      </c>
      <c r="C686" s="74">
        <v>12030</v>
      </c>
      <c r="D686" s="74">
        <v>6290</v>
      </c>
      <c r="E686" s="74">
        <f t="shared" si="288"/>
        <v>18320</v>
      </c>
      <c r="F686" s="76">
        <f t="shared" ref="F686" si="614">C686-C685</f>
        <v>4985</v>
      </c>
      <c r="G686" s="76">
        <f>SUMIF(F$6:F686,"&gt;0")</f>
        <v>324900</v>
      </c>
      <c r="H686" s="76">
        <f t="shared" ref="H686" si="615">D686-D685</f>
        <v>585</v>
      </c>
      <c r="I686" s="76">
        <f t="shared" ref="I686" si="616">SUM(F686,H686)</f>
        <v>5570</v>
      </c>
      <c r="J686" s="81">
        <f t="shared" ref="J686" si="617">I686/4200*80</f>
        <v>106.09523809523809</v>
      </c>
      <c r="K686" s="76">
        <f t="shared" ref="K686" si="618">IFERROR(G686 - _xlfn.XLOOKUP(A686-30, $A$6:$A$14999,G$6:G$14999,"",-1,2),NA())</f>
        <v>15445</v>
      </c>
    </row>
    <row r="687" spans="1:13" x14ac:dyDescent="0.25">
      <c r="A687" s="77">
        <v>44560.990277777775</v>
      </c>
      <c r="C687" s="74">
        <v>14020</v>
      </c>
      <c r="D687" s="74">
        <v>6310</v>
      </c>
      <c r="E687" s="74">
        <f t="shared" si="288"/>
        <v>20330</v>
      </c>
      <c r="F687" s="76">
        <f t="shared" ref="F687" si="619">C687-C686</f>
        <v>1990</v>
      </c>
      <c r="G687" s="76">
        <f>SUMIF(F$6:F687,"&gt;0")</f>
        <v>326890</v>
      </c>
      <c r="H687" s="76">
        <f t="shared" ref="H687" si="620">D687-D686</f>
        <v>20</v>
      </c>
      <c r="I687" s="76">
        <f t="shared" ref="I687" si="621">SUM(F687,H687)</f>
        <v>2010</v>
      </c>
      <c r="J687" s="81">
        <f t="shared" ref="J687" si="622">I687/4200*80</f>
        <v>38.285714285714285</v>
      </c>
      <c r="K687" s="76">
        <f t="shared" ref="K687" si="623">IFERROR(G687 - _xlfn.XLOOKUP(A687-30, $A$6:$A$14999,G$6:G$14999,"",-1,2),NA())</f>
        <v>17435</v>
      </c>
    </row>
    <row r="688" spans="1:13" x14ac:dyDescent="0.25">
      <c r="A688" s="77">
        <v>44561.192361111112</v>
      </c>
      <c r="B688" s="105" t="s">
        <v>506</v>
      </c>
      <c r="C688" s="74">
        <v>820</v>
      </c>
      <c r="D688" s="74">
        <v>9080</v>
      </c>
      <c r="E688" s="74">
        <f t="shared" si="288"/>
        <v>9900</v>
      </c>
      <c r="F688" s="76">
        <f t="shared" ref="F688" si="624">C688-C687</f>
        <v>-13200</v>
      </c>
      <c r="G688" s="76">
        <f>SUMIF(F$6:F688,"&gt;0")</f>
        <v>326890</v>
      </c>
      <c r="H688" s="76">
        <f t="shared" ref="H688" si="625">D688-D687</f>
        <v>2770</v>
      </c>
      <c r="I688" s="76">
        <f t="shared" ref="I688" si="626">SUM(F688,H688)</f>
        <v>-10430</v>
      </c>
      <c r="J688" s="81">
        <f t="shared" ref="J688" si="627">I688/4200*80</f>
        <v>-198.66666666666669</v>
      </c>
      <c r="K688" s="76">
        <f t="shared" ref="K688" si="628">IFERROR(G688 - _xlfn.XLOOKUP(A688-30, $A$6:$A$14999,G$6:G$14999,"",-1,2),NA())</f>
        <v>17435</v>
      </c>
      <c r="L688" s="74">
        <v>16500</v>
      </c>
      <c r="M688" s="74">
        <v>257</v>
      </c>
    </row>
    <row r="689" spans="1:13" x14ac:dyDescent="0.25">
      <c r="A689" s="77">
        <v>44561.692361111112</v>
      </c>
      <c r="C689" s="74">
        <v>2170</v>
      </c>
      <c r="D689" s="74">
        <v>9130</v>
      </c>
      <c r="E689" s="74">
        <f t="shared" si="288"/>
        <v>11300</v>
      </c>
      <c r="F689" s="76">
        <f t="shared" ref="F689" si="629">C689-C688</f>
        <v>1350</v>
      </c>
      <c r="G689" s="76">
        <f>SUMIF(F$6:F689,"&gt;0")</f>
        <v>328240</v>
      </c>
      <c r="H689" s="76">
        <f t="shared" ref="H689" si="630">D689-D688</f>
        <v>50</v>
      </c>
      <c r="I689" s="76">
        <f t="shared" ref="I689" si="631">SUM(F689,H689)</f>
        <v>1400</v>
      </c>
      <c r="J689" s="81">
        <f t="shared" ref="J689" si="632">I689/4200*80</f>
        <v>26.666666666666664</v>
      </c>
      <c r="K689" s="76">
        <f t="shared" ref="K689" si="633">IFERROR(G689 - _xlfn.XLOOKUP(A689-30, $A$6:$A$14999,G$6:G$14999,"",-1,2),NA())</f>
        <v>18785</v>
      </c>
    </row>
    <row r="690" spans="1:13" x14ac:dyDescent="0.25">
      <c r="A690" s="77">
        <v>44563.009722222225</v>
      </c>
      <c r="C690" s="74">
        <v>2925</v>
      </c>
      <c r="D690" s="74">
        <v>9700</v>
      </c>
      <c r="E690" s="74">
        <f t="shared" si="288"/>
        <v>12625</v>
      </c>
      <c r="F690" s="76">
        <f t="shared" ref="F690" si="634">C690-C689</f>
        <v>755</v>
      </c>
      <c r="G690" s="76">
        <f>SUMIF(F$6:F690,"&gt;0")</f>
        <v>328995</v>
      </c>
      <c r="H690" s="76">
        <f t="shared" ref="H690" si="635">D690-D689</f>
        <v>570</v>
      </c>
      <c r="I690" s="76">
        <f t="shared" ref="I690" si="636">SUM(F690,H690)</f>
        <v>1325</v>
      </c>
      <c r="J690" s="81">
        <f t="shared" ref="J690" si="637">I690/4200*80</f>
        <v>25.238095238095237</v>
      </c>
      <c r="K690" s="76">
        <f t="shared" ref="K690" si="638">IFERROR(G690 - _xlfn.XLOOKUP(A690-30, $A$6:$A$14999,G$6:G$14999,"",-1,2),NA())</f>
        <v>17965</v>
      </c>
    </row>
    <row r="691" spans="1:13" x14ac:dyDescent="0.25">
      <c r="A691" s="77">
        <v>44564.74722222222</v>
      </c>
      <c r="C691" s="74">
        <v>3290</v>
      </c>
      <c r="D691" s="74">
        <v>9720</v>
      </c>
      <c r="E691" s="74">
        <f t="shared" si="288"/>
        <v>13010</v>
      </c>
      <c r="F691" s="76">
        <f t="shared" ref="F691" si="639">C691-C690</f>
        <v>365</v>
      </c>
      <c r="G691" s="76">
        <f>SUMIF(F$6:F691,"&gt;0")</f>
        <v>329360</v>
      </c>
      <c r="H691" s="76">
        <f t="shared" ref="H691" si="640">D691-D690</f>
        <v>20</v>
      </c>
      <c r="I691" s="76">
        <f t="shared" ref="I691" si="641">SUM(F691,H691)</f>
        <v>385</v>
      </c>
      <c r="J691" s="81">
        <f t="shared" ref="J691" si="642">I691/4200*80</f>
        <v>7.333333333333333</v>
      </c>
      <c r="K691" s="76">
        <f t="shared" ref="K691" si="643">IFERROR(G691 - _xlfn.XLOOKUP(A691-30, $A$6:$A$14999,G$6:G$14999,"",-1,2),NA())</f>
        <v>18230</v>
      </c>
    </row>
    <row r="692" spans="1:13" x14ac:dyDescent="0.25">
      <c r="A692" s="77">
        <v>44565.583333333336</v>
      </c>
      <c r="C692" s="74">
        <v>3490</v>
      </c>
      <c r="D692" s="74">
        <v>9740</v>
      </c>
      <c r="E692" s="74">
        <f t="shared" si="288"/>
        <v>13230</v>
      </c>
      <c r="F692" s="76">
        <f t="shared" ref="F692" si="644">C692-C691</f>
        <v>200</v>
      </c>
      <c r="G692" s="76">
        <f>SUMIF(F$6:F692,"&gt;0")</f>
        <v>329560</v>
      </c>
      <c r="H692" s="76">
        <f t="shared" ref="H692" si="645">D692-D691</f>
        <v>20</v>
      </c>
      <c r="I692" s="76">
        <f t="shared" ref="I692" si="646">SUM(F692,H692)</f>
        <v>220</v>
      </c>
      <c r="J692" s="81">
        <f t="shared" ref="J692" si="647">I692/4200*80</f>
        <v>4.1904761904761907</v>
      </c>
      <c r="K692" s="76">
        <f t="shared" ref="K692" si="648">IFERROR(G692 - _xlfn.XLOOKUP(A692-30, $A$6:$A$14999,G$6:G$14999,"",-1,2),NA())</f>
        <v>18380</v>
      </c>
    </row>
    <row r="693" spans="1:13" x14ac:dyDescent="0.25">
      <c r="A693" s="77">
        <v>44567.49722222222</v>
      </c>
      <c r="C693" s="74">
        <v>4515</v>
      </c>
      <c r="D693" s="74">
        <v>10335</v>
      </c>
      <c r="E693" s="74">
        <f t="shared" si="288"/>
        <v>14850</v>
      </c>
      <c r="F693" s="76">
        <f t="shared" ref="F693" si="649">C693-C692</f>
        <v>1025</v>
      </c>
      <c r="G693" s="76">
        <f>SUMIF(F$6:F693,"&gt;0")</f>
        <v>330585</v>
      </c>
      <c r="H693" s="76">
        <f t="shared" ref="H693" si="650">D693-D692</f>
        <v>595</v>
      </c>
      <c r="I693" s="76">
        <f t="shared" ref="I693" si="651">SUM(F693,H693)</f>
        <v>1620</v>
      </c>
      <c r="J693" s="81">
        <f t="shared" ref="J693" si="652">I693/4200*80</f>
        <v>30.857142857142858</v>
      </c>
      <c r="K693" s="76">
        <f t="shared" ref="K693" si="653">IFERROR(G693 - _xlfn.XLOOKUP(A693-30, $A$6:$A$14999,G$6:G$14999,"",-1,2),NA())</f>
        <v>19255</v>
      </c>
    </row>
    <row r="694" spans="1:13" x14ac:dyDescent="0.25">
      <c r="A694" s="77">
        <v>44570.828472222223</v>
      </c>
      <c r="C694" s="74">
        <v>5215</v>
      </c>
      <c r="D694" s="74">
        <v>11925</v>
      </c>
      <c r="E694" s="74">
        <f t="shared" si="288"/>
        <v>17140</v>
      </c>
      <c r="F694" s="76">
        <f t="shared" ref="F694" si="654">C694-C693</f>
        <v>700</v>
      </c>
      <c r="G694" s="76">
        <f>SUMIF(F$6:F694,"&gt;0")</f>
        <v>331285</v>
      </c>
      <c r="H694" s="76">
        <f t="shared" ref="H694" si="655">D694-D693</f>
        <v>1590</v>
      </c>
      <c r="I694" s="76">
        <f t="shared" ref="I694" si="656">SUM(F694,H694)</f>
        <v>2290</v>
      </c>
      <c r="J694" s="81">
        <f t="shared" ref="J694" si="657">I694/4200*80</f>
        <v>43.619047619047613</v>
      </c>
      <c r="K694" s="76">
        <f t="shared" ref="K694" si="658">IFERROR(G694 - _xlfn.XLOOKUP(A694-30, $A$6:$A$14999,G$6:G$14999,"",-1,2),NA())</f>
        <v>19955</v>
      </c>
      <c r="L694" s="74">
        <v>1500</v>
      </c>
      <c r="M694" s="74">
        <v>25</v>
      </c>
    </row>
    <row r="695" spans="1:13" x14ac:dyDescent="0.25">
      <c r="A695" s="77">
        <v>44573.958333333336</v>
      </c>
      <c r="C695" s="74">
        <v>6115</v>
      </c>
      <c r="D695" s="74">
        <v>11955</v>
      </c>
      <c r="E695" s="74">
        <f t="shared" si="288"/>
        <v>18070</v>
      </c>
      <c r="F695" s="76">
        <f t="shared" ref="F695" si="659">C695-C694</f>
        <v>900</v>
      </c>
      <c r="G695" s="76">
        <f>SUMIF(F$6:F695,"&gt;0")</f>
        <v>332185</v>
      </c>
      <c r="H695" s="76">
        <f t="shared" ref="H695" si="660">D695-D694</f>
        <v>30</v>
      </c>
      <c r="I695" s="76">
        <f t="shared" ref="I695" si="661">SUM(F695,H695)</f>
        <v>930</v>
      </c>
      <c r="J695" s="81">
        <f t="shared" ref="J695" si="662">I695/4200*80</f>
        <v>17.714285714285715</v>
      </c>
      <c r="K695" s="76">
        <f t="shared" ref="K695" si="663">IFERROR(G695 - _xlfn.XLOOKUP(A695-30, $A$6:$A$14999,G$6:G$14999,"",-1,2),NA())</f>
        <v>18680</v>
      </c>
    </row>
    <row r="696" spans="1:13" x14ac:dyDescent="0.25">
      <c r="A696" s="77">
        <v>44574.103472222225</v>
      </c>
      <c r="C696" s="74">
        <v>2275</v>
      </c>
      <c r="D696" s="74">
        <v>1155</v>
      </c>
      <c r="E696" s="74">
        <f t="shared" si="288"/>
        <v>3430</v>
      </c>
      <c r="F696" s="76">
        <f t="shared" ref="F696" si="664">C696-C695</f>
        <v>-3840</v>
      </c>
      <c r="G696" s="76">
        <f>SUMIF(F$6:F696,"&gt;0")</f>
        <v>332185</v>
      </c>
      <c r="H696" s="76">
        <f t="shared" ref="H696" si="665">D696-D695</f>
        <v>-10800</v>
      </c>
      <c r="I696" s="76">
        <f t="shared" ref="I696" si="666">SUM(F696,H696)</f>
        <v>-14640</v>
      </c>
      <c r="J696" s="81">
        <f t="shared" ref="J696" si="667">I696/4200*80</f>
        <v>-278.85714285714289</v>
      </c>
      <c r="K696" s="76">
        <f t="shared" ref="K696" si="668">IFERROR(G696 - _xlfn.XLOOKUP(A696-30, $A$6:$A$14999,G$6:G$14999,"",-1,2),NA())</f>
        <v>18680</v>
      </c>
    </row>
    <row r="697" spans="1:13" x14ac:dyDescent="0.25">
      <c r="A697" s="77">
        <v>44577.916666666664</v>
      </c>
      <c r="C697" s="74">
        <v>4120</v>
      </c>
      <c r="D697" s="74">
        <v>1820</v>
      </c>
      <c r="E697" s="74">
        <f t="shared" si="288"/>
        <v>5940</v>
      </c>
      <c r="F697" s="76">
        <f t="shared" ref="F697" si="669">C697-C696</f>
        <v>1845</v>
      </c>
      <c r="G697" s="76">
        <f>SUMIF(F$6:F697,"&gt;0")</f>
        <v>334030</v>
      </c>
      <c r="H697" s="76">
        <f t="shared" ref="H697" si="670">D697-D696</f>
        <v>665</v>
      </c>
      <c r="I697" s="76">
        <f t="shared" ref="I697" si="671">SUM(F697,H697)</f>
        <v>2510</v>
      </c>
      <c r="J697" s="81">
        <f t="shared" ref="J697" si="672">I697/4200*80</f>
        <v>47.80952380952381</v>
      </c>
      <c r="K697" s="76">
        <f t="shared" ref="K697" si="673">IFERROR(G697 - _xlfn.XLOOKUP(A697-30, $A$6:$A$14999,G$6:G$14999,"",-1,2),NA())</f>
        <v>18585</v>
      </c>
    </row>
    <row r="698" spans="1:13" x14ac:dyDescent="0.25">
      <c r="A698" s="77">
        <v>44581.916666666664</v>
      </c>
      <c r="C698" s="74">
        <v>5465</v>
      </c>
      <c r="D698" s="74">
        <v>2430</v>
      </c>
      <c r="E698" s="74">
        <f t="shared" si="288"/>
        <v>7895</v>
      </c>
      <c r="F698" s="76">
        <f t="shared" ref="F698" si="674">C698-C697</f>
        <v>1345</v>
      </c>
      <c r="G698" s="76">
        <f>SUMIF(F$6:F698,"&gt;0")</f>
        <v>335375</v>
      </c>
      <c r="H698" s="76">
        <f t="shared" ref="H698" si="675">D698-D697</f>
        <v>610</v>
      </c>
      <c r="I698" s="76">
        <f t="shared" ref="I698" si="676">SUM(F698,H698)</f>
        <v>1955</v>
      </c>
      <c r="J698" s="81">
        <f t="shared" ref="J698" si="677">I698/4200*80</f>
        <v>37.238095238095241</v>
      </c>
      <c r="K698" s="76">
        <f t="shared" ref="K698" si="678">IFERROR(G698 - _xlfn.XLOOKUP(A698-30, $A$6:$A$14999,G$6:G$14999,"",-1,2),NA())</f>
        <v>18245</v>
      </c>
    </row>
    <row r="699" spans="1:13" x14ac:dyDescent="0.25">
      <c r="A699" s="77">
        <v>44590.809027777781</v>
      </c>
      <c r="C699" s="74">
        <v>9190</v>
      </c>
      <c r="D699" s="74">
        <v>2670</v>
      </c>
      <c r="E699" s="74">
        <f t="shared" si="288"/>
        <v>11860</v>
      </c>
      <c r="F699" s="76">
        <f t="shared" ref="F699" si="679">C699-C698</f>
        <v>3725</v>
      </c>
      <c r="G699" s="76">
        <f>SUMIF(F$6:F699,"&gt;0")</f>
        <v>339100</v>
      </c>
      <c r="H699" s="76">
        <f t="shared" ref="H699" si="680">D699-D698</f>
        <v>240</v>
      </c>
      <c r="I699" s="76">
        <f t="shared" ref="I699" si="681">SUM(F699,H699)</f>
        <v>3965</v>
      </c>
      <c r="J699" s="81">
        <f t="shared" ref="J699" si="682">I699/4200*80</f>
        <v>75.523809523809518</v>
      </c>
      <c r="K699" s="76">
        <f t="shared" ref="K699" si="683">IFERROR(G699 - _xlfn.XLOOKUP(A699-30, $A$6:$A$14999,G$6:G$14999,"",-1,2),NA())</f>
        <v>14200</v>
      </c>
    </row>
    <row r="700" spans="1:13" x14ac:dyDescent="0.25">
      <c r="A700" s="77">
        <v>44592.009027777778</v>
      </c>
      <c r="C700" s="74">
        <v>10090</v>
      </c>
      <c r="D700" s="74">
        <v>2690</v>
      </c>
      <c r="E700" s="74">
        <f t="shared" si="288"/>
        <v>12780</v>
      </c>
      <c r="F700" s="76">
        <f t="shared" ref="F700" si="684">C700-C699</f>
        <v>900</v>
      </c>
      <c r="G700" s="76">
        <f>SUMIF(F$6:F700,"&gt;0")</f>
        <v>340000</v>
      </c>
      <c r="H700" s="76">
        <f t="shared" ref="H700" si="685">D700-D699</f>
        <v>20</v>
      </c>
      <c r="I700" s="76">
        <f t="shared" ref="I700" si="686">SUM(F700,H700)</f>
        <v>920</v>
      </c>
      <c r="J700" s="81">
        <f t="shared" ref="J700" si="687">I700/4200*80</f>
        <v>17.523809523809526</v>
      </c>
      <c r="K700" s="76">
        <f t="shared" ref="K700" si="688">IFERROR(G700 - _xlfn.XLOOKUP(A700-30, $A$6:$A$14999,G$6:G$14999,"",-1,2),NA())</f>
        <v>11760</v>
      </c>
    </row>
    <row r="701" spans="1:13" x14ac:dyDescent="0.25">
      <c r="A701" s="77">
        <v>44592.012499999997</v>
      </c>
      <c r="C701" s="74">
        <v>10090</v>
      </c>
      <c r="D701" s="74">
        <f>2690+8725</f>
        <v>11415</v>
      </c>
      <c r="E701" s="74">
        <f t="shared" si="288"/>
        <v>21505</v>
      </c>
      <c r="F701" s="76">
        <f t="shared" ref="F701" si="689">C701-C700</f>
        <v>0</v>
      </c>
      <c r="G701" s="76">
        <f>SUMIF(F$6:F701,"&gt;0")</f>
        <v>340000</v>
      </c>
      <c r="H701" s="76">
        <f t="shared" ref="H701" si="690">D701-D700</f>
        <v>8725</v>
      </c>
      <c r="I701" s="76">
        <f t="shared" ref="I701" si="691">SUM(F701,H701)</f>
        <v>8725</v>
      </c>
      <c r="J701" s="81">
        <f t="shared" ref="J701" si="692">I701/4200*80</f>
        <v>166.1904761904762</v>
      </c>
      <c r="K701" s="76">
        <f t="shared" ref="K701" si="693">IFERROR(G701 - _xlfn.XLOOKUP(A701-30, $A$6:$A$14999,G$6:G$14999,"",-1,2),NA())</f>
        <v>11760</v>
      </c>
      <c r="L701" s="74">
        <v>8725</v>
      </c>
      <c r="M701" s="74">
        <v>167</v>
      </c>
    </row>
    <row r="702" spans="1:13" x14ac:dyDescent="0.25">
      <c r="A702" s="77">
        <v>44592.018055555556</v>
      </c>
      <c r="B702" s="105" t="s">
        <v>508</v>
      </c>
      <c r="C702" s="74">
        <v>490</v>
      </c>
      <c r="D702" s="74">
        <v>585</v>
      </c>
      <c r="E702" s="74">
        <f t="shared" si="288"/>
        <v>1075</v>
      </c>
      <c r="F702" s="76">
        <f t="shared" ref="F702:F710" si="694">C702-C701</f>
        <v>-9600</v>
      </c>
      <c r="G702" s="76">
        <f>SUMIF(F$6:F702,"&gt;0")</f>
        <v>340000</v>
      </c>
      <c r="H702" s="76">
        <f t="shared" ref="H702:H710" si="695">D702-D701</f>
        <v>-10830</v>
      </c>
      <c r="I702" s="76">
        <f t="shared" ref="I702:I710" si="696">SUM(F702,H702)</f>
        <v>-20430</v>
      </c>
      <c r="J702" s="81">
        <f t="shared" ref="J702:J710" si="697">I702/4200*80</f>
        <v>-389.14285714285711</v>
      </c>
      <c r="K702" s="76">
        <f t="shared" ref="K702:K710" si="698">IFERROR(G702 - _xlfn.XLOOKUP(A702-30, $A$6:$A$14999,G$6:G$14999,"",-1,2),NA())</f>
        <v>11760</v>
      </c>
    </row>
    <row r="703" spans="1:13" x14ac:dyDescent="0.25">
      <c r="A703" s="77">
        <v>44595.996527777781</v>
      </c>
      <c r="C703" s="74">
        <v>2040</v>
      </c>
      <c r="D703" s="74">
        <v>1275</v>
      </c>
      <c r="E703" s="74">
        <f t="shared" si="288"/>
        <v>3315</v>
      </c>
      <c r="F703" s="76">
        <f t="shared" si="694"/>
        <v>1550</v>
      </c>
      <c r="G703" s="76">
        <f>SUMIF(F$6:F703,"&gt;0")</f>
        <v>341550</v>
      </c>
      <c r="H703" s="76">
        <f t="shared" si="695"/>
        <v>690</v>
      </c>
      <c r="I703" s="76">
        <f t="shared" si="696"/>
        <v>2240</v>
      </c>
      <c r="J703" s="81">
        <f t="shared" si="697"/>
        <v>42.666666666666664</v>
      </c>
      <c r="K703" s="76">
        <f t="shared" si="698"/>
        <v>11990</v>
      </c>
    </row>
    <row r="704" spans="1:13" x14ac:dyDescent="0.25">
      <c r="A704" s="77">
        <v>44596.540972222225</v>
      </c>
      <c r="C704" s="74">
        <v>2040</v>
      </c>
      <c r="D704" s="74">
        <f>D703+20600</f>
        <v>21875</v>
      </c>
      <c r="E704" s="74">
        <f t="shared" ref="E704" si="699">SUM(C704:D704)</f>
        <v>23915</v>
      </c>
      <c r="F704" s="76">
        <f t="shared" si="694"/>
        <v>0</v>
      </c>
      <c r="G704" s="76">
        <f>SUMIF(F$6:F704,"&gt;0")</f>
        <v>341550</v>
      </c>
      <c r="H704" s="76">
        <f t="shared" si="695"/>
        <v>20600</v>
      </c>
      <c r="I704" s="76">
        <f t="shared" si="696"/>
        <v>20600</v>
      </c>
      <c r="J704" s="81">
        <f t="shared" si="697"/>
        <v>392.38095238095241</v>
      </c>
      <c r="K704" s="76">
        <f t="shared" si="698"/>
        <v>11990</v>
      </c>
      <c r="L704" s="74">
        <f>4200*3+4000*2</f>
        <v>20600</v>
      </c>
      <c r="M704" s="74">
        <f>80*3+40*2</f>
        <v>320</v>
      </c>
    </row>
    <row r="705" spans="1:13" x14ac:dyDescent="0.25">
      <c r="A705" s="77">
        <v>44596.082638888889</v>
      </c>
      <c r="B705" s="105" t="s">
        <v>509</v>
      </c>
      <c r="C705" s="74">
        <v>840</v>
      </c>
      <c r="D705" s="74">
        <v>3445</v>
      </c>
      <c r="E705" s="74">
        <f t="shared" si="288"/>
        <v>4285</v>
      </c>
      <c r="F705" s="76">
        <f t="shared" si="694"/>
        <v>-1200</v>
      </c>
      <c r="G705" s="76">
        <f>SUMIF(F$6:F705,"&gt;0")</f>
        <v>341550</v>
      </c>
      <c r="H705" s="76">
        <f t="shared" si="695"/>
        <v>-18430</v>
      </c>
      <c r="I705" s="76">
        <f t="shared" si="696"/>
        <v>-19630</v>
      </c>
      <c r="J705" s="81">
        <f t="shared" si="697"/>
        <v>-373.90476190476193</v>
      </c>
      <c r="K705" s="76">
        <f t="shared" si="698"/>
        <v>11990</v>
      </c>
    </row>
    <row r="706" spans="1:13" x14ac:dyDescent="0.25">
      <c r="A706" s="77">
        <v>44606.003472222219</v>
      </c>
      <c r="C706" s="74">
        <f>6810+4725</f>
        <v>11535</v>
      </c>
      <c r="D706" s="74">
        <v>4685</v>
      </c>
      <c r="E706" s="74">
        <f t="shared" si="288"/>
        <v>16220</v>
      </c>
      <c r="F706" s="76">
        <f t="shared" si="694"/>
        <v>10695</v>
      </c>
      <c r="G706" s="76">
        <f>SUMIF(F$6:F706,"&gt;0")</f>
        <v>352245</v>
      </c>
      <c r="H706" s="76">
        <f t="shared" si="695"/>
        <v>1240</v>
      </c>
      <c r="I706" s="76">
        <f t="shared" si="696"/>
        <v>11935</v>
      </c>
      <c r="J706" s="81">
        <f t="shared" si="697"/>
        <v>227.33333333333334</v>
      </c>
      <c r="K706" s="76">
        <f t="shared" si="698"/>
        <v>20060</v>
      </c>
      <c r="L706" s="74">
        <v>4725</v>
      </c>
      <c r="M706" s="74">
        <v>87</v>
      </c>
    </row>
    <row r="707" spans="1:13" x14ac:dyDescent="0.25">
      <c r="A707" s="77">
        <v>44606.007638888892</v>
      </c>
      <c r="B707" s="105" t="s">
        <v>510</v>
      </c>
      <c r="C707" s="74">
        <v>3380</v>
      </c>
      <c r="D707" s="74">
        <v>810</v>
      </c>
      <c r="E707" s="74">
        <f t="shared" ref="E707:E714" si="700">SUM(C707:D707)</f>
        <v>4190</v>
      </c>
      <c r="F707" s="76">
        <f t="shared" si="694"/>
        <v>-8155</v>
      </c>
      <c r="G707" s="76">
        <f>SUMIF(F$6:F707,"&gt;0")</f>
        <v>352245</v>
      </c>
      <c r="H707" s="76">
        <f t="shared" si="695"/>
        <v>-3875</v>
      </c>
      <c r="I707" s="76">
        <f t="shared" si="696"/>
        <v>-12030</v>
      </c>
      <c r="J707" s="81">
        <f t="shared" si="697"/>
        <v>-229.14285714285714</v>
      </c>
      <c r="K707" s="76">
        <f t="shared" si="698"/>
        <v>20060</v>
      </c>
    </row>
    <row r="708" spans="1:13" x14ac:dyDescent="0.25">
      <c r="A708" s="77">
        <v>44620.05972222222</v>
      </c>
      <c r="C708" s="74">
        <v>5190</v>
      </c>
      <c r="D708" s="74">
        <v>5175</v>
      </c>
      <c r="E708" s="74">
        <f t="shared" si="700"/>
        <v>10365</v>
      </c>
      <c r="F708" s="76">
        <f t="shared" si="694"/>
        <v>1810</v>
      </c>
      <c r="G708" s="76">
        <f>SUMIF(F$6:F708,"&gt;0")</f>
        <v>354055</v>
      </c>
      <c r="H708" s="76">
        <f t="shared" si="695"/>
        <v>4365</v>
      </c>
      <c r="I708" s="76">
        <f t="shared" si="696"/>
        <v>6175</v>
      </c>
      <c r="J708" s="81">
        <f t="shared" si="697"/>
        <v>117.61904761904762</v>
      </c>
      <c r="K708" s="76">
        <f t="shared" si="698"/>
        <v>18680</v>
      </c>
    </row>
    <row r="709" spans="1:13" x14ac:dyDescent="0.25">
      <c r="A709" s="77">
        <v>44620.0625</v>
      </c>
      <c r="C709" s="74">
        <v>5190</v>
      </c>
      <c r="D709" s="74">
        <v>18300</v>
      </c>
      <c r="E709" s="74">
        <f t="shared" si="700"/>
        <v>23490</v>
      </c>
      <c r="F709" s="76">
        <f t="shared" si="694"/>
        <v>0</v>
      </c>
      <c r="G709" s="76">
        <f>SUMIF(F$6:F709,"&gt;0")</f>
        <v>354055</v>
      </c>
      <c r="H709" s="76">
        <f t="shared" si="695"/>
        <v>13125</v>
      </c>
      <c r="I709" s="76">
        <f t="shared" si="696"/>
        <v>13125</v>
      </c>
      <c r="J709" s="81">
        <f t="shared" si="697"/>
        <v>250</v>
      </c>
      <c r="K709" s="76">
        <f t="shared" si="698"/>
        <v>18680</v>
      </c>
      <c r="L709" s="74">
        <v>13125</v>
      </c>
      <c r="M709" s="74">
        <v>247</v>
      </c>
    </row>
    <row r="710" spans="1:13" x14ac:dyDescent="0.25">
      <c r="A710" s="77">
        <v>44620.068749999999</v>
      </c>
      <c r="B710" s="21" t="s">
        <v>511</v>
      </c>
      <c r="C710" s="74">
        <v>390</v>
      </c>
      <c r="D710" s="74">
        <v>3870</v>
      </c>
      <c r="E710" s="74">
        <f t="shared" si="700"/>
        <v>4260</v>
      </c>
      <c r="F710" s="76">
        <f t="shared" si="694"/>
        <v>-4800</v>
      </c>
      <c r="G710" s="76">
        <f>SUMIF(F$6:F710,"&gt;0")</f>
        <v>354055</v>
      </c>
      <c r="H710" s="76">
        <f t="shared" si="695"/>
        <v>-14430</v>
      </c>
      <c r="I710" s="76">
        <f t="shared" si="696"/>
        <v>-19230</v>
      </c>
      <c r="J710" s="81">
        <f t="shared" si="697"/>
        <v>-366.28571428571428</v>
      </c>
      <c r="K710" s="76">
        <f t="shared" si="698"/>
        <v>18680</v>
      </c>
    </row>
    <row r="711" spans="1:13" x14ac:dyDescent="0.25">
      <c r="A711" s="77">
        <v>44633.810416666667</v>
      </c>
      <c r="C711" s="74">
        <v>4005</v>
      </c>
      <c r="D711" s="74">
        <v>4650</v>
      </c>
      <c r="E711" s="74">
        <f t="shared" si="700"/>
        <v>8655</v>
      </c>
      <c r="F711" s="76">
        <f t="shared" ref="F711" si="701">C711-C710</f>
        <v>3615</v>
      </c>
      <c r="G711" s="76">
        <f>SUMIF(F$6:F711,"&gt;0")</f>
        <v>357670</v>
      </c>
      <c r="H711" s="76">
        <f t="shared" ref="H711" si="702">D711-D710</f>
        <v>780</v>
      </c>
      <c r="I711" s="76">
        <f t="shared" ref="I711" si="703">SUM(F711,H711)</f>
        <v>4395</v>
      </c>
      <c r="J711" s="81">
        <f t="shared" ref="J711" si="704">I711/4200*80</f>
        <v>83.714285714285722</v>
      </c>
      <c r="K711" s="76">
        <f t="shared" ref="K711" si="705">IFERROR(G711 - _xlfn.XLOOKUP(A711-30, $A$6:$A$14999,G$6:G$14999,"",-1,2),NA())</f>
        <v>16120</v>
      </c>
    </row>
    <row r="712" spans="1:13" x14ac:dyDescent="0.25">
      <c r="A712" s="77">
        <v>44633.3125</v>
      </c>
      <c r="C712" s="74">
        <v>4005</v>
      </c>
      <c r="D712" s="74">
        <v>17775</v>
      </c>
      <c r="E712" s="74">
        <f t="shared" si="700"/>
        <v>21780</v>
      </c>
      <c r="F712" s="76">
        <f t="shared" ref="F712" si="706">C712-C711</f>
        <v>0</v>
      </c>
      <c r="G712" s="76">
        <f>SUMIF(F$6:F712,"&gt;0")</f>
        <v>357670</v>
      </c>
      <c r="H712" s="76">
        <f t="shared" ref="H712" si="707">D712-D711</f>
        <v>13125</v>
      </c>
      <c r="I712" s="76">
        <f t="shared" ref="I712" si="708">SUM(F712,H712)</f>
        <v>13125</v>
      </c>
      <c r="J712" s="81">
        <f t="shared" ref="J712" si="709">I712/4200*80</f>
        <v>250</v>
      </c>
      <c r="K712" s="76">
        <f t="shared" ref="K712" si="710">IFERROR(G712 - _xlfn.XLOOKUP(A712-30, $A$6:$A$14999,G$6:G$14999,"",-1,2),NA())</f>
        <v>16120</v>
      </c>
      <c r="L712" s="74">
        <f>525+4200+4200+4200</f>
        <v>13125</v>
      </c>
      <c r="M712" s="74">
        <v>247</v>
      </c>
    </row>
    <row r="713" spans="1:13" x14ac:dyDescent="0.25">
      <c r="A713" s="77">
        <v>44633.832638888889</v>
      </c>
      <c r="B713" s="105" t="s">
        <v>512</v>
      </c>
      <c r="C713" s="74">
        <v>405</v>
      </c>
      <c r="D713" s="74">
        <v>3375</v>
      </c>
      <c r="E713" s="74">
        <f t="shared" si="700"/>
        <v>3780</v>
      </c>
      <c r="F713" s="76">
        <f t="shared" ref="F713" si="711">C713-C712</f>
        <v>-3600</v>
      </c>
      <c r="G713" s="76">
        <f>SUMIF(F$6:F713,"&gt;0")</f>
        <v>357670</v>
      </c>
      <c r="H713" s="76">
        <f t="shared" ref="H713" si="712">D713-D712</f>
        <v>-14400</v>
      </c>
      <c r="I713" s="76">
        <f t="shared" ref="I713" si="713">SUM(F713,H713)</f>
        <v>-18000</v>
      </c>
      <c r="J713" s="81">
        <f t="shared" ref="J713" si="714">I713/4200*80</f>
        <v>-342.85714285714283</v>
      </c>
      <c r="K713" s="76">
        <f t="shared" ref="K713" si="715">IFERROR(G713 - _xlfn.XLOOKUP(A713-30, $A$6:$A$14999,G$6:G$14999,"",-1,2),NA())</f>
        <v>16120</v>
      </c>
    </row>
    <row r="714" spans="1:13" x14ac:dyDescent="0.25">
      <c r="A714" s="77">
        <v>44636.845833333333</v>
      </c>
      <c r="C714" s="74">
        <v>885</v>
      </c>
      <c r="D714" s="74">
        <v>3465</v>
      </c>
      <c r="E714" s="74">
        <f t="shared" si="700"/>
        <v>4350</v>
      </c>
      <c r="F714" s="76">
        <f t="shared" ref="F714" si="716">C714-C713</f>
        <v>480</v>
      </c>
      <c r="G714" s="76">
        <f>SUMIF(F$6:F714,"&gt;0")</f>
        <v>358150</v>
      </c>
      <c r="H714" s="76">
        <f t="shared" ref="H714" si="717">D714-D713</f>
        <v>90</v>
      </c>
      <c r="I714" s="76">
        <f t="shared" ref="I714" si="718">SUM(F714,H714)</f>
        <v>570</v>
      </c>
      <c r="J714" s="81">
        <f t="shared" ref="J714" si="719">I714/4200*80</f>
        <v>10.857142857142856</v>
      </c>
      <c r="K714" s="76">
        <f t="shared" ref="K714" si="720">IFERROR(G714 - _xlfn.XLOOKUP(A714-30, $A$6:$A$14999,G$6:G$14999,"",-1,2),NA())</f>
        <v>5905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  <pageSetUpPr autoPageBreaks="0"/>
  </sheetPr>
  <dimension ref="A1:O433"/>
  <sheetViews>
    <sheetView workbookViewId="0">
      <pane ySplit="1" topLeftCell="A417" activePane="bottomLeft" state="frozen"/>
      <selection pane="bottomLeft" activeCell="E433" sqref="E433:O433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10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  <row r="314" spans="1:15" x14ac:dyDescent="0.25">
      <c r="A314" s="77">
        <v>44420.916666666664</v>
      </c>
      <c r="C314" s="74">
        <v>2</v>
      </c>
      <c r="D314" s="74">
        <v>0</v>
      </c>
      <c r="E314" s="431">
        <v>0</v>
      </c>
      <c r="F314" s="150">
        <f t="shared" ref="F314:F324" si="107">C314+D314*10+_xlfn.IFNA(E314,0)</f>
        <v>2</v>
      </c>
      <c r="G314" s="76">
        <f t="shared" ref="G314" si="108">C314-C313</f>
        <v>2</v>
      </c>
      <c r="H314" s="76">
        <f t="shared" ref="H314" si="109">D314-D313</f>
        <v>0</v>
      </c>
      <c r="I314" s="76">
        <f t="shared" ref="I314" si="110">F314-F313</f>
        <v>2</v>
      </c>
      <c r="J314" s="76">
        <f>SUMIF(I$2:I314,"&gt;0")</f>
        <v>1077</v>
      </c>
      <c r="K314" s="76">
        <f t="shared" ref="K314" si="111">IFERROR(J314 - _xlfn.XLOOKUP(A314-30, $A$2:$A$14999,J$2:J$14999,"",-1,2),NA())</f>
        <v>163</v>
      </c>
      <c r="L314" s="76">
        <f>SUMIF(E$2:E314,"&gt;0")</f>
        <v>416</v>
      </c>
      <c r="M314" s="76">
        <f t="shared" ref="M314" si="112">IFERROR(L314 - _xlfn.XLOOKUP(A314-30, $A$2:$A$14999,L$2:L$14999,"",-1,2),NA())</f>
        <v>160</v>
      </c>
      <c r="N314" s="74">
        <f t="shared" ref="N314" si="113">F314*120</f>
        <v>240</v>
      </c>
      <c r="O314" s="76">
        <f t="shared" ref="O314" si="114">N314-N313</f>
        <v>240</v>
      </c>
    </row>
    <row r="315" spans="1:15" x14ac:dyDescent="0.25">
      <c r="A315" s="77">
        <v>44421.125</v>
      </c>
      <c r="B315" s="21" t="s">
        <v>486</v>
      </c>
      <c r="C315" s="74">
        <v>0</v>
      </c>
      <c r="D315" s="74">
        <v>0</v>
      </c>
      <c r="E315" s="431">
        <v>0</v>
      </c>
      <c r="F315" s="150">
        <f t="shared" si="107"/>
        <v>0</v>
      </c>
      <c r="G315" s="76">
        <f t="shared" ref="G315" si="115">C315-C314</f>
        <v>-2</v>
      </c>
      <c r="H315" s="76">
        <f t="shared" ref="H315" si="116">D315-D314</f>
        <v>0</v>
      </c>
      <c r="I315" s="76">
        <f t="shared" ref="I315" si="117">F315-F314</f>
        <v>-2</v>
      </c>
      <c r="J315" s="76">
        <f>SUMIF(I$2:I315,"&gt;0")</f>
        <v>1077</v>
      </c>
      <c r="K315" s="76">
        <f t="shared" ref="K315" si="118">IFERROR(J315 - _xlfn.XLOOKUP(A315-30, $A$2:$A$14999,J$2:J$14999,"",-1,2),NA())</f>
        <v>163</v>
      </c>
      <c r="L315" s="76">
        <f>SUMIF(E$2:E315,"&gt;0")</f>
        <v>416</v>
      </c>
      <c r="M315" s="76">
        <f t="shared" ref="M315" si="119">IFERROR(L315 - _xlfn.XLOOKUP(A315-30, $A$2:$A$14999,L$2:L$14999,"",-1,2),NA())</f>
        <v>160</v>
      </c>
      <c r="N315" s="74">
        <f t="shared" ref="N315" si="120">F315*120</f>
        <v>0</v>
      </c>
      <c r="O315" s="76">
        <f t="shared" ref="O315" si="121">N315-N314</f>
        <v>-240</v>
      </c>
    </row>
    <row r="316" spans="1:15" x14ac:dyDescent="0.25">
      <c r="A316" s="77">
        <v>44425.226388888892</v>
      </c>
      <c r="C316" s="74">
        <v>15</v>
      </c>
      <c r="D316" s="74">
        <v>1</v>
      </c>
      <c r="E316" s="431">
        <v>0</v>
      </c>
      <c r="F316" s="150">
        <f t="shared" si="107"/>
        <v>25</v>
      </c>
      <c r="G316" s="76">
        <f t="shared" ref="G316" si="122">C316-C315</f>
        <v>15</v>
      </c>
      <c r="H316" s="76">
        <f t="shared" ref="H316" si="123">D316-D315</f>
        <v>1</v>
      </c>
      <c r="I316" s="76">
        <f>F316-F315</f>
        <v>25</v>
      </c>
      <c r="J316" s="76">
        <f>SUMIF(I$2:I316,"&gt;0")</f>
        <v>1102</v>
      </c>
      <c r="K316" s="76">
        <f t="shared" ref="K316" si="124">IFERROR(J316 - _xlfn.XLOOKUP(A316-30, $A$2:$A$14999,J$2:J$14999,"",-1,2),NA())</f>
        <v>168</v>
      </c>
      <c r="L316" s="76">
        <f>SUMIF(E$2:E316,"&gt;0")</f>
        <v>416</v>
      </c>
      <c r="M316" s="76">
        <f t="shared" ref="M316" si="125">IFERROR(L316 - _xlfn.XLOOKUP(A316-30, $A$2:$A$14999,L$2:L$14999,"",-1,2),NA())</f>
        <v>100</v>
      </c>
      <c r="N316" s="74">
        <f t="shared" ref="N316" si="126">F316*120</f>
        <v>3000</v>
      </c>
      <c r="O316" s="76">
        <f t="shared" ref="O316" si="127">N316-N315</f>
        <v>3000</v>
      </c>
    </row>
    <row r="317" spans="1:15" x14ac:dyDescent="0.25">
      <c r="A317" s="77">
        <v>44427.193055555559</v>
      </c>
      <c r="C317" s="74">
        <v>17</v>
      </c>
      <c r="D317" s="74">
        <v>1</v>
      </c>
      <c r="E317" s="431">
        <v>0</v>
      </c>
      <c r="F317" s="150">
        <f t="shared" si="107"/>
        <v>27</v>
      </c>
      <c r="G317" s="76">
        <f t="shared" ref="G317" si="128">C317-C316</f>
        <v>2</v>
      </c>
      <c r="H317" s="76">
        <f t="shared" ref="H317" si="129">D317-D316</f>
        <v>0</v>
      </c>
      <c r="I317" s="76">
        <f t="shared" ref="I317" si="130">F317-F316</f>
        <v>2</v>
      </c>
      <c r="J317" s="76">
        <f>SUMIF(I$2:I317,"&gt;0")</f>
        <v>1104</v>
      </c>
      <c r="K317" s="76">
        <f t="shared" ref="K317" si="131">IFERROR(J317 - _xlfn.XLOOKUP(A317-30, $A$2:$A$14999,J$2:J$14999,"",-1,2),NA())</f>
        <v>64</v>
      </c>
      <c r="L317" s="76">
        <f>SUMIF(E$2:E317,"&gt;0")</f>
        <v>416</v>
      </c>
      <c r="M317" s="76">
        <f t="shared" ref="M317" si="132">IFERROR(L317 - _xlfn.XLOOKUP(A317-30, $A$2:$A$14999,L$2:L$14999,"",-1,2),NA())</f>
        <v>0</v>
      </c>
      <c r="N317" s="74">
        <f t="shared" ref="N317" si="133">F317*120</f>
        <v>3240</v>
      </c>
      <c r="O317" s="76">
        <f t="shared" ref="O317" si="134">N317-N316</f>
        <v>240</v>
      </c>
    </row>
    <row r="318" spans="1:15" x14ac:dyDescent="0.25">
      <c r="A318" s="77">
        <v>44430.297222222223</v>
      </c>
      <c r="C318" s="74">
        <v>18</v>
      </c>
      <c r="D318" s="74">
        <v>1</v>
      </c>
      <c r="E318" s="431">
        <v>0</v>
      </c>
      <c r="F318" s="150">
        <f t="shared" si="107"/>
        <v>28</v>
      </c>
      <c r="G318" s="76">
        <f t="shared" ref="G318" si="135">C318-C317</f>
        <v>1</v>
      </c>
      <c r="H318" s="76">
        <f t="shared" ref="H318" si="136">D318-D317</f>
        <v>0</v>
      </c>
      <c r="I318" s="76">
        <f t="shared" ref="I318" si="137">F318-F317</f>
        <v>1</v>
      </c>
      <c r="J318" s="76">
        <f>SUMIF(I$2:I318,"&gt;0")</f>
        <v>1105</v>
      </c>
      <c r="K318" s="76">
        <f t="shared" ref="K318" si="138">IFERROR(J318 - _xlfn.XLOOKUP(A318-30, $A$2:$A$14999,J$2:J$14999,"",-1,2),NA())</f>
        <v>64</v>
      </c>
      <c r="L318" s="76">
        <f>SUMIF(E$2:E318,"&gt;0")</f>
        <v>416</v>
      </c>
      <c r="M318" s="76">
        <f t="shared" ref="M318" si="139">IFERROR(L318 - _xlfn.XLOOKUP(A318-30, $A$2:$A$14999,L$2:L$14999,"",-1,2),NA())</f>
        <v>0</v>
      </c>
      <c r="N318" s="74">
        <f t="shared" ref="N318" si="140">F318*120</f>
        <v>3360</v>
      </c>
      <c r="O318" s="76">
        <f t="shared" ref="O318" si="141">N318-N317</f>
        <v>120</v>
      </c>
    </row>
    <row r="319" spans="1:15" x14ac:dyDescent="0.25">
      <c r="A319" s="77">
        <v>44436.177777777775</v>
      </c>
      <c r="C319" s="74">
        <v>25</v>
      </c>
      <c r="D319" s="74">
        <v>1</v>
      </c>
      <c r="E319" s="431">
        <v>0</v>
      </c>
      <c r="F319" s="150">
        <f t="shared" si="107"/>
        <v>35</v>
      </c>
      <c r="G319" s="76">
        <f t="shared" ref="G319" si="142">C319-C318</f>
        <v>7</v>
      </c>
      <c r="H319" s="76">
        <f t="shared" ref="H319" si="143">D319-D318</f>
        <v>0</v>
      </c>
      <c r="I319" s="76">
        <f t="shared" ref="I319" si="144">F319-F318</f>
        <v>7</v>
      </c>
      <c r="J319" s="76">
        <f>SUMIF(I$2:I319,"&gt;0")</f>
        <v>1112</v>
      </c>
      <c r="K319" s="76">
        <f t="shared" ref="K319" si="145">IFERROR(J319 - _xlfn.XLOOKUP(A319-30, $A$2:$A$14999,J$2:J$14999,"",-1,2),NA())</f>
        <v>71</v>
      </c>
      <c r="L319" s="76">
        <f>SUMIF(E$2:E319,"&gt;0")</f>
        <v>416</v>
      </c>
      <c r="M319" s="76">
        <f t="shared" ref="M319" si="146">IFERROR(L319 - _xlfn.XLOOKUP(A319-30, $A$2:$A$14999,L$2:L$14999,"",-1,2),NA())</f>
        <v>0</v>
      </c>
      <c r="N319" s="74">
        <f t="shared" ref="N319" si="147">F319*120</f>
        <v>4200</v>
      </c>
      <c r="O319" s="76">
        <f t="shared" ref="O319" si="148">N319-N318</f>
        <v>840</v>
      </c>
    </row>
    <row r="320" spans="1:15" x14ac:dyDescent="0.25">
      <c r="A320" s="77">
        <v>44438.030555555553</v>
      </c>
      <c r="C320" s="74">
        <v>25</v>
      </c>
      <c r="D320" s="74">
        <v>1</v>
      </c>
      <c r="E320" s="431">
        <v>0</v>
      </c>
      <c r="F320" s="150">
        <f t="shared" si="107"/>
        <v>35</v>
      </c>
      <c r="G320" s="76">
        <f t="shared" ref="G320" si="149">C320-C319</f>
        <v>0</v>
      </c>
      <c r="H320" s="76">
        <f t="shared" ref="H320" si="150">D320-D319</f>
        <v>0</v>
      </c>
      <c r="I320" s="76">
        <f t="shared" ref="I320" si="151">F320-F319</f>
        <v>0</v>
      </c>
      <c r="J320" s="76">
        <f>SUMIF(I$2:I320,"&gt;0")</f>
        <v>1112</v>
      </c>
      <c r="K320" s="76">
        <f t="shared" ref="K320" si="152">IFERROR(J320 - _xlfn.XLOOKUP(A320-30, $A$2:$A$14999,J$2:J$14999,"",-1,2),NA())</f>
        <v>51</v>
      </c>
      <c r="L320" s="76">
        <f>SUMIF(E$2:E320,"&gt;0")</f>
        <v>416</v>
      </c>
      <c r="M320" s="76">
        <f t="shared" ref="M320" si="153">IFERROR(L320 - _xlfn.XLOOKUP(A320-30, $A$2:$A$14999,L$2:L$14999,"",-1,2),NA())</f>
        <v>0</v>
      </c>
      <c r="N320" s="74">
        <f t="shared" ref="N320" si="154">F320*120</f>
        <v>4200</v>
      </c>
      <c r="O320" s="76">
        <f t="shared" ref="O320" si="155">N320-N319</f>
        <v>0</v>
      </c>
    </row>
    <row r="321" spans="1:15" x14ac:dyDescent="0.25">
      <c r="A321" s="77">
        <v>44438.086111111108</v>
      </c>
      <c r="B321" s="21" t="s">
        <v>487</v>
      </c>
      <c r="C321" s="74">
        <v>0</v>
      </c>
      <c r="D321" s="74">
        <v>0</v>
      </c>
      <c r="E321" s="431">
        <v>0</v>
      </c>
      <c r="F321" s="150">
        <f t="shared" si="107"/>
        <v>0</v>
      </c>
      <c r="G321" s="76">
        <f t="shared" ref="G321" si="156">C321-C320</f>
        <v>-25</v>
      </c>
      <c r="H321" s="76">
        <f t="shared" ref="H321" si="157">D321-D320</f>
        <v>-1</v>
      </c>
      <c r="I321" s="76">
        <f t="shared" ref="I321" si="158">F321-F320</f>
        <v>-35</v>
      </c>
      <c r="J321" s="76">
        <f>SUMIF(I$2:I321,"&gt;0")</f>
        <v>1112</v>
      </c>
      <c r="K321" s="76">
        <f t="shared" ref="K321" si="159">IFERROR(J321 - _xlfn.XLOOKUP(A321-30, $A$2:$A$14999,J$2:J$14999,"",-1,2),NA())</f>
        <v>51</v>
      </c>
      <c r="L321" s="76">
        <f>SUMIF(E$2:E321,"&gt;0")</f>
        <v>416</v>
      </c>
      <c r="M321" s="76">
        <f t="shared" ref="M321" si="160">IFERROR(L321 - _xlfn.XLOOKUP(A321-30, $A$2:$A$14999,L$2:L$14999,"",-1,2),NA())</f>
        <v>0</v>
      </c>
      <c r="N321" s="74">
        <f t="shared" ref="N321" si="161">F321*120</f>
        <v>0</v>
      </c>
      <c r="O321" s="76">
        <f t="shared" ref="O321" si="162">N321-N320</f>
        <v>-4200</v>
      </c>
    </row>
    <row r="322" spans="1:15" x14ac:dyDescent="0.25">
      <c r="A322" s="77">
        <v>44442.029166666667</v>
      </c>
      <c r="C322" s="74">
        <v>11</v>
      </c>
      <c r="D322" s="74">
        <v>0</v>
      </c>
      <c r="E322" s="431">
        <v>0</v>
      </c>
      <c r="F322" s="150">
        <f t="shared" si="107"/>
        <v>11</v>
      </c>
      <c r="G322" s="76">
        <f t="shared" ref="G322" si="163">C322-C321</f>
        <v>11</v>
      </c>
      <c r="H322" s="76">
        <f t="shared" ref="H322" si="164">D322-D321</f>
        <v>0</v>
      </c>
      <c r="I322" s="76">
        <f t="shared" ref="I322" si="165">F322-F321</f>
        <v>11</v>
      </c>
      <c r="J322" s="76">
        <f>SUMIF(I$2:I322,"&gt;0")</f>
        <v>1123</v>
      </c>
      <c r="K322" s="76">
        <f>IFERROR(J322 - _xlfn.XLOOKUP(A322-30, $A$2:$A$14999,J$2:J$14999,"",-1,2),NA())</f>
        <v>48</v>
      </c>
      <c r="L322" s="76">
        <f>SUMIF(E$2:E322,"&gt;0")</f>
        <v>416</v>
      </c>
      <c r="M322" s="76">
        <f t="shared" ref="M322" si="166">IFERROR(L322 - _xlfn.XLOOKUP(A322-30, $A$2:$A$14999,L$2:L$14999,"",-1,2),NA())</f>
        <v>0</v>
      </c>
      <c r="N322" s="74">
        <f t="shared" ref="N322" si="167">F322*120</f>
        <v>1320</v>
      </c>
      <c r="O322" s="76">
        <f t="shared" ref="O322" si="168">N322-N321</f>
        <v>1320</v>
      </c>
    </row>
    <row r="323" spans="1:15" x14ac:dyDescent="0.25">
      <c r="A323" s="77">
        <v>44442.154166666667</v>
      </c>
      <c r="B323" s="21" t="s">
        <v>488</v>
      </c>
      <c r="C323" s="74">
        <v>0</v>
      </c>
      <c r="D323" s="74">
        <v>0</v>
      </c>
      <c r="E323" s="431">
        <v>0</v>
      </c>
      <c r="F323" s="150">
        <f t="shared" si="107"/>
        <v>0</v>
      </c>
      <c r="G323" s="76">
        <f t="shared" ref="G323" si="169">C323-C322</f>
        <v>-11</v>
      </c>
      <c r="H323" s="76">
        <f t="shared" ref="H323" si="170">D323-D322</f>
        <v>0</v>
      </c>
      <c r="I323" s="76">
        <f t="shared" ref="I323" si="171">F323-F322</f>
        <v>-11</v>
      </c>
      <c r="J323" s="76">
        <f>SUMIF(I$2:I323,"&gt;0")</f>
        <v>1123</v>
      </c>
      <c r="K323" s="76">
        <f t="shared" ref="K323" si="172">IFERROR(J323 - _xlfn.XLOOKUP(A323-30, $A$2:$A$14999,J$2:J$14999,"",-1,2),NA())</f>
        <v>48</v>
      </c>
      <c r="L323" s="76">
        <f>SUMIF(E$2:E323,"&gt;0")</f>
        <v>416</v>
      </c>
      <c r="M323" s="76">
        <f t="shared" ref="M323" si="173">IFERROR(L323 - _xlfn.XLOOKUP(A323-30, $A$2:$A$14999,L$2:L$14999,"",-1,2),NA())</f>
        <v>0</v>
      </c>
      <c r="N323" s="74">
        <f t="shared" ref="N323" si="174">F323*120</f>
        <v>0</v>
      </c>
      <c r="O323" s="76">
        <f t="shared" ref="O323" si="175">N323-N322</f>
        <v>-1320</v>
      </c>
    </row>
    <row r="324" spans="1:15" x14ac:dyDescent="0.25">
      <c r="A324" s="77">
        <v>44449.218055555553</v>
      </c>
      <c r="C324" s="74">
        <v>2</v>
      </c>
      <c r="D324" s="74">
        <v>0</v>
      </c>
      <c r="E324" s="431">
        <v>0</v>
      </c>
      <c r="F324" s="150">
        <f t="shared" si="107"/>
        <v>2</v>
      </c>
      <c r="G324" s="76">
        <f t="shared" ref="G324" si="176">C324-C323</f>
        <v>2</v>
      </c>
      <c r="H324" s="76">
        <f t="shared" ref="H324" si="177">D324-D323</f>
        <v>0</v>
      </c>
      <c r="I324" s="76">
        <f t="shared" ref="I324" si="178">F324-F323</f>
        <v>2</v>
      </c>
      <c r="J324" s="76">
        <f>SUMIF(I$2:I324,"&gt;0")</f>
        <v>1125</v>
      </c>
      <c r="K324" s="76">
        <f t="shared" ref="K324" si="179">IFERROR(J324 - _xlfn.XLOOKUP(A324-30, $A$2:$A$14999,J$2:J$14999,"",-1,2),NA())</f>
        <v>50</v>
      </c>
      <c r="L324" s="76">
        <f>SUMIF(E$2:E324,"&gt;0")</f>
        <v>416</v>
      </c>
      <c r="M324" s="76">
        <f t="shared" ref="M324" si="180">IFERROR(L324 - _xlfn.XLOOKUP(A324-30, $A$2:$A$14999,L$2:L$14999,"",-1,2),NA())</f>
        <v>0</v>
      </c>
      <c r="N324" s="74">
        <f t="shared" ref="N324" si="181">F324*120</f>
        <v>240</v>
      </c>
      <c r="O324" s="76">
        <f t="shared" ref="O324" si="182">N324-N323</f>
        <v>240</v>
      </c>
    </row>
    <row r="325" spans="1:15" x14ac:dyDescent="0.25">
      <c r="A325" s="77">
        <v>44451.445833333331</v>
      </c>
      <c r="C325" s="74">
        <v>4</v>
      </c>
      <c r="D325" s="74">
        <v>0</v>
      </c>
      <c r="E325" s="431">
        <v>0</v>
      </c>
      <c r="F325" s="150">
        <f t="shared" ref="F325" si="183">C325+D325*10+_xlfn.IFNA(E325,0)</f>
        <v>4</v>
      </c>
      <c r="G325" s="76">
        <f t="shared" ref="G325" si="184">C325-C324</f>
        <v>2</v>
      </c>
      <c r="H325" s="76">
        <f t="shared" ref="H325" si="185">D325-D324</f>
        <v>0</v>
      </c>
      <c r="I325" s="76">
        <f t="shared" ref="I325" si="186">F325-F324</f>
        <v>2</v>
      </c>
      <c r="J325" s="76">
        <f>SUMIF(I$2:I325,"&gt;0")</f>
        <v>1127</v>
      </c>
      <c r="K325" s="76">
        <f t="shared" ref="K325" si="187">IFERROR(J325 - _xlfn.XLOOKUP(A325-30, $A$2:$A$14999,J$2:J$14999,"",-1,2),NA())</f>
        <v>50</v>
      </c>
      <c r="L325" s="76">
        <f>SUMIF(E$2:E325,"&gt;0")</f>
        <v>416</v>
      </c>
      <c r="M325" s="76">
        <f t="shared" ref="M325" si="188">IFERROR(L325 - _xlfn.XLOOKUP(A325-30, $A$2:$A$14999,L$2:L$14999,"",-1,2),NA())</f>
        <v>0</v>
      </c>
      <c r="N325" s="74">
        <f t="shared" ref="N325" si="189">F325*120</f>
        <v>480</v>
      </c>
      <c r="O325" s="76">
        <f t="shared" ref="O325" si="190">N325-N324</f>
        <v>240</v>
      </c>
    </row>
    <row r="326" spans="1:15" x14ac:dyDescent="0.25">
      <c r="A326" s="77">
        <v>44452.125</v>
      </c>
      <c r="B326" s="21" t="s">
        <v>489</v>
      </c>
      <c r="C326" s="74">
        <v>0</v>
      </c>
      <c r="D326" s="74">
        <v>0</v>
      </c>
      <c r="E326" s="431">
        <v>0</v>
      </c>
      <c r="F326" s="150">
        <f t="shared" ref="F326" si="191">C326+D326*10+_xlfn.IFNA(E326,0)</f>
        <v>0</v>
      </c>
      <c r="G326" s="76">
        <f t="shared" ref="G326" si="192">C326-C325</f>
        <v>-4</v>
      </c>
      <c r="H326" s="76">
        <f t="shared" ref="H326" si="193">D326-D325</f>
        <v>0</v>
      </c>
      <c r="I326" s="76">
        <f t="shared" ref="I326" si="194">F326-F325</f>
        <v>-4</v>
      </c>
      <c r="J326" s="76">
        <f>SUMIF(I$2:I326,"&gt;0")</f>
        <v>1127</v>
      </c>
      <c r="K326" s="76">
        <f t="shared" ref="K326" si="195">IFERROR(J326 - _xlfn.XLOOKUP(A326-30, $A$2:$A$14999,J$2:J$14999,"",-1,2),NA())</f>
        <v>50</v>
      </c>
      <c r="L326" s="76">
        <f>SUMIF(E$2:E326,"&gt;0")</f>
        <v>416</v>
      </c>
      <c r="M326" s="76">
        <f t="shared" ref="M326" si="196">IFERROR(L326 - _xlfn.XLOOKUP(A326-30, $A$2:$A$14999,L$2:L$14999,"",-1,2),NA())</f>
        <v>0</v>
      </c>
      <c r="N326" s="74">
        <f t="shared" ref="N326" si="197">F326*120</f>
        <v>0</v>
      </c>
      <c r="O326" s="76">
        <f t="shared" ref="O326" si="198">N326-N325</f>
        <v>-480</v>
      </c>
    </row>
    <row r="327" spans="1:15" x14ac:dyDescent="0.25">
      <c r="A327" s="77">
        <v>44453.745138888888</v>
      </c>
      <c r="C327" s="74">
        <v>2</v>
      </c>
      <c r="D327" s="74">
        <v>0</v>
      </c>
      <c r="E327" s="431">
        <v>0</v>
      </c>
      <c r="F327" s="150">
        <f t="shared" ref="F327" si="199">C327+D327*10+_xlfn.IFNA(E327,0)</f>
        <v>2</v>
      </c>
      <c r="G327" s="76">
        <f t="shared" ref="G327" si="200">C327-C326</f>
        <v>2</v>
      </c>
      <c r="H327" s="76">
        <f t="shared" ref="H327" si="201">D327-D326</f>
        <v>0</v>
      </c>
      <c r="I327" s="76">
        <f t="shared" ref="I327" si="202">F327-F326</f>
        <v>2</v>
      </c>
      <c r="J327" s="76">
        <f>SUMIF(I$2:I327,"&gt;0")</f>
        <v>1129</v>
      </c>
      <c r="K327" s="76">
        <f t="shared" ref="K327" si="203">IFERROR(J327 - _xlfn.XLOOKUP(A327-30, $A$2:$A$14999,J$2:J$14999,"",-1,2),NA())</f>
        <v>52</v>
      </c>
      <c r="L327" s="76">
        <f>SUMIF(E$2:E327,"&gt;0")</f>
        <v>416</v>
      </c>
      <c r="M327" s="76">
        <f t="shared" ref="M327" si="204">IFERROR(L327 - _xlfn.XLOOKUP(A327-30, $A$2:$A$14999,L$2:L$14999,"",-1,2),NA())</f>
        <v>0</v>
      </c>
      <c r="N327" s="74">
        <f t="shared" ref="N327" si="205">F327*120</f>
        <v>240</v>
      </c>
      <c r="O327" s="76">
        <f t="shared" ref="O327" si="206">N327-N326</f>
        <v>240</v>
      </c>
    </row>
    <row r="328" spans="1:15" x14ac:dyDescent="0.25">
      <c r="A328" s="77">
        <v>44454.372916666667</v>
      </c>
      <c r="C328" s="74">
        <v>8</v>
      </c>
      <c r="D328" s="74">
        <v>0</v>
      </c>
      <c r="E328" s="431">
        <v>0</v>
      </c>
      <c r="F328" s="150">
        <f t="shared" ref="F328" si="207">C328+D328*10+_xlfn.IFNA(E328,0)</f>
        <v>8</v>
      </c>
      <c r="G328" s="76">
        <f t="shared" ref="G328" si="208">C328-C327</f>
        <v>6</v>
      </c>
      <c r="H328" s="76">
        <f t="shared" ref="H328" si="209">D328-D327</f>
        <v>0</v>
      </c>
      <c r="I328" s="76">
        <f t="shared" ref="I328" si="210">F328-F327</f>
        <v>6</v>
      </c>
      <c r="J328" s="76">
        <f>SUMIF(I$2:I328,"&gt;0")</f>
        <v>1135</v>
      </c>
      <c r="K328" s="76">
        <f t="shared" ref="K328" si="211">IFERROR(J328 - _xlfn.XLOOKUP(A328-30, $A$2:$A$14999,J$2:J$14999,"",-1,2),NA())</f>
        <v>58</v>
      </c>
      <c r="L328" s="76">
        <f>SUMIF(E$2:E328,"&gt;0")</f>
        <v>416</v>
      </c>
      <c r="M328" s="76">
        <f t="shared" ref="M328" si="212">IFERROR(L328 - _xlfn.XLOOKUP(A328-30, $A$2:$A$14999,L$2:L$14999,"",-1,2),NA())</f>
        <v>0</v>
      </c>
      <c r="N328" s="74">
        <f t="shared" ref="N328" si="213">F328*120</f>
        <v>960</v>
      </c>
      <c r="O328" s="76">
        <f t="shared" ref="O328" si="214">N328-N327</f>
        <v>720</v>
      </c>
    </row>
    <row r="329" spans="1:15" x14ac:dyDescent="0.25">
      <c r="A329" s="77">
        <v>44455.883333333331</v>
      </c>
      <c r="C329" s="74">
        <v>8</v>
      </c>
      <c r="D329" s="74">
        <v>0</v>
      </c>
      <c r="E329" s="431">
        <v>0</v>
      </c>
      <c r="F329" s="150">
        <f t="shared" ref="F329" si="215">C329+D329*10+_xlfn.IFNA(E329,0)</f>
        <v>8</v>
      </c>
      <c r="G329" s="76">
        <f t="shared" ref="G329" si="216">C329-C328</f>
        <v>0</v>
      </c>
      <c r="H329" s="76">
        <f t="shared" ref="H329" si="217">D329-D328</f>
        <v>0</v>
      </c>
      <c r="I329" s="76">
        <f t="shared" ref="I329" si="218">F329-F328</f>
        <v>0</v>
      </c>
      <c r="J329" s="76">
        <f>SUMIF(I$2:I329,"&gt;0")</f>
        <v>1135</v>
      </c>
      <c r="K329" s="76">
        <f t="shared" ref="K329" si="219">IFERROR(J329 - _xlfn.XLOOKUP(A329-30, $A$2:$A$14999,J$2:J$14999,"",-1,2),NA())</f>
        <v>33</v>
      </c>
      <c r="L329" s="76">
        <f>SUMIF(E$2:E329,"&gt;0")</f>
        <v>416</v>
      </c>
      <c r="M329" s="76">
        <f t="shared" ref="M329" si="220">IFERROR(L329 - _xlfn.XLOOKUP(A329-30, $A$2:$A$14999,L$2:L$14999,"",-1,2),NA())</f>
        <v>0</v>
      </c>
      <c r="N329" s="74">
        <f t="shared" ref="N329" si="221">F329*120</f>
        <v>960</v>
      </c>
      <c r="O329" s="76">
        <f t="shared" ref="O329" si="222">N329-N328</f>
        <v>0</v>
      </c>
    </row>
    <row r="330" spans="1:15" x14ac:dyDescent="0.25">
      <c r="A330" s="77">
        <v>44456.552083333336</v>
      </c>
      <c r="C330" s="74">
        <v>10</v>
      </c>
      <c r="D330" s="74">
        <v>0</v>
      </c>
      <c r="E330" s="431">
        <v>0</v>
      </c>
      <c r="F330" s="150">
        <f t="shared" ref="F330" si="223">C330+D330*10+_xlfn.IFNA(E330,0)</f>
        <v>10</v>
      </c>
      <c r="G330" s="76">
        <f t="shared" ref="G330" si="224">C330-C329</f>
        <v>2</v>
      </c>
      <c r="H330" s="76">
        <f t="shared" ref="H330" si="225">D330-D329</f>
        <v>0</v>
      </c>
      <c r="I330" s="76">
        <f t="shared" ref="I330" si="226">F330-F329</f>
        <v>2</v>
      </c>
      <c r="J330" s="76">
        <f>SUMIF(I$2:I330,"&gt;0")</f>
        <v>1137</v>
      </c>
      <c r="K330" s="76">
        <f t="shared" ref="K330" si="227">IFERROR(J330 - _xlfn.XLOOKUP(A330-30, $A$2:$A$14999,J$2:J$14999,"",-1,2),NA())</f>
        <v>35</v>
      </c>
      <c r="L330" s="76">
        <f>SUMIF(E$2:E330,"&gt;0")</f>
        <v>416</v>
      </c>
      <c r="M330" s="76">
        <f t="shared" ref="M330" si="228">IFERROR(L330 - _xlfn.XLOOKUP(A330-30, $A$2:$A$14999,L$2:L$14999,"",-1,2),NA())</f>
        <v>0</v>
      </c>
      <c r="N330" s="74">
        <f t="shared" ref="N330" si="229">F330*120</f>
        <v>1200</v>
      </c>
      <c r="O330" s="76">
        <f t="shared" ref="O330" si="230">N330-N329</f>
        <v>240</v>
      </c>
    </row>
    <row r="331" spans="1:15" x14ac:dyDescent="0.25">
      <c r="A331" s="77">
        <v>44458.804861111108</v>
      </c>
      <c r="C331" s="74">
        <v>12</v>
      </c>
      <c r="D331" s="74">
        <v>1</v>
      </c>
      <c r="E331" s="431">
        <v>0</v>
      </c>
      <c r="F331" s="150">
        <f t="shared" ref="F331" si="231">C331+D331*10+_xlfn.IFNA(E331,0)</f>
        <v>22</v>
      </c>
      <c r="G331" s="76">
        <f t="shared" ref="G331" si="232">C331-C330</f>
        <v>2</v>
      </c>
      <c r="H331" s="76">
        <f t="shared" ref="H331" si="233">D331-D330</f>
        <v>1</v>
      </c>
      <c r="I331" s="76">
        <f t="shared" ref="I331" si="234">F331-F330</f>
        <v>12</v>
      </c>
      <c r="J331" s="76">
        <f>SUMIF(I$2:I331,"&gt;0")</f>
        <v>1149</v>
      </c>
      <c r="K331" s="76">
        <f t="shared" ref="K331" si="235">IFERROR(J331 - _xlfn.XLOOKUP(A331-30, $A$2:$A$14999,J$2:J$14999,"",-1,2),NA())</f>
        <v>45</v>
      </c>
      <c r="L331" s="76">
        <f>SUMIF(E$2:E331,"&gt;0")</f>
        <v>416</v>
      </c>
      <c r="M331" s="76">
        <f t="shared" ref="M331" si="236">IFERROR(L331 - _xlfn.XLOOKUP(A331-30, $A$2:$A$14999,L$2:L$14999,"",-1,2),NA())</f>
        <v>0</v>
      </c>
      <c r="N331" s="74">
        <f t="shared" ref="N331" si="237">F331*120</f>
        <v>2640</v>
      </c>
      <c r="O331" s="76">
        <f t="shared" ref="O331" si="238">N331-N330</f>
        <v>1440</v>
      </c>
    </row>
    <row r="332" spans="1:15" x14ac:dyDescent="0.25">
      <c r="A332" s="77">
        <v>44459.826388888891</v>
      </c>
      <c r="C332" s="74">
        <v>14</v>
      </c>
      <c r="D332" s="74">
        <v>1</v>
      </c>
      <c r="E332" s="431">
        <v>0</v>
      </c>
      <c r="F332" s="150">
        <f t="shared" ref="F332" si="239">C332+D332*10+_xlfn.IFNA(E332,0)</f>
        <v>24</v>
      </c>
      <c r="G332" s="76">
        <f t="shared" ref="G332" si="240">C332-C331</f>
        <v>2</v>
      </c>
      <c r="H332" s="76">
        <f t="shared" ref="H332" si="241">D332-D331</f>
        <v>0</v>
      </c>
      <c r="I332" s="76">
        <f t="shared" ref="I332" si="242">F332-F331</f>
        <v>2</v>
      </c>
      <c r="J332" s="76">
        <f>SUMIF(I$2:I332,"&gt;0")</f>
        <v>1151</v>
      </c>
      <c r="K332" s="76">
        <f t="shared" ref="K332" si="243">IFERROR(J332 - _xlfn.XLOOKUP(A332-30, $A$2:$A$14999,J$2:J$14999,"",-1,2),NA())</f>
        <v>47</v>
      </c>
      <c r="L332" s="76">
        <f>SUMIF(E$2:E332,"&gt;0")</f>
        <v>416</v>
      </c>
      <c r="M332" s="76">
        <f t="shared" ref="M332" si="244">IFERROR(L332 - _xlfn.XLOOKUP(A332-30, $A$2:$A$14999,L$2:L$14999,"",-1,2),NA())</f>
        <v>0</v>
      </c>
      <c r="N332" s="74">
        <f t="shared" ref="N332" si="245">F332*120</f>
        <v>2880</v>
      </c>
      <c r="O332" s="76">
        <f t="shared" ref="O332" si="246">N332-N331</f>
        <v>240</v>
      </c>
    </row>
    <row r="333" spans="1:15" x14ac:dyDescent="0.25">
      <c r="A333" s="77">
        <v>44460.709027777775</v>
      </c>
      <c r="C333" s="74">
        <v>17</v>
      </c>
      <c r="D333" s="74">
        <v>1</v>
      </c>
      <c r="E333" s="431">
        <v>0</v>
      </c>
      <c r="F333" s="150">
        <f t="shared" ref="F333" si="247">C333+D333*10+_xlfn.IFNA(E333,0)</f>
        <v>27</v>
      </c>
      <c r="G333" s="76">
        <f t="shared" ref="G333" si="248">C333-C332</f>
        <v>3</v>
      </c>
      <c r="H333" s="76">
        <f t="shared" ref="H333" si="249">D333-D332</f>
        <v>0</v>
      </c>
      <c r="I333" s="76">
        <f t="shared" ref="I333" si="250">F333-F332</f>
        <v>3</v>
      </c>
      <c r="J333" s="76">
        <f>SUMIF(I$2:I333,"&gt;0")</f>
        <v>1154</v>
      </c>
      <c r="K333" s="76">
        <f t="shared" ref="K333" si="251">IFERROR(J333 - _xlfn.XLOOKUP(A333-30, $A$2:$A$14999,J$2:J$14999,"",-1,2),NA())</f>
        <v>49</v>
      </c>
      <c r="L333" s="76">
        <f>SUMIF(E$2:E333,"&gt;0")</f>
        <v>416</v>
      </c>
      <c r="M333" s="76">
        <f t="shared" ref="M333" si="252">IFERROR(L333 - _xlfn.XLOOKUP(A333-30, $A$2:$A$14999,L$2:L$14999,"",-1,2),NA())</f>
        <v>0</v>
      </c>
      <c r="N333" s="74">
        <f t="shared" ref="N333" si="253">F333*120</f>
        <v>3240</v>
      </c>
      <c r="O333" s="76">
        <f t="shared" ref="O333" si="254">N333-N332</f>
        <v>360</v>
      </c>
    </row>
    <row r="334" spans="1:15" x14ac:dyDescent="0.25">
      <c r="A334" s="77">
        <v>44462.981944444444</v>
      </c>
      <c r="C334" s="74">
        <v>23</v>
      </c>
      <c r="D334" s="74">
        <v>1</v>
      </c>
      <c r="E334" s="431">
        <v>0</v>
      </c>
      <c r="F334" s="150">
        <f t="shared" ref="F334" si="255">C334+D334*10+_xlfn.IFNA(E334,0)</f>
        <v>33</v>
      </c>
      <c r="G334" s="76">
        <f t="shared" ref="G334" si="256">C334-C333</f>
        <v>6</v>
      </c>
      <c r="H334" s="76">
        <f t="shared" ref="H334" si="257">D334-D333</f>
        <v>0</v>
      </c>
      <c r="I334" s="76">
        <f t="shared" ref="I334" si="258">F334-F333</f>
        <v>6</v>
      </c>
      <c r="J334" s="76">
        <f>SUMIF(I$2:I334,"&gt;0")</f>
        <v>1160</v>
      </c>
      <c r="K334" s="76">
        <f t="shared" ref="K334" si="259">IFERROR(J334 - _xlfn.XLOOKUP(A334-30, $A$2:$A$14999,J$2:J$14999,"",-1,2),NA())</f>
        <v>55</v>
      </c>
      <c r="L334" s="76">
        <f>SUMIF(E$2:E334,"&gt;0")</f>
        <v>416</v>
      </c>
      <c r="M334" s="76">
        <f t="shared" ref="M334" si="260">IFERROR(L334 - _xlfn.XLOOKUP(A334-30, $A$2:$A$14999,L$2:L$14999,"",-1,2),NA())</f>
        <v>0</v>
      </c>
      <c r="N334" s="74">
        <f t="shared" ref="N334" si="261">F334*120</f>
        <v>3960</v>
      </c>
      <c r="O334" s="76">
        <f t="shared" ref="O334" si="262">N334-N333</f>
        <v>720</v>
      </c>
    </row>
    <row r="335" spans="1:15" x14ac:dyDescent="0.25">
      <c r="A335" s="77">
        <v>44466.125</v>
      </c>
      <c r="C335" s="74">
        <v>37</v>
      </c>
      <c r="D335" s="74">
        <v>3</v>
      </c>
      <c r="E335" s="431">
        <v>10</v>
      </c>
      <c r="F335" s="150">
        <f t="shared" ref="F335:F338" si="263">C335+D335*10+_xlfn.IFNA(E335,0)</f>
        <v>77</v>
      </c>
      <c r="G335" s="76">
        <f t="shared" ref="G335:G336" si="264">C335-C334</f>
        <v>14</v>
      </c>
      <c r="H335" s="76">
        <f t="shared" ref="H335:H336" si="265">D335-D334</f>
        <v>2</v>
      </c>
      <c r="I335" s="76">
        <f t="shared" ref="I335:I336" si="266">F335-F334</f>
        <v>44</v>
      </c>
      <c r="J335" s="76">
        <f>SUMIF(I$2:I335,"&gt;0")</f>
        <v>1204</v>
      </c>
      <c r="K335" s="76">
        <f t="shared" ref="K335:K336" si="267">IFERROR(J335 - _xlfn.XLOOKUP(A335-30, $A$2:$A$14999,J$2:J$14999,"",-1,2),NA())</f>
        <v>99</v>
      </c>
      <c r="L335" s="76">
        <f>SUMIF(E$2:E335,"&gt;0")</f>
        <v>426</v>
      </c>
      <c r="M335" s="76">
        <f t="shared" ref="M335:M336" si="268">IFERROR(L335 - _xlfn.XLOOKUP(A335-30, $A$2:$A$14999,L$2:L$14999,"",-1,2),NA())</f>
        <v>10</v>
      </c>
      <c r="N335" s="74">
        <f t="shared" ref="N335:N336" si="269">F335*120</f>
        <v>9240</v>
      </c>
      <c r="O335" s="76">
        <f t="shared" ref="O335:O336" si="270">N335-N334</f>
        <v>5280</v>
      </c>
    </row>
    <row r="336" spans="1:15" x14ac:dyDescent="0.25">
      <c r="A336" s="77">
        <v>44467.04791666667</v>
      </c>
      <c r="C336" s="74">
        <v>37</v>
      </c>
      <c r="D336" s="74">
        <v>3</v>
      </c>
      <c r="E336" s="431">
        <v>10</v>
      </c>
      <c r="F336" s="150">
        <f t="shared" si="263"/>
        <v>77</v>
      </c>
      <c r="G336" s="76">
        <f t="shared" si="264"/>
        <v>0</v>
      </c>
      <c r="H336" s="76">
        <f t="shared" si="265"/>
        <v>0</v>
      </c>
      <c r="I336" s="76">
        <f t="shared" si="266"/>
        <v>0</v>
      </c>
      <c r="J336" s="76">
        <f>SUMIF(I$2:I336,"&gt;0")</f>
        <v>1204</v>
      </c>
      <c r="K336" s="76">
        <f t="shared" si="267"/>
        <v>92</v>
      </c>
      <c r="L336" s="76">
        <f>SUMIF(E$2:E336,"&gt;0")</f>
        <v>436</v>
      </c>
      <c r="M336" s="76">
        <f t="shared" si="268"/>
        <v>20</v>
      </c>
      <c r="N336" s="74">
        <f t="shared" si="269"/>
        <v>9240</v>
      </c>
      <c r="O336" s="76">
        <f t="shared" si="270"/>
        <v>0</v>
      </c>
    </row>
    <row r="337" spans="1:15" x14ac:dyDescent="0.25">
      <c r="A337" s="77">
        <v>44468.963194444441</v>
      </c>
      <c r="C337" s="74">
        <v>37</v>
      </c>
      <c r="D337" s="74">
        <v>3</v>
      </c>
      <c r="E337" s="431">
        <v>10</v>
      </c>
      <c r="F337" s="150">
        <f t="shared" si="263"/>
        <v>77</v>
      </c>
      <c r="G337" s="76">
        <f t="shared" ref="G337" si="271">C337-C336</f>
        <v>0</v>
      </c>
      <c r="H337" s="76">
        <f t="shared" ref="H337" si="272">D337-D336</f>
        <v>0</v>
      </c>
      <c r="I337" s="76">
        <f t="shared" ref="I337" si="273">F337-F336</f>
        <v>0</v>
      </c>
      <c r="J337" s="76">
        <f>SUMIF(I$2:I337,"&gt;0")</f>
        <v>1204</v>
      </c>
      <c r="K337" s="76">
        <f t="shared" ref="K337" si="274">IFERROR(J337 - _xlfn.XLOOKUP(A337-30, $A$2:$A$14999,J$2:J$14999,"",-1,2),NA())</f>
        <v>92</v>
      </c>
      <c r="L337" s="76">
        <f>SUMIF(E$2:E337,"&gt;0")</f>
        <v>446</v>
      </c>
      <c r="M337" s="76">
        <f t="shared" ref="M337" si="275">IFERROR(L337 - _xlfn.XLOOKUP(A337-30, $A$2:$A$14999,L$2:L$14999,"",-1,2),NA())</f>
        <v>30</v>
      </c>
      <c r="N337" s="74">
        <f t="shared" ref="N337" si="276">F337*120</f>
        <v>9240</v>
      </c>
      <c r="O337" s="76">
        <f t="shared" ref="O337" si="277">N337-N336</f>
        <v>0</v>
      </c>
    </row>
    <row r="338" spans="1:15" x14ac:dyDescent="0.25">
      <c r="A338" s="77">
        <v>44469.049305555556</v>
      </c>
      <c r="C338" s="74">
        <v>0</v>
      </c>
      <c r="D338" s="74">
        <v>0</v>
      </c>
      <c r="E338" s="431">
        <v>10</v>
      </c>
      <c r="F338" s="150">
        <f t="shared" si="263"/>
        <v>10</v>
      </c>
      <c r="G338" s="76">
        <f t="shared" ref="G338" si="278">C338-C337</f>
        <v>-37</v>
      </c>
      <c r="H338" s="76">
        <f t="shared" ref="H338" si="279">D338-D337</f>
        <v>-3</v>
      </c>
      <c r="I338" s="76">
        <f t="shared" ref="I338" si="280">F338-F337</f>
        <v>-67</v>
      </c>
      <c r="J338" s="76">
        <f>SUMIF(I$2:I338,"&gt;0")</f>
        <v>1204</v>
      </c>
      <c r="K338" s="76">
        <f t="shared" ref="K338" si="281">IFERROR(J338 - _xlfn.XLOOKUP(A338-30, $A$2:$A$14999,J$2:J$14999,"",-1,2),NA())</f>
        <v>92</v>
      </c>
      <c r="L338" s="76">
        <f>SUMIF(E$2:E338,"&gt;0")</f>
        <v>456</v>
      </c>
      <c r="M338" s="76">
        <f t="shared" ref="M338" si="282">IFERROR(L338 - _xlfn.XLOOKUP(A338-30, $A$2:$A$14999,L$2:L$14999,"",-1,2),NA())</f>
        <v>40</v>
      </c>
      <c r="N338" s="74">
        <f t="shared" ref="N338" si="283">F338*120</f>
        <v>1200</v>
      </c>
      <c r="O338" s="76">
        <f t="shared" ref="O338" si="284">N338-N337</f>
        <v>-8040</v>
      </c>
    </row>
    <row r="339" spans="1:15" x14ac:dyDescent="0.25">
      <c r="A339" s="77">
        <v>44469.723611111112</v>
      </c>
      <c r="C339" s="74">
        <v>2</v>
      </c>
      <c r="D339" s="74">
        <v>1</v>
      </c>
      <c r="E339" s="431">
        <v>0</v>
      </c>
      <c r="F339" s="150">
        <f t="shared" ref="F339" si="285">C339+D339*10+_xlfn.IFNA(E339,0)</f>
        <v>12</v>
      </c>
      <c r="G339" s="76">
        <f t="shared" ref="G339" si="286">C339-C338</f>
        <v>2</v>
      </c>
      <c r="H339" s="76">
        <f t="shared" ref="H339" si="287">D339-D338</f>
        <v>1</v>
      </c>
      <c r="I339" s="76">
        <f t="shared" ref="I339" si="288">F339-F338</f>
        <v>2</v>
      </c>
      <c r="J339" s="76">
        <f>SUMIF(I$2:I339,"&gt;0")</f>
        <v>1206</v>
      </c>
      <c r="K339" s="76">
        <f t="shared" ref="K339" si="289">IFERROR(J339 - _xlfn.XLOOKUP(A339-30, $A$2:$A$14999,J$2:J$14999,"",-1,2),NA())</f>
        <v>94</v>
      </c>
      <c r="L339" s="76">
        <f>SUMIF(E$2:E339,"&gt;0")</f>
        <v>456</v>
      </c>
      <c r="M339" s="76">
        <f t="shared" ref="M339" si="290">IFERROR(L339 - _xlfn.XLOOKUP(A339-30, $A$2:$A$14999,L$2:L$14999,"",-1,2),NA())</f>
        <v>40</v>
      </c>
      <c r="N339" s="74">
        <f t="shared" ref="N339" si="291">F339*120</f>
        <v>1440</v>
      </c>
      <c r="O339" s="76">
        <f t="shared" ref="O339" si="292">N339-N338</f>
        <v>240</v>
      </c>
    </row>
    <row r="340" spans="1:15" x14ac:dyDescent="0.25">
      <c r="A340" s="77">
        <v>44470.845833333333</v>
      </c>
      <c r="C340" s="74">
        <v>10</v>
      </c>
      <c r="D340" s="74">
        <v>1</v>
      </c>
      <c r="E340" s="431">
        <v>10</v>
      </c>
      <c r="F340" s="150">
        <f t="shared" ref="F340" si="293">C340+D340*10+_xlfn.IFNA(E340,0)</f>
        <v>30</v>
      </c>
      <c r="G340" s="76">
        <f t="shared" ref="G340" si="294">C340-C339</f>
        <v>8</v>
      </c>
      <c r="H340" s="76">
        <f t="shared" ref="H340" si="295">D340-D339</f>
        <v>0</v>
      </c>
      <c r="I340" s="76">
        <f t="shared" ref="I340" si="296">F340-F339</f>
        <v>18</v>
      </c>
      <c r="J340" s="76">
        <f>SUMIF(I$2:I340,"&gt;0")</f>
        <v>1224</v>
      </c>
      <c r="K340" s="76">
        <f t="shared" ref="K340" si="297">IFERROR(J340 - _xlfn.XLOOKUP(A340-30, $A$2:$A$14999,J$2:J$14999,"",-1,2),NA())</f>
        <v>112</v>
      </c>
      <c r="L340" s="76">
        <f>SUMIF(E$2:E340,"&gt;0")</f>
        <v>466</v>
      </c>
      <c r="M340" s="76">
        <f t="shared" ref="M340" si="298">IFERROR(L340 - _xlfn.XLOOKUP(A340-30, $A$2:$A$14999,L$2:L$14999,"",-1,2),NA())</f>
        <v>50</v>
      </c>
      <c r="N340" s="74">
        <f t="shared" ref="N340" si="299">F340*120</f>
        <v>3600</v>
      </c>
      <c r="O340" s="76">
        <f t="shared" ref="O340" si="300">N340-N339</f>
        <v>2160</v>
      </c>
    </row>
    <row r="341" spans="1:15" x14ac:dyDescent="0.25">
      <c r="A341" s="77">
        <v>44471.875</v>
      </c>
      <c r="C341" s="74">
        <v>11</v>
      </c>
      <c r="D341" s="74">
        <v>1</v>
      </c>
      <c r="E341" s="431">
        <v>10</v>
      </c>
      <c r="F341" s="150">
        <f t="shared" ref="F341" si="301">C341+D341*10+_xlfn.IFNA(E341,0)</f>
        <v>31</v>
      </c>
      <c r="G341" s="76">
        <f t="shared" ref="G341" si="302">C341-C340</f>
        <v>1</v>
      </c>
      <c r="H341" s="76">
        <f t="shared" ref="H341" si="303">D341-D340</f>
        <v>0</v>
      </c>
      <c r="I341" s="76">
        <f t="shared" ref="I341" si="304">F341-F340</f>
        <v>1</v>
      </c>
      <c r="J341" s="76">
        <f>SUMIF(I$2:I341,"&gt;0")</f>
        <v>1225</v>
      </c>
      <c r="K341" s="76">
        <f t="shared" ref="K341" si="305">IFERROR(J341 - _xlfn.XLOOKUP(A341-30, $A$2:$A$14999,J$2:J$14999,"",-1,2),NA())</f>
        <v>113</v>
      </c>
      <c r="L341" s="76">
        <f>SUMIF(E$2:E341,"&gt;0")</f>
        <v>476</v>
      </c>
      <c r="M341" s="76">
        <f t="shared" ref="M341" si="306">IFERROR(L341 - _xlfn.XLOOKUP(A341-30, $A$2:$A$14999,L$2:L$14999,"",-1,2),NA())</f>
        <v>60</v>
      </c>
      <c r="N341" s="74">
        <f t="shared" ref="N341" si="307">F341*120</f>
        <v>3720</v>
      </c>
      <c r="O341" s="76">
        <f t="shared" ref="O341" si="308">N341-N340</f>
        <v>120</v>
      </c>
    </row>
    <row r="342" spans="1:15" x14ac:dyDescent="0.25">
      <c r="A342" s="77">
        <v>44474.045138888891</v>
      </c>
      <c r="C342" s="74">
        <v>16</v>
      </c>
      <c r="D342" s="74">
        <v>1</v>
      </c>
      <c r="E342" s="431">
        <v>30</v>
      </c>
      <c r="F342" s="150">
        <f t="shared" ref="F342:F343" si="309">C342+D342*10+_xlfn.IFNA(E342,0)</f>
        <v>56</v>
      </c>
      <c r="G342" s="76">
        <f t="shared" ref="G342" si="310">C342-C341</f>
        <v>5</v>
      </c>
      <c r="H342" s="76">
        <f t="shared" ref="H342" si="311">D342-D341</f>
        <v>0</v>
      </c>
      <c r="I342" s="76">
        <f t="shared" ref="I342" si="312">F342-F341</f>
        <v>25</v>
      </c>
      <c r="J342" s="76">
        <f>SUMIF(I$2:I342,"&gt;0")</f>
        <v>1250</v>
      </c>
      <c r="K342" s="76">
        <f t="shared" ref="K342" si="313">IFERROR(J342 - _xlfn.XLOOKUP(A342-30, $A$2:$A$14999,J$2:J$14999,"",-1,2),NA())</f>
        <v>127</v>
      </c>
      <c r="L342" s="76">
        <f>SUMIF(E$2:E342,"&gt;0")</f>
        <v>506</v>
      </c>
      <c r="M342" s="76">
        <f t="shared" ref="M342" si="314">IFERROR(L342 - _xlfn.XLOOKUP(A342-30, $A$2:$A$14999,L$2:L$14999,"",-1,2),NA())</f>
        <v>90</v>
      </c>
      <c r="N342" s="74">
        <f t="shared" ref="N342" si="315">F342*120</f>
        <v>6720</v>
      </c>
      <c r="O342" s="76">
        <f t="shared" ref="O342" si="316">N342-N341</f>
        <v>3000</v>
      </c>
    </row>
    <row r="343" spans="1:15" x14ac:dyDescent="0.25">
      <c r="A343" s="77">
        <v>44474.050694444442</v>
      </c>
      <c r="B343" s="21" t="s">
        <v>491</v>
      </c>
      <c r="C343" s="74">
        <v>0</v>
      </c>
      <c r="D343" s="74">
        <v>0</v>
      </c>
      <c r="E343" s="431">
        <v>0</v>
      </c>
      <c r="F343" s="150">
        <f t="shared" si="309"/>
        <v>0</v>
      </c>
      <c r="G343" s="76">
        <f t="shared" ref="G343" si="317">C343-C342</f>
        <v>-16</v>
      </c>
      <c r="H343" s="76">
        <f t="shared" ref="H343" si="318">D343-D342</f>
        <v>-1</v>
      </c>
      <c r="I343" s="76">
        <f t="shared" ref="I343" si="319">F343-F342</f>
        <v>-56</v>
      </c>
      <c r="J343" s="76">
        <f>SUMIF(I$2:I343,"&gt;0")</f>
        <v>1250</v>
      </c>
      <c r="K343" s="76">
        <f t="shared" ref="K343" si="320">IFERROR(J343 - _xlfn.XLOOKUP(A343-30, $A$2:$A$14999,J$2:J$14999,"",-1,2),NA())</f>
        <v>127</v>
      </c>
      <c r="L343" s="76">
        <f>SUMIF(E$2:E343,"&gt;0")</f>
        <v>506</v>
      </c>
      <c r="M343" s="76">
        <f t="shared" ref="M343" si="321">IFERROR(L343 - _xlfn.XLOOKUP(A343-30, $A$2:$A$14999,L$2:L$14999,"",-1,2),NA())</f>
        <v>90</v>
      </c>
      <c r="N343" s="74">
        <f t="shared" ref="N343" si="322">F343*120</f>
        <v>0</v>
      </c>
      <c r="O343" s="76">
        <f t="shared" ref="O343" si="323">N343-N342</f>
        <v>-6720</v>
      </c>
    </row>
    <row r="344" spans="1:15" x14ac:dyDescent="0.25">
      <c r="A344" s="77">
        <v>44474.144444444442</v>
      </c>
      <c r="C344" s="74">
        <v>1</v>
      </c>
      <c r="D344" s="74">
        <v>0</v>
      </c>
      <c r="E344" s="431">
        <v>0</v>
      </c>
      <c r="F344" s="150">
        <f t="shared" ref="F344:F347" si="324">C344+D344*10+_xlfn.IFNA(E344,0)</f>
        <v>1</v>
      </c>
      <c r="G344" s="76">
        <f t="shared" ref="G344" si="325">C344-C343</f>
        <v>1</v>
      </c>
      <c r="H344" s="76">
        <f t="shared" ref="H344" si="326">D344-D343</f>
        <v>0</v>
      </c>
      <c r="I344" s="76">
        <f t="shared" ref="I344" si="327">F344-F343</f>
        <v>1</v>
      </c>
      <c r="J344" s="76">
        <f>SUMIF(I$2:I344,"&gt;0")</f>
        <v>1251</v>
      </c>
      <c r="K344" s="76">
        <f t="shared" ref="K344" si="328">IFERROR(J344 - _xlfn.XLOOKUP(A344-30, $A$2:$A$14999,J$2:J$14999,"",-1,2),NA())</f>
        <v>128</v>
      </c>
      <c r="L344" s="76">
        <f>SUMIF(E$2:E344,"&gt;0")</f>
        <v>506</v>
      </c>
      <c r="M344" s="76">
        <f t="shared" ref="M344" si="329">IFERROR(L344 - _xlfn.XLOOKUP(A344-30, $A$2:$A$14999,L$2:L$14999,"",-1,2),NA())</f>
        <v>90</v>
      </c>
      <c r="N344" s="74">
        <f t="shared" ref="N344" si="330">F344*120</f>
        <v>120</v>
      </c>
      <c r="O344" s="76">
        <f t="shared" ref="O344" si="331">N344-N343</f>
        <v>120</v>
      </c>
    </row>
    <row r="345" spans="1:15" x14ac:dyDescent="0.25">
      <c r="A345" s="77">
        <v>44475.90625</v>
      </c>
      <c r="C345" s="74">
        <v>1</v>
      </c>
      <c r="D345" s="74">
        <v>0</v>
      </c>
      <c r="E345" s="431">
        <v>10</v>
      </c>
      <c r="F345" s="150">
        <f t="shared" si="324"/>
        <v>11</v>
      </c>
      <c r="G345" s="76">
        <f t="shared" ref="G345" si="332">C345-C344</f>
        <v>0</v>
      </c>
      <c r="H345" s="76">
        <f t="shared" ref="H345" si="333">D345-D344</f>
        <v>0</v>
      </c>
      <c r="I345" s="76">
        <f t="shared" ref="I345" si="334">F345-F344</f>
        <v>10</v>
      </c>
      <c r="J345" s="76">
        <f>SUMIF(I$2:I345,"&gt;0")</f>
        <v>1261</v>
      </c>
      <c r="K345" s="76">
        <f t="shared" ref="K345" si="335">IFERROR(J345 - _xlfn.XLOOKUP(A345-30, $A$2:$A$14999,J$2:J$14999,"",-1,2),NA())</f>
        <v>138</v>
      </c>
      <c r="L345" s="76">
        <f>SUMIF(E$2:E345,"&gt;0")</f>
        <v>516</v>
      </c>
      <c r="M345" s="76">
        <f t="shared" ref="M345" si="336">IFERROR(L345 - _xlfn.XLOOKUP(A345-30, $A$2:$A$14999,L$2:L$14999,"",-1,2),NA())</f>
        <v>100</v>
      </c>
      <c r="N345" s="74">
        <f t="shared" ref="N345" si="337">F345*120</f>
        <v>1320</v>
      </c>
      <c r="O345" s="76">
        <f t="shared" ref="O345" si="338">N345-N344</f>
        <v>1200</v>
      </c>
    </row>
    <row r="346" spans="1:15" x14ac:dyDescent="0.25">
      <c r="A346" s="77">
        <v>44476.90625</v>
      </c>
      <c r="C346" s="74">
        <v>2</v>
      </c>
      <c r="D346" s="74">
        <v>0</v>
      </c>
      <c r="E346" s="431">
        <v>10</v>
      </c>
      <c r="F346" s="150">
        <f t="shared" si="324"/>
        <v>12</v>
      </c>
      <c r="G346" s="76">
        <f t="shared" ref="G346" si="339">C346-C345</f>
        <v>1</v>
      </c>
      <c r="H346" s="76">
        <f t="shared" ref="H346" si="340">D346-D345</f>
        <v>0</v>
      </c>
      <c r="I346" s="76">
        <f t="shared" ref="I346" si="341">F346-F345</f>
        <v>1</v>
      </c>
      <c r="J346" s="76">
        <f>SUMIF(I$2:I346,"&gt;0")</f>
        <v>1262</v>
      </c>
      <c r="K346" s="76">
        <f t="shared" ref="K346" si="342">IFERROR(J346 - _xlfn.XLOOKUP(A346-30, $A$2:$A$14999,J$2:J$14999,"",-1,2),NA())</f>
        <v>139</v>
      </c>
      <c r="L346" s="76">
        <f>SUMIF(E$2:E346,"&gt;0")</f>
        <v>526</v>
      </c>
      <c r="M346" s="76">
        <f t="shared" ref="M346" si="343">IFERROR(L346 - _xlfn.XLOOKUP(A346-30, $A$2:$A$14999,L$2:L$14999,"",-1,2),NA())</f>
        <v>110</v>
      </c>
      <c r="N346" s="74">
        <f t="shared" ref="N346" si="344">F346*120</f>
        <v>1440</v>
      </c>
      <c r="O346" s="76">
        <f t="shared" ref="O346" si="345">N346-N345</f>
        <v>120</v>
      </c>
    </row>
    <row r="347" spans="1:15" x14ac:dyDescent="0.25">
      <c r="A347" s="77">
        <v>44477.90625</v>
      </c>
      <c r="C347" s="74">
        <v>3</v>
      </c>
      <c r="D347" s="74">
        <v>0</v>
      </c>
      <c r="E347" s="431">
        <v>10</v>
      </c>
      <c r="F347" s="150">
        <f t="shared" si="324"/>
        <v>13</v>
      </c>
      <c r="G347" s="76">
        <f t="shared" ref="G347" si="346">C347-C346</f>
        <v>1</v>
      </c>
      <c r="H347" s="76">
        <f t="shared" ref="H347" si="347">D347-D346</f>
        <v>0</v>
      </c>
      <c r="I347" s="76">
        <f t="shared" ref="I347" si="348">F347-F346</f>
        <v>1</v>
      </c>
      <c r="J347" s="76">
        <f>SUMIF(I$2:I347,"&gt;0")</f>
        <v>1263</v>
      </c>
      <c r="K347" s="76">
        <f t="shared" ref="K347" si="349">IFERROR(J347 - _xlfn.XLOOKUP(A347-30, $A$2:$A$14999,J$2:J$14999,"",-1,2),NA())</f>
        <v>140</v>
      </c>
      <c r="L347" s="76">
        <f>SUMIF(E$2:E347,"&gt;0")</f>
        <v>536</v>
      </c>
      <c r="M347" s="76">
        <f t="shared" ref="M347" si="350">IFERROR(L347 - _xlfn.XLOOKUP(A347-30, $A$2:$A$14999,L$2:L$14999,"",-1,2),NA())</f>
        <v>120</v>
      </c>
      <c r="N347" s="74">
        <f t="shared" ref="N347" si="351">F347*120</f>
        <v>1560</v>
      </c>
      <c r="O347" s="76">
        <f t="shared" ref="O347" si="352">N347-N346</f>
        <v>120</v>
      </c>
    </row>
    <row r="348" spans="1:15" x14ac:dyDescent="0.25">
      <c r="A348" s="77">
        <v>44478.90625</v>
      </c>
      <c r="C348" s="74">
        <v>4</v>
      </c>
      <c r="D348" s="74">
        <v>0</v>
      </c>
      <c r="E348" s="431">
        <v>10</v>
      </c>
      <c r="F348" s="150">
        <f t="shared" ref="F348:F349" si="353">C348+D348*10+_xlfn.IFNA(E348,0)</f>
        <v>14</v>
      </c>
      <c r="G348" s="76">
        <f t="shared" ref="G348" si="354">C348-C347</f>
        <v>1</v>
      </c>
      <c r="H348" s="76">
        <f t="shared" ref="H348" si="355">D348-D347</f>
        <v>0</v>
      </c>
      <c r="I348" s="76">
        <f t="shared" ref="I348" si="356">F348-F347</f>
        <v>1</v>
      </c>
      <c r="J348" s="76">
        <f>SUMIF(I$2:I348,"&gt;0")</f>
        <v>1264</v>
      </c>
      <c r="K348" s="76">
        <f t="shared" ref="K348" si="357">IFERROR(J348 - _xlfn.XLOOKUP(A348-30, $A$2:$A$14999,J$2:J$14999,"",-1,2),NA())</f>
        <v>141</v>
      </c>
      <c r="L348" s="76">
        <f>SUMIF(E$2:E348,"&gt;0")</f>
        <v>546</v>
      </c>
      <c r="M348" s="76">
        <f t="shared" ref="M348" si="358">IFERROR(L348 - _xlfn.XLOOKUP(A348-30, $A$2:$A$14999,L$2:L$14999,"",-1,2),NA())</f>
        <v>130</v>
      </c>
      <c r="N348" s="74">
        <f t="shared" ref="N348" si="359">F348*120</f>
        <v>1680</v>
      </c>
      <c r="O348" s="76">
        <f t="shared" ref="O348" si="360">N348-N347</f>
        <v>120</v>
      </c>
    </row>
    <row r="349" spans="1:15" x14ac:dyDescent="0.25">
      <c r="A349" s="77">
        <v>44479.897222222222</v>
      </c>
      <c r="C349" s="74">
        <v>6</v>
      </c>
      <c r="D349" s="74">
        <v>0</v>
      </c>
      <c r="E349" s="431">
        <v>10</v>
      </c>
      <c r="F349" s="150">
        <f t="shared" si="353"/>
        <v>16</v>
      </c>
      <c r="G349" s="76">
        <f t="shared" ref="G349" si="361">C349-C348</f>
        <v>2</v>
      </c>
      <c r="H349" s="76">
        <f t="shared" ref="H349" si="362">D349-D348</f>
        <v>0</v>
      </c>
      <c r="I349" s="76">
        <f t="shared" ref="I349" si="363">F349-F348</f>
        <v>2</v>
      </c>
      <c r="J349" s="76">
        <f>SUMIF(I$2:I349,"&gt;0")</f>
        <v>1266</v>
      </c>
      <c r="K349" s="76">
        <f t="shared" ref="K349" si="364">IFERROR(J349 - _xlfn.XLOOKUP(A349-30, $A$2:$A$14999,J$2:J$14999,"",-1,2),NA())</f>
        <v>141</v>
      </c>
      <c r="L349" s="76">
        <f>SUMIF(E$2:E349,"&gt;0")</f>
        <v>556</v>
      </c>
      <c r="M349" s="76">
        <f t="shared" ref="M349" si="365">IFERROR(L349 - _xlfn.XLOOKUP(A349-30, $A$2:$A$14999,L$2:L$14999,"",-1,2),NA())</f>
        <v>140</v>
      </c>
      <c r="N349" s="74">
        <f t="shared" ref="N349" si="366">F349*120</f>
        <v>1920</v>
      </c>
      <c r="O349" s="76">
        <f t="shared" ref="O349" si="367">N349-N348</f>
        <v>240</v>
      </c>
    </row>
    <row r="350" spans="1:15" x14ac:dyDescent="0.25">
      <c r="A350" s="77">
        <v>44480.813194444447</v>
      </c>
      <c r="C350" s="74">
        <v>7</v>
      </c>
      <c r="D350" s="74">
        <v>0</v>
      </c>
      <c r="E350" s="431">
        <v>10</v>
      </c>
      <c r="F350" s="150">
        <f t="shared" ref="F350" si="368">C350+D350*10+_xlfn.IFNA(E350,0)</f>
        <v>17</v>
      </c>
      <c r="G350" s="76">
        <f t="shared" ref="G350" si="369">C350-C349</f>
        <v>1</v>
      </c>
      <c r="H350" s="76">
        <f t="shared" ref="H350" si="370">D350-D349</f>
        <v>0</v>
      </c>
      <c r="I350" s="76">
        <f t="shared" ref="I350" si="371">F350-F349</f>
        <v>1</v>
      </c>
      <c r="J350" s="76">
        <f>SUMIF(I$2:I350,"&gt;0")</f>
        <v>1267</v>
      </c>
      <c r="K350" s="76">
        <f t="shared" ref="K350" si="372">IFERROR(J350 - _xlfn.XLOOKUP(A350-30, $A$2:$A$14999,J$2:J$14999,"",-1,2),NA())</f>
        <v>142</v>
      </c>
      <c r="L350" s="76">
        <f>SUMIF(E$2:E350,"&gt;0")</f>
        <v>566</v>
      </c>
      <c r="M350" s="76">
        <f t="shared" ref="M350" si="373">IFERROR(L350 - _xlfn.XLOOKUP(A350-30, $A$2:$A$14999,L$2:L$14999,"",-1,2),NA())</f>
        <v>150</v>
      </c>
      <c r="N350" s="74">
        <f t="shared" ref="N350" si="374">F350*120</f>
        <v>2040</v>
      </c>
      <c r="O350" s="76">
        <f t="shared" ref="O350" si="375">N350-N349</f>
        <v>120</v>
      </c>
    </row>
    <row r="351" spans="1:15" x14ac:dyDescent="0.25">
      <c r="A351" s="77">
        <v>44481.76458333333</v>
      </c>
      <c r="C351" s="74">
        <v>8</v>
      </c>
      <c r="D351" s="74">
        <v>0</v>
      </c>
      <c r="E351" s="431">
        <v>10</v>
      </c>
      <c r="F351" s="150">
        <f t="shared" ref="F351" si="376">C351+D351*10+_xlfn.IFNA(E351,0)</f>
        <v>18</v>
      </c>
      <c r="G351" s="76">
        <f t="shared" ref="G351" si="377">C351-C350</f>
        <v>1</v>
      </c>
      <c r="H351" s="76">
        <f t="shared" ref="H351" si="378">D351-D350</f>
        <v>0</v>
      </c>
      <c r="I351" s="76">
        <f t="shared" ref="I351" si="379">F351-F350</f>
        <v>1</v>
      </c>
      <c r="J351" s="76">
        <f>SUMIF(I$2:I351,"&gt;0")</f>
        <v>1268</v>
      </c>
      <c r="K351" s="76">
        <f t="shared" ref="K351" si="380">IFERROR(J351 - _xlfn.XLOOKUP(A351-30, $A$2:$A$14999,J$2:J$14999,"",-1,2),NA())</f>
        <v>141</v>
      </c>
      <c r="L351" s="76">
        <f>SUMIF(E$2:E351,"&gt;0")</f>
        <v>576</v>
      </c>
      <c r="M351" s="76">
        <f t="shared" ref="M351" si="381">IFERROR(L351 - _xlfn.XLOOKUP(A351-30, $A$2:$A$14999,L$2:L$14999,"",-1,2),NA())</f>
        <v>160</v>
      </c>
      <c r="N351" s="74">
        <f t="shared" ref="N351" si="382">F351*120</f>
        <v>2160</v>
      </c>
      <c r="O351" s="76">
        <f t="shared" ref="O351" si="383">N351-N350</f>
        <v>120</v>
      </c>
    </row>
    <row r="352" spans="1:15" x14ac:dyDescent="0.25">
      <c r="A352" s="77">
        <v>44482.463194444441</v>
      </c>
      <c r="C352" s="74">
        <v>16</v>
      </c>
      <c r="D352" s="74">
        <v>1</v>
      </c>
      <c r="E352" s="431">
        <v>10</v>
      </c>
      <c r="F352" s="150">
        <f t="shared" ref="F352" si="384">C352+D352*10+_xlfn.IFNA(E352,0)</f>
        <v>36</v>
      </c>
      <c r="G352" s="76">
        <f t="shared" ref="G352" si="385">C352-C351</f>
        <v>8</v>
      </c>
      <c r="H352" s="76">
        <f t="shared" ref="H352" si="386">D352-D351</f>
        <v>1</v>
      </c>
      <c r="I352" s="76">
        <f t="shared" ref="I352" si="387">F352-F351</f>
        <v>18</v>
      </c>
      <c r="J352" s="76">
        <f>SUMIF(I$2:I352,"&gt;0")</f>
        <v>1286</v>
      </c>
      <c r="K352" s="76">
        <f t="shared" ref="K352" si="388">IFERROR(J352 - _xlfn.XLOOKUP(A352-30, $A$2:$A$14999,J$2:J$14999,"",-1,2),NA())</f>
        <v>159</v>
      </c>
      <c r="L352" s="76">
        <f>SUMIF(E$2:E352,"&gt;0")</f>
        <v>586</v>
      </c>
      <c r="M352" s="76">
        <f t="shared" ref="M352" si="389">IFERROR(L352 - _xlfn.XLOOKUP(A352-30, $A$2:$A$14999,L$2:L$14999,"",-1,2),NA())</f>
        <v>170</v>
      </c>
      <c r="N352" s="74">
        <f t="shared" ref="N352" si="390">F352*120</f>
        <v>4320</v>
      </c>
      <c r="O352" s="76">
        <f t="shared" ref="O352" si="391">N352-N351</f>
        <v>2160</v>
      </c>
    </row>
    <row r="353" spans="1:15" x14ac:dyDescent="0.25">
      <c r="A353" s="77">
        <v>44483.835416666669</v>
      </c>
      <c r="C353" s="74">
        <v>22</v>
      </c>
      <c r="D353" s="74">
        <v>1</v>
      </c>
      <c r="E353" s="431">
        <v>10</v>
      </c>
      <c r="F353" s="150">
        <f t="shared" ref="F353:F354" si="392">C353+D353*10+_xlfn.IFNA(E353,0)</f>
        <v>42</v>
      </c>
      <c r="G353" s="76">
        <f t="shared" ref="G353" si="393">C353-C352</f>
        <v>6</v>
      </c>
      <c r="H353" s="76">
        <f t="shared" ref="H353" si="394">D353-D352</f>
        <v>0</v>
      </c>
      <c r="I353" s="76">
        <f t="shared" ref="I353" si="395">F353-F352</f>
        <v>6</v>
      </c>
      <c r="J353" s="76">
        <f>SUMIF(I$2:I353,"&gt;0")</f>
        <v>1292</v>
      </c>
      <c r="K353" s="76">
        <f t="shared" ref="K353" si="396">IFERROR(J353 - _xlfn.XLOOKUP(A353-30, $A$2:$A$14999,J$2:J$14999,"",-1,2),NA())</f>
        <v>163</v>
      </c>
      <c r="L353" s="76">
        <f>SUMIF(E$2:E353,"&gt;0")</f>
        <v>596</v>
      </c>
      <c r="M353" s="76">
        <f t="shared" ref="M353" si="397">IFERROR(L353 - _xlfn.XLOOKUP(A353-30, $A$2:$A$14999,L$2:L$14999,"",-1,2),NA())</f>
        <v>180</v>
      </c>
      <c r="N353" s="74">
        <f t="shared" ref="N353" si="398">F353*120</f>
        <v>5040</v>
      </c>
      <c r="O353" s="76">
        <f t="shared" ref="O353" si="399">N353-N352</f>
        <v>720</v>
      </c>
    </row>
    <row r="354" spans="1:15" x14ac:dyDescent="0.25">
      <c r="A354" s="77">
        <v>44484.0625</v>
      </c>
      <c r="B354" s="21" t="s">
        <v>501</v>
      </c>
      <c r="C354" s="74">
        <v>0</v>
      </c>
      <c r="D354" s="74">
        <v>0</v>
      </c>
      <c r="E354" s="431">
        <v>10</v>
      </c>
      <c r="F354" s="150">
        <f t="shared" si="392"/>
        <v>10</v>
      </c>
      <c r="G354" s="76">
        <f t="shared" ref="G354" si="400">C354-C353</f>
        <v>-22</v>
      </c>
      <c r="H354" s="76">
        <f t="shared" ref="H354" si="401">D354-D353</f>
        <v>-1</v>
      </c>
      <c r="I354" s="76">
        <f t="shared" ref="I354" si="402">F354-F353</f>
        <v>-32</v>
      </c>
      <c r="J354" s="76">
        <f>SUMIF(I$2:I354,"&gt;0")</f>
        <v>1292</v>
      </c>
      <c r="K354" s="76">
        <f t="shared" ref="K354" si="403">IFERROR(J354 - _xlfn.XLOOKUP(A354-30, $A$2:$A$14999,J$2:J$14999,"",-1,2),NA())</f>
        <v>163</v>
      </c>
      <c r="L354" s="76">
        <f>SUMIF(E$2:E354,"&gt;0")</f>
        <v>606</v>
      </c>
      <c r="M354" s="76">
        <f t="shared" ref="M354" si="404">IFERROR(L354 - _xlfn.XLOOKUP(A354-30, $A$2:$A$14999,L$2:L$14999,"",-1,2),NA())</f>
        <v>190</v>
      </c>
      <c r="N354" s="74">
        <f t="shared" ref="N354" si="405">F354*120</f>
        <v>1200</v>
      </c>
      <c r="O354" s="76">
        <f t="shared" ref="O354" si="406">N354-N353</f>
        <v>-3840</v>
      </c>
    </row>
    <row r="355" spans="1:15" x14ac:dyDescent="0.25">
      <c r="A355" s="77">
        <v>44484.583333333336</v>
      </c>
      <c r="C355" s="74">
        <v>4</v>
      </c>
      <c r="D355" s="74">
        <v>0</v>
      </c>
      <c r="E355" s="431">
        <v>10</v>
      </c>
      <c r="F355" s="150">
        <f t="shared" ref="F355" si="407">C355+D355*10+_xlfn.IFNA(E355,0)</f>
        <v>14</v>
      </c>
      <c r="G355" s="76">
        <f t="shared" ref="G355" si="408">C355-C354</f>
        <v>4</v>
      </c>
      <c r="H355" s="76">
        <f t="shared" ref="H355" si="409">D355-D354</f>
        <v>0</v>
      </c>
      <c r="I355" s="76">
        <f t="shared" ref="I355" si="410">F355-F354</f>
        <v>4</v>
      </c>
      <c r="J355" s="76">
        <f>SUMIF(I$2:I355,"&gt;0")</f>
        <v>1296</v>
      </c>
      <c r="K355" s="76">
        <f t="shared" ref="K355" si="411">IFERROR(J355 - _xlfn.XLOOKUP(A355-30, $A$2:$A$14999,J$2:J$14999,"",-1,2),NA())</f>
        <v>161</v>
      </c>
      <c r="L355" s="76">
        <f>SUMIF(E$2:E355,"&gt;0")</f>
        <v>616</v>
      </c>
      <c r="M355" s="76">
        <f t="shared" ref="M355" si="412">IFERROR(L355 - _xlfn.XLOOKUP(A355-30, $A$2:$A$14999,L$2:L$14999,"",-1,2),NA())</f>
        <v>200</v>
      </c>
      <c r="N355" s="74">
        <f t="shared" ref="N355" si="413">F355*120</f>
        <v>1680</v>
      </c>
      <c r="O355" s="76">
        <f t="shared" ref="O355" si="414">N355-N354</f>
        <v>480</v>
      </c>
    </row>
    <row r="356" spans="1:15" x14ac:dyDescent="0.25">
      <c r="A356" s="77">
        <v>44485.474999999999</v>
      </c>
      <c r="C356" s="74">
        <v>5</v>
      </c>
      <c r="D356" s="74">
        <v>0</v>
      </c>
      <c r="E356" s="431">
        <v>10</v>
      </c>
      <c r="F356" s="150">
        <f t="shared" ref="F356" si="415">C356+D356*10+_xlfn.IFNA(E356,0)</f>
        <v>15</v>
      </c>
      <c r="G356" s="76">
        <f t="shared" ref="G356" si="416">C356-C355</f>
        <v>1</v>
      </c>
      <c r="H356" s="76">
        <f t="shared" ref="H356" si="417">D356-D355</f>
        <v>0</v>
      </c>
      <c r="I356" s="76">
        <f t="shared" ref="I356" si="418">F356-F355</f>
        <v>1</v>
      </c>
      <c r="J356" s="76">
        <f>SUMIF(I$2:I356,"&gt;0")</f>
        <v>1297</v>
      </c>
      <c r="K356" s="76">
        <f t="shared" ref="K356" si="419">IFERROR(J356 - _xlfn.XLOOKUP(A356-30, $A$2:$A$14999,J$2:J$14999,"",-1,2),NA())</f>
        <v>162</v>
      </c>
      <c r="L356" s="76">
        <f>SUMIF(E$2:E356,"&gt;0")</f>
        <v>626</v>
      </c>
      <c r="M356" s="76">
        <f t="shared" ref="M356" si="420">IFERROR(L356 - _xlfn.XLOOKUP(A356-30, $A$2:$A$14999,L$2:L$14999,"",-1,2),NA())</f>
        <v>210</v>
      </c>
      <c r="N356" s="74">
        <f t="shared" ref="N356" si="421">F356*120</f>
        <v>1800</v>
      </c>
      <c r="O356" s="76">
        <f t="shared" ref="O356" si="422">N356-N355</f>
        <v>120</v>
      </c>
    </row>
    <row r="357" spans="1:15" x14ac:dyDescent="0.25">
      <c r="A357" s="77">
        <v>44486.304166666669</v>
      </c>
      <c r="C357" s="74">
        <v>6</v>
      </c>
      <c r="D357" s="74">
        <v>0</v>
      </c>
      <c r="E357" s="431">
        <v>10</v>
      </c>
      <c r="F357" s="150">
        <f t="shared" ref="F357" si="423">C357+D357*10+_xlfn.IFNA(E357,0)</f>
        <v>16</v>
      </c>
      <c r="G357" s="76">
        <f t="shared" ref="G357" si="424">C357-C356</f>
        <v>1</v>
      </c>
      <c r="H357" s="76">
        <f t="shared" ref="H357" si="425">D357-D356</f>
        <v>0</v>
      </c>
      <c r="I357" s="76">
        <f t="shared" ref="I357" si="426">F357-F356</f>
        <v>1</v>
      </c>
      <c r="J357" s="76">
        <f>SUMIF(I$2:I357,"&gt;0")</f>
        <v>1298</v>
      </c>
      <c r="K357" s="76">
        <f t="shared" ref="K357" si="427">IFERROR(J357 - _xlfn.XLOOKUP(A357-30, $A$2:$A$14999,J$2:J$14999,"",-1,2),NA())</f>
        <v>163</v>
      </c>
      <c r="L357" s="76">
        <f>SUMIF(E$2:E357,"&gt;0")</f>
        <v>636</v>
      </c>
      <c r="M357" s="76">
        <f t="shared" ref="M357" si="428">IFERROR(L357 - _xlfn.XLOOKUP(A357-30, $A$2:$A$14999,L$2:L$14999,"",-1,2),NA())</f>
        <v>220</v>
      </c>
      <c r="N357" s="74">
        <f t="shared" ref="N357" si="429">F357*120</f>
        <v>1920</v>
      </c>
      <c r="O357" s="76">
        <f t="shared" ref="O357" si="430">N357-N356</f>
        <v>120</v>
      </c>
    </row>
    <row r="358" spans="1:15" x14ac:dyDescent="0.25">
      <c r="A358" s="77">
        <v>44487.734027777777</v>
      </c>
      <c r="C358" s="74">
        <v>7</v>
      </c>
      <c r="D358" s="74">
        <v>0</v>
      </c>
      <c r="E358" s="431">
        <v>10</v>
      </c>
      <c r="F358" s="150">
        <f t="shared" ref="F358" si="431">C358+D358*10+_xlfn.IFNA(E358,0)</f>
        <v>17</v>
      </c>
      <c r="G358" s="76">
        <f t="shared" ref="G358" si="432">C358-C357</f>
        <v>1</v>
      </c>
      <c r="H358" s="76">
        <f t="shared" ref="H358" si="433">D358-D357</f>
        <v>0</v>
      </c>
      <c r="I358" s="76">
        <f t="shared" ref="I358" si="434">F358-F357</f>
        <v>1</v>
      </c>
      <c r="J358" s="76">
        <f>SUMIF(I$2:I358,"&gt;0")</f>
        <v>1299</v>
      </c>
      <c r="K358" s="76">
        <f t="shared" ref="K358" si="435">IFERROR(J358 - _xlfn.XLOOKUP(A358-30, $A$2:$A$14999,J$2:J$14999,"",-1,2),NA())</f>
        <v>162</v>
      </c>
      <c r="L358" s="76">
        <f>SUMIF(E$2:E358,"&gt;0")</f>
        <v>646</v>
      </c>
      <c r="M358" s="76">
        <f t="shared" ref="M358" si="436">IFERROR(L358 - _xlfn.XLOOKUP(A358-30, $A$2:$A$14999,L$2:L$14999,"",-1,2),NA())</f>
        <v>230</v>
      </c>
      <c r="N358" s="74">
        <f t="shared" ref="N358" si="437">F358*120</f>
        <v>2040</v>
      </c>
      <c r="O358" s="76">
        <f t="shared" ref="O358" si="438">N358-N357</f>
        <v>120</v>
      </c>
    </row>
    <row r="359" spans="1:15" x14ac:dyDescent="0.25">
      <c r="A359" s="77">
        <v>44488.708333333336</v>
      </c>
      <c r="C359" s="74">
        <v>13</v>
      </c>
      <c r="D359" s="74">
        <v>0</v>
      </c>
      <c r="E359" s="431">
        <v>10</v>
      </c>
      <c r="F359" s="150">
        <f t="shared" ref="F359:F361" si="439">C359+D359*10+_xlfn.IFNA(E359,0)</f>
        <v>23</v>
      </c>
      <c r="G359" s="76">
        <f t="shared" ref="G359" si="440">C359-C358</f>
        <v>6</v>
      </c>
      <c r="H359" s="76">
        <f t="shared" ref="H359" si="441">D359-D358</f>
        <v>0</v>
      </c>
      <c r="I359" s="76">
        <f t="shared" ref="I359" si="442">F359-F358</f>
        <v>6</v>
      </c>
      <c r="J359" s="76">
        <f>SUMIF(I$2:I359,"&gt;0")</f>
        <v>1305</v>
      </c>
      <c r="K359" s="76">
        <f t="shared" ref="K359" si="443">IFERROR(J359 - _xlfn.XLOOKUP(A359-30, $A$2:$A$14999,J$2:J$14999,"",-1,2),NA())</f>
        <v>168</v>
      </c>
      <c r="L359" s="76">
        <f>SUMIF(E$2:E359,"&gt;0")</f>
        <v>656</v>
      </c>
      <c r="M359" s="76">
        <f t="shared" ref="M359" si="444">IFERROR(L359 - _xlfn.XLOOKUP(A359-30, $A$2:$A$14999,L$2:L$14999,"",-1,2),NA())</f>
        <v>240</v>
      </c>
      <c r="N359" s="74">
        <f t="shared" ref="N359" si="445">F359*120</f>
        <v>2760</v>
      </c>
      <c r="O359" s="76">
        <f t="shared" ref="O359" si="446">N359-N358</f>
        <v>720</v>
      </c>
    </row>
    <row r="360" spans="1:15" x14ac:dyDescent="0.25">
      <c r="A360" s="77">
        <v>44490.667361111111</v>
      </c>
      <c r="C360" s="74">
        <v>16</v>
      </c>
      <c r="D360" s="74">
        <v>0</v>
      </c>
      <c r="E360" s="431">
        <v>20</v>
      </c>
      <c r="F360" s="150">
        <f t="shared" si="439"/>
        <v>36</v>
      </c>
      <c r="G360" s="76">
        <f t="shared" ref="G360" si="447">C360-C359</f>
        <v>3</v>
      </c>
      <c r="H360" s="76">
        <f t="shared" ref="H360" si="448">D360-D359</f>
        <v>0</v>
      </c>
      <c r="I360" s="76">
        <f t="shared" ref="I360" si="449">F360-F359</f>
        <v>13</v>
      </c>
      <c r="J360" s="76">
        <f>SUMIF(I$2:I360,"&gt;0")</f>
        <v>1318</v>
      </c>
      <c r="K360" s="76">
        <f t="shared" ref="K360" si="450">IFERROR(J360 - _xlfn.XLOOKUP(A360-30, $A$2:$A$14999,J$2:J$14999,"",-1,2),NA())</f>
        <v>167</v>
      </c>
      <c r="L360" s="76">
        <f>SUMIF(E$2:E360,"&gt;0")</f>
        <v>676</v>
      </c>
      <c r="M360" s="76">
        <f t="shared" ref="M360" si="451">IFERROR(L360 - _xlfn.XLOOKUP(A360-30, $A$2:$A$14999,L$2:L$14999,"",-1,2),NA())</f>
        <v>260</v>
      </c>
      <c r="N360" s="74">
        <f t="shared" ref="N360" si="452">F360*120</f>
        <v>4320</v>
      </c>
      <c r="O360" s="76">
        <f t="shared" ref="O360" si="453">N360-N359</f>
        <v>1560</v>
      </c>
    </row>
    <row r="361" spans="1:15" x14ac:dyDescent="0.25">
      <c r="A361" s="77">
        <v>44491.955555555556</v>
      </c>
      <c r="C361" s="74">
        <v>17</v>
      </c>
      <c r="D361" s="74">
        <v>0</v>
      </c>
      <c r="E361" s="431">
        <v>10</v>
      </c>
      <c r="F361" s="150">
        <f t="shared" si="439"/>
        <v>27</v>
      </c>
      <c r="G361" s="76">
        <f t="shared" ref="G361" si="454">C361-C360</f>
        <v>1</v>
      </c>
      <c r="H361" s="76">
        <f t="shared" ref="H361" si="455">D361-D360</f>
        <v>0</v>
      </c>
      <c r="I361" s="76">
        <f t="shared" ref="I361" si="456">F361-F360</f>
        <v>-9</v>
      </c>
      <c r="J361" s="76">
        <f>SUMIF(I$2:I361,"&gt;0")</f>
        <v>1318</v>
      </c>
      <c r="K361" s="76">
        <f t="shared" ref="K361" si="457">IFERROR(J361 - _xlfn.XLOOKUP(A361-30, $A$2:$A$14999,J$2:J$14999,"",-1,2),NA())</f>
        <v>164</v>
      </c>
      <c r="L361" s="76">
        <f>SUMIF(E$2:E361,"&gt;0")</f>
        <v>686</v>
      </c>
      <c r="M361" s="76">
        <f t="shared" ref="M361" si="458">IFERROR(L361 - _xlfn.XLOOKUP(A361-30, $A$2:$A$14999,L$2:L$14999,"",-1,2),NA())</f>
        <v>270</v>
      </c>
      <c r="N361" s="74">
        <f t="shared" ref="N361" si="459">F361*120</f>
        <v>3240</v>
      </c>
      <c r="O361" s="76">
        <f t="shared" ref="O361" si="460">N361-N360</f>
        <v>-1080</v>
      </c>
    </row>
    <row r="362" spans="1:15" x14ac:dyDescent="0.25">
      <c r="A362" s="77">
        <v>44492.913888888892</v>
      </c>
      <c r="C362" s="74">
        <v>18</v>
      </c>
      <c r="D362" s="74">
        <v>0</v>
      </c>
      <c r="E362" s="431">
        <v>10</v>
      </c>
      <c r="F362" s="150">
        <f t="shared" ref="F362:F363" si="461">C362+D362*10+_xlfn.IFNA(E362,0)</f>
        <v>28</v>
      </c>
      <c r="G362" s="76">
        <f t="shared" ref="G362" si="462">C362-C361</f>
        <v>1</v>
      </c>
      <c r="H362" s="76">
        <f t="shared" ref="H362" si="463">D362-D361</f>
        <v>0</v>
      </c>
      <c r="I362" s="76">
        <f t="shared" ref="I362" si="464">F362-F361</f>
        <v>1</v>
      </c>
      <c r="J362" s="76">
        <f>SUMIF(I$2:I362,"&gt;0")</f>
        <v>1319</v>
      </c>
      <c r="K362" s="76">
        <f t="shared" ref="K362" si="465">IFERROR(J362 - _xlfn.XLOOKUP(A362-30, $A$2:$A$14999,J$2:J$14999,"",-1,2),NA())</f>
        <v>165</v>
      </c>
      <c r="L362" s="76">
        <f>SUMIF(E$2:E362,"&gt;0")</f>
        <v>696</v>
      </c>
      <c r="M362" s="76">
        <f t="shared" ref="M362" si="466">IFERROR(L362 - _xlfn.XLOOKUP(A362-30, $A$2:$A$14999,L$2:L$14999,"",-1,2),NA())</f>
        <v>280</v>
      </c>
      <c r="N362" s="74">
        <f t="shared" ref="N362" si="467">F362*120</f>
        <v>3360</v>
      </c>
      <c r="O362" s="76">
        <f t="shared" ref="O362" si="468">N362-N361</f>
        <v>120</v>
      </c>
    </row>
    <row r="363" spans="1:15" x14ac:dyDescent="0.25">
      <c r="A363" s="77">
        <v>44493.955555555556</v>
      </c>
      <c r="C363" s="74">
        <v>19</v>
      </c>
      <c r="D363" s="74">
        <v>0</v>
      </c>
      <c r="E363" s="431">
        <v>10</v>
      </c>
      <c r="F363" s="150">
        <f t="shared" si="461"/>
        <v>29</v>
      </c>
      <c r="G363" s="76">
        <f t="shared" ref="G363" si="469">C363-C362</f>
        <v>1</v>
      </c>
      <c r="H363" s="76">
        <f t="shared" ref="H363" si="470">D363-D362</f>
        <v>0</v>
      </c>
      <c r="I363" s="76">
        <f t="shared" ref="I363" si="471">F363-F362</f>
        <v>1</v>
      </c>
      <c r="J363" s="76">
        <f>SUMIF(I$2:I363,"&gt;0")</f>
        <v>1320</v>
      </c>
      <c r="K363" s="76">
        <f t="shared" ref="K363" si="472">IFERROR(J363 - _xlfn.XLOOKUP(A363-30, $A$2:$A$14999,J$2:J$14999,"",-1,2),NA())</f>
        <v>160</v>
      </c>
      <c r="L363" s="76">
        <f>SUMIF(E$2:E363,"&gt;0")</f>
        <v>706</v>
      </c>
      <c r="M363" s="76">
        <f t="shared" ref="M363" si="473">IFERROR(L363 - _xlfn.XLOOKUP(A363-30, $A$2:$A$14999,L$2:L$14999,"",-1,2),NA())</f>
        <v>290</v>
      </c>
      <c r="N363" s="74">
        <f t="shared" ref="N363" si="474">F363*120</f>
        <v>3480</v>
      </c>
      <c r="O363" s="76">
        <f t="shared" ref="O363" si="475">N363-N362</f>
        <v>120</v>
      </c>
    </row>
    <row r="364" spans="1:15" x14ac:dyDescent="0.25">
      <c r="A364" s="77">
        <v>44495.95</v>
      </c>
      <c r="C364" s="74">
        <v>20</v>
      </c>
      <c r="D364" s="74">
        <v>0</v>
      </c>
      <c r="E364" s="431">
        <v>20</v>
      </c>
      <c r="F364" s="150">
        <f t="shared" ref="F364:F366" si="476">C364+D364*10+_xlfn.IFNA(E364,0)</f>
        <v>40</v>
      </c>
      <c r="G364" s="76">
        <f t="shared" ref="G364" si="477">C364-C363</f>
        <v>1</v>
      </c>
      <c r="H364" s="76">
        <f t="shared" ref="H364" si="478">D364-D363</f>
        <v>0</v>
      </c>
      <c r="I364" s="76">
        <f t="shared" ref="I364" si="479">F364-F363</f>
        <v>11</v>
      </c>
      <c r="J364" s="76">
        <f>SUMIF(I$2:I364,"&gt;0")</f>
        <v>1331</v>
      </c>
      <c r="K364" s="76">
        <f t="shared" ref="K364" si="480">IFERROR(J364 - _xlfn.XLOOKUP(A364-30, $A$2:$A$14999,J$2:J$14999,"",-1,2),NA())</f>
        <v>171</v>
      </c>
      <c r="L364" s="76">
        <f>SUMIF(E$2:E364,"&gt;0")</f>
        <v>726</v>
      </c>
      <c r="M364" s="76">
        <f t="shared" ref="M364" si="481">IFERROR(L364 - _xlfn.XLOOKUP(A364-30, $A$2:$A$14999,L$2:L$14999,"",-1,2),NA())</f>
        <v>310</v>
      </c>
      <c r="N364" s="74">
        <f t="shared" ref="N364" si="482">F364*120</f>
        <v>4800</v>
      </c>
      <c r="O364" s="76">
        <f t="shared" ref="O364" si="483">N364-N363</f>
        <v>1320</v>
      </c>
    </row>
    <row r="365" spans="1:15" x14ac:dyDescent="0.25">
      <c r="A365" s="77">
        <v>44496.986805555556</v>
      </c>
      <c r="C365" s="74">
        <v>20</v>
      </c>
      <c r="D365" s="74">
        <v>0</v>
      </c>
      <c r="E365" s="431">
        <v>10</v>
      </c>
      <c r="F365" s="150">
        <f t="shared" si="476"/>
        <v>30</v>
      </c>
      <c r="G365" s="76">
        <f t="shared" ref="G365" si="484">C365-C364</f>
        <v>0</v>
      </c>
      <c r="H365" s="76">
        <f t="shared" ref="H365" si="485">D365-D364</f>
        <v>0</v>
      </c>
      <c r="I365" s="76">
        <f t="shared" ref="I365" si="486">F365-F364</f>
        <v>-10</v>
      </c>
      <c r="J365" s="76">
        <f>SUMIF(I$2:I365,"&gt;0")</f>
        <v>1331</v>
      </c>
      <c r="K365" s="76">
        <f t="shared" ref="K365" si="487">IFERROR(J365 - _xlfn.XLOOKUP(A365-30, $A$2:$A$14999,J$2:J$14999,"",-1,2),NA())</f>
        <v>127</v>
      </c>
      <c r="L365" s="76">
        <f>SUMIF(E$2:E365,"&gt;0")</f>
        <v>736</v>
      </c>
      <c r="M365" s="76">
        <f t="shared" ref="M365" si="488">IFERROR(L365 - _xlfn.XLOOKUP(A365-30, $A$2:$A$14999,L$2:L$14999,"",-1,2),NA())</f>
        <v>310</v>
      </c>
      <c r="N365" s="74">
        <f t="shared" ref="N365" si="489">F365*120</f>
        <v>3600</v>
      </c>
      <c r="O365" s="76">
        <f t="shared" ref="O365" si="490">N365-N364</f>
        <v>-1200</v>
      </c>
    </row>
    <row r="366" spans="1:15" x14ac:dyDescent="0.25">
      <c r="A366" s="77">
        <v>44497.978472222225</v>
      </c>
      <c r="C366" s="74">
        <v>25</v>
      </c>
      <c r="D366" s="74">
        <v>1</v>
      </c>
      <c r="E366" s="431">
        <v>10</v>
      </c>
      <c r="F366" s="150">
        <f t="shared" si="476"/>
        <v>45</v>
      </c>
      <c r="G366" s="76">
        <f t="shared" ref="G366" si="491">C366-C365</f>
        <v>5</v>
      </c>
      <c r="H366" s="76">
        <f t="shared" ref="H366" si="492">D366-D365</f>
        <v>1</v>
      </c>
      <c r="I366" s="76">
        <f t="shared" ref="I366" si="493">F366-F365</f>
        <v>15</v>
      </c>
      <c r="J366" s="76">
        <f>SUMIF(I$2:I366,"&gt;0")</f>
        <v>1346</v>
      </c>
      <c r="K366" s="76">
        <f t="shared" ref="K366" si="494">IFERROR(J366 - _xlfn.XLOOKUP(A366-30, $A$2:$A$14999,J$2:J$14999,"",-1,2),NA())</f>
        <v>142</v>
      </c>
      <c r="L366" s="76">
        <f>SUMIF(E$2:E366,"&gt;0")</f>
        <v>746</v>
      </c>
      <c r="M366" s="76">
        <f t="shared" ref="M366" si="495">IFERROR(L366 - _xlfn.XLOOKUP(A366-30, $A$2:$A$14999,L$2:L$14999,"",-1,2),NA())</f>
        <v>310</v>
      </c>
      <c r="N366" s="74">
        <f t="shared" ref="N366" si="496">F366*120</f>
        <v>5400</v>
      </c>
      <c r="O366" s="76">
        <f t="shared" ref="O366" si="497">N366-N365</f>
        <v>1800</v>
      </c>
    </row>
    <row r="367" spans="1:15" x14ac:dyDescent="0.25">
      <c r="A367" s="77">
        <v>44498.916666666664</v>
      </c>
      <c r="C367" s="74">
        <v>25</v>
      </c>
      <c r="D367" s="74">
        <v>0</v>
      </c>
      <c r="E367" s="431">
        <v>10</v>
      </c>
      <c r="F367" s="150">
        <f t="shared" ref="F367:F369" si="498">C367+D367*10+_xlfn.IFNA(E367,0)</f>
        <v>35</v>
      </c>
      <c r="G367" s="76">
        <f t="shared" ref="G367" si="499">C367-C366</f>
        <v>0</v>
      </c>
      <c r="H367" s="76">
        <f t="shared" ref="H367" si="500">D367-D366</f>
        <v>-1</v>
      </c>
      <c r="I367" s="76">
        <f t="shared" ref="I367" si="501">F367-F366</f>
        <v>-10</v>
      </c>
      <c r="J367" s="76">
        <f>SUMIF(I$2:I367,"&gt;0")</f>
        <v>1346</v>
      </c>
      <c r="K367" s="76">
        <f t="shared" ref="K367" si="502">IFERROR(J367 - _xlfn.XLOOKUP(A367-30, $A$2:$A$14999,J$2:J$14999,"",-1,2),NA())</f>
        <v>142</v>
      </c>
      <c r="L367" s="76">
        <f>SUMIF(E$2:E367,"&gt;0")</f>
        <v>756</v>
      </c>
      <c r="M367" s="76">
        <f t="shared" ref="M367" si="503">IFERROR(L367 - _xlfn.XLOOKUP(A367-30, $A$2:$A$14999,L$2:L$14999,"",-1,2),NA())</f>
        <v>320</v>
      </c>
      <c r="N367" s="74">
        <f t="shared" ref="N367" si="504">F367*120</f>
        <v>4200</v>
      </c>
      <c r="O367" s="76">
        <f t="shared" ref="O367" si="505">N367-N366</f>
        <v>-1200</v>
      </c>
    </row>
    <row r="368" spans="1:15" x14ac:dyDescent="0.25">
      <c r="A368" s="77">
        <v>44499.083333333336</v>
      </c>
      <c r="C368" s="74">
        <v>26</v>
      </c>
      <c r="D368" s="74">
        <v>0</v>
      </c>
      <c r="E368" s="431">
        <v>10</v>
      </c>
      <c r="F368" s="150">
        <f t="shared" si="498"/>
        <v>36</v>
      </c>
      <c r="G368" s="76">
        <f t="shared" ref="G368" si="506">C368-C367</f>
        <v>1</v>
      </c>
      <c r="H368" s="76">
        <f t="shared" ref="H368" si="507">D368-D367</f>
        <v>0</v>
      </c>
      <c r="I368" s="76">
        <f t="shared" ref="I368" si="508">F368-F367</f>
        <v>1</v>
      </c>
      <c r="J368" s="76">
        <f>SUMIF(I$2:I368,"&gt;0")</f>
        <v>1347</v>
      </c>
      <c r="K368" s="76">
        <f t="shared" ref="K368" si="509">IFERROR(J368 - _xlfn.XLOOKUP(A368-30, $A$2:$A$14999,J$2:J$14999,"",-1,2),NA())</f>
        <v>143</v>
      </c>
      <c r="L368" s="76">
        <f>SUMIF(E$2:E368,"&gt;0")</f>
        <v>766</v>
      </c>
      <c r="M368" s="76">
        <f t="shared" ref="M368" si="510">IFERROR(L368 - _xlfn.XLOOKUP(A368-30, $A$2:$A$14999,L$2:L$14999,"",-1,2),NA())</f>
        <v>310</v>
      </c>
      <c r="N368" s="74">
        <f t="shared" ref="N368" si="511">F368*120</f>
        <v>4320</v>
      </c>
      <c r="O368" s="76">
        <f t="shared" ref="O368" si="512">N368-N367</f>
        <v>120</v>
      </c>
    </row>
    <row r="369" spans="1:15" x14ac:dyDescent="0.25">
      <c r="A369" s="77">
        <v>44500.243750000001</v>
      </c>
      <c r="C369" s="74">
        <v>26</v>
      </c>
      <c r="D369" s="74">
        <v>1</v>
      </c>
      <c r="E369" s="431">
        <v>10</v>
      </c>
      <c r="F369" s="150">
        <f t="shared" si="498"/>
        <v>46</v>
      </c>
      <c r="G369" s="76">
        <f t="shared" ref="G369" si="513">C369-C368</f>
        <v>0</v>
      </c>
      <c r="H369" s="76">
        <f t="shared" ref="H369" si="514">D369-D368</f>
        <v>1</v>
      </c>
      <c r="I369" s="76">
        <f t="shared" ref="I369" si="515">F369-F368</f>
        <v>10</v>
      </c>
      <c r="J369" s="76">
        <f>SUMIF(I$2:I369,"&gt;0")</f>
        <v>1357</v>
      </c>
      <c r="K369" s="76">
        <f t="shared" ref="K369" si="516">IFERROR(J369 - _xlfn.XLOOKUP(A369-30, $A$2:$A$14999,J$2:J$14999,"",-1,2),NA())</f>
        <v>151</v>
      </c>
      <c r="L369" s="76">
        <f>SUMIF(E$2:E369,"&gt;0")</f>
        <v>776</v>
      </c>
      <c r="M369" s="76">
        <f t="shared" ref="M369" si="517">IFERROR(L369 - _xlfn.XLOOKUP(A369-30, $A$2:$A$14999,L$2:L$14999,"",-1,2),NA())</f>
        <v>320</v>
      </c>
      <c r="N369" s="74">
        <f t="shared" ref="N369" si="518">F369*120</f>
        <v>5520</v>
      </c>
      <c r="O369" s="76">
        <f t="shared" ref="O369" si="519">N369-N368</f>
        <v>1200</v>
      </c>
    </row>
    <row r="370" spans="1:15" x14ac:dyDescent="0.25">
      <c r="A370" s="77">
        <v>44500.250694444447</v>
      </c>
      <c r="B370" s="21" t="s">
        <v>502</v>
      </c>
      <c r="C370" s="74">
        <v>12</v>
      </c>
      <c r="D370" s="74">
        <v>1</v>
      </c>
      <c r="E370" s="431">
        <v>0</v>
      </c>
      <c r="F370" s="150">
        <f t="shared" ref="F370" si="520">C370+D370*10+_xlfn.IFNA(E370,0)</f>
        <v>22</v>
      </c>
      <c r="G370" s="76">
        <f t="shared" ref="G370" si="521">C370-C369</f>
        <v>-14</v>
      </c>
      <c r="H370" s="76">
        <f t="shared" ref="H370" si="522">D370-D369</f>
        <v>0</v>
      </c>
      <c r="I370" s="76">
        <f t="shared" ref="I370" si="523">F370-F369</f>
        <v>-24</v>
      </c>
      <c r="J370" s="76">
        <f>SUMIF(I$2:I370,"&gt;0")</f>
        <v>1357</v>
      </c>
      <c r="K370" s="76">
        <f t="shared" ref="K370" si="524">IFERROR(J370 - _xlfn.XLOOKUP(A370-30, $A$2:$A$14999,J$2:J$14999,"",-1,2),NA())</f>
        <v>151</v>
      </c>
      <c r="L370" s="76">
        <f>SUMIF(E$2:E370,"&gt;0")</f>
        <v>776</v>
      </c>
      <c r="M370" s="76">
        <f t="shared" ref="M370" si="525">IFERROR(L370 - _xlfn.XLOOKUP(A370-30, $A$2:$A$14999,L$2:L$14999,"",-1,2),NA())</f>
        <v>320</v>
      </c>
      <c r="N370" s="74">
        <f t="shared" ref="N370" si="526">F370*120</f>
        <v>2640</v>
      </c>
      <c r="O370" s="76">
        <f t="shared" ref="O370" si="527">N370-N369</f>
        <v>-2880</v>
      </c>
    </row>
    <row r="371" spans="1:15" x14ac:dyDescent="0.25">
      <c r="A371" s="77">
        <v>44501.25</v>
      </c>
      <c r="C371" s="74">
        <v>12</v>
      </c>
      <c r="D371" s="74">
        <v>1</v>
      </c>
      <c r="E371" s="431">
        <v>10</v>
      </c>
      <c r="F371" s="150">
        <f t="shared" ref="F371" si="528">C371+D371*10+_xlfn.IFNA(E371,0)</f>
        <v>32</v>
      </c>
      <c r="G371" s="76">
        <f t="shared" ref="G371" si="529">C371-C370</f>
        <v>0</v>
      </c>
      <c r="H371" s="76">
        <f t="shared" ref="H371" si="530">D371-D370</f>
        <v>0</v>
      </c>
      <c r="I371" s="76">
        <f t="shared" ref="I371" si="531">F371-F370</f>
        <v>10</v>
      </c>
      <c r="J371" s="76">
        <f>SUMIF(I$2:I371,"&gt;0")</f>
        <v>1367</v>
      </c>
      <c r="K371" s="76">
        <f t="shared" ref="K371" si="532">IFERROR(J371 - _xlfn.XLOOKUP(A371-30, $A$2:$A$14999,J$2:J$14999,"",-1,2),NA())</f>
        <v>143</v>
      </c>
      <c r="L371" s="76">
        <f>SUMIF(E$2:E371,"&gt;0")</f>
        <v>786</v>
      </c>
      <c r="M371" s="76">
        <f t="shared" ref="M371" si="533">IFERROR(L371 - _xlfn.XLOOKUP(A371-30, $A$2:$A$14999,L$2:L$14999,"",-1,2),NA())</f>
        <v>320</v>
      </c>
      <c r="N371" s="74">
        <f t="shared" ref="N371" si="534">F371*120</f>
        <v>3840</v>
      </c>
      <c r="O371" s="76">
        <f t="shared" ref="O371" si="535">N371-N370</f>
        <v>1200</v>
      </c>
    </row>
    <row r="372" spans="1:15" x14ac:dyDescent="0.25">
      <c r="A372" s="77">
        <v>44502.15347222222</v>
      </c>
      <c r="C372" s="74">
        <v>12</v>
      </c>
      <c r="D372" s="74">
        <v>1</v>
      </c>
      <c r="E372" s="431">
        <v>10</v>
      </c>
      <c r="F372" s="150">
        <f t="shared" ref="F372" si="536">C372+D372*10+_xlfn.IFNA(E372,0)</f>
        <v>32</v>
      </c>
      <c r="G372" s="76">
        <f t="shared" ref="G372" si="537">C372-C371</f>
        <v>0</v>
      </c>
      <c r="H372" s="76">
        <f t="shared" ref="H372" si="538">D372-D371</f>
        <v>0</v>
      </c>
      <c r="I372" s="76">
        <f t="shared" ref="I372" si="539">F372-F371</f>
        <v>0</v>
      </c>
      <c r="J372" s="76">
        <f>SUMIF(I$2:I372,"&gt;0")</f>
        <v>1367</v>
      </c>
      <c r="K372" s="76">
        <f t="shared" ref="K372" si="540">IFERROR(J372 - _xlfn.XLOOKUP(A372-30, $A$2:$A$14999,J$2:J$14999,"",-1,2),NA())</f>
        <v>142</v>
      </c>
      <c r="L372" s="76">
        <f>SUMIF(E$2:E372,"&gt;0")</f>
        <v>796</v>
      </c>
      <c r="M372" s="76">
        <f t="shared" ref="M372" si="541">IFERROR(L372 - _xlfn.XLOOKUP(A372-30, $A$2:$A$14999,L$2:L$14999,"",-1,2),NA())</f>
        <v>320</v>
      </c>
      <c r="N372" s="74">
        <f t="shared" ref="N372" si="542">F372*120</f>
        <v>3840</v>
      </c>
      <c r="O372" s="76">
        <f t="shared" ref="O372" si="543">N372-N371</f>
        <v>0</v>
      </c>
    </row>
    <row r="373" spans="1:15" x14ac:dyDescent="0.25">
      <c r="A373" s="77">
        <v>44503.479166666664</v>
      </c>
      <c r="C373" s="74">
        <v>13</v>
      </c>
      <c r="D373" s="74">
        <v>1</v>
      </c>
      <c r="E373" s="431">
        <v>10</v>
      </c>
      <c r="F373" s="150">
        <f t="shared" ref="F373:F375" si="544">C373+D373*10+_xlfn.IFNA(E373,0)</f>
        <v>33</v>
      </c>
      <c r="G373" s="76">
        <f t="shared" ref="G373" si="545">C373-C372</f>
        <v>1</v>
      </c>
      <c r="H373" s="76">
        <f t="shared" ref="H373" si="546">D373-D372</f>
        <v>0</v>
      </c>
      <c r="I373" s="76">
        <f t="shared" ref="I373" si="547">F373-F372</f>
        <v>1</v>
      </c>
      <c r="J373" s="76">
        <f>SUMIF(I$2:I373,"&gt;0")</f>
        <v>1368</v>
      </c>
      <c r="K373" s="76">
        <f t="shared" ref="K373" si="548">IFERROR(J373 - _xlfn.XLOOKUP(A373-30, $A$2:$A$14999,J$2:J$14999,"",-1,2),NA())</f>
        <v>143</v>
      </c>
      <c r="L373" s="76">
        <f>SUMIF(E$2:E373,"&gt;0")</f>
        <v>806</v>
      </c>
      <c r="M373" s="76">
        <f t="shared" ref="M373" si="549">IFERROR(L373 - _xlfn.XLOOKUP(A373-30, $A$2:$A$14999,L$2:L$14999,"",-1,2),NA())</f>
        <v>330</v>
      </c>
      <c r="N373" s="74">
        <f t="shared" ref="N373" si="550">F373*120</f>
        <v>3960</v>
      </c>
      <c r="O373" s="76">
        <f t="shared" ref="O373" si="551">N373-N372</f>
        <v>120</v>
      </c>
    </row>
    <row r="374" spans="1:15" x14ac:dyDescent="0.25">
      <c r="A374" s="77">
        <v>44504.427777777775</v>
      </c>
      <c r="C374" s="74">
        <v>17</v>
      </c>
      <c r="D374" s="74">
        <v>1</v>
      </c>
      <c r="E374" s="431">
        <v>100</v>
      </c>
      <c r="F374" s="150">
        <f t="shared" si="544"/>
        <v>127</v>
      </c>
      <c r="G374" s="76">
        <f t="shared" ref="G374" si="552">C374-C373</f>
        <v>4</v>
      </c>
      <c r="H374" s="76">
        <f t="shared" ref="H374" si="553">D374-D373</f>
        <v>0</v>
      </c>
      <c r="I374" s="76">
        <f t="shared" ref="I374" si="554">F374-F373</f>
        <v>94</v>
      </c>
      <c r="J374" s="76">
        <f>SUMIF(I$2:I374,"&gt;0")</f>
        <v>1462</v>
      </c>
      <c r="K374" s="76">
        <f t="shared" ref="K374" si="555">IFERROR(J374 - _xlfn.XLOOKUP(A374-30, $A$2:$A$14999,J$2:J$14999,"",-1,2),NA())</f>
        <v>211</v>
      </c>
      <c r="L374" s="76">
        <f>SUMIF(E$2:E374,"&gt;0")</f>
        <v>906</v>
      </c>
      <c r="M374" s="76">
        <f t="shared" ref="M374" si="556">IFERROR(L374 - _xlfn.XLOOKUP(A374-30, $A$2:$A$14999,L$2:L$14999,"",-1,2),NA())</f>
        <v>400</v>
      </c>
      <c r="N374" s="74">
        <f t="shared" ref="N374" si="557">F374*120</f>
        <v>15240</v>
      </c>
      <c r="O374" s="76">
        <f t="shared" ref="O374" si="558">N374-N373</f>
        <v>11280</v>
      </c>
    </row>
    <row r="375" spans="1:15" x14ac:dyDescent="0.25">
      <c r="A375" s="77">
        <v>44505.427777777775</v>
      </c>
      <c r="C375" s="74">
        <v>17</v>
      </c>
      <c r="D375" s="74">
        <v>1</v>
      </c>
      <c r="E375" s="431">
        <v>0</v>
      </c>
      <c r="F375" s="150">
        <f t="shared" si="544"/>
        <v>27</v>
      </c>
      <c r="G375" s="76">
        <f t="shared" ref="G375" si="559">C375-C374</f>
        <v>0</v>
      </c>
      <c r="H375" s="76">
        <f t="shared" ref="H375" si="560">D375-D374</f>
        <v>0</v>
      </c>
      <c r="I375" s="76">
        <f t="shared" ref="I375" si="561">F375-F374</f>
        <v>-100</v>
      </c>
      <c r="J375" s="76">
        <f>SUMIF(I$2:I375,"&gt;0")</f>
        <v>1462</v>
      </c>
      <c r="K375" s="76">
        <f t="shared" ref="K375" si="562">IFERROR(J375 - _xlfn.XLOOKUP(A375-30, $A$2:$A$14999,J$2:J$14999,"",-1,2),NA())</f>
        <v>211</v>
      </c>
      <c r="L375" s="76">
        <f>SUMIF(E$2:E375,"&gt;0")</f>
        <v>906</v>
      </c>
      <c r="M375" s="76">
        <f t="shared" ref="M375" si="563">IFERROR(L375 - _xlfn.XLOOKUP(A375-30, $A$2:$A$14999,L$2:L$14999,"",-1,2),NA())</f>
        <v>400</v>
      </c>
      <c r="N375" s="74">
        <f t="shared" ref="N375" si="564">F375*120</f>
        <v>3240</v>
      </c>
      <c r="O375" s="76">
        <f t="shared" ref="O375" si="565">N375-N374</f>
        <v>-12000</v>
      </c>
    </row>
    <row r="376" spans="1:15" x14ac:dyDescent="0.25">
      <c r="A376" s="77">
        <v>44506.427777777775</v>
      </c>
      <c r="C376" s="74">
        <v>17</v>
      </c>
      <c r="D376" s="74">
        <v>1</v>
      </c>
      <c r="E376" s="431">
        <v>0</v>
      </c>
      <c r="F376" s="150">
        <f t="shared" ref="F376" si="566">C376+D376*10+_xlfn.IFNA(E376,0)</f>
        <v>27</v>
      </c>
      <c r="G376" s="76">
        <f t="shared" ref="G376" si="567">C376-C375</f>
        <v>0</v>
      </c>
      <c r="H376" s="76">
        <f t="shared" ref="H376" si="568">D376-D375</f>
        <v>0</v>
      </c>
      <c r="I376" s="76">
        <f t="shared" ref="I376" si="569">F376-F375</f>
        <v>0</v>
      </c>
      <c r="J376" s="76">
        <f>SUMIF(I$2:I376,"&gt;0")</f>
        <v>1462</v>
      </c>
      <c r="K376" s="76">
        <f t="shared" ref="K376" si="570">IFERROR(J376 - _xlfn.XLOOKUP(A376-30, $A$2:$A$14999,J$2:J$14999,"",-1,2),NA())</f>
        <v>201</v>
      </c>
      <c r="L376" s="76">
        <f>SUMIF(E$2:E376,"&gt;0")</f>
        <v>906</v>
      </c>
      <c r="M376" s="76">
        <f t="shared" ref="M376" si="571">IFERROR(L376 - _xlfn.XLOOKUP(A376-30, $A$2:$A$14999,L$2:L$14999,"",-1,2),NA())</f>
        <v>390</v>
      </c>
      <c r="N376" s="74">
        <f t="shared" ref="N376" si="572">F376*120</f>
        <v>3240</v>
      </c>
      <c r="O376" s="76">
        <f t="shared" ref="O376" si="573">N376-N375</f>
        <v>0</v>
      </c>
    </row>
    <row r="377" spans="1:15" x14ac:dyDescent="0.25">
      <c r="A377" s="77">
        <v>44507.427777777775</v>
      </c>
      <c r="C377" s="74">
        <v>17</v>
      </c>
      <c r="D377" s="74">
        <v>1</v>
      </c>
      <c r="E377" s="431">
        <v>0</v>
      </c>
      <c r="F377" s="150">
        <f t="shared" ref="F377" si="574">C377+D377*10+_xlfn.IFNA(E377,0)</f>
        <v>27</v>
      </c>
      <c r="G377" s="76">
        <f t="shared" ref="G377" si="575">C377-C376</f>
        <v>0</v>
      </c>
      <c r="H377" s="76">
        <f t="shared" ref="H377" si="576">D377-D376</f>
        <v>0</v>
      </c>
      <c r="I377" s="76">
        <f t="shared" ref="I377" si="577">F377-F376</f>
        <v>0</v>
      </c>
      <c r="J377" s="76">
        <f>SUMIF(I$2:I377,"&gt;0")</f>
        <v>1462</v>
      </c>
      <c r="K377" s="76">
        <f t="shared" ref="K377" si="578">IFERROR(J377 - _xlfn.XLOOKUP(A377-30, $A$2:$A$14999,J$2:J$14999,"",-1,2),NA())</f>
        <v>200</v>
      </c>
      <c r="L377" s="76">
        <f>SUMIF(E$2:E377,"&gt;0")</f>
        <v>906</v>
      </c>
      <c r="M377" s="76">
        <f t="shared" ref="M377" si="579">IFERROR(L377 - _xlfn.XLOOKUP(A377-30, $A$2:$A$14999,L$2:L$14999,"",-1,2),NA())</f>
        <v>380</v>
      </c>
      <c r="N377" s="74">
        <f t="shared" ref="N377" si="580">F377*120</f>
        <v>3240</v>
      </c>
      <c r="O377" s="76">
        <f t="shared" ref="O377" si="581">N377-N376</f>
        <v>0</v>
      </c>
    </row>
    <row r="378" spans="1:15" x14ac:dyDescent="0.25">
      <c r="A378" s="77">
        <v>44508.427777777775</v>
      </c>
      <c r="C378" s="74">
        <v>17</v>
      </c>
      <c r="D378" s="74">
        <v>1</v>
      </c>
      <c r="E378" s="431">
        <v>0</v>
      </c>
      <c r="F378" s="150">
        <f t="shared" ref="F378:F379" si="582">C378+D378*10+_xlfn.IFNA(E378,0)</f>
        <v>27</v>
      </c>
      <c r="G378" s="76">
        <f t="shared" ref="G378:G379" si="583">C378-C377</f>
        <v>0</v>
      </c>
      <c r="H378" s="76">
        <f t="shared" ref="H378:H379" si="584">D378-D377</f>
        <v>0</v>
      </c>
      <c r="I378" s="76">
        <f t="shared" ref="I378:I379" si="585">F378-F377</f>
        <v>0</v>
      </c>
      <c r="J378" s="76">
        <f>SUMIF(I$2:I378,"&gt;0")</f>
        <v>1462</v>
      </c>
      <c r="K378" s="76">
        <f t="shared" ref="K378:K379" si="586">IFERROR(J378 - _xlfn.XLOOKUP(A378-30, $A$2:$A$14999,J$2:J$14999,"",-1,2),NA())</f>
        <v>199</v>
      </c>
      <c r="L378" s="76">
        <f>SUMIF(E$2:E378,"&gt;0")</f>
        <v>906</v>
      </c>
      <c r="M378" s="76">
        <f t="shared" ref="M378:M379" si="587">IFERROR(L378 - _xlfn.XLOOKUP(A378-30, $A$2:$A$14999,L$2:L$14999,"",-1,2),NA())</f>
        <v>370</v>
      </c>
      <c r="N378" s="74">
        <f t="shared" ref="N378:N379" si="588">F378*120</f>
        <v>3240</v>
      </c>
      <c r="O378" s="76">
        <f t="shared" ref="O378:O379" si="589">N378-N377</f>
        <v>0</v>
      </c>
    </row>
    <row r="379" spans="1:15" x14ac:dyDescent="0.25">
      <c r="A379" s="77">
        <v>44509.781944444447</v>
      </c>
      <c r="C379" s="74">
        <v>18</v>
      </c>
      <c r="D379" s="74">
        <v>1</v>
      </c>
      <c r="E379" s="431">
        <v>0</v>
      </c>
      <c r="F379" s="150">
        <f t="shared" si="582"/>
        <v>28</v>
      </c>
      <c r="G379" s="76">
        <f t="shared" si="583"/>
        <v>1</v>
      </c>
      <c r="H379" s="76">
        <f t="shared" si="584"/>
        <v>0</v>
      </c>
      <c r="I379" s="76">
        <f t="shared" si="585"/>
        <v>1</v>
      </c>
      <c r="J379" s="76">
        <f>SUMIF(I$2:I379,"&gt;0")</f>
        <v>1463</v>
      </c>
      <c r="K379" s="76">
        <f t="shared" si="586"/>
        <v>199</v>
      </c>
      <c r="L379" s="76">
        <f>SUMIF(E$2:E379,"&gt;0")</f>
        <v>906</v>
      </c>
      <c r="M379" s="76">
        <f t="shared" si="587"/>
        <v>360</v>
      </c>
      <c r="N379" s="74">
        <f t="shared" si="588"/>
        <v>3360</v>
      </c>
      <c r="O379" s="76">
        <f t="shared" si="589"/>
        <v>120</v>
      </c>
    </row>
    <row r="380" spans="1:15" x14ac:dyDescent="0.25">
      <c r="A380" s="77">
        <v>44511.945138888892</v>
      </c>
      <c r="C380" s="74">
        <v>19</v>
      </c>
      <c r="D380" s="74">
        <v>1</v>
      </c>
      <c r="E380" s="431">
        <v>0</v>
      </c>
      <c r="F380" s="150">
        <f t="shared" ref="F380" si="590">C380+D380*10+_xlfn.IFNA(E380,0)</f>
        <v>29</v>
      </c>
      <c r="G380" s="76">
        <f t="shared" ref="G380" si="591">C380-C379</f>
        <v>1</v>
      </c>
      <c r="H380" s="76">
        <f t="shared" ref="H380" si="592">D380-D379</f>
        <v>0</v>
      </c>
      <c r="I380" s="76">
        <f t="shared" ref="I380" si="593">F380-F379</f>
        <v>1</v>
      </c>
      <c r="J380" s="76">
        <f>SUMIF(I$2:I380,"&gt;0")</f>
        <v>1464</v>
      </c>
      <c r="K380" s="76">
        <f t="shared" ref="K380" si="594">IFERROR(J380 - _xlfn.XLOOKUP(A380-30, $A$2:$A$14999,J$2:J$14999,"",-1,2),NA())</f>
        <v>196</v>
      </c>
      <c r="L380" s="76">
        <f>SUMIF(E$2:E380,"&gt;0")</f>
        <v>906</v>
      </c>
      <c r="M380" s="76">
        <f t="shared" ref="M380" si="595">IFERROR(L380 - _xlfn.XLOOKUP(A380-30, $A$2:$A$14999,L$2:L$14999,"",-1,2),NA())</f>
        <v>330</v>
      </c>
      <c r="N380" s="74">
        <f t="shared" ref="N380" si="596">F380*120</f>
        <v>3480</v>
      </c>
      <c r="O380" s="76">
        <f t="shared" ref="O380" si="597">N380-N379</f>
        <v>120</v>
      </c>
    </row>
    <row r="381" spans="1:15" x14ac:dyDescent="0.25">
      <c r="A381" s="77">
        <v>44512.550694444442</v>
      </c>
      <c r="C381" s="74">
        <v>0</v>
      </c>
      <c r="D381" s="74">
        <v>0</v>
      </c>
      <c r="E381" s="431">
        <v>0</v>
      </c>
      <c r="F381" s="150">
        <f t="shared" ref="F381" si="598">C381+D381*10+_xlfn.IFNA(E381,0)</f>
        <v>0</v>
      </c>
      <c r="G381" s="76">
        <f t="shared" ref="G381" si="599">C381-C380</f>
        <v>-19</v>
      </c>
      <c r="H381" s="76">
        <f t="shared" ref="H381" si="600">D381-D380</f>
        <v>-1</v>
      </c>
      <c r="I381" s="76">
        <f t="shared" ref="I381" si="601">F381-F380</f>
        <v>-29</v>
      </c>
      <c r="J381" s="76">
        <f>SUMIF(I$2:I381,"&gt;0")</f>
        <v>1464</v>
      </c>
      <c r="K381" s="76">
        <f t="shared" ref="K381" si="602">IFERROR(J381 - _xlfn.XLOOKUP(A381-30, $A$2:$A$14999,J$2:J$14999,"",-1,2),NA())</f>
        <v>178</v>
      </c>
      <c r="L381" s="76">
        <f>SUMIF(E$2:E381,"&gt;0")</f>
        <v>906</v>
      </c>
      <c r="M381" s="76">
        <f t="shared" ref="M381" si="603">IFERROR(L381 - _xlfn.XLOOKUP(A381-30, $A$2:$A$14999,L$2:L$14999,"",-1,2),NA())</f>
        <v>320</v>
      </c>
      <c r="N381" s="74">
        <f t="shared" ref="N381" si="604">F381*120</f>
        <v>0</v>
      </c>
      <c r="O381" s="76">
        <f t="shared" ref="O381" si="605">N381-N380</f>
        <v>-3480</v>
      </c>
    </row>
    <row r="382" spans="1:15" x14ac:dyDescent="0.25">
      <c r="A382" s="77">
        <v>44512.884027777778</v>
      </c>
      <c r="B382" s="21" t="s">
        <v>503</v>
      </c>
      <c r="C382" s="74">
        <v>1</v>
      </c>
      <c r="D382" s="74">
        <v>0</v>
      </c>
      <c r="E382" s="431">
        <v>0</v>
      </c>
      <c r="F382" s="150">
        <f t="shared" ref="F382" si="606">C382+D382*10+_xlfn.IFNA(E382,0)</f>
        <v>1</v>
      </c>
      <c r="G382" s="76">
        <f t="shared" ref="G382" si="607">C382-C381</f>
        <v>1</v>
      </c>
      <c r="H382" s="76">
        <f t="shared" ref="H382" si="608">D382-D381</f>
        <v>0</v>
      </c>
      <c r="I382" s="76">
        <f t="shared" ref="I382" si="609">F382-F381</f>
        <v>1</v>
      </c>
      <c r="J382" s="76">
        <f>SUMIF(I$2:I382,"&gt;0")</f>
        <v>1465</v>
      </c>
      <c r="K382" s="76">
        <f t="shared" ref="K382" si="610">IFERROR(J382 - _xlfn.XLOOKUP(A382-30, $A$2:$A$14999,J$2:J$14999,"",-1,2),NA())</f>
        <v>179</v>
      </c>
      <c r="L382" s="76">
        <f>SUMIF(E$2:E382,"&gt;0")</f>
        <v>906</v>
      </c>
      <c r="M382" s="76">
        <f t="shared" ref="M382" si="611">IFERROR(L382 - _xlfn.XLOOKUP(A382-30, $A$2:$A$14999,L$2:L$14999,"",-1,2),NA())</f>
        <v>320</v>
      </c>
      <c r="N382" s="74">
        <f t="shared" ref="N382" si="612">F382*120</f>
        <v>120</v>
      </c>
      <c r="O382" s="76">
        <f t="shared" ref="O382" si="613">N382-N381</f>
        <v>120</v>
      </c>
    </row>
    <row r="383" spans="1:15" x14ac:dyDescent="0.25">
      <c r="A383" s="77">
        <v>44513.255555555559</v>
      </c>
      <c r="C383" s="74">
        <v>2</v>
      </c>
      <c r="D383" s="74">
        <v>0</v>
      </c>
      <c r="E383" s="431">
        <v>0</v>
      </c>
      <c r="F383" s="150">
        <f t="shared" ref="F383" si="614">C383+D383*10+_xlfn.IFNA(E383,0)</f>
        <v>2</v>
      </c>
      <c r="G383" s="76">
        <f t="shared" ref="G383" si="615">C383-C382</f>
        <v>1</v>
      </c>
      <c r="H383" s="76">
        <f t="shared" ref="H383" si="616">D383-D382</f>
        <v>0</v>
      </c>
      <c r="I383" s="76">
        <f t="shared" ref="I383" si="617">F383-F382</f>
        <v>1</v>
      </c>
      <c r="J383" s="76">
        <f>SUMIF(I$2:I383,"&gt;0")</f>
        <v>1466</v>
      </c>
      <c r="K383" s="76">
        <f t="shared" ref="K383" si="618">IFERROR(J383 - _xlfn.XLOOKUP(A383-30, $A$2:$A$14999,J$2:J$14999,"",-1,2),NA())</f>
        <v>180</v>
      </c>
      <c r="L383" s="76">
        <f>SUMIF(E$2:E383,"&gt;0")</f>
        <v>906</v>
      </c>
      <c r="M383" s="76">
        <f t="shared" ref="M383" si="619">IFERROR(L383 - _xlfn.XLOOKUP(A383-30, $A$2:$A$14999,L$2:L$14999,"",-1,2),NA())</f>
        <v>320</v>
      </c>
      <c r="N383" s="74">
        <f t="shared" ref="N383" si="620">F383*120</f>
        <v>240</v>
      </c>
      <c r="O383" s="76">
        <f t="shared" ref="O383" si="621">N383-N382</f>
        <v>120</v>
      </c>
    </row>
    <row r="384" spans="1:15" x14ac:dyDescent="0.25">
      <c r="A384" s="77">
        <v>44514.265972222223</v>
      </c>
      <c r="C384" s="74">
        <v>3</v>
      </c>
      <c r="D384" s="74">
        <v>0</v>
      </c>
      <c r="E384" s="431">
        <v>0</v>
      </c>
      <c r="F384" s="150">
        <f t="shared" ref="F384" si="622">C384+D384*10+_xlfn.IFNA(E384,0)</f>
        <v>3</v>
      </c>
      <c r="G384" s="76">
        <f t="shared" ref="G384" si="623">C384-C383</f>
        <v>1</v>
      </c>
      <c r="H384" s="76">
        <f t="shared" ref="H384" si="624">D384-D383</f>
        <v>0</v>
      </c>
      <c r="I384" s="76">
        <f t="shared" ref="I384" si="625">F384-F383</f>
        <v>1</v>
      </c>
      <c r="J384" s="76">
        <f>SUMIF(I$2:I384,"&gt;0")</f>
        <v>1467</v>
      </c>
      <c r="K384" s="76">
        <f t="shared" ref="K384" si="626">IFERROR(J384 - _xlfn.XLOOKUP(A384-30, $A$2:$A$14999,J$2:J$14999,"",-1,2),NA())</f>
        <v>175</v>
      </c>
      <c r="L384" s="76">
        <f>SUMIF(E$2:E384,"&gt;0")</f>
        <v>906</v>
      </c>
      <c r="M384" s="76">
        <f t="shared" ref="M384" si="627">IFERROR(L384 - _xlfn.XLOOKUP(A384-30, $A$2:$A$14999,L$2:L$14999,"",-1,2),NA())</f>
        <v>300</v>
      </c>
      <c r="N384" s="74">
        <f t="shared" ref="N384" si="628">F384*120</f>
        <v>360</v>
      </c>
      <c r="O384" s="76">
        <f t="shared" ref="O384" si="629">N384-N383</f>
        <v>120</v>
      </c>
    </row>
    <row r="385" spans="1:15" x14ac:dyDescent="0.25">
      <c r="A385" s="77">
        <v>44516.890972222223</v>
      </c>
      <c r="C385" s="74">
        <v>10</v>
      </c>
      <c r="D385" s="74">
        <v>0</v>
      </c>
      <c r="E385" s="431">
        <v>0</v>
      </c>
      <c r="F385" s="150">
        <f t="shared" ref="F385" si="630">C385+D385*10+_xlfn.IFNA(E385,0)</f>
        <v>10</v>
      </c>
      <c r="G385" s="76">
        <f t="shared" ref="G385" si="631">C385-C384</f>
        <v>7</v>
      </c>
      <c r="H385" s="76">
        <f t="shared" ref="H385" si="632">D385-D384</f>
        <v>0</v>
      </c>
      <c r="I385" s="76">
        <f t="shared" ref="I385" si="633">F385-F384</f>
        <v>7</v>
      </c>
      <c r="J385" s="76">
        <f>SUMIF(I$2:I385,"&gt;0")</f>
        <v>1474</v>
      </c>
      <c r="K385" s="76">
        <f t="shared" ref="K385" si="634">IFERROR(J385 - _xlfn.XLOOKUP(A385-30, $A$2:$A$14999,J$2:J$14999,"",-1,2),NA())</f>
        <v>176</v>
      </c>
      <c r="L385" s="76">
        <f>SUMIF(E$2:E385,"&gt;0")</f>
        <v>906</v>
      </c>
      <c r="M385" s="76">
        <f t="shared" ref="M385" si="635">IFERROR(L385 - _xlfn.XLOOKUP(A385-30, $A$2:$A$14999,L$2:L$14999,"",-1,2),NA())</f>
        <v>270</v>
      </c>
      <c r="N385" s="74">
        <f t="shared" ref="N385" si="636">F385*120</f>
        <v>1200</v>
      </c>
      <c r="O385" s="76">
        <f t="shared" ref="O385" si="637">N385-N384</f>
        <v>840</v>
      </c>
    </row>
    <row r="386" spans="1:15" x14ac:dyDescent="0.25">
      <c r="A386" s="77">
        <v>44517.821527777778</v>
      </c>
      <c r="C386" s="74">
        <v>11</v>
      </c>
      <c r="D386" s="74">
        <v>0</v>
      </c>
      <c r="E386" s="431">
        <v>0</v>
      </c>
      <c r="F386" s="150">
        <f t="shared" ref="F386:F387" si="638">C386+D386*10+_xlfn.IFNA(E386,0)</f>
        <v>11</v>
      </c>
      <c r="G386" s="76">
        <f t="shared" ref="G386" si="639">C386-C385</f>
        <v>1</v>
      </c>
      <c r="H386" s="76">
        <f t="shared" ref="H386" si="640">D386-D385</f>
        <v>0</v>
      </c>
      <c r="I386" s="76">
        <f t="shared" ref="I386" si="641">F386-F385</f>
        <v>1</v>
      </c>
      <c r="J386" s="76">
        <f>SUMIF(I$2:I386,"&gt;0")</f>
        <v>1475</v>
      </c>
      <c r="K386" s="76">
        <f t="shared" ref="K386" si="642">IFERROR(J386 - _xlfn.XLOOKUP(A386-30, $A$2:$A$14999,J$2:J$14999,"",-1,2),NA())</f>
        <v>176</v>
      </c>
      <c r="L386" s="76">
        <f>SUMIF(E$2:E386,"&gt;0")</f>
        <v>906</v>
      </c>
      <c r="M386" s="76">
        <f t="shared" ref="M386" si="643">IFERROR(L386 - _xlfn.XLOOKUP(A386-30, $A$2:$A$14999,L$2:L$14999,"",-1,2),NA())</f>
        <v>260</v>
      </c>
      <c r="N386" s="74">
        <f t="shared" ref="N386" si="644">F386*120</f>
        <v>1320</v>
      </c>
      <c r="O386" s="76">
        <f t="shared" ref="O386" si="645">N386-N385</f>
        <v>120</v>
      </c>
    </row>
    <row r="387" spans="1:15" x14ac:dyDescent="0.25">
      <c r="A387" s="77">
        <v>44519.700694444444</v>
      </c>
      <c r="C387" s="74">
        <v>13</v>
      </c>
      <c r="D387" s="74">
        <v>1</v>
      </c>
      <c r="E387" s="431">
        <v>0</v>
      </c>
      <c r="F387" s="150">
        <f t="shared" si="638"/>
        <v>23</v>
      </c>
      <c r="G387" s="76">
        <f t="shared" ref="G387" si="646">C387-C386</f>
        <v>2</v>
      </c>
      <c r="H387" s="76">
        <f t="shared" ref="H387" si="647">D387-D386</f>
        <v>1</v>
      </c>
      <c r="I387" s="76">
        <f t="shared" ref="I387" si="648">F387-F386</f>
        <v>12</v>
      </c>
      <c r="J387" s="76">
        <f>SUMIF(I$2:I387,"&gt;0")</f>
        <v>1487</v>
      </c>
      <c r="K387" s="76">
        <f t="shared" ref="K387" si="649">IFERROR(J387 - _xlfn.XLOOKUP(A387-30, $A$2:$A$14999,J$2:J$14999,"",-1,2),NA())</f>
        <v>182</v>
      </c>
      <c r="L387" s="76">
        <f>SUMIF(E$2:E387,"&gt;0")</f>
        <v>906</v>
      </c>
      <c r="M387" s="76">
        <f t="shared" ref="M387" si="650">IFERROR(L387 - _xlfn.XLOOKUP(A387-30, $A$2:$A$14999,L$2:L$14999,"",-1,2),NA())</f>
        <v>250</v>
      </c>
      <c r="N387" s="74">
        <f t="shared" ref="N387" si="651">F387*120</f>
        <v>2760</v>
      </c>
      <c r="O387" s="76">
        <f t="shared" ref="O387" si="652">N387-N386</f>
        <v>1440</v>
      </c>
    </row>
    <row r="388" spans="1:15" x14ac:dyDescent="0.25">
      <c r="A388" s="77">
        <v>44520.743055555555</v>
      </c>
      <c r="C388" s="74">
        <v>13</v>
      </c>
      <c r="D388" s="74">
        <v>1</v>
      </c>
      <c r="E388" s="431">
        <v>0</v>
      </c>
      <c r="F388" s="150">
        <f t="shared" ref="F388" si="653">C388+D388*10+_xlfn.IFNA(E388,0)</f>
        <v>23</v>
      </c>
      <c r="G388" s="76">
        <f t="shared" ref="G388" si="654">C388-C387</f>
        <v>0</v>
      </c>
      <c r="H388" s="76">
        <f t="shared" ref="H388" si="655">D388-D387</f>
        <v>0</v>
      </c>
      <c r="I388" s="76">
        <f t="shared" ref="I388" si="656">F388-F387</f>
        <v>0</v>
      </c>
      <c r="J388" s="76">
        <f>SUMIF(I$2:I388,"&gt;0")</f>
        <v>1487</v>
      </c>
      <c r="K388" s="76">
        <f t="shared" ref="K388" si="657">IFERROR(J388 - _xlfn.XLOOKUP(A388-30, $A$2:$A$14999,J$2:J$14999,"",-1,2),NA())</f>
        <v>169</v>
      </c>
      <c r="L388" s="76">
        <f>SUMIF(E$2:E388,"&gt;0")</f>
        <v>906</v>
      </c>
      <c r="M388" s="76">
        <f t="shared" ref="M388" si="658">IFERROR(L388 - _xlfn.XLOOKUP(A388-30, $A$2:$A$14999,L$2:L$14999,"",-1,2),NA())</f>
        <v>230</v>
      </c>
      <c r="N388" s="74">
        <f t="shared" ref="N388" si="659">F388*120</f>
        <v>2760</v>
      </c>
      <c r="O388" s="76">
        <f t="shared" ref="O388" si="660">N388-N387</f>
        <v>0</v>
      </c>
    </row>
    <row r="389" spans="1:15" x14ac:dyDescent="0.25">
      <c r="A389" s="77">
        <v>44521.577777777777</v>
      </c>
      <c r="C389" s="74">
        <v>18</v>
      </c>
      <c r="D389" s="74">
        <v>1</v>
      </c>
      <c r="E389" s="431">
        <v>0</v>
      </c>
      <c r="F389" s="150">
        <f t="shared" ref="F389" si="661">C389+D389*10+_xlfn.IFNA(E389,0)</f>
        <v>28</v>
      </c>
      <c r="G389" s="76">
        <f t="shared" ref="G389" si="662">C389-C388</f>
        <v>5</v>
      </c>
      <c r="H389" s="76">
        <f t="shared" ref="H389" si="663">D389-D388</f>
        <v>0</v>
      </c>
      <c r="I389" s="76">
        <f t="shared" ref="I389" si="664">F389-F388</f>
        <v>5</v>
      </c>
      <c r="J389" s="76">
        <f>SUMIF(I$2:I389,"&gt;0")</f>
        <v>1492</v>
      </c>
      <c r="K389" s="76">
        <f t="shared" ref="K389" si="665">IFERROR(J389 - _xlfn.XLOOKUP(A389-30, $A$2:$A$14999,J$2:J$14999,"",-1,2),NA())</f>
        <v>174</v>
      </c>
      <c r="L389" s="76">
        <f>SUMIF(E$2:E389,"&gt;0")</f>
        <v>906</v>
      </c>
      <c r="M389" s="76">
        <f t="shared" ref="M389" si="666">IFERROR(L389 - _xlfn.XLOOKUP(A389-30, $A$2:$A$14999,L$2:L$14999,"",-1,2),NA())</f>
        <v>230</v>
      </c>
      <c r="N389" s="74">
        <f t="shared" ref="N389" si="667">F389*120</f>
        <v>3360</v>
      </c>
      <c r="O389" s="76">
        <f t="shared" ref="O389" si="668">N389-N388</f>
        <v>600</v>
      </c>
    </row>
    <row r="390" spans="1:15" x14ac:dyDescent="0.25">
      <c r="A390" s="77">
        <v>44522.693749999999</v>
      </c>
      <c r="C390" s="74">
        <v>18</v>
      </c>
      <c r="D390" s="74">
        <v>1</v>
      </c>
      <c r="E390" s="431">
        <v>0</v>
      </c>
      <c r="F390" s="150">
        <f t="shared" ref="F390" si="669">C390+D390*10+_xlfn.IFNA(E390,0)</f>
        <v>28</v>
      </c>
      <c r="G390" s="76">
        <f t="shared" ref="G390" si="670">C390-C389</f>
        <v>0</v>
      </c>
      <c r="H390" s="76">
        <f t="shared" ref="H390" si="671">D390-D389</f>
        <v>0</v>
      </c>
      <c r="I390" s="76">
        <f t="shared" ref="I390" si="672">F390-F389</f>
        <v>0</v>
      </c>
      <c r="J390" s="76">
        <f>SUMIF(I$2:I390,"&gt;0")</f>
        <v>1492</v>
      </c>
      <c r="K390" s="76">
        <f t="shared" ref="K390" si="673">IFERROR(J390 - _xlfn.XLOOKUP(A390-30, $A$2:$A$14999,J$2:J$14999,"",-1,2),NA())</f>
        <v>174</v>
      </c>
      <c r="L390" s="76">
        <f>SUMIF(E$2:E390,"&gt;0")</f>
        <v>906</v>
      </c>
      <c r="M390" s="76">
        <f t="shared" ref="M390" si="674">IFERROR(L390 - _xlfn.XLOOKUP(A390-30, $A$2:$A$14999,L$2:L$14999,"",-1,2),NA())</f>
        <v>220</v>
      </c>
      <c r="N390" s="74">
        <f t="shared" ref="N390" si="675">F390*120</f>
        <v>3360</v>
      </c>
      <c r="O390" s="76">
        <f t="shared" ref="O390" si="676">N390-N389</f>
        <v>0</v>
      </c>
    </row>
    <row r="391" spans="1:15" x14ac:dyDescent="0.25">
      <c r="A391" s="77">
        <v>44524.254166666666</v>
      </c>
      <c r="C391" s="74">
        <v>28</v>
      </c>
      <c r="D391" s="74">
        <v>1</v>
      </c>
      <c r="E391" s="431">
        <v>0</v>
      </c>
      <c r="F391" s="150">
        <f t="shared" ref="F391" si="677">C391+D391*10+_xlfn.IFNA(E391,0)</f>
        <v>38</v>
      </c>
      <c r="G391" s="76">
        <f t="shared" ref="G391" si="678">C391-C390</f>
        <v>10</v>
      </c>
      <c r="H391" s="76">
        <f t="shared" ref="H391" si="679">D391-D390</f>
        <v>0</v>
      </c>
      <c r="I391" s="76">
        <f t="shared" ref="I391" si="680">F391-F390</f>
        <v>10</v>
      </c>
      <c r="J391" s="76">
        <f>SUMIF(I$2:I391,"&gt;0")</f>
        <v>1502</v>
      </c>
      <c r="K391" s="76">
        <f t="shared" ref="K391" si="681">IFERROR(J391 - _xlfn.XLOOKUP(A391-30, $A$2:$A$14999,J$2:J$14999,"",-1,2),NA())</f>
        <v>182</v>
      </c>
      <c r="L391" s="76">
        <f>SUMIF(E$2:E391,"&gt;0")</f>
        <v>906</v>
      </c>
      <c r="M391" s="76">
        <f t="shared" ref="M391" si="682">IFERROR(L391 - _xlfn.XLOOKUP(A391-30, $A$2:$A$14999,L$2:L$14999,"",-1,2),NA())</f>
        <v>200</v>
      </c>
      <c r="N391" s="74">
        <f t="shared" ref="N391" si="683">F391*120</f>
        <v>4560</v>
      </c>
      <c r="O391" s="76">
        <f t="shared" ref="O391" si="684">N391-N390</f>
        <v>1200</v>
      </c>
    </row>
    <row r="392" spans="1:15" x14ac:dyDescent="0.25">
      <c r="A392" s="77">
        <v>44526.870138888888</v>
      </c>
      <c r="C392" s="74">
        <v>28</v>
      </c>
      <c r="D392" s="74">
        <v>2</v>
      </c>
      <c r="E392" s="431">
        <v>0</v>
      </c>
      <c r="F392" s="150">
        <f t="shared" ref="F392" si="685">C392+D392*10+_xlfn.IFNA(E392,0)</f>
        <v>48</v>
      </c>
      <c r="G392" s="76">
        <f t="shared" ref="G392" si="686">C392-C391</f>
        <v>0</v>
      </c>
      <c r="H392" s="76">
        <f t="shared" ref="H392" si="687">D392-D391</f>
        <v>1</v>
      </c>
      <c r="I392" s="76">
        <f t="shared" ref="I392" si="688">F392-F391</f>
        <v>10</v>
      </c>
      <c r="J392" s="76">
        <f>SUMIF(I$2:I392,"&gt;0")</f>
        <v>1512</v>
      </c>
      <c r="K392" s="76">
        <f t="shared" ref="K392" si="689">IFERROR(J392 - _xlfn.XLOOKUP(A392-30, $A$2:$A$14999,J$2:J$14999,"",-1,2),NA())</f>
        <v>181</v>
      </c>
      <c r="L392" s="76">
        <f>SUMIF(E$2:E392,"&gt;0")</f>
        <v>906</v>
      </c>
      <c r="M392" s="76">
        <f t="shared" ref="M392" si="690">IFERROR(L392 - _xlfn.XLOOKUP(A392-30, $A$2:$A$14999,L$2:L$14999,"",-1,2),NA())</f>
        <v>180</v>
      </c>
      <c r="N392" s="74">
        <f t="shared" ref="N392" si="691">F392*120</f>
        <v>5760</v>
      </c>
      <c r="O392" s="76">
        <f t="shared" ref="O392" si="692">N392-N391</f>
        <v>1200</v>
      </c>
    </row>
    <row r="393" spans="1:15" x14ac:dyDescent="0.25">
      <c r="A393" s="77">
        <v>44527.841666666667</v>
      </c>
      <c r="C393" s="74">
        <v>28</v>
      </c>
      <c r="D393" s="74">
        <v>2</v>
      </c>
      <c r="E393" s="431">
        <v>0</v>
      </c>
      <c r="F393" s="150">
        <f t="shared" ref="F393" si="693">C393+D393*10+_xlfn.IFNA(E393,0)</f>
        <v>48</v>
      </c>
      <c r="G393" s="76">
        <f t="shared" ref="G393" si="694">C393-C392</f>
        <v>0</v>
      </c>
      <c r="H393" s="76">
        <f t="shared" ref="H393" si="695">D393-D392</f>
        <v>0</v>
      </c>
      <c r="I393" s="76">
        <f t="shared" ref="I393" si="696">F393-F392</f>
        <v>0</v>
      </c>
      <c r="J393" s="76">
        <f>SUMIF(I$2:I393,"&gt;0")</f>
        <v>1512</v>
      </c>
      <c r="K393" s="76">
        <f t="shared" ref="K393" si="697">IFERROR(J393 - _xlfn.XLOOKUP(A393-30, $A$2:$A$14999,J$2:J$14999,"",-1,2),NA())</f>
        <v>181</v>
      </c>
      <c r="L393" s="76">
        <f>SUMIF(E$2:E393,"&gt;0")</f>
        <v>906</v>
      </c>
      <c r="M393" s="76">
        <f t="shared" ref="M393" si="698">IFERROR(L393 - _xlfn.XLOOKUP(A393-30, $A$2:$A$14999,L$2:L$14999,"",-1,2),NA())</f>
        <v>170</v>
      </c>
      <c r="N393" s="74">
        <f t="shared" ref="N393" si="699">F393*120</f>
        <v>5760</v>
      </c>
      <c r="O393" s="76">
        <f t="shared" ref="O393" si="700">N393-N392</f>
        <v>0</v>
      </c>
    </row>
    <row r="394" spans="1:15" x14ac:dyDescent="0.25">
      <c r="A394" s="77">
        <v>44528.841666666667</v>
      </c>
      <c r="C394" s="74">
        <v>29</v>
      </c>
      <c r="D394" s="74">
        <v>3</v>
      </c>
      <c r="E394" s="431">
        <v>0</v>
      </c>
      <c r="F394" s="150">
        <f t="shared" ref="F394:F395" si="701">C394+D394*10+_xlfn.IFNA(E394,0)</f>
        <v>59</v>
      </c>
      <c r="G394" s="76">
        <f t="shared" ref="G394" si="702">C394-C393</f>
        <v>1</v>
      </c>
      <c r="H394" s="76">
        <f t="shared" ref="H394" si="703">D394-D393</f>
        <v>1</v>
      </c>
      <c r="I394" s="76">
        <f t="shared" ref="I394" si="704">F394-F393</f>
        <v>11</v>
      </c>
      <c r="J394" s="76">
        <f>SUMIF(I$2:I394,"&gt;0")</f>
        <v>1523</v>
      </c>
      <c r="K394" s="76">
        <f t="shared" ref="K394" si="705">IFERROR(J394 - _xlfn.XLOOKUP(A394-30, $A$2:$A$14999,J$2:J$14999,"",-1,2),NA())</f>
        <v>177</v>
      </c>
      <c r="L394" s="76">
        <f>SUMIF(E$2:E394,"&gt;0")</f>
        <v>906</v>
      </c>
      <c r="M394" s="76">
        <f t="shared" ref="M394" si="706">IFERROR(L394 - _xlfn.XLOOKUP(A394-30, $A$2:$A$14999,L$2:L$14999,"",-1,2),NA())</f>
        <v>160</v>
      </c>
      <c r="N394" s="74">
        <f t="shared" ref="N394" si="707">F394*120</f>
        <v>7080</v>
      </c>
      <c r="O394" s="76">
        <f t="shared" ref="O394" si="708">N394-N393</f>
        <v>1320</v>
      </c>
    </row>
    <row r="395" spans="1:15" x14ac:dyDescent="0.25">
      <c r="A395" s="77">
        <v>44529.25</v>
      </c>
      <c r="B395" s="105" t="s">
        <v>504</v>
      </c>
      <c r="C395" s="74">
        <v>0</v>
      </c>
      <c r="D395" s="74">
        <v>0</v>
      </c>
      <c r="E395" s="431">
        <v>0</v>
      </c>
      <c r="F395" s="150">
        <f t="shared" si="701"/>
        <v>0</v>
      </c>
      <c r="G395" s="76">
        <f t="shared" ref="G395" si="709">C395-C394</f>
        <v>-29</v>
      </c>
      <c r="H395" s="76">
        <f t="shared" ref="H395" si="710">D395-D394</f>
        <v>-3</v>
      </c>
      <c r="I395" s="76">
        <f t="shared" ref="I395" si="711">F395-F394</f>
        <v>-59</v>
      </c>
      <c r="J395" s="76">
        <f>SUMIF(I$2:I395,"&gt;0")</f>
        <v>1523</v>
      </c>
      <c r="K395" s="76">
        <f t="shared" ref="K395" si="712">IFERROR(J395 - _xlfn.XLOOKUP(A395-30, $A$2:$A$14999,J$2:J$14999,"",-1,2),NA())</f>
        <v>176</v>
      </c>
      <c r="L395" s="76">
        <f>SUMIF(E$2:E395,"&gt;0")</f>
        <v>906</v>
      </c>
      <c r="M395" s="76">
        <f t="shared" ref="M395" si="713">IFERROR(L395 - _xlfn.XLOOKUP(A395-30, $A$2:$A$14999,L$2:L$14999,"",-1,2),NA())</f>
        <v>140</v>
      </c>
      <c r="N395" s="74">
        <f t="shared" ref="N395" si="714">F395*120</f>
        <v>0</v>
      </c>
      <c r="O395" s="76">
        <f t="shared" ref="O395" si="715">N395-N394</f>
        <v>-7080</v>
      </c>
    </row>
    <row r="396" spans="1:15" x14ac:dyDescent="0.25">
      <c r="A396" s="77">
        <v>44532.705555555556</v>
      </c>
      <c r="C396" s="74">
        <v>17</v>
      </c>
      <c r="D396" s="74">
        <v>0</v>
      </c>
      <c r="E396" s="431">
        <v>0</v>
      </c>
      <c r="F396" s="150">
        <f t="shared" ref="F396" si="716">C396+D396*10+_xlfn.IFNA(E396,0)</f>
        <v>17</v>
      </c>
      <c r="G396" s="76">
        <f t="shared" ref="G396" si="717">C396-C395</f>
        <v>17</v>
      </c>
      <c r="H396" s="76">
        <f t="shared" ref="H396" si="718">D396-D395</f>
        <v>0</v>
      </c>
      <c r="I396" s="76">
        <f t="shared" ref="I396" si="719">F396-F395</f>
        <v>17</v>
      </c>
      <c r="J396" s="76">
        <f>SUMIF(I$2:I396,"&gt;0")</f>
        <v>1540</v>
      </c>
      <c r="K396" s="76">
        <f t="shared" ref="K396" si="720">IFERROR(J396 - _xlfn.XLOOKUP(A396-30, $A$2:$A$14999,J$2:J$14999,"",-1,2),NA())</f>
        <v>173</v>
      </c>
      <c r="L396" s="76">
        <f>SUMIF(E$2:E396,"&gt;0")</f>
        <v>906</v>
      </c>
      <c r="M396" s="76">
        <f t="shared" ref="M396" si="721">IFERROR(L396 - _xlfn.XLOOKUP(A396-30, $A$2:$A$14999,L$2:L$14999,"",-1,2),NA())</f>
        <v>110</v>
      </c>
      <c r="N396" s="74">
        <f t="shared" ref="N396" si="722">F396*120</f>
        <v>2040</v>
      </c>
      <c r="O396" s="76">
        <f t="shared" ref="O396" si="723">N396-N395</f>
        <v>2040</v>
      </c>
    </row>
    <row r="397" spans="1:15" x14ac:dyDescent="0.25">
      <c r="A397" s="77">
        <v>44534.65347222222</v>
      </c>
      <c r="C397" s="74">
        <v>17</v>
      </c>
      <c r="D397" s="74">
        <v>0</v>
      </c>
      <c r="E397" s="431">
        <v>0</v>
      </c>
      <c r="F397" s="150">
        <f t="shared" ref="F397" si="724">C397+D397*10+_xlfn.IFNA(E397,0)</f>
        <v>17</v>
      </c>
      <c r="G397" s="76">
        <f t="shared" ref="G397" si="725">C397-C396</f>
        <v>0</v>
      </c>
      <c r="H397" s="76">
        <f t="shared" ref="H397" si="726">D397-D396</f>
        <v>0</v>
      </c>
      <c r="I397" s="76">
        <f t="shared" ref="I397" si="727">F397-F396</f>
        <v>0</v>
      </c>
      <c r="J397" s="76">
        <f>SUMIF(I$2:I397,"&gt;0")</f>
        <v>1540</v>
      </c>
      <c r="K397" s="76">
        <f t="shared" ref="K397" si="728">IFERROR(J397 - _xlfn.XLOOKUP(A397-30, $A$2:$A$14999,J$2:J$14999,"",-1,2),NA())</f>
        <v>78</v>
      </c>
      <c r="L397" s="76">
        <f>SUMIF(E$2:E397,"&gt;0")</f>
        <v>906</v>
      </c>
      <c r="M397" s="76">
        <f t="shared" ref="M397" si="729">IFERROR(L397 - _xlfn.XLOOKUP(A397-30, $A$2:$A$14999,L$2:L$14999,"",-1,2),NA())</f>
        <v>0</v>
      </c>
      <c r="N397" s="74">
        <f t="shared" ref="N397" si="730">F397*120</f>
        <v>2040</v>
      </c>
      <c r="O397" s="76">
        <f t="shared" ref="O397" si="731">N397-N396</f>
        <v>0</v>
      </c>
    </row>
    <row r="398" spans="1:15" x14ac:dyDescent="0.25">
      <c r="A398" s="77">
        <v>44535.125</v>
      </c>
      <c r="C398" s="74">
        <v>17</v>
      </c>
      <c r="D398" s="74">
        <v>0</v>
      </c>
      <c r="E398" s="431">
        <v>0</v>
      </c>
      <c r="F398" s="150">
        <f t="shared" ref="F398" si="732">C398+D398*10+_xlfn.IFNA(E398,0)</f>
        <v>17</v>
      </c>
      <c r="G398" s="76">
        <f t="shared" ref="G398" si="733">C398-C397</f>
        <v>0</v>
      </c>
      <c r="H398" s="76">
        <f t="shared" ref="H398" si="734">D398-D397</f>
        <v>0</v>
      </c>
      <c r="I398" s="76">
        <f t="shared" ref="I398" si="735">F398-F397</f>
        <v>0</v>
      </c>
      <c r="J398" s="76">
        <f>SUMIF(I$2:I398,"&gt;0")</f>
        <v>1540</v>
      </c>
      <c r="K398" s="76">
        <f t="shared" ref="K398" si="736">IFERROR(J398 - _xlfn.XLOOKUP(A398-30, $A$2:$A$14999,J$2:J$14999,"",-1,2),NA())</f>
        <v>78</v>
      </c>
      <c r="L398" s="76">
        <f>SUMIF(E$2:E398,"&gt;0")</f>
        <v>906</v>
      </c>
      <c r="M398" s="76">
        <f t="shared" ref="M398" si="737">IFERROR(L398 - _xlfn.XLOOKUP(A398-30, $A$2:$A$14999,L$2:L$14999,"",-1,2),NA())</f>
        <v>0</v>
      </c>
      <c r="N398" s="74">
        <f t="shared" ref="N398" si="738">F398*120</f>
        <v>2040</v>
      </c>
      <c r="O398" s="76">
        <f t="shared" ref="O398" si="739">N398-N397</f>
        <v>0</v>
      </c>
    </row>
    <row r="399" spans="1:15" x14ac:dyDescent="0.25">
      <c r="A399" s="77">
        <v>44535.145833333336</v>
      </c>
      <c r="B399" s="105" t="s">
        <v>505</v>
      </c>
      <c r="C399" s="74">
        <v>0</v>
      </c>
      <c r="D399" s="74">
        <v>0</v>
      </c>
      <c r="E399" s="431">
        <v>0</v>
      </c>
      <c r="F399" s="150">
        <f t="shared" ref="F399" si="740">C399+D399*10+_xlfn.IFNA(E399,0)</f>
        <v>0</v>
      </c>
      <c r="G399" s="76">
        <f t="shared" ref="G399" si="741">C399-C398</f>
        <v>-17</v>
      </c>
      <c r="H399" s="76">
        <f t="shared" ref="H399" si="742">D399-D398</f>
        <v>0</v>
      </c>
      <c r="I399" s="76">
        <f t="shared" ref="I399" si="743">F399-F398</f>
        <v>-17</v>
      </c>
      <c r="J399" s="76">
        <f>SUMIF(I$2:I399,"&gt;0")</f>
        <v>1540</v>
      </c>
      <c r="K399" s="76">
        <f t="shared" ref="K399" si="744">IFERROR(J399 - _xlfn.XLOOKUP(A399-30, $A$2:$A$14999,J$2:J$14999,"",-1,2),NA())</f>
        <v>78</v>
      </c>
      <c r="L399" s="76">
        <f>SUMIF(E$2:E399,"&gt;0")</f>
        <v>906</v>
      </c>
      <c r="M399" s="76">
        <f t="shared" ref="M399" si="745">IFERROR(L399 - _xlfn.XLOOKUP(A399-30, $A$2:$A$14999,L$2:L$14999,"",-1,2),NA())</f>
        <v>0</v>
      </c>
      <c r="N399" s="74">
        <f t="shared" ref="N399" si="746">F399*120</f>
        <v>0</v>
      </c>
      <c r="O399" s="76">
        <f t="shared" ref="O399" si="747">N399-N398</f>
        <v>-2040</v>
      </c>
    </row>
    <row r="400" spans="1:15" x14ac:dyDescent="0.25">
      <c r="A400" s="77">
        <v>44537.065972222219</v>
      </c>
      <c r="C400" s="74">
        <v>0</v>
      </c>
      <c r="D400" s="74">
        <v>0</v>
      </c>
      <c r="E400" s="431">
        <v>0</v>
      </c>
      <c r="F400" s="150">
        <f t="shared" ref="F400" si="748">C400+D400*10+_xlfn.IFNA(E400,0)</f>
        <v>0</v>
      </c>
      <c r="G400" s="76">
        <f t="shared" ref="G400" si="749">C400-C399</f>
        <v>0</v>
      </c>
      <c r="H400" s="76">
        <f t="shared" ref="H400" si="750">D400-D399</f>
        <v>0</v>
      </c>
      <c r="I400" s="76">
        <f t="shared" ref="I400" si="751">F400-F399</f>
        <v>0</v>
      </c>
      <c r="J400" s="76">
        <f>SUMIF(I$2:I400,"&gt;0")</f>
        <v>1540</v>
      </c>
      <c r="K400" s="76">
        <f t="shared" ref="K400" si="752">IFERROR(J400 - _xlfn.XLOOKUP(A400-30, $A$2:$A$14999,J$2:J$14999,"",-1,2),NA())</f>
        <v>78</v>
      </c>
      <c r="L400" s="76">
        <f>SUMIF(E$2:E400,"&gt;0")</f>
        <v>906</v>
      </c>
      <c r="M400" s="76">
        <f t="shared" ref="M400" si="753">IFERROR(L400 - _xlfn.XLOOKUP(A400-30, $A$2:$A$14999,L$2:L$14999,"",-1,2),NA())</f>
        <v>0</v>
      </c>
      <c r="N400" s="74">
        <f t="shared" ref="N400" si="754">F400*120</f>
        <v>0</v>
      </c>
      <c r="O400" s="76">
        <f t="shared" ref="O400" si="755">N400-N399</f>
        <v>0</v>
      </c>
    </row>
    <row r="401" spans="1:15" x14ac:dyDescent="0.25">
      <c r="A401" s="77">
        <v>44540.908333333333</v>
      </c>
      <c r="C401" s="74">
        <v>3</v>
      </c>
      <c r="D401" s="74">
        <v>0</v>
      </c>
      <c r="E401" s="431">
        <v>0</v>
      </c>
      <c r="F401" s="150">
        <f t="shared" ref="F401" si="756">C401+D401*10+_xlfn.IFNA(E401,0)</f>
        <v>3</v>
      </c>
      <c r="G401" s="76">
        <f t="shared" ref="G401" si="757">C401-C400</f>
        <v>3</v>
      </c>
      <c r="H401" s="76">
        <f t="shared" ref="H401" si="758">D401-D400</f>
        <v>0</v>
      </c>
      <c r="I401" s="76">
        <f t="shared" ref="I401" si="759">F401-F400</f>
        <v>3</v>
      </c>
      <c r="J401" s="76">
        <f>SUMIF(I$2:I401,"&gt;0")</f>
        <v>1543</v>
      </c>
      <c r="K401" s="76">
        <f t="shared" ref="K401" si="760">IFERROR(J401 - _xlfn.XLOOKUP(A401-30, $A$2:$A$14999,J$2:J$14999,"",-1,2),NA())</f>
        <v>80</v>
      </c>
      <c r="L401" s="76">
        <f>SUMIF(E$2:E401,"&gt;0")</f>
        <v>906</v>
      </c>
      <c r="M401" s="76">
        <f t="shared" ref="M401" si="761">IFERROR(L401 - _xlfn.XLOOKUP(A401-30, $A$2:$A$14999,L$2:L$14999,"",-1,2),NA())</f>
        <v>0</v>
      </c>
      <c r="N401" s="74">
        <f t="shared" ref="N401" si="762">F401*120</f>
        <v>360</v>
      </c>
      <c r="O401" s="76">
        <f t="shared" ref="O401" si="763">N401-N400</f>
        <v>360</v>
      </c>
    </row>
    <row r="402" spans="1:15" x14ac:dyDescent="0.25">
      <c r="A402" s="77">
        <v>44542.65347222222</v>
      </c>
      <c r="C402" s="74">
        <v>5</v>
      </c>
      <c r="D402" s="74">
        <v>0</v>
      </c>
      <c r="E402" s="431">
        <v>0</v>
      </c>
      <c r="F402" s="150">
        <f t="shared" ref="F402" si="764">C402+D402*10+_xlfn.IFNA(E402,0)</f>
        <v>5</v>
      </c>
      <c r="G402" s="76">
        <f t="shared" ref="G402" si="765">C402-C401</f>
        <v>2</v>
      </c>
      <c r="H402" s="76">
        <f t="shared" ref="H402" si="766">D402-D401</f>
        <v>0</v>
      </c>
      <c r="I402" s="76">
        <f t="shared" ref="I402" si="767">F402-F401</f>
        <v>2</v>
      </c>
      <c r="J402" s="76">
        <f>SUMIF(I$2:I402,"&gt;0")</f>
        <v>1545</v>
      </c>
      <c r="K402" s="76">
        <f t="shared" ref="K402" si="768">IFERROR(J402 - _xlfn.XLOOKUP(A402-30, $A$2:$A$14999,J$2:J$14999,"",-1,2),NA())</f>
        <v>81</v>
      </c>
      <c r="L402" s="76">
        <f>SUMIF(E$2:E402,"&gt;0")</f>
        <v>906</v>
      </c>
      <c r="M402" s="76">
        <f t="shared" ref="M402" si="769">IFERROR(L402 - _xlfn.XLOOKUP(A402-30, $A$2:$A$14999,L$2:L$14999,"",-1,2),NA())</f>
        <v>0</v>
      </c>
      <c r="N402" s="74">
        <f t="shared" ref="N402" si="770">F402*120</f>
        <v>600</v>
      </c>
      <c r="O402" s="76">
        <f t="shared" ref="O402" si="771">N402-N401</f>
        <v>240</v>
      </c>
    </row>
    <row r="403" spans="1:15" x14ac:dyDescent="0.25">
      <c r="A403" s="77">
        <v>44546.693055555559</v>
      </c>
      <c r="C403" s="74">
        <v>11</v>
      </c>
      <c r="D403" s="74">
        <v>1</v>
      </c>
      <c r="E403" s="431">
        <v>0</v>
      </c>
      <c r="F403" s="150">
        <f t="shared" ref="F403" si="772">C403+D403*10+_xlfn.IFNA(E403,0)</f>
        <v>21</v>
      </c>
      <c r="G403" s="76">
        <f t="shared" ref="G403" si="773">C403-C402</f>
        <v>6</v>
      </c>
      <c r="H403" s="76">
        <f t="shared" ref="H403" si="774">D403-D402</f>
        <v>1</v>
      </c>
      <c r="I403" s="76">
        <f t="shared" ref="I403" si="775">F403-F402</f>
        <v>16</v>
      </c>
      <c r="J403" s="76">
        <f>SUMIF(I$2:I403,"&gt;0")</f>
        <v>1561</v>
      </c>
      <c r="K403" s="76">
        <f t="shared" ref="K403" si="776">IFERROR(J403 - _xlfn.XLOOKUP(A403-30, $A$2:$A$14999,J$2:J$14999,"",-1,2),NA())</f>
        <v>94</v>
      </c>
      <c r="L403" s="76">
        <f>SUMIF(E$2:E403,"&gt;0")</f>
        <v>906</v>
      </c>
      <c r="M403" s="76">
        <f t="shared" ref="M403" si="777">IFERROR(L403 - _xlfn.XLOOKUP(A403-30, $A$2:$A$14999,L$2:L$14999,"",-1,2),NA())</f>
        <v>0</v>
      </c>
      <c r="N403" s="74">
        <f t="shared" ref="N403" si="778">F403*120</f>
        <v>2520</v>
      </c>
      <c r="O403" s="76">
        <f t="shared" ref="O403" si="779">N403-N402</f>
        <v>1920</v>
      </c>
    </row>
    <row r="404" spans="1:15" x14ac:dyDescent="0.25">
      <c r="A404" s="77">
        <v>44547.987500000003</v>
      </c>
      <c r="C404" s="74">
        <v>11</v>
      </c>
      <c r="D404" s="74">
        <v>1</v>
      </c>
      <c r="E404" s="431">
        <v>0</v>
      </c>
      <c r="F404" s="150">
        <f t="shared" ref="F404:F405" si="780">C404+D404*10+_xlfn.IFNA(E404,0)</f>
        <v>21</v>
      </c>
      <c r="G404" s="76">
        <f t="shared" ref="G404" si="781">C404-C403</f>
        <v>0</v>
      </c>
      <c r="H404" s="76">
        <f t="shared" ref="H404" si="782">D404-D403</f>
        <v>0</v>
      </c>
      <c r="I404" s="76">
        <f t="shared" ref="I404" si="783">F404-F403</f>
        <v>0</v>
      </c>
      <c r="J404" s="76">
        <f>SUMIF(I$2:I404,"&gt;0")</f>
        <v>1561</v>
      </c>
      <c r="K404" s="76">
        <f t="shared" ref="K404" si="784">IFERROR(J404 - _xlfn.XLOOKUP(A404-30, $A$2:$A$14999,J$2:J$14999,"",-1,2),NA())</f>
        <v>86</v>
      </c>
      <c r="L404" s="76">
        <f>SUMIF(E$2:E404,"&gt;0")</f>
        <v>906</v>
      </c>
      <c r="M404" s="76">
        <f t="shared" ref="M404" si="785">IFERROR(L404 - _xlfn.XLOOKUP(A404-30, $A$2:$A$14999,L$2:L$14999,"",-1,2),NA())</f>
        <v>0</v>
      </c>
      <c r="N404" s="74">
        <f t="shared" ref="N404" si="786">F404*120</f>
        <v>2520</v>
      </c>
      <c r="O404" s="76">
        <f t="shared" ref="O404" si="787">N404-N403</f>
        <v>0</v>
      </c>
    </row>
    <row r="405" spans="1:15" x14ac:dyDescent="0.25">
      <c r="A405" s="77">
        <v>44548.350694444445</v>
      </c>
      <c r="C405" s="74">
        <v>0</v>
      </c>
      <c r="D405" s="74">
        <v>0</v>
      </c>
      <c r="E405" s="431">
        <v>0</v>
      </c>
      <c r="F405" s="150">
        <f t="shared" si="780"/>
        <v>0</v>
      </c>
      <c r="G405" s="76">
        <f t="shared" ref="G405" si="788">C405-C404</f>
        <v>-11</v>
      </c>
      <c r="H405" s="76">
        <f t="shared" ref="H405" si="789">D405-D404</f>
        <v>-1</v>
      </c>
      <c r="I405" s="76">
        <f t="shared" ref="I405" si="790">F405-F404</f>
        <v>-21</v>
      </c>
      <c r="J405" s="76">
        <f>SUMIF(I$2:I405,"&gt;0")</f>
        <v>1561</v>
      </c>
      <c r="K405" s="76">
        <f t="shared" ref="K405" si="791">IFERROR(J405 - _xlfn.XLOOKUP(A405-30, $A$2:$A$14999,J$2:J$14999,"",-1,2),NA())</f>
        <v>86</v>
      </c>
      <c r="L405" s="76">
        <f>SUMIF(E$2:E405,"&gt;0")</f>
        <v>906</v>
      </c>
      <c r="M405" s="76">
        <f t="shared" ref="M405" si="792">IFERROR(L405 - _xlfn.XLOOKUP(A405-30, $A$2:$A$14999,L$2:L$14999,"",-1,2),NA())</f>
        <v>0</v>
      </c>
      <c r="N405" s="74">
        <f t="shared" ref="N405" si="793">F405*120</f>
        <v>0</v>
      </c>
      <c r="O405" s="76">
        <f t="shared" ref="O405" si="794">N405-N404</f>
        <v>-2520</v>
      </c>
    </row>
    <row r="406" spans="1:15" x14ac:dyDescent="0.25">
      <c r="A406" s="77">
        <v>44550.240972222222</v>
      </c>
      <c r="C406" s="74">
        <v>9</v>
      </c>
      <c r="D406" s="74">
        <v>0</v>
      </c>
      <c r="E406" s="431">
        <v>0</v>
      </c>
      <c r="F406" s="150">
        <f t="shared" ref="F406" si="795">C406+D406*10+_xlfn.IFNA(E406,0)</f>
        <v>9</v>
      </c>
      <c r="G406" s="76">
        <f t="shared" ref="G406" si="796">C406-C405</f>
        <v>9</v>
      </c>
      <c r="H406" s="76">
        <f t="shared" ref="H406" si="797">D406-D405</f>
        <v>0</v>
      </c>
      <c r="I406" s="76">
        <f t="shared" ref="I406" si="798">F406-F405</f>
        <v>9</v>
      </c>
      <c r="J406" s="76">
        <f>SUMIF(I$2:I406,"&gt;0")</f>
        <v>1570</v>
      </c>
      <c r="K406" s="76">
        <f t="shared" ref="K406" si="799">IFERROR(J406 - _xlfn.XLOOKUP(A406-30, $A$2:$A$14999,J$2:J$14999,"",-1,2),NA())</f>
        <v>83</v>
      </c>
      <c r="L406" s="76">
        <f>SUMIF(E$2:E406,"&gt;0")</f>
        <v>906</v>
      </c>
      <c r="M406" s="76">
        <f t="shared" ref="M406" si="800">IFERROR(L406 - _xlfn.XLOOKUP(A406-30, $A$2:$A$14999,L$2:L$14999,"",-1,2),NA())</f>
        <v>0</v>
      </c>
      <c r="N406" s="74">
        <f t="shared" ref="N406" si="801">F406*120</f>
        <v>1080</v>
      </c>
      <c r="O406" s="76">
        <f t="shared" ref="O406" si="802">N406-N405</f>
        <v>1080</v>
      </c>
    </row>
    <row r="407" spans="1:15" x14ac:dyDescent="0.25">
      <c r="A407" s="77">
        <v>44553.688888888886</v>
      </c>
      <c r="C407" s="74">
        <v>19</v>
      </c>
      <c r="D407" s="74">
        <v>0</v>
      </c>
      <c r="E407" s="431">
        <v>0</v>
      </c>
      <c r="F407" s="150">
        <f t="shared" ref="F407" si="803">C407+D407*10+_xlfn.IFNA(E407,0)</f>
        <v>19</v>
      </c>
      <c r="G407" s="76">
        <f t="shared" ref="G407" si="804">C407-C406</f>
        <v>10</v>
      </c>
      <c r="H407" s="76">
        <f t="shared" ref="H407" si="805">D407-D406</f>
        <v>0</v>
      </c>
      <c r="I407" s="76">
        <f t="shared" ref="I407" si="806">F407-F406</f>
        <v>10</v>
      </c>
      <c r="J407" s="76">
        <f>SUMIF(I$2:I407,"&gt;0")</f>
        <v>1580</v>
      </c>
      <c r="K407" s="76">
        <f t="shared" ref="K407" si="807">IFERROR(J407 - _xlfn.XLOOKUP(A407-30, $A$2:$A$14999,J$2:J$14999,"",-1,2),NA())</f>
        <v>88</v>
      </c>
      <c r="L407" s="76">
        <f>SUMIF(E$2:E407,"&gt;0")</f>
        <v>906</v>
      </c>
      <c r="M407" s="76">
        <f t="shared" ref="M407" si="808">IFERROR(L407 - _xlfn.XLOOKUP(A407-30, $A$2:$A$14999,L$2:L$14999,"",-1,2),NA())</f>
        <v>0</v>
      </c>
      <c r="N407" s="74">
        <f t="shared" ref="N407" si="809">F407*120</f>
        <v>2280</v>
      </c>
      <c r="O407" s="76">
        <f t="shared" ref="O407" si="810">N407-N406</f>
        <v>1200</v>
      </c>
    </row>
    <row r="408" spans="1:15" x14ac:dyDescent="0.25">
      <c r="A408" s="77">
        <v>44556.202777777777</v>
      </c>
      <c r="C408" s="74">
        <v>19</v>
      </c>
      <c r="D408" s="74">
        <v>1</v>
      </c>
      <c r="E408" s="431">
        <v>0</v>
      </c>
      <c r="F408" s="150">
        <f t="shared" ref="F408" si="811">C408+D408*10+_xlfn.IFNA(E408,0)</f>
        <v>29</v>
      </c>
      <c r="G408" s="76">
        <f t="shared" ref="G408" si="812">C408-C407</f>
        <v>0</v>
      </c>
      <c r="H408" s="76">
        <f t="shared" ref="H408" si="813">D408-D407</f>
        <v>1</v>
      </c>
      <c r="I408" s="76">
        <f t="shared" ref="I408" si="814">F408-F407</f>
        <v>10</v>
      </c>
      <c r="J408" s="76">
        <f>SUMIF(I$2:I408,"&gt;0")</f>
        <v>1590</v>
      </c>
      <c r="K408" s="76">
        <f t="shared" ref="K408" si="815">IFERROR(J408 - _xlfn.XLOOKUP(A408-30, $A$2:$A$14999,J$2:J$14999,"",-1,2),NA())</f>
        <v>88</v>
      </c>
      <c r="L408" s="76">
        <f>SUMIF(E$2:E408,"&gt;0")</f>
        <v>906</v>
      </c>
      <c r="M408" s="76">
        <f t="shared" ref="M408" si="816">IFERROR(L408 - _xlfn.XLOOKUP(A408-30, $A$2:$A$14999,L$2:L$14999,"",-1,2),NA())</f>
        <v>0</v>
      </c>
      <c r="N408" s="74">
        <f t="shared" ref="N408" si="817">F408*120</f>
        <v>3480</v>
      </c>
      <c r="O408" s="76">
        <f t="shared" ref="O408" si="818">N408-N407</f>
        <v>1200</v>
      </c>
    </row>
    <row r="409" spans="1:15" x14ac:dyDescent="0.25">
      <c r="A409" s="77">
        <v>44559.042361111111</v>
      </c>
      <c r="C409" s="74">
        <v>25</v>
      </c>
      <c r="D409" s="74">
        <v>1</v>
      </c>
      <c r="E409" s="431">
        <v>0</v>
      </c>
      <c r="F409" s="150">
        <f t="shared" ref="F409" si="819">C409+D409*10+_xlfn.IFNA(E409,0)</f>
        <v>35</v>
      </c>
      <c r="G409" s="76">
        <f t="shared" ref="G409" si="820">C409-C408</f>
        <v>6</v>
      </c>
      <c r="H409" s="76">
        <f t="shared" ref="H409" si="821">D409-D408</f>
        <v>0</v>
      </c>
      <c r="I409" s="76">
        <f t="shared" ref="I409" si="822">F409-F408</f>
        <v>6</v>
      </c>
      <c r="J409" s="76">
        <f>SUMIF(I$2:I409,"&gt;0")</f>
        <v>1596</v>
      </c>
      <c r="K409" s="76">
        <f t="shared" ref="K409" si="823">IFERROR(J409 - _xlfn.XLOOKUP(A409-30, $A$2:$A$14999,J$2:J$14999,"",-1,2),NA())</f>
        <v>73</v>
      </c>
      <c r="L409" s="76">
        <f>SUMIF(E$2:E409,"&gt;0")</f>
        <v>906</v>
      </c>
      <c r="M409" s="76">
        <f t="shared" ref="M409" si="824">IFERROR(L409 - _xlfn.XLOOKUP(A409-30, $A$2:$A$14999,L$2:L$14999,"",-1,2),NA())</f>
        <v>0</v>
      </c>
      <c r="N409" s="74">
        <f t="shared" ref="N409" si="825">F409*120</f>
        <v>4200</v>
      </c>
      <c r="O409" s="76">
        <f t="shared" ref="O409" si="826">N409-N408</f>
        <v>720</v>
      </c>
    </row>
    <row r="410" spans="1:15" x14ac:dyDescent="0.25">
      <c r="A410" s="77">
        <v>44560.990277777775</v>
      </c>
      <c r="C410" s="74">
        <v>25</v>
      </c>
      <c r="D410" s="74">
        <v>1</v>
      </c>
      <c r="E410" s="431">
        <v>0</v>
      </c>
      <c r="F410" s="150">
        <f t="shared" ref="F410" si="827">C410+D410*10+_xlfn.IFNA(E410,0)</f>
        <v>35</v>
      </c>
      <c r="G410" s="76">
        <f t="shared" ref="G410" si="828">C410-C409</f>
        <v>0</v>
      </c>
      <c r="H410" s="76">
        <f t="shared" ref="H410" si="829">D410-D409</f>
        <v>0</v>
      </c>
      <c r="I410" s="76">
        <f t="shared" ref="I410" si="830">F410-F409</f>
        <v>0</v>
      </c>
      <c r="J410" s="76">
        <f>SUMIF(I$2:I410,"&gt;0")</f>
        <v>1596</v>
      </c>
      <c r="K410" s="76">
        <f t="shared" ref="K410" si="831">IFERROR(J410 - _xlfn.XLOOKUP(A410-30, $A$2:$A$14999,J$2:J$14999,"",-1,2),NA())</f>
        <v>73</v>
      </c>
      <c r="L410" s="76">
        <f>SUMIF(E$2:E410,"&gt;0")</f>
        <v>906</v>
      </c>
      <c r="M410" s="76">
        <f t="shared" ref="M410" si="832">IFERROR(L410 - _xlfn.XLOOKUP(A410-30, $A$2:$A$14999,L$2:L$14999,"",-1,2),NA())</f>
        <v>0</v>
      </c>
      <c r="N410" s="74">
        <f t="shared" ref="N410" si="833">F410*120</f>
        <v>4200</v>
      </c>
      <c r="O410" s="76">
        <f t="shared" ref="O410" si="834">N410-N409</f>
        <v>0</v>
      </c>
    </row>
    <row r="411" spans="1:15" x14ac:dyDescent="0.25">
      <c r="A411" s="77">
        <v>44561.192361111112</v>
      </c>
      <c r="B411" s="21" t="s">
        <v>506</v>
      </c>
      <c r="C411" s="74">
        <v>0</v>
      </c>
      <c r="D411" s="74">
        <v>0</v>
      </c>
      <c r="E411" s="431">
        <v>0</v>
      </c>
      <c r="F411" s="150">
        <f t="shared" ref="F411" si="835">C411+D411*10+_xlfn.IFNA(E411,0)</f>
        <v>0</v>
      </c>
      <c r="G411" s="76">
        <f t="shared" ref="G411" si="836">C411-C410</f>
        <v>-25</v>
      </c>
      <c r="H411" s="76">
        <f t="shared" ref="H411" si="837">D411-D410</f>
        <v>-1</v>
      </c>
      <c r="I411" s="76">
        <f t="shared" ref="I411" si="838">F411-F410</f>
        <v>-35</v>
      </c>
      <c r="J411" s="76">
        <f>SUMIF(I$2:I411,"&gt;0")</f>
        <v>1596</v>
      </c>
      <c r="K411" s="76">
        <f t="shared" ref="K411" si="839">IFERROR(J411 - _xlfn.XLOOKUP(A411-30, $A$2:$A$14999,J$2:J$14999,"",-1,2),NA())</f>
        <v>73</v>
      </c>
      <c r="L411" s="76">
        <f>SUMIF(E$2:E411,"&gt;0")</f>
        <v>906</v>
      </c>
      <c r="M411" s="76">
        <f t="shared" ref="M411" si="840">IFERROR(L411 - _xlfn.XLOOKUP(A411-30, $A$2:$A$14999,L$2:L$14999,"",-1,2),NA())</f>
        <v>0</v>
      </c>
      <c r="N411" s="74">
        <f t="shared" ref="N411" si="841">F411*120</f>
        <v>0</v>
      </c>
      <c r="O411" s="76">
        <f t="shared" ref="O411" si="842">N411-N410</f>
        <v>-4200</v>
      </c>
    </row>
    <row r="412" spans="1:15" x14ac:dyDescent="0.25">
      <c r="A412" s="77">
        <v>44561.692361111112</v>
      </c>
      <c r="C412" s="74">
        <v>33</v>
      </c>
      <c r="D412" s="74">
        <v>1</v>
      </c>
      <c r="E412" s="431">
        <v>0</v>
      </c>
      <c r="F412" s="150">
        <f t="shared" ref="F412:F414" si="843">C412+D412*10+_xlfn.IFNA(E412,0)</f>
        <v>43</v>
      </c>
      <c r="G412" s="76">
        <f t="shared" ref="G412" si="844">C412-C411</f>
        <v>33</v>
      </c>
      <c r="H412" s="76">
        <f t="shared" ref="H412" si="845">D412-D411</f>
        <v>1</v>
      </c>
      <c r="I412" s="76">
        <f t="shared" ref="I412" si="846">F412-F411</f>
        <v>43</v>
      </c>
      <c r="J412" s="76">
        <f>SUMIF(I$2:I412,"&gt;0")</f>
        <v>1639</v>
      </c>
      <c r="K412" s="76">
        <f t="shared" ref="K412" si="847">IFERROR(J412 - _xlfn.XLOOKUP(A412-30, $A$2:$A$14999,J$2:J$14999,"",-1,2),NA())</f>
        <v>116</v>
      </c>
      <c r="L412" s="76">
        <f>SUMIF(E$2:E412,"&gt;0")</f>
        <v>906</v>
      </c>
      <c r="M412" s="76">
        <f t="shared" ref="M412" si="848">IFERROR(L412 - _xlfn.XLOOKUP(A412-30, $A$2:$A$14999,L$2:L$14999,"",-1,2),NA())</f>
        <v>0</v>
      </c>
      <c r="N412" s="74">
        <f t="shared" ref="N412" si="849">F412*120</f>
        <v>5160</v>
      </c>
      <c r="O412" s="76">
        <f t="shared" ref="O412" si="850">N412-N411</f>
        <v>5160</v>
      </c>
    </row>
    <row r="413" spans="1:15" x14ac:dyDescent="0.25">
      <c r="A413" s="77">
        <v>44562.004166666666</v>
      </c>
      <c r="C413" s="74">
        <v>33</v>
      </c>
      <c r="D413" s="74">
        <v>1</v>
      </c>
      <c r="E413" s="431">
        <v>10</v>
      </c>
      <c r="F413" s="150">
        <f t="shared" si="843"/>
        <v>53</v>
      </c>
      <c r="G413" s="76">
        <f t="shared" ref="G413" si="851">C413-C412</f>
        <v>0</v>
      </c>
      <c r="H413" s="76">
        <f t="shared" ref="H413" si="852">D413-D412</f>
        <v>0</v>
      </c>
      <c r="I413" s="76">
        <f t="shared" ref="I413" si="853">F413-F412</f>
        <v>10</v>
      </c>
      <c r="J413" s="76">
        <f>SUMIF(I$2:I413,"&gt;0")</f>
        <v>1649</v>
      </c>
      <c r="K413" s="76">
        <f t="shared" ref="K413" si="854">IFERROR(J413 - _xlfn.XLOOKUP(A413-30, $A$2:$A$14999,J$2:J$14999,"",-1,2),NA())</f>
        <v>126</v>
      </c>
      <c r="L413" s="76">
        <f>SUMIF(E$2:E413,"&gt;0")</f>
        <v>916</v>
      </c>
      <c r="M413" s="76">
        <f t="shared" ref="M413" si="855">IFERROR(L413 - _xlfn.XLOOKUP(A413-30, $A$2:$A$14999,L$2:L$14999,"",-1,2),NA())</f>
        <v>10</v>
      </c>
      <c r="N413" s="74">
        <f t="shared" ref="N413" si="856">F413*120</f>
        <v>6360</v>
      </c>
      <c r="O413" s="76">
        <f t="shared" ref="O413" si="857">N413-N412</f>
        <v>1200</v>
      </c>
    </row>
    <row r="414" spans="1:15" x14ac:dyDescent="0.25">
      <c r="A414" s="77">
        <v>44563.009722222225</v>
      </c>
      <c r="C414" s="74">
        <v>42</v>
      </c>
      <c r="D414" s="74">
        <v>2</v>
      </c>
      <c r="E414" s="431">
        <v>10</v>
      </c>
      <c r="F414" s="150">
        <f t="shared" si="843"/>
        <v>72</v>
      </c>
      <c r="G414" s="76">
        <f t="shared" ref="G414" si="858">C414-C413</f>
        <v>9</v>
      </c>
      <c r="H414" s="76">
        <f t="shared" ref="H414" si="859">D414-D413</f>
        <v>1</v>
      </c>
      <c r="I414" s="76">
        <f t="shared" ref="I414" si="860">F414-F413</f>
        <v>19</v>
      </c>
      <c r="J414" s="76">
        <f>SUMIF(I$2:I414,"&gt;0")</f>
        <v>1668</v>
      </c>
      <c r="K414" s="76">
        <f t="shared" ref="K414" si="861">IFERROR(J414 - _xlfn.XLOOKUP(A414-30, $A$2:$A$14999,J$2:J$14999,"",-1,2),NA())</f>
        <v>128</v>
      </c>
      <c r="L414" s="76">
        <f>SUMIF(E$2:E414,"&gt;0")</f>
        <v>926</v>
      </c>
      <c r="M414" s="76">
        <f t="shared" ref="M414" si="862">IFERROR(L414 - _xlfn.XLOOKUP(A414-30, $A$2:$A$14999,L$2:L$14999,"",-1,2),NA())</f>
        <v>20</v>
      </c>
      <c r="N414" s="74">
        <f t="shared" ref="N414" si="863">F414*120</f>
        <v>8640</v>
      </c>
      <c r="O414" s="76">
        <f t="shared" ref="O414" si="864">N414-N413</f>
        <v>2280</v>
      </c>
    </row>
    <row r="415" spans="1:15" x14ac:dyDescent="0.25">
      <c r="A415" s="77">
        <v>44564.727083333331</v>
      </c>
      <c r="C415" s="74">
        <v>43</v>
      </c>
      <c r="D415" s="74">
        <v>2</v>
      </c>
      <c r="E415" s="431">
        <v>10</v>
      </c>
      <c r="F415" s="150">
        <f t="shared" ref="F415:F416" si="865">C415+D415*10+_xlfn.IFNA(E415,0)</f>
        <v>73</v>
      </c>
      <c r="G415" s="76">
        <f t="shared" ref="G415" si="866">C415-C414</f>
        <v>1</v>
      </c>
      <c r="H415" s="76">
        <f t="shared" ref="H415" si="867">D415-D414</f>
        <v>0</v>
      </c>
      <c r="I415" s="76">
        <f t="shared" ref="I415" si="868">F415-F414</f>
        <v>1</v>
      </c>
      <c r="J415" s="76">
        <f>SUMIF(I$2:I415,"&gt;0")</f>
        <v>1669</v>
      </c>
      <c r="K415" s="76">
        <f t="shared" ref="K415" si="869">IFERROR(J415 - _xlfn.XLOOKUP(A415-30, $A$2:$A$14999,J$2:J$14999,"",-1,2),NA())</f>
        <v>129</v>
      </c>
      <c r="L415" s="76">
        <f>SUMIF(E$2:E415,"&gt;0")</f>
        <v>936</v>
      </c>
      <c r="M415" s="76">
        <f t="shared" ref="M415" si="870">IFERROR(L415 - _xlfn.XLOOKUP(A415-30, $A$2:$A$14999,L$2:L$14999,"",-1,2),NA())</f>
        <v>30</v>
      </c>
      <c r="N415" s="74">
        <f t="shared" ref="N415" si="871">F415*120</f>
        <v>8760</v>
      </c>
      <c r="O415" s="76">
        <f t="shared" ref="O415" si="872">N415-N414</f>
        <v>120</v>
      </c>
    </row>
    <row r="416" spans="1:15" x14ac:dyDescent="0.25">
      <c r="A416" s="77">
        <v>44565.583333333336</v>
      </c>
      <c r="C416" s="74">
        <v>47</v>
      </c>
      <c r="D416" s="74">
        <v>2</v>
      </c>
      <c r="E416" s="431">
        <v>10</v>
      </c>
      <c r="F416" s="150">
        <f t="shared" si="865"/>
        <v>77</v>
      </c>
      <c r="G416" s="76">
        <f t="shared" ref="G416" si="873">C416-C415</f>
        <v>4</v>
      </c>
      <c r="H416" s="76">
        <f t="shared" ref="H416" si="874">D416-D415</f>
        <v>0</v>
      </c>
      <c r="I416" s="76">
        <f t="shared" ref="I416" si="875">F416-F415</f>
        <v>4</v>
      </c>
      <c r="J416" s="76">
        <f>SUMIF(I$2:I416,"&gt;0")</f>
        <v>1673</v>
      </c>
      <c r="K416" s="76">
        <f t="shared" ref="K416" si="876">IFERROR(J416 - _xlfn.XLOOKUP(A416-30, $A$2:$A$14999,J$2:J$14999,"",-1,2),NA())</f>
        <v>133</v>
      </c>
      <c r="L416" s="76">
        <f>SUMIF(E$2:E416,"&gt;0")</f>
        <v>946</v>
      </c>
      <c r="M416" s="76">
        <f t="shared" ref="M416" si="877">IFERROR(L416 - _xlfn.XLOOKUP(A416-30, $A$2:$A$14999,L$2:L$14999,"",-1,2),NA())</f>
        <v>40</v>
      </c>
      <c r="N416" s="74">
        <f t="shared" ref="N416" si="878">F416*120</f>
        <v>9240</v>
      </c>
      <c r="O416" s="76">
        <f t="shared" ref="O416" si="879">N416-N415</f>
        <v>480</v>
      </c>
    </row>
    <row r="417" spans="1:15" x14ac:dyDescent="0.25">
      <c r="A417" s="77">
        <v>44567.49722222222</v>
      </c>
      <c r="C417" s="74">
        <v>49</v>
      </c>
      <c r="D417" s="74">
        <v>3</v>
      </c>
      <c r="E417" s="431">
        <v>10</v>
      </c>
      <c r="F417" s="150">
        <f t="shared" ref="F417" si="880">C417+D417*10+_xlfn.IFNA(E417,0)</f>
        <v>89</v>
      </c>
      <c r="G417" s="76">
        <f t="shared" ref="G417" si="881">C417-C416</f>
        <v>2</v>
      </c>
      <c r="H417" s="76">
        <f t="shared" ref="H417" si="882">D417-D416</f>
        <v>1</v>
      </c>
      <c r="I417" s="76">
        <f t="shared" ref="I417" si="883">F417-F416</f>
        <v>12</v>
      </c>
      <c r="J417" s="76">
        <f>SUMIF(I$2:I417,"&gt;0")</f>
        <v>1685</v>
      </c>
      <c r="K417" s="76">
        <f t="shared" ref="K417" si="884">IFERROR(J417 - _xlfn.XLOOKUP(A417-30, $A$2:$A$14999,J$2:J$14999,"",-1,2),NA())</f>
        <v>145</v>
      </c>
      <c r="L417" s="76">
        <f>SUMIF(E$2:E417,"&gt;0")</f>
        <v>956</v>
      </c>
      <c r="M417" s="76">
        <f t="shared" ref="M417" si="885">IFERROR(L417 - _xlfn.XLOOKUP(A417-30, $A$2:$A$14999,L$2:L$14999,"",-1,2),NA())</f>
        <v>50</v>
      </c>
      <c r="N417" s="74">
        <f t="shared" ref="N417" si="886">F417*120</f>
        <v>10680</v>
      </c>
      <c r="O417" s="76">
        <f t="shared" ref="O417" si="887">N417-N416</f>
        <v>1440</v>
      </c>
    </row>
    <row r="418" spans="1:15" x14ac:dyDescent="0.25">
      <c r="A418" s="77">
        <v>44570.828472222223</v>
      </c>
      <c r="C418" s="74">
        <v>53</v>
      </c>
      <c r="D418" s="74">
        <v>3</v>
      </c>
      <c r="E418" s="431">
        <v>10</v>
      </c>
      <c r="F418" s="150">
        <f t="shared" ref="F418:F420" si="888">C418+D418*10+_xlfn.IFNA(E418,0)</f>
        <v>93</v>
      </c>
      <c r="G418" s="76">
        <f t="shared" ref="G418" si="889">C418-C417</f>
        <v>4</v>
      </c>
      <c r="H418" s="76">
        <f t="shared" ref="H418" si="890">D418-D417</f>
        <v>0</v>
      </c>
      <c r="I418" s="76">
        <f t="shared" ref="I418" si="891">F418-F417</f>
        <v>4</v>
      </c>
      <c r="J418" s="76">
        <f>SUMIF(I$2:I418,"&gt;0")</f>
        <v>1689</v>
      </c>
      <c r="K418" s="76">
        <f t="shared" ref="K418" si="892">IFERROR(J418 - _xlfn.XLOOKUP(A418-30, $A$2:$A$14999,J$2:J$14999,"",-1,2),NA())</f>
        <v>149</v>
      </c>
      <c r="L418" s="76">
        <f>SUMIF(E$2:E418,"&gt;0")</f>
        <v>966</v>
      </c>
      <c r="M418" s="76">
        <f t="shared" ref="M418" si="893">IFERROR(L418 - _xlfn.XLOOKUP(A418-30, $A$2:$A$14999,L$2:L$14999,"",-1,2),NA())</f>
        <v>60</v>
      </c>
      <c r="N418" s="74">
        <f t="shared" ref="N418" si="894">F418*120</f>
        <v>11160</v>
      </c>
      <c r="O418" s="76">
        <f t="shared" ref="O418" si="895">N418-N417</f>
        <v>480</v>
      </c>
    </row>
    <row r="419" spans="1:15" x14ac:dyDescent="0.25">
      <c r="A419" s="77">
        <v>44573.958333333336</v>
      </c>
      <c r="C419" s="74">
        <v>56</v>
      </c>
      <c r="D419" s="74">
        <v>3</v>
      </c>
      <c r="E419" s="431">
        <v>0</v>
      </c>
      <c r="F419" s="150">
        <f t="shared" si="888"/>
        <v>86</v>
      </c>
      <c r="G419" s="76">
        <f t="shared" ref="G419" si="896">C419-C418</f>
        <v>3</v>
      </c>
      <c r="H419" s="76">
        <f t="shared" ref="H419" si="897">D419-D418</f>
        <v>0</v>
      </c>
      <c r="I419" s="76">
        <f t="shared" ref="I419" si="898">F419-F418</f>
        <v>-7</v>
      </c>
      <c r="J419" s="76">
        <f>SUMIF(I$2:I419,"&gt;0")</f>
        <v>1689</v>
      </c>
      <c r="K419" s="76">
        <f t="shared" ref="K419" si="899">IFERROR(J419 - _xlfn.XLOOKUP(A419-30, $A$2:$A$14999,J$2:J$14999,"",-1,2),NA())</f>
        <v>144</v>
      </c>
      <c r="L419" s="76">
        <f>SUMIF(E$2:E419,"&gt;0")</f>
        <v>966</v>
      </c>
      <c r="M419" s="76">
        <f t="shared" ref="M419" si="900">IFERROR(L419 - _xlfn.XLOOKUP(A419-30, $A$2:$A$14999,L$2:L$14999,"",-1,2),NA())</f>
        <v>60</v>
      </c>
      <c r="N419" s="74">
        <f t="shared" ref="N419" si="901">F419*120</f>
        <v>10320</v>
      </c>
      <c r="O419" s="76">
        <f t="shared" ref="O419" si="902">N419-N418</f>
        <v>-840</v>
      </c>
    </row>
    <row r="420" spans="1:15" x14ac:dyDescent="0.25">
      <c r="A420" s="77">
        <v>44574.103472222225</v>
      </c>
      <c r="C420" s="74">
        <v>0</v>
      </c>
      <c r="D420" s="74">
        <v>0</v>
      </c>
      <c r="E420" s="431">
        <v>0</v>
      </c>
      <c r="F420" s="150">
        <f t="shared" si="888"/>
        <v>0</v>
      </c>
      <c r="G420" s="76">
        <f t="shared" ref="G420" si="903">C420-C419</f>
        <v>-56</v>
      </c>
      <c r="H420" s="76">
        <f t="shared" ref="H420" si="904">D420-D419</f>
        <v>-3</v>
      </c>
      <c r="I420" s="76">
        <f t="shared" ref="I420" si="905">F420-F419</f>
        <v>-86</v>
      </c>
      <c r="J420" s="76">
        <f>SUMIF(I$2:I420,"&gt;0")</f>
        <v>1689</v>
      </c>
      <c r="K420" s="76">
        <f t="shared" ref="K420" si="906">IFERROR(J420 - _xlfn.XLOOKUP(A420-30, $A$2:$A$14999,J$2:J$14999,"",-1,2),NA())</f>
        <v>144</v>
      </c>
      <c r="L420" s="76">
        <f>SUMIF(E$2:E420,"&gt;0")</f>
        <v>966</v>
      </c>
      <c r="M420" s="76">
        <f t="shared" ref="M420" si="907">IFERROR(L420 - _xlfn.XLOOKUP(A420-30, $A$2:$A$14999,L$2:L$14999,"",-1,2),NA())</f>
        <v>60</v>
      </c>
      <c r="N420" s="74">
        <f t="shared" ref="N420" si="908">F420*120</f>
        <v>0</v>
      </c>
      <c r="O420" s="76">
        <f t="shared" ref="O420" si="909">N420-N419</f>
        <v>-10320</v>
      </c>
    </row>
    <row r="421" spans="1:15" x14ac:dyDescent="0.25">
      <c r="A421" s="77">
        <v>44577.917361111111</v>
      </c>
      <c r="C421" s="74">
        <v>4</v>
      </c>
      <c r="D421" s="74">
        <v>0</v>
      </c>
      <c r="E421" s="431">
        <v>0</v>
      </c>
      <c r="F421" s="150">
        <f t="shared" ref="F421" si="910">C421+D421*10+_xlfn.IFNA(E421,0)</f>
        <v>4</v>
      </c>
      <c r="G421" s="76">
        <f t="shared" ref="G421" si="911">C421-C420</f>
        <v>4</v>
      </c>
      <c r="H421" s="76">
        <f t="shared" ref="H421" si="912">D421-D420</f>
        <v>0</v>
      </c>
      <c r="I421" s="76">
        <f t="shared" ref="I421" si="913">F421-F420</f>
        <v>4</v>
      </c>
      <c r="J421" s="76">
        <f>SUMIF(I$2:I421,"&gt;0")</f>
        <v>1693</v>
      </c>
      <c r="K421" s="76">
        <f t="shared" ref="K421" si="914">IFERROR(J421 - _xlfn.XLOOKUP(A421-30, $A$2:$A$14999,J$2:J$14999,"",-1,2),NA())</f>
        <v>132</v>
      </c>
      <c r="L421" s="76">
        <f>SUMIF(E$2:E421,"&gt;0")</f>
        <v>966</v>
      </c>
      <c r="M421" s="76">
        <f t="shared" ref="M421" si="915">IFERROR(L421 - _xlfn.XLOOKUP(A421-30, $A$2:$A$14999,L$2:L$14999,"",-1,2),NA())</f>
        <v>60</v>
      </c>
      <c r="N421" s="74">
        <f t="shared" ref="N421" si="916">F421*120</f>
        <v>480</v>
      </c>
      <c r="O421" s="76">
        <f t="shared" ref="O421" si="917">N421-N420</f>
        <v>480</v>
      </c>
    </row>
    <row r="422" spans="1:15" x14ac:dyDescent="0.25">
      <c r="A422" s="77">
        <v>44581.916666666664</v>
      </c>
      <c r="C422" s="74">
        <v>9</v>
      </c>
      <c r="D422" s="74">
        <v>0</v>
      </c>
      <c r="E422" s="431">
        <v>0</v>
      </c>
      <c r="F422" s="150">
        <f t="shared" ref="F422" si="918">C422+D422*10+_xlfn.IFNA(E422,0)</f>
        <v>9</v>
      </c>
      <c r="G422" s="76">
        <f t="shared" ref="G422" si="919">C422-C421</f>
        <v>5</v>
      </c>
      <c r="H422" s="76">
        <f t="shared" ref="H422" si="920">D422-D421</f>
        <v>0</v>
      </c>
      <c r="I422" s="76">
        <f t="shared" ref="I422" si="921">F422-F421</f>
        <v>5</v>
      </c>
      <c r="J422" s="76">
        <f>SUMIF(I$2:I422,"&gt;0")</f>
        <v>1698</v>
      </c>
      <c r="K422" s="76">
        <f t="shared" ref="K422" si="922">IFERROR(J422 - _xlfn.XLOOKUP(A422-30, $A$2:$A$14999,J$2:J$14999,"",-1,2),NA())</f>
        <v>128</v>
      </c>
      <c r="L422" s="76">
        <f>SUMIF(E$2:E422,"&gt;0")</f>
        <v>966</v>
      </c>
      <c r="M422" s="76">
        <f t="shared" ref="M422" si="923">IFERROR(L422 - _xlfn.XLOOKUP(A422-30, $A$2:$A$14999,L$2:L$14999,"",-1,2),NA())</f>
        <v>60</v>
      </c>
      <c r="N422" s="74">
        <f t="shared" ref="N422" si="924">F422*120</f>
        <v>1080</v>
      </c>
      <c r="O422" s="76">
        <f t="shared" ref="O422" si="925">N422-N421</f>
        <v>600</v>
      </c>
    </row>
    <row r="423" spans="1:15" x14ac:dyDescent="0.25">
      <c r="A423" s="77">
        <v>44590.80972222222</v>
      </c>
      <c r="C423" s="74">
        <v>30</v>
      </c>
      <c r="D423" s="74">
        <v>2</v>
      </c>
      <c r="E423" s="431">
        <v>0</v>
      </c>
      <c r="F423" s="150">
        <f t="shared" ref="F423" si="926">C423+D423*10+_xlfn.IFNA(E423,0)</f>
        <v>50</v>
      </c>
      <c r="G423" s="76">
        <f t="shared" ref="G423" si="927">C423-C422</f>
        <v>21</v>
      </c>
      <c r="H423" s="76">
        <f t="shared" ref="H423" si="928">D423-D422</f>
        <v>2</v>
      </c>
      <c r="I423" s="76">
        <f t="shared" ref="I423" si="929">F423-F422</f>
        <v>41</v>
      </c>
      <c r="J423" s="76">
        <f>SUMIF(I$2:I423,"&gt;0")</f>
        <v>1739</v>
      </c>
      <c r="K423" s="76">
        <f t="shared" ref="K423" si="930">IFERROR(J423 - _xlfn.XLOOKUP(A423-30, $A$2:$A$14999,J$2:J$14999,"",-1,2),NA())</f>
        <v>143</v>
      </c>
      <c r="L423" s="76">
        <f>SUMIF(E$2:E423,"&gt;0")</f>
        <v>966</v>
      </c>
      <c r="M423" s="76">
        <f t="shared" ref="M423" si="931">IFERROR(L423 - _xlfn.XLOOKUP(A423-30, $A$2:$A$14999,L$2:L$14999,"",-1,2),NA())</f>
        <v>60</v>
      </c>
      <c r="N423" s="74">
        <f t="shared" ref="N423" si="932">F423*120</f>
        <v>6000</v>
      </c>
      <c r="O423" s="76">
        <f t="shared" ref="O423" si="933">N423-N422</f>
        <v>4920</v>
      </c>
    </row>
    <row r="424" spans="1:15" x14ac:dyDescent="0.25">
      <c r="A424" s="77">
        <v>44592.018750000003</v>
      </c>
      <c r="B424" s="21" t="s">
        <v>508</v>
      </c>
      <c r="C424" s="74">
        <v>0</v>
      </c>
      <c r="D424" s="74">
        <v>0</v>
      </c>
      <c r="E424" s="431">
        <v>0</v>
      </c>
      <c r="F424" s="150">
        <f t="shared" ref="F424" si="934">C424+D424*10+_xlfn.IFNA(E424,0)</f>
        <v>0</v>
      </c>
      <c r="G424" s="76">
        <f t="shared" ref="G424" si="935">C424-C423</f>
        <v>-30</v>
      </c>
      <c r="H424" s="76">
        <f t="shared" ref="H424" si="936">D424-D423</f>
        <v>-2</v>
      </c>
      <c r="I424" s="76">
        <f t="shared" ref="I424" si="937">F424-F423</f>
        <v>-50</v>
      </c>
      <c r="J424" s="76">
        <f>SUMIF(I$2:I424,"&gt;0")</f>
        <v>1739</v>
      </c>
      <c r="K424" s="76">
        <f t="shared" ref="K424" si="938">IFERROR(J424 - _xlfn.XLOOKUP(A424-30, $A$2:$A$14999,J$2:J$14999,"",-1,2),NA())</f>
        <v>90</v>
      </c>
      <c r="L424" s="76">
        <f>SUMIF(E$2:E424,"&gt;0")</f>
        <v>966</v>
      </c>
      <c r="M424" s="76">
        <f t="shared" ref="M424" si="939">IFERROR(L424 - _xlfn.XLOOKUP(A424-30, $A$2:$A$14999,L$2:L$14999,"",-1,2),NA())</f>
        <v>50</v>
      </c>
      <c r="N424" s="74">
        <f t="shared" ref="N424" si="940">F424*120</f>
        <v>0</v>
      </c>
      <c r="O424" s="76">
        <f t="shared" ref="O424" si="941">N424-N423</f>
        <v>-6000</v>
      </c>
    </row>
    <row r="425" spans="1:15" x14ac:dyDescent="0.25">
      <c r="A425" s="77">
        <v>44595.996527777781</v>
      </c>
      <c r="C425" s="74">
        <v>15</v>
      </c>
      <c r="D425" s="74">
        <v>0</v>
      </c>
      <c r="E425" s="431">
        <v>0</v>
      </c>
      <c r="F425" s="150">
        <f t="shared" ref="F425" si="942">C425+D425*10+_xlfn.IFNA(E425,0)</f>
        <v>15</v>
      </c>
      <c r="G425" s="76">
        <f t="shared" ref="G425" si="943">C425-C424</f>
        <v>15</v>
      </c>
      <c r="H425" s="76">
        <f t="shared" ref="H425" si="944">D425-D424</f>
        <v>0</v>
      </c>
      <c r="I425" s="76">
        <f t="shared" ref="I425" si="945">F425-F424</f>
        <v>15</v>
      </c>
      <c r="J425" s="76">
        <f>SUMIF(I$2:I425,"&gt;0")</f>
        <v>1754</v>
      </c>
      <c r="K425" s="76">
        <f t="shared" ref="K425" si="946">IFERROR(J425 - _xlfn.XLOOKUP(A425-30, $A$2:$A$14999,J$2:J$14999,"",-1,2),NA())</f>
        <v>81</v>
      </c>
      <c r="L425" s="76">
        <f>SUMIF(E$2:E425,"&gt;0")</f>
        <v>966</v>
      </c>
      <c r="M425" s="76">
        <f t="shared" ref="M425" si="947">IFERROR(L425 - _xlfn.XLOOKUP(A425-30, $A$2:$A$14999,L$2:L$14999,"",-1,2),NA())</f>
        <v>20</v>
      </c>
      <c r="N425" s="74">
        <f t="shared" ref="N425" si="948">F425*120</f>
        <v>1800</v>
      </c>
      <c r="O425" s="76">
        <f t="shared" ref="O425" si="949">N425-N424</f>
        <v>1800</v>
      </c>
    </row>
    <row r="426" spans="1:15" x14ac:dyDescent="0.25">
      <c r="A426" s="77">
        <v>44596.259722222225</v>
      </c>
      <c r="B426" s="21" t="s">
        <v>509</v>
      </c>
      <c r="C426" s="74">
        <v>0</v>
      </c>
      <c r="D426" s="74">
        <v>0</v>
      </c>
      <c r="E426" s="431">
        <v>0</v>
      </c>
      <c r="F426" s="150">
        <f t="shared" ref="F426" si="950">C426+D426*10+_xlfn.IFNA(E426,0)</f>
        <v>0</v>
      </c>
      <c r="G426" s="76">
        <f t="shared" ref="G426" si="951">C426-C425</f>
        <v>-15</v>
      </c>
      <c r="H426" s="76">
        <f t="shared" ref="H426" si="952">D426-D425</f>
        <v>0</v>
      </c>
      <c r="I426" s="76">
        <f t="shared" ref="I426" si="953">F426-F425</f>
        <v>-15</v>
      </c>
      <c r="J426" s="76">
        <f>SUMIF(I$2:I426,"&gt;0")</f>
        <v>1754</v>
      </c>
      <c r="K426" s="76">
        <f t="shared" ref="K426" si="954">IFERROR(J426 - _xlfn.XLOOKUP(A426-30, $A$2:$A$14999,J$2:J$14999,"",-1,2),NA())</f>
        <v>81</v>
      </c>
      <c r="L426" s="76">
        <f>SUMIF(E$2:E426,"&gt;0")</f>
        <v>966</v>
      </c>
      <c r="M426" s="76">
        <f t="shared" ref="M426" si="955">IFERROR(L426 - _xlfn.XLOOKUP(A426-30, $A$2:$A$14999,L$2:L$14999,"",-1,2),NA())</f>
        <v>20</v>
      </c>
      <c r="N426" s="74">
        <f t="shared" ref="N426" si="956">F426*120</f>
        <v>0</v>
      </c>
      <c r="O426" s="76">
        <f t="shared" ref="O426" si="957">N426-N425</f>
        <v>-1800</v>
      </c>
    </row>
    <row r="427" spans="1:15" x14ac:dyDescent="0.25">
      <c r="A427" s="77">
        <v>44606.003472222219</v>
      </c>
      <c r="C427" s="74">
        <v>13</v>
      </c>
      <c r="D427" s="74">
        <v>0</v>
      </c>
      <c r="E427" s="431">
        <v>0</v>
      </c>
      <c r="F427" s="150">
        <f t="shared" ref="F427" si="958">C427+D427*10+_xlfn.IFNA(E427,0)</f>
        <v>13</v>
      </c>
      <c r="G427" s="76">
        <f t="shared" ref="G427" si="959">C427-C426</f>
        <v>13</v>
      </c>
      <c r="H427" s="76">
        <f t="shared" ref="H427" si="960">D427-D426</f>
        <v>0</v>
      </c>
      <c r="I427" s="76">
        <f t="shared" ref="I427" si="961">F427-F426</f>
        <v>13</v>
      </c>
      <c r="J427" s="76">
        <f>SUMIF(I$2:I427,"&gt;0")</f>
        <v>1767</v>
      </c>
      <c r="K427" s="76">
        <f t="shared" ref="K427" si="962">IFERROR(J427 - _xlfn.XLOOKUP(A427-30, $A$2:$A$14999,J$2:J$14999,"",-1,2),NA())</f>
        <v>78</v>
      </c>
      <c r="L427" s="76">
        <f>SUMIF(E$2:E427,"&gt;0")</f>
        <v>966</v>
      </c>
      <c r="M427" s="76">
        <f t="shared" ref="M427" si="963">IFERROR(L427 - _xlfn.XLOOKUP(A427-30, $A$2:$A$14999,L$2:L$14999,"",-1,2),NA())</f>
        <v>0</v>
      </c>
      <c r="N427" s="74">
        <f t="shared" ref="N427" si="964">F427*120</f>
        <v>1560</v>
      </c>
      <c r="O427" s="76">
        <f t="shared" ref="O427" si="965">N427-N426</f>
        <v>1560</v>
      </c>
    </row>
    <row r="428" spans="1:15" x14ac:dyDescent="0.25">
      <c r="A428" s="77">
        <v>44606.006944444445</v>
      </c>
      <c r="B428" s="21" t="s">
        <v>510</v>
      </c>
      <c r="C428" s="74">
        <v>0</v>
      </c>
      <c r="D428" s="74">
        <v>0</v>
      </c>
      <c r="E428" s="431">
        <v>0</v>
      </c>
      <c r="F428" s="150">
        <f t="shared" ref="F428" si="966">C428+D428*10+_xlfn.IFNA(E428,0)</f>
        <v>0</v>
      </c>
      <c r="G428" s="76">
        <f t="shared" ref="G428" si="967">C428-C427</f>
        <v>-13</v>
      </c>
      <c r="H428" s="76">
        <f t="shared" ref="H428" si="968">D428-D427</f>
        <v>0</v>
      </c>
      <c r="I428" s="76">
        <f t="shared" ref="I428" si="969">F428-F427</f>
        <v>-13</v>
      </c>
      <c r="J428" s="76">
        <f>SUMIF(I$2:I428,"&gt;0")</f>
        <v>1767</v>
      </c>
      <c r="K428" s="76">
        <f t="shared" ref="K428" si="970">IFERROR(J428 - _xlfn.XLOOKUP(A428-30, $A$2:$A$14999,J$2:J$14999,"",-1,2),NA())</f>
        <v>78</v>
      </c>
      <c r="L428" s="76">
        <f>SUMIF(E$2:E428,"&gt;0")</f>
        <v>966</v>
      </c>
      <c r="M428" s="76">
        <f t="shared" ref="M428" si="971">IFERROR(L428 - _xlfn.XLOOKUP(A428-30, $A$2:$A$14999,L$2:L$14999,"",-1,2),NA())</f>
        <v>0</v>
      </c>
      <c r="N428" s="74">
        <f t="shared" ref="N428" si="972">F428*120</f>
        <v>0</v>
      </c>
      <c r="O428" s="76">
        <f t="shared" ref="O428" si="973">N428-N427</f>
        <v>-1560</v>
      </c>
    </row>
    <row r="429" spans="1:15" x14ac:dyDescent="0.25">
      <c r="A429" s="77">
        <v>44620.05972222222</v>
      </c>
      <c r="C429" s="74">
        <v>16</v>
      </c>
      <c r="D429" s="74">
        <v>1</v>
      </c>
      <c r="E429" s="431">
        <v>0</v>
      </c>
      <c r="F429" s="150">
        <f t="shared" ref="F429" si="974">C429+D429*10+_xlfn.IFNA(E429,0)</f>
        <v>26</v>
      </c>
      <c r="G429" s="76">
        <f t="shared" ref="G429" si="975">C429-C428</f>
        <v>16</v>
      </c>
      <c r="H429" s="76">
        <f t="shared" ref="H429" si="976">D429-D428</f>
        <v>1</v>
      </c>
      <c r="I429" s="76">
        <f t="shared" ref="I429" si="977">F429-F428</f>
        <v>26</v>
      </c>
      <c r="J429" s="76">
        <f>SUMIF(I$2:I429,"&gt;0")</f>
        <v>1793</v>
      </c>
      <c r="K429" s="76">
        <f t="shared" ref="K429" si="978">IFERROR(J429 - _xlfn.XLOOKUP(A429-30, $A$2:$A$14999,J$2:J$14999,"",-1,2),NA())</f>
        <v>95</v>
      </c>
      <c r="L429" s="76">
        <f>SUMIF(E$2:E429,"&gt;0")</f>
        <v>966</v>
      </c>
      <c r="M429" s="76">
        <f t="shared" ref="M429" si="979">IFERROR(L429 - _xlfn.XLOOKUP(A429-30, $A$2:$A$14999,L$2:L$14999,"",-1,2),NA())</f>
        <v>0</v>
      </c>
      <c r="N429" s="74">
        <f t="shared" ref="N429" si="980">F429*120</f>
        <v>3120</v>
      </c>
      <c r="O429" s="76">
        <f t="shared" ref="O429" si="981">N429-N428</f>
        <v>3120</v>
      </c>
    </row>
    <row r="430" spans="1:15" x14ac:dyDescent="0.25">
      <c r="A430" s="77">
        <v>44620.068749999999</v>
      </c>
      <c r="B430" s="21" t="s">
        <v>511</v>
      </c>
      <c r="C430" s="74">
        <v>0</v>
      </c>
      <c r="D430" s="74">
        <v>0</v>
      </c>
      <c r="E430" s="431">
        <v>0</v>
      </c>
      <c r="F430" s="150">
        <f t="shared" ref="F430" si="982">C430+D430*10+_xlfn.IFNA(E430,0)</f>
        <v>0</v>
      </c>
      <c r="G430" s="76">
        <f t="shared" ref="G430" si="983">C430-C429</f>
        <v>-16</v>
      </c>
      <c r="H430" s="76">
        <f t="shared" ref="H430" si="984">D430-D429</f>
        <v>-1</v>
      </c>
      <c r="I430" s="76">
        <f t="shared" ref="I430" si="985">F430-F429</f>
        <v>-26</v>
      </c>
      <c r="J430" s="76">
        <f>SUMIF(I$2:I430,"&gt;0")</f>
        <v>1793</v>
      </c>
      <c r="K430" s="76">
        <f t="shared" ref="K430" si="986">IFERROR(J430 - _xlfn.XLOOKUP(A430-30, $A$2:$A$14999,J$2:J$14999,"",-1,2),NA())</f>
        <v>95</v>
      </c>
      <c r="L430" s="76">
        <f>SUMIF(E$2:E430,"&gt;0")</f>
        <v>966</v>
      </c>
      <c r="M430" s="76">
        <f t="shared" ref="M430" si="987">IFERROR(L430 - _xlfn.XLOOKUP(A430-30, $A$2:$A$14999,L$2:L$14999,"",-1,2),NA())</f>
        <v>0</v>
      </c>
      <c r="N430" s="74">
        <f t="shared" ref="N430" si="988">F430*120</f>
        <v>0</v>
      </c>
      <c r="O430" s="76">
        <f t="shared" ref="O430" si="989">N430-N429</f>
        <v>-3120</v>
      </c>
    </row>
    <row r="431" spans="1:15" x14ac:dyDescent="0.25">
      <c r="A431" s="77">
        <v>44633.810416666667</v>
      </c>
      <c r="C431" s="74">
        <v>21</v>
      </c>
      <c r="D431" s="74">
        <v>0</v>
      </c>
      <c r="E431" s="431">
        <v>0</v>
      </c>
      <c r="F431" s="150">
        <f t="shared" ref="F431" si="990">C431+D431*10+_xlfn.IFNA(E431,0)</f>
        <v>21</v>
      </c>
      <c r="G431" s="76">
        <f t="shared" ref="G431" si="991">C431-C430</f>
        <v>21</v>
      </c>
      <c r="H431" s="76">
        <f t="shared" ref="H431" si="992">D431-D430</f>
        <v>0</v>
      </c>
      <c r="I431" s="76">
        <f t="shared" ref="I431" si="993">F431-F430</f>
        <v>21</v>
      </c>
      <c r="J431" s="76">
        <f>SUMIF(I$2:I431,"&gt;0")</f>
        <v>1814</v>
      </c>
      <c r="K431" s="76">
        <f t="shared" ref="K431" si="994">IFERROR(J431 - _xlfn.XLOOKUP(A431-30, $A$2:$A$14999,J$2:J$14999,"",-1,2),NA())</f>
        <v>60</v>
      </c>
      <c r="L431" s="76">
        <f>SUMIF(E$2:E431,"&gt;0")</f>
        <v>966</v>
      </c>
      <c r="M431" s="76">
        <f t="shared" ref="M431" si="995">IFERROR(L431 - _xlfn.XLOOKUP(A431-30, $A$2:$A$14999,L$2:L$14999,"",-1,2),NA())</f>
        <v>0</v>
      </c>
      <c r="N431" s="74">
        <f t="shared" ref="N431" si="996">F431*120</f>
        <v>2520</v>
      </c>
      <c r="O431" s="76">
        <f t="shared" ref="O431" si="997">N431-N430</f>
        <v>2520</v>
      </c>
    </row>
    <row r="432" spans="1:15" x14ac:dyDescent="0.25">
      <c r="A432" s="77">
        <v>44633.811805555553</v>
      </c>
      <c r="B432" s="21" t="s">
        <v>512</v>
      </c>
      <c r="C432" s="74">
        <v>0</v>
      </c>
      <c r="D432" s="74">
        <v>0</v>
      </c>
      <c r="E432" s="431">
        <v>0</v>
      </c>
      <c r="F432" s="150">
        <f t="shared" ref="F432" si="998">C432+D432*10+_xlfn.IFNA(E432,0)</f>
        <v>0</v>
      </c>
      <c r="G432" s="76">
        <f t="shared" ref="G432" si="999">C432-C431</f>
        <v>-21</v>
      </c>
      <c r="H432" s="76">
        <f t="shared" ref="H432" si="1000">D432-D431</f>
        <v>0</v>
      </c>
      <c r="I432" s="76">
        <f t="shared" ref="I432" si="1001">F432-F431</f>
        <v>-21</v>
      </c>
      <c r="J432" s="76">
        <f>SUMIF(I$2:I432,"&gt;0")</f>
        <v>1814</v>
      </c>
      <c r="K432" s="76">
        <f t="shared" ref="K432" si="1002">IFERROR(J432 - _xlfn.XLOOKUP(A432-30, $A$2:$A$14999,J$2:J$14999,"",-1,2),NA())</f>
        <v>60</v>
      </c>
      <c r="L432" s="76">
        <f>SUMIF(E$2:E432,"&gt;0")</f>
        <v>966</v>
      </c>
      <c r="M432" s="76">
        <f t="shared" ref="M432" si="1003">IFERROR(L432 - _xlfn.XLOOKUP(A432-30, $A$2:$A$14999,L$2:L$14999,"",-1,2),NA())</f>
        <v>0</v>
      </c>
      <c r="N432" s="74">
        <f t="shared" ref="N432" si="1004">F432*120</f>
        <v>0</v>
      </c>
      <c r="O432" s="76">
        <f t="shared" ref="O432" si="1005">N432-N431</f>
        <v>-2520</v>
      </c>
    </row>
    <row r="433" spans="1:15" x14ac:dyDescent="0.25">
      <c r="A433" s="77">
        <v>44636.845833333333</v>
      </c>
      <c r="C433" s="74">
        <v>3</v>
      </c>
      <c r="D433" s="74">
        <v>0</v>
      </c>
      <c r="E433" s="431">
        <v>0</v>
      </c>
      <c r="F433" s="150">
        <f t="shared" ref="F433" si="1006">C433+D433*10+_xlfn.IFNA(E433,0)</f>
        <v>3</v>
      </c>
      <c r="G433" s="76">
        <f t="shared" ref="G433" si="1007">C433-C432</f>
        <v>3</v>
      </c>
      <c r="H433" s="76">
        <f t="shared" ref="H433" si="1008">D433-D432</f>
        <v>0</v>
      </c>
      <c r="I433" s="76">
        <f t="shared" ref="I433" si="1009">F433-F432</f>
        <v>3</v>
      </c>
      <c r="J433" s="76">
        <f>SUMIF(I$2:I433,"&gt;0")</f>
        <v>1817</v>
      </c>
      <c r="K433" s="76">
        <f t="shared" ref="K433" si="1010">IFERROR(J433 - _xlfn.XLOOKUP(A433-30, $A$2:$A$14999,J$2:J$14999,"",-1,2),NA())</f>
        <v>50</v>
      </c>
      <c r="L433" s="76">
        <f>SUMIF(E$2:E433,"&gt;0")</f>
        <v>966</v>
      </c>
      <c r="M433" s="76">
        <f t="shared" ref="M433" si="1011">IFERROR(L433 - _xlfn.XLOOKUP(A433-30, $A$2:$A$14999,L$2:L$14999,"",-1,2),NA())</f>
        <v>0</v>
      </c>
      <c r="N433" s="74">
        <f t="shared" ref="N433" si="1012">F433*120</f>
        <v>360</v>
      </c>
      <c r="O433" s="76">
        <f t="shared" ref="O433" si="1013">N433-N432</f>
        <v>360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  <pageSetUpPr autoPageBreaks="0"/>
  </sheetPr>
  <dimension ref="A1:F678"/>
  <sheetViews>
    <sheetView workbookViewId="0">
      <pane ySplit="1" topLeftCell="A656" activePane="bottomLeft" state="frozen"/>
      <selection pane="bottomLeft" activeCell="F526" sqref="F526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17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>
        <f>IF(ISNUMBER(_xlfn.XLOOKUP(A482,鑽量!$A:$A,鑽量!$K:$K,,1,2)),_xlfn.XLOOKUP(A482,鑽量!$A:$A,鑽量!$K:$K,,1,2),NA())</f>
        <v>12915</v>
      </c>
      <c r="C482" s="416">
        <f t="shared" si="21"/>
        <v>107.625</v>
      </c>
      <c r="D482" s="416">
        <f>IF(ISNUMBER(_xlfn.XLOOKUP(A482,抽卷!$A:$A,抽卷!$K:$K,,1,2)),_xlfn.XLOOKUP(A482,抽卷!$A:$A,抽卷!$K:$K,,1,2),NA())</f>
        <v>163</v>
      </c>
      <c r="E482" s="416">
        <f>IF(ISNUMBER(_xlfn.XLOOKUP(A482,抽卷!$A:$A,抽卷!$M:$M,,1,2)),_xlfn.XLOOKUP(A482,抽卷!$A:$A,抽卷!$M:$M,,1,2),NA())</f>
        <v>160</v>
      </c>
      <c r="F482" s="70">
        <f t="shared" si="22"/>
        <v>430.625</v>
      </c>
    </row>
    <row r="483" spans="1:6" ht="15" customHeight="1" x14ac:dyDescent="0.25">
      <c r="A483" s="95">
        <f t="shared" si="23"/>
        <v>44419</v>
      </c>
      <c r="B483" s="76">
        <f>IF(ISNUMBER(_xlfn.XLOOKUP(A483,鑽量!$A:$A,鑽量!$K:$K,,1,2)),_xlfn.XLOOKUP(A483,鑽量!$A:$A,鑽量!$K:$K,,1,2),NA())</f>
        <v>12915</v>
      </c>
      <c r="C483" s="416">
        <f t="shared" si="21"/>
        <v>107.625</v>
      </c>
      <c r="D483" s="416">
        <f>IF(ISNUMBER(_xlfn.XLOOKUP(A483,抽卷!$A:$A,抽卷!$K:$K,,1,2)),_xlfn.XLOOKUP(A483,抽卷!$A:$A,抽卷!$K:$K,,1,2),NA())</f>
        <v>163</v>
      </c>
      <c r="E483" s="416">
        <f>IF(ISNUMBER(_xlfn.XLOOKUP(A483,抽卷!$A:$A,抽卷!$M:$M,,1,2)),_xlfn.XLOOKUP(A483,抽卷!$A:$A,抽卷!$M:$M,,1,2),NA())</f>
        <v>160</v>
      </c>
      <c r="F483" s="70">
        <f t="shared" si="22"/>
        <v>430.625</v>
      </c>
    </row>
    <row r="484" spans="1:6" ht="15" customHeight="1" x14ac:dyDescent="0.25">
      <c r="A484" s="95">
        <f t="shared" si="23"/>
        <v>44420</v>
      </c>
      <c r="B484" s="76">
        <f>IF(ISNUMBER(_xlfn.XLOOKUP(A484,鑽量!$A:$A,鑽量!$K:$K,,1,2)),_xlfn.XLOOKUP(A484,鑽量!$A:$A,鑽量!$K:$K,,1,2),NA())</f>
        <v>12915</v>
      </c>
      <c r="C484" s="416">
        <f t="shared" si="21"/>
        <v>107.625</v>
      </c>
      <c r="D484" s="416">
        <f>IF(ISNUMBER(_xlfn.XLOOKUP(A484,抽卷!$A:$A,抽卷!$K:$K,,1,2)),_xlfn.XLOOKUP(A484,抽卷!$A:$A,抽卷!$K:$K,,1,2),NA())</f>
        <v>163</v>
      </c>
      <c r="E484" s="416">
        <f>IF(ISNUMBER(_xlfn.XLOOKUP(A484,抽卷!$A:$A,抽卷!$M:$M,,1,2)),_xlfn.XLOOKUP(A484,抽卷!$A:$A,抽卷!$M:$M,,1,2),NA())</f>
        <v>160</v>
      </c>
      <c r="F484" s="70">
        <f t="shared" si="22"/>
        <v>430.625</v>
      </c>
    </row>
    <row r="485" spans="1:6" ht="15" customHeight="1" x14ac:dyDescent="0.25">
      <c r="A485" s="95">
        <f t="shared" si="23"/>
        <v>44421</v>
      </c>
      <c r="B485" s="76">
        <f>IF(ISNUMBER(_xlfn.XLOOKUP(A485,鑽量!$A:$A,鑽量!$K:$K,,1,2)),_xlfn.XLOOKUP(A485,鑽量!$A:$A,鑽量!$K:$K,,1,2),NA())</f>
        <v>12915</v>
      </c>
      <c r="C485" s="416">
        <f t="shared" si="21"/>
        <v>107.625</v>
      </c>
      <c r="D485" s="416">
        <f>IF(ISNUMBER(_xlfn.XLOOKUP(A485,抽卷!$A:$A,抽卷!$K:$K,,1,2)),_xlfn.XLOOKUP(A485,抽卷!$A:$A,抽卷!$K:$K,,1,2),NA())</f>
        <v>163</v>
      </c>
      <c r="E485" s="416">
        <f>IF(ISNUMBER(_xlfn.XLOOKUP(A485,抽卷!$A:$A,抽卷!$M:$M,,1,2)),_xlfn.XLOOKUP(A485,抽卷!$A:$A,抽卷!$M:$M,,1,2),NA())</f>
        <v>160</v>
      </c>
      <c r="F485" s="70">
        <f t="shared" si="22"/>
        <v>430.625</v>
      </c>
    </row>
    <row r="486" spans="1:6" ht="15" customHeight="1" x14ac:dyDescent="0.25">
      <c r="A486" s="95">
        <f t="shared" si="23"/>
        <v>44422</v>
      </c>
      <c r="B486" s="76">
        <f>IF(ISNUMBER(_xlfn.XLOOKUP(A486,鑽量!$A:$A,鑽量!$K:$K,,1,2)),_xlfn.XLOOKUP(A486,鑽量!$A:$A,鑽量!$K:$K,,1,2),NA())</f>
        <v>14520</v>
      </c>
      <c r="C486" s="416">
        <f t="shared" si="21"/>
        <v>121</v>
      </c>
      <c r="D486" s="416">
        <f>IF(ISNUMBER(_xlfn.XLOOKUP(A486,抽卷!$A:$A,抽卷!$K:$K,,1,2)),_xlfn.XLOOKUP(A486,抽卷!$A:$A,抽卷!$K:$K,,1,2),NA())</f>
        <v>168</v>
      </c>
      <c r="E486" s="416">
        <f>IF(ISNUMBER(_xlfn.XLOOKUP(A486,抽卷!$A:$A,抽卷!$M:$M,,1,2)),_xlfn.XLOOKUP(A486,抽卷!$A:$A,抽卷!$M:$M,,1,2),NA())</f>
        <v>100</v>
      </c>
      <c r="F486" s="70">
        <f t="shared" si="22"/>
        <v>389</v>
      </c>
    </row>
    <row r="487" spans="1:6" ht="15" customHeight="1" x14ac:dyDescent="0.25">
      <c r="A487" s="95">
        <f t="shared" si="23"/>
        <v>44423</v>
      </c>
      <c r="B487" s="76">
        <f>IF(ISNUMBER(_xlfn.XLOOKUP(A487,鑽量!$A:$A,鑽量!$K:$K,,1,2)),_xlfn.XLOOKUP(A487,鑽量!$A:$A,鑽量!$K:$K,,1,2),NA())</f>
        <v>13340</v>
      </c>
      <c r="C487" s="416">
        <f t="shared" si="21"/>
        <v>111.16666666666667</v>
      </c>
      <c r="D487" s="416">
        <f>IF(ISNUMBER(_xlfn.XLOOKUP(A487,抽卷!$A:$A,抽卷!$K:$K,,1,2)),_xlfn.XLOOKUP(A487,抽卷!$A:$A,抽卷!$K:$K,,1,2),NA())</f>
        <v>168</v>
      </c>
      <c r="E487" s="416">
        <f>IF(ISNUMBER(_xlfn.XLOOKUP(A487,抽卷!$A:$A,抽卷!$M:$M,,1,2)),_xlfn.XLOOKUP(A487,抽卷!$A:$A,抽卷!$M:$M,,1,2),NA())</f>
        <v>100</v>
      </c>
      <c r="F487" s="70">
        <f t="shared" si="22"/>
        <v>379.16666666666669</v>
      </c>
    </row>
    <row r="488" spans="1:6" ht="15" customHeight="1" x14ac:dyDescent="0.25">
      <c r="A488" s="95">
        <f t="shared" si="23"/>
        <v>44424</v>
      </c>
      <c r="B488" s="76">
        <f>IF(ISNUMBER(_xlfn.XLOOKUP(A488,鑽量!$A:$A,鑽量!$K:$K,,1,2)),_xlfn.XLOOKUP(A488,鑽量!$A:$A,鑽量!$K:$K,,1,2),NA())</f>
        <v>13340</v>
      </c>
      <c r="C488" s="416">
        <f t="shared" si="21"/>
        <v>111.16666666666667</v>
      </c>
      <c r="D488" s="416">
        <f>IF(ISNUMBER(_xlfn.XLOOKUP(A488,抽卷!$A:$A,抽卷!$K:$K,,1,2)),_xlfn.XLOOKUP(A488,抽卷!$A:$A,抽卷!$K:$K,,1,2),NA())</f>
        <v>168</v>
      </c>
      <c r="E488" s="416">
        <f>IF(ISNUMBER(_xlfn.XLOOKUP(A488,抽卷!$A:$A,抽卷!$M:$M,,1,2)),_xlfn.XLOOKUP(A488,抽卷!$A:$A,抽卷!$M:$M,,1,2),NA())</f>
        <v>100</v>
      </c>
      <c r="F488" s="70">
        <f t="shared" si="22"/>
        <v>379.16666666666669</v>
      </c>
    </row>
    <row r="489" spans="1:6" ht="15" customHeight="1" x14ac:dyDescent="0.25">
      <c r="A489" s="95">
        <f t="shared" si="23"/>
        <v>44425</v>
      </c>
      <c r="B489" s="76">
        <f>IF(ISNUMBER(_xlfn.XLOOKUP(A489,鑽量!$A:$A,鑽量!$K:$K,,1,2)),_xlfn.XLOOKUP(A489,鑽量!$A:$A,鑽量!$K:$K,,1,2),NA())</f>
        <v>13340</v>
      </c>
      <c r="C489" s="416">
        <f t="shared" si="21"/>
        <v>111.16666666666667</v>
      </c>
      <c r="D489" s="416">
        <f>IF(ISNUMBER(_xlfn.XLOOKUP(A489,抽卷!$A:$A,抽卷!$K:$K,,1,2)),_xlfn.XLOOKUP(A489,抽卷!$A:$A,抽卷!$K:$K,,1,2),NA())</f>
        <v>168</v>
      </c>
      <c r="E489" s="416">
        <f>IF(ISNUMBER(_xlfn.XLOOKUP(A489,抽卷!$A:$A,抽卷!$M:$M,,1,2)),_xlfn.XLOOKUP(A489,抽卷!$A:$A,抽卷!$M:$M,,1,2),NA())</f>
        <v>100</v>
      </c>
      <c r="F489" s="70">
        <f t="shared" si="22"/>
        <v>379.16666666666669</v>
      </c>
    </row>
    <row r="490" spans="1:6" ht="15" customHeight="1" x14ac:dyDescent="0.25">
      <c r="A490" s="95">
        <f t="shared" si="23"/>
        <v>44426</v>
      </c>
      <c r="B490" s="76">
        <f>IF(ISNUMBER(_xlfn.XLOOKUP(A490,鑽量!$A:$A,鑽量!$K:$K,,1,2)),_xlfn.XLOOKUP(A490,鑽量!$A:$A,鑽量!$K:$K,,1,2),NA())</f>
        <v>12490</v>
      </c>
      <c r="C490" s="416">
        <f t="shared" si="21"/>
        <v>104.08333333333333</v>
      </c>
      <c r="D490" s="416">
        <f>IF(ISNUMBER(_xlfn.XLOOKUP(A490,抽卷!$A:$A,抽卷!$K:$K,,1,2)),_xlfn.XLOOKUP(A490,抽卷!$A:$A,抽卷!$K:$K,,1,2),NA())</f>
        <v>64</v>
      </c>
      <c r="E490" s="416">
        <f>IF(ISNUMBER(_xlfn.XLOOKUP(A490,抽卷!$A:$A,抽卷!$M:$M,,1,2)),_xlfn.XLOOKUP(A490,抽卷!$A:$A,抽卷!$M:$M,,1,2),NA())</f>
        <v>0</v>
      </c>
      <c r="F490" s="70">
        <f t="shared" si="22"/>
        <v>168.08333333333331</v>
      </c>
    </row>
    <row r="491" spans="1:6" ht="15" customHeight="1" x14ac:dyDescent="0.25">
      <c r="A491" s="95">
        <f t="shared" si="23"/>
        <v>44427</v>
      </c>
      <c r="B491" s="76">
        <f>IF(ISNUMBER(_xlfn.XLOOKUP(A491,鑽量!$A:$A,鑽量!$K:$K,,1,2)),_xlfn.XLOOKUP(A491,鑽量!$A:$A,鑽量!$K:$K,,1,2),NA())</f>
        <v>12490</v>
      </c>
      <c r="C491" s="416">
        <f t="shared" si="21"/>
        <v>104.08333333333333</v>
      </c>
      <c r="D491" s="416">
        <f>IF(ISNUMBER(_xlfn.XLOOKUP(A491,抽卷!$A:$A,抽卷!$K:$K,,1,2)),_xlfn.XLOOKUP(A491,抽卷!$A:$A,抽卷!$K:$K,,1,2),NA())</f>
        <v>64</v>
      </c>
      <c r="E491" s="416">
        <f>IF(ISNUMBER(_xlfn.XLOOKUP(A491,抽卷!$A:$A,抽卷!$M:$M,,1,2)),_xlfn.XLOOKUP(A491,抽卷!$A:$A,抽卷!$M:$M,,1,2),NA())</f>
        <v>0</v>
      </c>
      <c r="F491" s="70">
        <f t="shared" si="22"/>
        <v>168.08333333333331</v>
      </c>
    </row>
    <row r="492" spans="1:6" ht="15" customHeight="1" x14ac:dyDescent="0.25">
      <c r="A492" s="95">
        <f t="shared" si="23"/>
        <v>44428</v>
      </c>
      <c r="B492" s="76">
        <f>IF(ISNUMBER(_xlfn.XLOOKUP(A492,鑽量!$A:$A,鑽量!$K:$K,,1,2)),_xlfn.XLOOKUP(A492,鑽量!$A:$A,鑽量!$K:$K,,1,2),NA())</f>
        <v>12730</v>
      </c>
      <c r="C492" s="416">
        <f t="shared" si="21"/>
        <v>106.08333333333333</v>
      </c>
      <c r="D492" s="416">
        <f>IF(ISNUMBER(_xlfn.XLOOKUP(A492,抽卷!$A:$A,抽卷!$K:$K,,1,2)),_xlfn.XLOOKUP(A492,抽卷!$A:$A,抽卷!$K:$K,,1,2),NA())</f>
        <v>64</v>
      </c>
      <c r="E492" s="416">
        <f>IF(ISNUMBER(_xlfn.XLOOKUP(A492,抽卷!$A:$A,抽卷!$M:$M,,1,2)),_xlfn.XLOOKUP(A492,抽卷!$A:$A,抽卷!$M:$M,,1,2),NA())</f>
        <v>0</v>
      </c>
      <c r="F492" s="70">
        <f t="shared" si="22"/>
        <v>170.08333333333331</v>
      </c>
    </row>
    <row r="493" spans="1:6" ht="15" customHeight="1" x14ac:dyDescent="0.25">
      <c r="A493" s="95">
        <f t="shared" si="23"/>
        <v>44429</v>
      </c>
      <c r="B493" s="76">
        <f>IF(ISNUMBER(_xlfn.XLOOKUP(A493,鑽量!$A:$A,鑽量!$K:$K,,1,2)),_xlfn.XLOOKUP(A493,鑽量!$A:$A,鑽量!$K:$K,,1,2),NA())</f>
        <v>12730</v>
      </c>
      <c r="C493" s="416">
        <f t="shared" si="21"/>
        <v>106.08333333333333</v>
      </c>
      <c r="D493" s="416">
        <f>IF(ISNUMBER(_xlfn.XLOOKUP(A493,抽卷!$A:$A,抽卷!$K:$K,,1,2)),_xlfn.XLOOKUP(A493,抽卷!$A:$A,抽卷!$K:$K,,1,2),NA())</f>
        <v>64</v>
      </c>
      <c r="E493" s="416">
        <f>IF(ISNUMBER(_xlfn.XLOOKUP(A493,抽卷!$A:$A,抽卷!$M:$M,,1,2)),_xlfn.XLOOKUP(A493,抽卷!$A:$A,抽卷!$M:$M,,1,2),NA())</f>
        <v>0</v>
      </c>
      <c r="F493" s="70">
        <f t="shared" si="22"/>
        <v>170.08333333333331</v>
      </c>
    </row>
    <row r="494" spans="1:6" ht="15" customHeight="1" x14ac:dyDescent="0.25">
      <c r="A494" s="95">
        <f t="shared" si="23"/>
        <v>44430</v>
      </c>
      <c r="B494" s="76">
        <f>IF(ISNUMBER(_xlfn.XLOOKUP(A494,鑽量!$A:$A,鑽量!$K:$K,,1,2)),_xlfn.XLOOKUP(A494,鑽量!$A:$A,鑽量!$K:$K,,1,2),NA())</f>
        <v>12730</v>
      </c>
      <c r="C494" s="416">
        <f t="shared" si="21"/>
        <v>106.08333333333333</v>
      </c>
      <c r="D494" s="416">
        <f>IF(ISNUMBER(_xlfn.XLOOKUP(A494,抽卷!$A:$A,抽卷!$K:$K,,1,2)),_xlfn.XLOOKUP(A494,抽卷!$A:$A,抽卷!$K:$K,,1,2),NA())</f>
        <v>64</v>
      </c>
      <c r="E494" s="416">
        <f>IF(ISNUMBER(_xlfn.XLOOKUP(A494,抽卷!$A:$A,抽卷!$M:$M,,1,2)),_xlfn.XLOOKUP(A494,抽卷!$A:$A,抽卷!$M:$M,,1,2),NA())</f>
        <v>0</v>
      </c>
      <c r="F494" s="70">
        <f t="shared" si="22"/>
        <v>170.08333333333331</v>
      </c>
    </row>
    <row r="495" spans="1:6" ht="15" customHeight="1" x14ac:dyDescent="0.25">
      <c r="A495" s="95">
        <f t="shared" si="23"/>
        <v>44431</v>
      </c>
      <c r="B495" s="76">
        <f>IF(ISNUMBER(_xlfn.XLOOKUP(A495,鑽量!$A:$A,鑽量!$K:$K,,1,2)),_xlfn.XLOOKUP(A495,鑽量!$A:$A,鑽量!$K:$K,,1,2),NA())</f>
        <v>14280</v>
      </c>
      <c r="C495" s="416">
        <f t="shared" ref="C495:C503" si="24">B495/120</f>
        <v>119</v>
      </c>
      <c r="D495" s="416">
        <f>IF(ISNUMBER(_xlfn.XLOOKUP(A495,抽卷!$A:$A,抽卷!$K:$K,,1,2)),_xlfn.XLOOKUP(A495,抽卷!$A:$A,抽卷!$K:$K,,1,2),NA())</f>
        <v>71</v>
      </c>
      <c r="E495" s="416">
        <f>IF(ISNUMBER(_xlfn.XLOOKUP(A495,抽卷!$A:$A,抽卷!$M:$M,,1,2)),_xlfn.XLOOKUP(A495,抽卷!$A:$A,抽卷!$M:$M,,1,2),NA())</f>
        <v>0</v>
      </c>
      <c r="F495" s="70">
        <f t="shared" si="22"/>
        <v>190</v>
      </c>
    </row>
    <row r="496" spans="1:6" ht="15" customHeight="1" x14ac:dyDescent="0.25">
      <c r="A496" s="95">
        <f t="shared" si="23"/>
        <v>44432</v>
      </c>
      <c r="B496" s="76">
        <f>IF(ISNUMBER(_xlfn.XLOOKUP(A496,鑽量!$A:$A,鑽量!$K:$K,,1,2)),_xlfn.XLOOKUP(A496,鑽量!$A:$A,鑽量!$K:$K,,1,2),NA())</f>
        <v>14280</v>
      </c>
      <c r="C496" s="416">
        <f t="shared" si="24"/>
        <v>119</v>
      </c>
      <c r="D496" s="416">
        <f>IF(ISNUMBER(_xlfn.XLOOKUP(A496,抽卷!$A:$A,抽卷!$K:$K,,1,2)),_xlfn.XLOOKUP(A496,抽卷!$A:$A,抽卷!$K:$K,,1,2),NA())</f>
        <v>71</v>
      </c>
      <c r="E496" s="416">
        <f>IF(ISNUMBER(_xlfn.XLOOKUP(A496,抽卷!$A:$A,抽卷!$M:$M,,1,2)),_xlfn.XLOOKUP(A496,抽卷!$A:$A,抽卷!$M:$M,,1,2),NA())</f>
        <v>0</v>
      </c>
      <c r="F496" s="70">
        <f t="shared" si="22"/>
        <v>190</v>
      </c>
    </row>
    <row r="497" spans="1:6" ht="15" customHeight="1" x14ac:dyDescent="0.25">
      <c r="A497" s="95">
        <f t="shared" si="23"/>
        <v>44433</v>
      </c>
      <c r="B497" s="76">
        <f>IF(ISNUMBER(_xlfn.XLOOKUP(A497,鑽量!$A:$A,鑽量!$K:$K,,1,2)),_xlfn.XLOOKUP(A497,鑽量!$A:$A,鑽量!$K:$K,,1,2),NA())</f>
        <v>14280</v>
      </c>
      <c r="C497" s="416">
        <f t="shared" si="24"/>
        <v>119</v>
      </c>
      <c r="D497" s="416">
        <f>IF(ISNUMBER(_xlfn.XLOOKUP(A497,抽卷!$A:$A,抽卷!$K:$K,,1,2)),_xlfn.XLOOKUP(A497,抽卷!$A:$A,抽卷!$K:$K,,1,2),NA())</f>
        <v>71</v>
      </c>
      <c r="E497" s="416">
        <f>IF(ISNUMBER(_xlfn.XLOOKUP(A497,抽卷!$A:$A,抽卷!$M:$M,,1,2)),_xlfn.XLOOKUP(A497,抽卷!$A:$A,抽卷!$M:$M,,1,2),NA())</f>
        <v>0</v>
      </c>
      <c r="F497" s="70">
        <f t="shared" si="22"/>
        <v>190</v>
      </c>
    </row>
    <row r="498" spans="1:6" ht="15" customHeight="1" x14ac:dyDescent="0.25">
      <c r="A498" s="95">
        <f t="shared" si="23"/>
        <v>44434</v>
      </c>
      <c r="B498" s="76">
        <f>IF(ISNUMBER(_xlfn.XLOOKUP(A498,鑽量!$A:$A,鑽量!$K:$K,,1,2)),_xlfn.XLOOKUP(A498,鑽量!$A:$A,鑽量!$K:$K,,1,2),NA())</f>
        <v>14280</v>
      </c>
      <c r="C498" s="416">
        <f t="shared" si="24"/>
        <v>119</v>
      </c>
      <c r="D498" s="416">
        <f>IF(ISNUMBER(_xlfn.XLOOKUP(A498,抽卷!$A:$A,抽卷!$K:$K,,1,2)),_xlfn.XLOOKUP(A498,抽卷!$A:$A,抽卷!$K:$K,,1,2),NA())</f>
        <v>71</v>
      </c>
      <c r="E498" s="416">
        <f>IF(ISNUMBER(_xlfn.XLOOKUP(A498,抽卷!$A:$A,抽卷!$M:$M,,1,2)),_xlfn.XLOOKUP(A498,抽卷!$A:$A,抽卷!$M:$M,,1,2),NA())</f>
        <v>0</v>
      </c>
      <c r="F498" s="70">
        <f t="shared" si="22"/>
        <v>190</v>
      </c>
    </row>
    <row r="499" spans="1:6" ht="15" customHeight="1" x14ac:dyDescent="0.25">
      <c r="A499" s="95">
        <f t="shared" si="23"/>
        <v>44435</v>
      </c>
      <c r="B499" s="76">
        <f>IF(ISNUMBER(_xlfn.XLOOKUP(A499,鑽量!$A:$A,鑽量!$K:$K,,1,2)),_xlfn.XLOOKUP(A499,鑽量!$A:$A,鑽量!$K:$K,,1,2),NA())</f>
        <v>14280</v>
      </c>
      <c r="C499" s="416">
        <f t="shared" si="24"/>
        <v>119</v>
      </c>
      <c r="D499" s="416">
        <f>IF(ISNUMBER(_xlfn.XLOOKUP(A499,抽卷!$A:$A,抽卷!$K:$K,,1,2)),_xlfn.XLOOKUP(A499,抽卷!$A:$A,抽卷!$K:$K,,1,2),NA())</f>
        <v>71</v>
      </c>
      <c r="E499" s="416">
        <f>IF(ISNUMBER(_xlfn.XLOOKUP(A499,抽卷!$A:$A,抽卷!$M:$M,,1,2)),_xlfn.XLOOKUP(A499,抽卷!$A:$A,抽卷!$M:$M,,1,2),NA())</f>
        <v>0</v>
      </c>
      <c r="F499" s="70">
        <f t="shared" si="22"/>
        <v>190</v>
      </c>
    </row>
    <row r="500" spans="1:6" ht="15" customHeight="1" x14ac:dyDescent="0.25">
      <c r="A500" s="95">
        <f t="shared" si="23"/>
        <v>44436</v>
      </c>
      <c r="B500" s="76">
        <f>IF(ISNUMBER(_xlfn.XLOOKUP(A500,鑽量!$A:$A,鑽量!$K:$K,,1,2)),_xlfn.XLOOKUP(A500,鑽量!$A:$A,鑽量!$K:$K,,1,2),NA())</f>
        <v>14280</v>
      </c>
      <c r="C500" s="416">
        <f t="shared" si="24"/>
        <v>119</v>
      </c>
      <c r="D500" s="416">
        <f>IF(ISNUMBER(_xlfn.XLOOKUP(A500,抽卷!$A:$A,抽卷!$K:$K,,1,2)),_xlfn.XLOOKUP(A500,抽卷!$A:$A,抽卷!$K:$K,,1,2),NA())</f>
        <v>71</v>
      </c>
      <c r="E500" s="416">
        <f>IF(ISNUMBER(_xlfn.XLOOKUP(A500,抽卷!$A:$A,抽卷!$M:$M,,1,2)),_xlfn.XLOOKUP(A500,抽卷!$A:$A,抽卷!$M:$M,,1,2),NA())</f>
        <v>0</v>
      </c>
      <c r="F500" s="70">
        <f t="shared" si="22"/>
        <v>190</v>
      </c>
    </row>
    <row r="501" spans="1:6" ht="15" customHeight="1" x14ac:dyDescent="0.25">
      <c r="A501" s="95">
        <f t="shared" si="23"/>
        <v>44437</v>
      </c>
      <c r="B501" s="76">
        <f>IF(ISNUMBER(_xlfn.XLOOKUP(A501,鑽量!$A:$A,鑽量!$K:$K,,1,2)),_xlfn.XLOOKUP(A501,鑽量!$A:$A,鑽量!$K:$K,,1,2),NA())</f>
        <v>13230</v>
      </c>
      <c r="C501" s="416">
        <f t="shared" si="24"/>
        <v>110.25</v>
      </c>
      <c r="D501" s="416">
        <f>IF(ISNUMBER(_xlfn.XLOOKUP(A501,抽卷!$A:$A,抽卷!$K:$K,,1,2)),_xlfn.XLOOKUP(A501,抽卷!$A:$A,抽卷!$K:$K,,1,2),NA())</f>
        <v>51</v>
      </c>
      <c r="E501" s="416">
        <f>IF(ISNUMBER(_xlfn.XLOOKUP(A501,抽卷!$A:$A,抽卷!$M:$M,,1,2)),_xlfn.XLOOKUP(A501,抽卷!$A:$A,抽卷!$M:$M,,1,2),NA())</f>
        <v>0</v>
      </c>
      <c r="F501" s="70">
        <f t="shared" si="22"/>
        <v>161.25</v>
      </c>
    </row>
    <row r="502" spans="1:6" ht="15" customHeight="1" x14ac:dyDescent="0.25">
      <c r="A502" s="95">
        <f t="shared" si="23"/>
        <v>44438</v>
      </c>
      <c r="B502" s="76">
        <f>IF(ISNUMBER(_xlfn.XLOOKUP(A502,鑽量!$A:$A,鑽量!$K:$K,,1,2)),_xlfn.XLOOKUP(A502,鑽量!$A:$A,鑽量!$K:$K,,1,2),NA())</f>
        <v>13230</v>
      </c>
      <c r="C502" s="416">
        <f t="shared" si="24"/>
        <v>110.25</v>
      </c>
      <c r="D502" s="416">
        <f>IF(ISNUMBER(_xlfn.XLOOKUP(A502,抽卷!$A:$A,抽卷!$K:$K,,1,2)),_xlfn.XLOOKUP(A502,抽卷!$A:$A,抽卷!$K:$K,,1,2),NA())</f>
        <v>51</v>
      </c>
      <c r="E502" s="416">
        <f>IF(ISNUMBER(_xlfn.XLOOKUP(A502,抽卷!$A:$A,抽卷!$M:$M,,1,2)),_xlfn.XLOOKUP(A502,抽卷!$A:$A,抽卷!$M:$M,,1,2),NA())</f>
        <v>0</v>
      </c>
      <c r="F502" s="70">
        <f t="shared" si="22"/>
        <v>161.25</v>
      </c>
    </row>
    <row r="503" spans="1:6" ht="15" customHeight="1" x14ac:dyDescent="0.25">
      <c r="A503" s="95">
        <f t="shared" si="23"/>
        <v>44439</v>
      </c>
      <c r="B503" s="76">
        <f>IF(ISNUMBER(_xlfn.XLOOKUP(A503,鑽量!$A:$A,鑽量!$K:$K,,1,2)),_xlfn.XLOOKUP(A503,鑽量!$A:$A,鑽量!$K:$K,,1,2),NA())</f>
        <v>11860</v>
      </c>
      <c r="C503" s="416">
        <f t="shared" si="24"/>
        <v>98.833333333333329</v>
      </c>
      <c r="D503" s="416">
        <f>IF(ISNUMBER(_xlfn.XLOOKUP(A503,抽卷!$A:$A,抽卷!$K:$K,,1,2)),_xlfn.XLOOKUP(A503,抽卷!$A:$A,抽卷!$K:$K,,1,2),NA())</f>
        <v>48</v>
      </c>
      <c r="E503" s="416">
        <f>IF(ISNUMBER(_xlfn.XLOOKUP(A503,抽卷!$A:$A,抽卷!$M:$M,,1,2)),_xlfn.XLOOKUP(A503,抽卷!$A:$A,抽卷!$M:$M,,1,2),NA())</f>
        <v>0</v>
      </c>
      <c r="F503" s="70">
        <f t="shared" si="22"/>
        <v>146.83333333333331</v>
      </c>
    </row>
    <row r="504" spans="1:6" ht="15" customHeight="1" x14ac:dyDescent="0.25">
      <c r="A504" s="95">
        <f t="shared" si="23"/>
        <v>44440</v>
      </c>
      <c r="B504" s="76">
        <f>IF(ISNUMBER(_xlfn.XLOOKUP(A504,鑽量!$A:$A,鑽量!$K:$K,,1,2)),_xlfn.XLOOKUP(A504,鑽量!$A:$A,鑽量!$K:$K,,1,2),NA())</f>
        <v>11860</v>
      </c>
      <c r="C504" s="416">
        <f t="shared" ref="C504:C567" si="25">B504/120</f>
        <v>98.833333333333329</v>
      </c>
      <c r="D504" s="416">
        <f>IF(ISNUMBER(_xlfn.XLOOKUP(A504,抽卷!$A:$A,抽卷!$K:$K,,1,2)),_xlfn.XLOOKUP(A504,抽卷!$A:$A,抽卷!$K:$K,,1,2),NA())</f>
        <v>48</v>
      </c>
      <c r="E504" s="416">
        <f>IF(ISNUMBER(_xlfn.XLOOKUP(A504,抽卷!$A:$A,抽卷!$M:$M,,1,2)),_xlfn.XLOOKUP(A504,抽卷!$A:$A,抽卷!$M:$M,,1,2),NA())</f>
        <v>0</v>
      </c>
      <c r="F504" s="70">
        <f t="shared" ref="F504:F567" si="26">IF(ISNA(E504),IF(ISNA(D504),C504,C504+D504),E504+D504+C504)</f>
        <v>146.83333333333331</v>
      </c>
    </row>
    <row r="505" spans="1:6" ht="15" customHeight="1" x14ac:dyDescent="0.25">
      <c r="A505" s="95">
        <f t="shared" si="23"/>
        <v>44441</v>
      </c>
      <c r="B505" s="76">
        <f>IF(ISNUMBER(_xlfn.XLOOKUP(A505,鑽量!$A:$A,鑽量!$K:$K,,1,2)),_xlfn.XLOOKUP(A505,鑽量!$A:$A,鑽量!$K:$K,,1,2),NA())</f>
        <v>11860</v>
      </c>
      <c r="C505" s="416">
        <f t="shared" si="25"/>
        <v>98.833333333333329</v>
      </c>
      <c r="D505" s="416">
        <f>IF(ISNUMBER(_xlfn.XLOOKUP(A505,抽卷!$A:$A,抽卷!$K:$K,,1,2)),_xlfn.XLOOKUP(A505,抽卷!$A:$A,抽卷!$K:$K,,1,2),NA())</f>
        <v>48</v>
      </c>
      <c r="E505" s="416">
        <f>IF(ISNUMBER(_xlfn.XLOOKUP(A505,抽卷!$A:$A,抽卷!$M:$M,,1,2)),_xlfn.XLOOKUP(A505,抽卷!$A:$A,抽卷!$M:$M,,1,2),NA())</f>
        <v>0</v>
      </c>
      <c r="F505" s="70">
        <f t="shared" si="26"/>
        <v>146.83333333333331</v>
      </c>
    </row>
    <row r="506" spans="1:6" ht="15" customHeight="1" x14ac:dyDescent="0.25">
      <c r="A506" s="95">
        <f t="shared" si="23"/>
        <v>44442</v>
      </c>
      <c r="B506" s="76">
        <f>IF(ISNUMBER(_xlfn.XLOOKUP(A506,鑽量!$A:$A,鑽量!$K:$K,,1,2)),_xlfn.XLOOKUP(A506,鑽量!$A:$A,鑽量!$K:$K,,1,2),NA())</f>
        <v>11860</v>
      </c>
      <c r="C506" s="416">
        <f t="shared" si="25"/>
        <v>98.833333333333329</v>
      </c>
      <c r="D506" s="416">
        <f>IF(ISNUMBER(_xlfn.XLOOKUP(A506,抽卷!$A:$A,抽卷!$K:$K,,1,2)),_xlfn.XLOOKUP(A506,抽卷!$A:$A,抽卷!$K:$K,,1,2),NA())</f>
        <v>48</v>
      </c>
      <c r="E506" s="416">
        <f>IF(ISNUMBER(_xlfn.XLOOKUP(A506,抽卷!$A:$A,抽卷!$M:$M,,1,2)),_xlfn.XLOOKUP(A506,抽卷!$A:$A,抽卷!$M:$M,,1,2),NA())</f>
        <v>0</v>
      </c>
      <c r="F506" s="70">
        <f t="shared" si="26"/>
        <v>146.83333333333331</v>
      </c>
    </row>
    <row r="507" spans="1:6" ht="15" customHeight="1" x14ac:dyDescent="0.25">
      <c r="A507" s="95">
        <f t="shared" si="23"/>
        <v>44443</v>
      </c>
      <c r="B507" s="76">
        <f>IF(ISNUMBER(_xlfn.XLOOKUP(A507,鑽量!$A:$A,鑽量!$K:$K,,1,2)),_xlfn.XLOOKUP(A507,鑽量!$A:$A,鑽量!$K:$K,,1,2),NA())</f>
        <v>12385</v>
      </c>
      <c r="C507" s="416">
        <f t="shared" si="25"/>
        <v>103.20833333333333</v>
      </c>
      <c r="D507" s="416">
        <f>IF(ISNUMBER(_xlfn.XLOOKUP(A507,抽卷!$A:$A,抽卷!$K:$K,,1,2)),_xlfn.XLOOKUP(A507,抽卷!$A:$A,抽卷!$K:$K,,1,2),NA())</f>
        <v>50</v>
      </c>
      <c r="E507" s="416">
        <f>IF(ISNUMBER(_xlfn.XLOOKUP(A507,抽卷!$A:$A,抽卷!$M:$M,,1,2)),_xlfn.XLOOKUP(A507,抽卷!$A:$A,抽卷!$M:$M,,1,2),NA())</f>
        <v>0</v>
      </c>
      <c r="F507" s="70">
        <f t="shared" si="26"/>
        <v>153.20833333333331</v>
      </c>
    </row>
    <row r="508" spans="1:6" ht="15" customHeight="1" x14ac:dyDescent="0.25">
      <c r="A508" s="95">
        <f t="shared" si="23"/>
        <v>44444</v>
      </c>
      <c r="B508" s="76">
        <f>IF(ISNUMBER(_xlfn.XLOOKUP(A508,鑽量!$A:$A,鑽量!$K:$K,,1,2)),_xlfn.XLOOKUP(A508,鑽量!$A:$A,鑽量!$K:$K,,1,2),NA())</f>
        <v>12385</v>
      </c>
      <c r="C508" s="416">
        <f t="shared" si="25"/>
        <v>103.20833333333333</v>
      </c>
      <c r="D508" s="416">
        <f>IF(ISNUMBER(_xlfn.XLOOKUP(A508,抽卷!$A:$A,抽卷!$K:$K,,1,2)),_xlfn.XLOOKUP(A508,抽卷!$A:$A,抽卷!$K:$K,,1,2),NA())</f>
        <v>50</v>
      </c>
      <c r="E508" s="416">
        <f>IF(ISNUMBER(_xlfn.XLOOKUP(A508,抽卷!$A:$A,抽卷!$M:$M,,1,2)),_xlfn.XLOOKUP(A508,抽卷!$A:$A,抽卷!$M:$M,,1,2),NA())</f>
        <v>0</v>
      </c>
      <c r="F508" s="70">
        <f t="shared" si="26"/>
        <v>153.20833333333331</v>
      </c>
    </row>
    <row r="509" spans="1:6" ht="15" customHeight="1" x14ac:dyDescent="0.25">
      <c r="A509" s="95">
        <f t="shared" si="23"/>
        <v>44445</v>
      </c>
      <c r="B509" s="76">
        <f>IF(ISNUMBER(_xlfn.XLOOKUP(A509,鑽量!$A:$A,鑽量!$K:$K,,1,2)),_xlfn.XLOOKUP(A509,鑽量!$A:$A,鑽量!$K:$K,,1,2),NA())</f>
        <v>12385</v>
      </c>
      <c r="C509" s="416">
        <f t="shared" si="25"/>
        <v>103.20833333333333</v>
      </c>
      <c r="D509" s="416">
        <f>IF(ISNUMBER(_xlfn.XLOOKUP(A509,抽卷!$A:$A,抽卷!$K:$K,,1,2)),_xlfn.XLOOKUP(A509,抽卷!$A:$A,抽卷!$K:$K,,1,2),NA())</f>
        <v>50</v>
      </c>
      <c r="E509" s="416">
        <f>IF(ISNUMBER(_xlfn.XLOOKUP(A509,抽卷!$A:$A,抽卷!$M:$M,,1,2)),_xlfn.XLOOKUP(A509,抽卷!$A:$A,抽卷!$M:$M,,1,2),NA())</f>
        <v>0</v>
      </c>
      <c r="F509" s="70">
        <f t="shared" si="26"/>
        <v>153.20833333333331</v>
      </c>
    </row>
    <row r="510" spans="1:6" ht="15" customHeight="1" x14ac:dyDescent="0.25">
      <c r="A510" s="95">
        <f t="shared" si="23"/>
        <v>44446</v>
      </c>
      <c r="B510" s="76">
        <f>IF(ISNUMBER(_xlfn.XLOOKUP(A510,鑽量!$A:$A,鑽量!$K:$K,,1,2)),_xlfn.XLOOKUP(A510,鑽量!$A:$A,鑽量!$K:$K,,1,2),NA())</f>
        <v>12385</v>
      </c>
      <c r="C510" s="416">
        <f t="shared" si="25"/>
        <v>103.20833333333333</v>
      </c>
      <c r="D510" s="416">
        <f>IF(ISNUMBER(_xlfn.XLOOKUP(A510,抽卷!$A:$A,抽卷!$K:$K,,1,2)),_xlfn.XLOOKUP(A510,抽卷!$A:$A,抽卷!$K:$K,,1,2),NA())</f>
        <v>50</v>
      </c>
      <c r="E510" s="416">
        <f>IF(ISNUMBER(_xlfn.XLOOKUP(A510,抽卷!$A:$A,抽卷!$M:$M,,1,2)),_xlfn.XLOOKUP(A510,抽卷!$A:$A,抽卷!$M:$M,,1,2),NA())</f>
        <v>0</v>
      </c>
      <c r="F510" s="70">
        <f t="shared" si="26"/>
        <v>153.20833333333331</v>
      </c>
    </row>
    <row r="511" spans="1:6" ht="15" customHeight="1" x14ac:dyDescent="0.25">
      <c r="A511" s="95">
        <f t="shared" si="23"/>
        <v>44447</v>
      </c>
      <c r="B511" s="76">
        <f>IF(ISNUMBER(_xlfn.XLOOKUP(A511,鑽量!$A:$A,鑽量!$K:$K,,1,2)),_xlfn.XLOOKUP(A511,鑽量!$A:$A,鑽量!$K:$K,,1,2),NA())</f>
        <v>12385</v>
      </c>
      <c r="C511" s="416">
        <f t="shared" si="25"/>
        <v>103.20833333333333</v>
      </c>
      <c r="D511" s="416">
        <f>IF(ISNUMBER(_xlfn.XLOOKUP(A511,抽卷!$A:$A,抽卷!$K:$K,,1,2)),_xlfn.XLOOKUP(A511,抽卷!$A:$A,抽卷!$K:$K,,1,2),NA())</f>
        <v>50</v>
      </c>
      <c r="E511" s="416">
        <f>IF(ISNUMBER(_xlfn.XLOOKUP(A511,抽卷!$A:$A,抽卷!$M:$M,,1,2)),_xlfn.XLOOKUP(A511,抽卷!$A:$A,抽卷!$M:$M,,1,2),NA())</f>
        <v>0</v>
      </c>
      <c r="F511" s="70">
        <f t="shared" si="26"/>
        <v>153.20833333333331</v>
      </c>
    </row>
    <row r="512" spans="1:6" ht="15" customHeight="1" x14ac:dyDescent="0.25">
      <c r="A512" s="95">
        <f t="shared" si="23"/>
        <v>44448</v>
      </c>
      <c r="B512" s="76">
        <f>IF(ISNUMBER(_xlfn.XLOOKUP(A512,鑽量!$A:$A,鑽量!$K:$K,,1,2)),_xlfn.XLOOKUP(A512,鑽量!$A:$A,鑽量!$K:$K,,1,2),NA())</f>
        <v>12385</v>
      </c>
      <c r="C512" s="416">
        <f t="shared" si="25"/>
        <v>103.20833333333333</v>
      </c>
      <c r="D512" s="416">
        <f>IF(ISNUMBER(_xlfn.XLOOKUP(A512,抽卷!$A:$A,抽卷!$K:$K,,1,2)),_xlfn.XLOOKUP(A512,抽卷!$A:$A,抽卷!$K:$K,,1,2),NA())</f>
        <v>50</v>
      </c>
      <c r="E512" s="416">
        <f>IF(ISNUMBER(_xlfn.XLOOKUP(A512,抽卷!$A:$A,抽卷!$M:$M,,1,2)),_xlfn.XLOOKUP(A512,抽卷!$A:$A,抽卷!$M:$M,,1,2),NA())</f>
        <v>0</v>
      </c>
      <c r="F512" s="70">
        <f t="shared" si="26"/>
        <v>153.20833333333331</v>
      </c>
    </row>
    <row r="513" spans="1:6" ht="15" customHeight="1" x14ac:dyDescent="0.25">
      <c r="A513" s="95">
        <f t="shared" si="23"/>
        <v>44449</v>
      </c>
      <c r="B513" s="76">
        <f>IF(ISNUMBER(_xlfn.XLOOKUP(A513,鑽量!$A:$A,鑽量!$K:$K,,1,2)),_xlfn.XLOOKUP(A513,鑽量!$A:$A,鑽量!$K:$K,,1,2),NA())</f>
        <v>12385</v>
      </c>
      <c r="C513" s="416">
        <f t="shared" si="25"/>
        <v>103.20833333333333</v>
      </c>
      <c r="D513" s="416">
        <f>IF(ISNUMBER(_xlfn.XLOOKUP(A513,抽卷!$A:$A,抽卷!$K:$K,,1,2)),_xlfn.XLOOKUP(A513,抽卷!$A:$A,抽卷!$K:$K,,1,2),NA())</f>
        <v>50</v>
      </c>
      <c r="E513" s="416">
        <f>IF(ISNUMBER(_xlfn.XLOOKUP(A513,抽卷!$A:$A,抽卷!$M:$M,,1,2)),_xlfn.XLOOKUP(A513,抽卷!$A:$A,抽卷!$M:$M,,1,2),NA())</f>
        <v>0</v>
      </c>
      <c r="F513" s="70">
        <f t="shared" si="26"/>
        <v>153.20833333333331</v>
      </c>
    </row>
    <row r="514" spans="1:6" ht="15" customHeight="1" x14ac:dyDescent="0.25">
      <c r="A514" s="95">
        <f t="shared" si="23"/>
        <v>44450</v>
      </c>
      <c r="B514" s="76">
        <f>IF(ISNUMBER(_xlfn.XLOOKUP(A514,鑽量!$A:$A,鑽量!$K:$K,,1,2)),_xlfn.XLOOKUP(A514,鑽量!$A:$A,鑽量!$K:$K,,1,2),NA())</f>
        <v>12290</v>
      </c>
      <c r="C514" s="416">
        <f t="shared" si="25"/>
        <v>102.41666666666667</v>
      </c>
      <c r="D514" s="416">
        <f>IF(ISNUMBER(_xlfn.XLOOKUP(A514,抽卷!$A:$A,抽卷!$K:$K,,1,2)),_xlfn.XLOOKUP(A514,抽卷!$A:$A,抽卷!$K:$K,,1,2),NA())</f>
        <v>50</v>
      </c>
      <c r="E514" s="416">
        <f>IF(ISNUMBER(_xlfn.XLOOKUP(A514,抽卷!$A:$A,抽卷!$M:$M,,1,2)),_xlfn.XLOOKUP(A514,抽卷!$A:$A,抽卷!$M:$M,,1,2),NA())</f>
        <v>0</v>
      </c>
      <c r="F514" s="70">
        <f t="shared" si="26"/>
        <v>152.41666666666669</v>
      </c>
    </row>
    <row r="515" spans="1:6" ht="15" customHeight="1" x14ac:dyDescent="0.25">
      <c r="A515" s="95">
        <f t="shared" si="23"/>
        <v>44451</v>
      </c>
      <c r="B515" s="76">
        <f>IF(ISNUMBER(_xlfn.XLOOKUP(A515,鑽量!$A:$A,鑽量!$K:$K,,1,2)),_xlfn.XLOOKUP(A515,鑽量!$A:$A,鑽量!$K:$K,,1,2),NA())</f>
        <v>12290</v>
      </c>
      <c r="C515" s="416">
        <f t="shared" si="25"/>
        <v>102.41666666666667</v>
      </c>
      <c r="D515" s="416">
        <f>IF(ISNUMBER(_xlfn.XLOOKUP(A515,抽卷!$A:$A,抽卷!$K:$K,,1,2)),_xlfn.XLOOKUP(A515,抽卷!$A:$A,抽卷!$K:$K,,1,2),NA())</f>
        <v>50</v>
      </c>
      <c r="E515" s="416">
        <f>IF(ISNUMBER(_xlfn.XLOOKUP(A515,抽卷!$A:$A,抽卷!$M:$M,,1,2)),_xlfn.XLOOKUP(A515,抽卷!$A:$A,抽卷!$M:$M,,1,2),NA())</f>
        <v>0</v>
      </c>
      <c r="F515" s="70">
        <f t="shared" si="26"/>
        <v>152.41666666666669</v>
      </c>
    </row>
    <row r="516" spans="1:6" ht="15" customHeight="1" x14ac:dyDescent="0.25">
      <c r="A516" s="95">
        <f t="shared" si="23"/>
        <v>44452</v>
      </c>
      <c r="B516" s="76">
        <f>IF(ISNUMBER(_xlfn.XLOOKUP(A516,鑽量!$A:$A,鑽量!$K:$K,,1,2)),_xlfn.XLOOKUP(A516,鑽量!$A:$A,鑽量!$K:$K,,1,2),NA())</f>
        <v>12290</v>
      </c>
      <c r="C516" s="416">
        <f t="shared" si="25"/>
        <v>102.41666666666667</v>
      </c>
      <c r="D516" s="416">
        <f>IF(ISNUMBER(_xlfn.XLOOKUP(A516,抽卷!$A:$A,抽卷!$K:$K,,1,2)),_xlfn.XLOOKUP(A516,抽卷!$A:$A,抽卷!$K:$K,,1,2),NA())</f>
        <v>50</v>
      </c>
      <c r="E516" s="416">
        <f>IF(ISNUMBER(_xlfn.XLOOKUP(A516,抽卷!$A:$A,抽卷!$M:$M,,1,2)),_xlfn.XLOOKUP(A516,抽卷!$A:$A,抽卷!$M:$M,,1,2),NA())</f>
        <v>0</v>
      </c>
      <c r="F516" s="70">
        <f t="shared" si="26"/>
        <v>152.41666666666669</v>
      </c>
    </row>
    <row r="517" spans="1:6" ht="15" customHeight="1" x14ac:dyDescent="0.25">
      <c r="A517" s="95">
        <f t="shared" si="23"/>
        <v>44453</v>
      </c>
      <c r="B517" s="76">
        <f>IF(ISNUMBER(_xlfn.XLOOKUP(A517,鑽量!$A:$A,鑽量!$K:$K,,1,2)),_xlfn.XLOOKUP(A517,鑽量!$A:$A,鑽量!$K:$K,,1,2),NA())</f>
        <v>10150</v>
      </c>
      <c r="C517" s="416">
        <f t="shared" si="25"/>
        <v>84.583333333333329</v>
      </c>
      <c r="D517" s="416">
        <f>IF(ISNUMBER(_xlfn.XLOOKUP(A517,抽卷!$A:$A,抽卷!$K:$K,,1,2)),_xlfn.XLOOKUP(A517,抽卷!$A:$A,抽卷!$K:$K,,1,2),NA())</f>
        <v>52</v>
      </c>
      <c r="E517" s="416">
        <f>IF(ISNUMBER(_xlfn.XLOOKUP(A517,抽卷!$A:$A,抽卷!$M:$M,,1,2)),_xlfn.XLOOKUP(A517,抽卷!$A:$A,抽卷!$M:$M,,1,2),NA())</f>
        <v>0</v>
      </c>
      <c r="F517" s="70">
        <f t="shared" si="26"/>
        <v>136.58333333333331</v>
      </c>
    </row>
    <row r="518" spans="1:6" ht="15" customHeight="1" x14ac:dyDescent="0.25">
      <c r="A518" s="95">
        <f t="shared" ref="A518:A581" si="27">A517+1</f>
        <v>44454</v>
      </c>
      <c r="B518" s="76">
        <f>IF(ISNUMBER(_xlfn.XLOOKUP(A518,鑽量!$A:$A,鑽量!$K:$K,,1,2)),_xlfn.XLOOKUP(A518,鑽量!$A:$A,鑽量!$K:$K,,1,2),NA())</f>
        <v>11415</v>
      </c>
      <c r="C518" s="416">
        <f t="shared" si="25"/>
        <v>95.125</v>
      </c>
      <c r="D518" s="416">
        <f>IF(ISNUMBER(_xlfn.XLOOKUP(A518,抽卷!$A:$A,抽卷!$K:$K,,1,2)),_xlfn.XLOOKUP(A518,抽卷!$A:$A,抽卷!$K:$K,,1,2),NA())</f>
        <v>58</v>
      </c>
      <c r="E518" s="416">
        <f>IF(ISNUMBER(_xlfn.XLOOKUP(A518,抽卷!$A:$A,抽卷!$M:$M,,1,2)),_xlfn.XLOOKUP(A518,抽卷!$A:$A,抽卷!$M:$M,,1,2),NA())</f>
        <v>0</v>
      </c>
      <c r="F518" s="70">
        <f t="shared" si="26"/>
        <v>153.125</v>
      </c>
    </row>
    <row r="519" spans="1:6" ht="15" customHeight="1" x14ac:dyDescent="0.25">
      <c r="A519" s="95">
        <f t="shared" si="27"/>
        <v>44455</v>
      </c>
      <c r="B519" s="76">
        <f>IF(ISNUMBER(_xlfn.XLOOKUP(A519,鑽量!$A:$A,鑽量!$K:$K,,1,2)),_xlfn.XLOOKUP(A519,鑽量!$A:$A,鑽量!$K:$K,,1,2),NA())</f>
        <v>9965</v>
      </c>
      <c r="C519" s="416">
        <f t="shared" si="25"/>
        <v>83.041666666666671</v>
      </c>
      <c r="D519" s="416">
        <f>IF(ISNUMBER(_xlfn.XLOOKUP(A519,抽卷!$A:$A,抽卷!$K:$K,,1,2)),_xlfn.XLOOKUP(A519,抽卷!$A:$A,抽卷!$K:$K,,1,2),NA())</f>
        <v>33</v>
      </c>
      <c r="E519" s="416">
        <f>IF(ISNUMBER(_xlfn.XLOOKUP(A519,抽卷!$A:$A,抽卷!$M:$M,,1,2)),_xlfn.XLOOKUP(A519,抽卷!$A:$A,抽卷!$M:$M,,1,2),NA())</f>
        <v>0</v>
      </c>
      <c r="F519" s="70">
        <f t="shared" si="26"/>
        <v>116.04166666666667</v>
      </c>
    </row>
    <row r="520" spans="1:6" ht="15" customHeight="1" x14ac:dyDescent="0.25">
      <c r="A520" s="95">
        <f t="shared" si="27"/>
        <v>44456</v>
      </c>
      <c r="B520" s="76">
        <f>IF(ISNUMBER(_xlfn.XLOOKUP(A520,鑽量!$A:$A,鑽量!$K:$K,,1,2)),_xlfn.XLOOKUP(A520,鑽量!$A:$A,鑽量!$K:$K,,1,2),NA())</f>
        <v>10135</v>
      </c>
      <c r="C520" s="416">
        <f t="shared" si="25"/>
        <v>84.458333333333329</v>
      </c>
      <c r="D520" s="416">
        <f>IF(ISNUMBER(_xlfn.XLOOKUP(A520,抽卷!$A:$A,抽卷!$K:$K,,1,2)),_xlfn.XLOOKUP(A520,抽卷!$A:$A,抽卷!$K:$K,,1,2),NA())</f>
        <v>35</v>
      </c>
      <c r="E520" s="416">
        <f>IF(ISNUMBER(_xlfn.XLOOKUP(A520,抽卷!$A:$A,抽卷!$M:$M,,1,2)),_xlfn.XLOOKUP(A520,抽卷!$A:$A,抽卷!$M:$M,,1,2),NA())</f>
        <v>0</v>
      </c>
      <c r="F520" s="70">
        <f t="shared" si="26"/>
        <v>119.45833333333333</v>
      </c>
    </row>
    <row r="521" spans="1:6" ht="15" customHeight="1" x14ac:dyDescent="0.25">
      <c r="A521" s="95">
        <f t="shared" si="27"/>
        <v>44457</v>
      </c>
      <c r="B521" s="76">
        <f>IF(ISNUMBER(_xlfn.XLOOKUP(A521,鑽量!$A:$A,鑽量!$K:$K,,1,2)),_xlfn.XLOOKUP(A521,鑽量!$A:$A,鑽量!$K:$K,,1,2),NA())</f>
        <v>11335</v>
      </c>
      <c r="C521" s="416">
        <f t="shared" si="25"/>
        <v>94.458333333333329</v>
      </c>
      <c r="D521" s="416">
        <f>IF(ISNUMBER(_xlfn.XLOOKUP(A521,抽卷!$A:$A,抽卷!$K:$K,,1,2)),_xlfn.XLOOKUP(A521,抽卷!$A:$A,抽卷!$K:$K,,1,2),NA())</f>
        <v>45</v>
      </c>
      <c r="E521" s="416">
        <f>IF(ISNUMBER(_xlfn.XLOOKUP(A521,抽卷!$A:$A,抽卷!$M:$M,,1,2)),_xlfn.XLOOKUP(A521,抽卷!$A:$A,抽卷!$M:$M,,1,2),NA())</f>
        <v>0</v>
      </c>
      <c r="F521" s="70">
        <f t="shared" si="26"/>
        <v>139.45833333333331</v>
      </c>
    </row>
    <row r="522" spans="1:6" ht="15" customHeight="1" x14ac:dyDescent="0.25">
      <c r="A522" s="95">
        <f t="shared" si="27"/>
        <v>44458</v>
      </c>
      <c r="B522" s="76">
        <f>IF(ISNUMBER(_xlfn.XLOOKUP(A522,鑽量!$A:$A,鑽量!$K:$K,,1,2)),_xlfn.XLOOKUP(A522,鑽量!$A:$A,鑽量!$K:$K,,1,2),NA())</f>
        <v>11335</v>
      </c>
      <c r="C522" s="416">
        <f t="shared" si="25"/>
        <v>94.458333333333329</v>
      </c>
      <c r="D522" s="416">
        <f>IF(ISNUMBER(_xlfn.XLOOKUP(A522,抽卷!$A:$A,抽卷!$K:$K,,1,2)),_xlfn.XLOOKUP(A522,抽卷!$A:$A,抽卷!$K:$K,,1,2),NA())</f>
        <v>45</v>
      </c>
      <c r="E522" s="416">
        <f>IF(ISNUMBER(_xlfn.XLOOKUP(A522,抽卷!$A:$A,抽卷!$M:$M,,1,2)),_xlfn.XLOOKUP(A522,抽卷!$A:$A,抽卷!$M:$M,,1,2),NA())</f>
        <v>0</v>
      </c>
      <c r="F522" s="70">
        <f t="shared" si="26"/>
        <v>139.45833333333331</v>
      </c>
    </row>
    <row r="523" spans="1:6" ht="15" customHeight="1" x14ac:dyDescent="0.25">
      <c r="A523" s="95">
        <f t="shared" si="27"/>
        <v>44459</v>
      </c>
      <c r="B523" s="76">
        <f>IF(ISNUMBER(_xlfn.XLOOKUP(A523,鑽量!$A:$A,鑽量!$K:$K,,1,2)),_xlfn.XLOOKUP(A523,鑽量!$A:$A,鑽量!$K:$K,,1,2),NA())</f>
        <v>11345</v>
      </c>
      <c r="C523" s="416">
        <f t="shared" si="25"/>
        <v>94.541666666666671</v>
      </c>
      <c r="D523" s="416">
        <f>IF(ISNUMBER(_xlfn.XLOOKUP(A523,抽卷!$A:$A,抽卷!$K:$K,,1,2)),_xlfn.XLOOKUP(A523,抽卷!$A:$A,抽卷!$K:$K,,1,2),NA())</f>
        <v>47</v>
      </c>
      <c r="E523" s="416">
        <f>IF(ISNUMBER(_xlfn.XLOOKUP(A523,抽卷!$A:$A,抽卷!$M:$M,,1,2)),_xlfn.XLOOKUP(A523,抽卷!$A:$A,抽卷!$M:$M,,1,2),NA())</f>
        <v>0</v>
      </c>
      <c r="F523" s="70">
        <f t="shared" si="26"/>
        <v>141.54166666666669</v>
      </c>
    </row>
    <row r="524" spans="1:6" ht="15" customHeight="1" x14ac:dyDescent="0.25">
      <c r="A524" s="95">
        <f t="shared" si="27"/>
        <v>44460</v>
      </c>
      <c r="B524" s="76">
        <f>IF(ISNUMBER(_xlfn.XLOOKUP(A524,鑽量!$A:$A,鑽量!$K:$K,,1,2)),_xlfn.XLOOKUP(A524,鑽量!$A:$A,鑽量!$K:$K,,1,2),NA())</f>
        <v>11590</v>
      </c>
      <c r="C524" s="416">
        <f t="shared" si="25"/>
        <v>96.583333333333329</v>
      </c>
      <c r="D524" s="416">
        <f>IF(ISNUMBER(_xlfn.XLOOKUP(A524,抽卷!$A:$A,抽卷!$K:$K,,1,2)),_xlfn.XLOOKUP(A524,抽卷!$A:$A,抽卷!$K:$K,,1,2),NA())</f>
        <v>49</v>
      </c>
      <c r="E524" s="416">
        <f>IF(ISNUMBER(_xlfn.XLOOKUP(A524,抽卷!$A:$A,抽卷!$M:$M,,1,2)),_xlfn.XLOOKUP(A524,抽卷!$A:$A,抽卷!$M:$M,,1,2),NA())</f>
        <v>0</v>
      </c>
      <c r="F524" s="70">
        <f t="shared" si="26"/>
        <v>145.58333333333331</v>
      </c>
    </row>
    <row r="525" spans="1:6" ht="15" customHeight="1" x14ac:dyDescent="0.25">
      <c r="A525" s="95">
        <f t="shared" si="27"/>
        <v>44461</v>
      </c>
      <c r="B525" s="76">
        <f>IF(ISNUMBER(_xlfn.XLOOKUP(A525,鑽量!$A:$A,鑽量!$K:$K,,1,2)),_xlfn.XLOOKUP(A525,鑽量!$A:$A,鑽量!$K:$K,,1,2),NA())</f>
        <v>12915</v>
      </c>
      <c r="C525" s="416">
        <f t="shared" si="25"/>
        <v>107.625</v>
      </c>
      <c r="D525" s="416">
        <f>IF(ISNUMBER(_xlfn.XLOOKUP(A525,抽卷!$A:$A,抽卷!$K:$K,,1,2)),_xlfn.XLOOKUP(A525,抽卷!$A:$A,抽卷!$K:$K,,1,2),NA())</f>
        <v>55</v>
      </c>
      <c r="E525" s="416">
        <f>IF(ISNUMBER(_xlfn.XLOOKUP(A525,抽卷!$A:$A,抽卷!$M:$M,,1,2)),_xlfn.XLOOKUP(A525,抽卷!$A:$A,抽卷!$M:$M,,1,2),NA())</f>
        <v>0</v>
      </c>
      <c r="F525" s="70">
        <f t="shared" si="26"/>
        <v>162.625</v>
      </c>
    </row>
    <row r="526" spans="1:6" ht="15" customHeight="1" x14ac:dyDescent="0.25">
      <c r="A526" s="95">
        <f t="shared" si="27"/>
        <v>44462</v>
      </c>
      <c r="B526" s="76">
        <f>IF(ISNUMBER(_xlfn.XLOOKUP(A526,鑽量!$A:$A,鑽量!$K:$K,,1,2)),_xlfn.XLOOKUP(A526,鑽量!$A:$A,鑽量!$K:$K,,1,2),NA())</f>
        <v>12915</v>
      </c>
      <c r="C526" s="416">
        <f t="shared" si="25"/>
        <v>107.625</v>
      </c>
      <c r="D526" s="416">
        <f>IF(ISNUMBER(_xlfn.XLOOKUP(A526,抽卷!$A:$A,抽卷!$K:$K,,1,2)),_xlfn.XLOOKUP(A526,抽卷!$A:$A,抽卷!$K:$K,,1,2),NA())</f>
        <v>55</v>
      </c>
      <c r="E526" s="416">
        <f>IF(ISNUMBER(_xlfn.XLOOKUP(A526,抽卷!$A:$A,抽卷!$M:$M,,1,2)),_xlfn.XLOOKUP(A526,抽卷!$A:$A,抽卷!$M:$M,,1,2),NA())</f>
        <v>0</v>
      </c>
      <c r="F526" s="70">
        <f t="shared" si="26"/>
        <v>162.625</v>
      </c>
    </row>
    <row r="527" spans="1:6" ht="15" customHeight="1" x14ac:dyDescent="0.25">
      <c r="A527" s="95">
        <f t="shared" si="27"/>
        <v>44463</v>
      </c>
      <c r="B527" s="76">
        <f>IF(ISNUMBER(_xlfn.XLOOKUP(A527,鑽量!$A:$A,鑽量!$K:$K,,1,2)),_xlfn.XLOOKUP(A527,鑽量!$A:$A,鑽量!$K:$K,,1,2),NA())</f>
        <v>11290</v>
      </c>
      <c r="C527" s="416">
        <f t="shared" si="25"/>
        <v>94.083333333333329</v>
      </c>
      <c r="D527" s="416">
        <f>IF(ISNUMBER(_xlfn.XLOOKUP(A527,抽卷!$A:$A,抽卷!$K:$K,,1,2)),_xlfn.XLOOKUP(A527,抽卷!$A:$A,抽卷!$K:$K,,1,2),NA())</f>
        <v>99</v>
      </c>
      <c r="E527" s="416">
        <f>IF(ISNUMBER(_xlfn.XLOOKUP(A527,抽卷!$A:$A,抽卷!$M:$M,,1,2)),_xlfn.XLOOKUP(A527,抽卷!$A:$A,抽卷!$M:$M,,1,2),NA())</f>
        <v>10</v>
      </c>
      <c r="F527" s="70">
        <f t="shared" si="26"/>
        <v>203.08333333333331</v>
      </c>
    </row>
    <row r="528" spans="1:6" ht="15" customHeight="1" x14ac:dyDescent="0.25">
      <c r="A528" s="95">
        <f t="shared" si="27"/>
        <v>44464</v>
      </c>
      <c r="B528" s="76">
        <f>IF(ISNUMBER(_xlfn.XLOOKUP(A528,鑽量!$A:$A,鑽量!$K:$K,,1,2)),_xlfn.XLOOKUP(A528,鑽量!$A:$A,鑽量!$K:$K,,1,2),NA())</f>
        <v>11290</v>
      </c>
      <c r="C528" s="416">
        <f t="shared" si="25"/>
        <v>94.083333333333329</v>
      </c>
      <c r="D528" s="416">
        <f>IF(ISNUMBER(_xlfn.XLOOKUP(A528,抽卷!$A:$A,抽卷!$K:$K,,1,2)),_xlfn.XLOOKUP(A528,抽卷!$A:$A,抽卷!$K:$K,,1,2),NA())</f>
        <v>99</v>
      </c>
      <c r="E528" s="416">
        <f>IF(ISNUMBER(_xlfn.XLOOKUP(A528,抽卷!$A:$A,抽卷!$M:$M,,1,2)),_xlfn.XLOOKUP(A528,抽卷!$A:$A,抽卷!$M:$M,,1,2),NA())</f>
        <v>10</v>
      </c>
      <c r="F528" s="70">
        <f t="shared" si="26"/>
        <v>203.08333333333331</v>
      </c>
    </row>
    <row r="529" spans="1:6" ht="15" customHeight="1" x14ac:dyDescent="0.25">
      <c r="A529" s="95">
        <f t="shared" si="27"/>
        <v>44465</v>
      </c>
      <c r="B529" s="76">
        <f>IF(ISNUMBER(_xlfn.XLOOKUP(A529,鑽量!$A:$A,鑽量!$K:$K,,1,2)),_xlfn.XLOOKUP(A529,鑽量!$A:$A,鑽量!$K:$K,,1,2),NA())</f>
        <v>11290</v>
      </c>
      <c r="C529" s="416">
        <f t="shared" si="25"/>
        <v>94.083333333333329</v>
      </c>
      <c r="D529" s="416">
        <f>IF(ISNUMBER(_xlfn.XLOOKUP(A529,抽卷!$A:$A,抽卷!$K:$K,,1,2)),_xlfn.XLOOKUP(A529,抽卷!$A:$A,抽卷!$K:$K,,1,2),NA())</f>
        <v>99</v>
      </c>
      <c r="E529" s="416">
        <f>IF(ISNUMBER(_xlfn.XLOOKUP(A529,抽卷!$A:$A,抽卷!$M:$M,,1,2)),_xlfn.XLOOKUP(A529,抽卷!$A:$A,抽卷!$M:$M,,1,2),NA())</f>
        <v>10</v>
      </c>
      <c r="F529" s="70">
        <f t="shared" si="26"/>
        <v>203.08333333333331</v>
      </c>
    </row>
    <row r="530" spans="1:6" ht="15" customHeight="1" x14ac:dyDescent="0.25">
      <c r="A530" s="95">
        <f t="shared" si="27"/>
        <v>44466</v>
      </c>
      <c r="B530" s="76">
        <f>IF(ISNUMBER(_xlfn.XLOOKUP(A530,鑽量!$A:$A,鑽量!$K:$K,,1,2)),_xlfn.XLOOKUP(A530,鑽量!$A:$A,鑽量!$K:$K,,1,2),NA())</f>
        <v>11290</v>
      </c>
      <c r="C530" s="416">
        <f t="shared" si="25"/>
        <v>94.083333333333329</v>
      </c>
      <c r="D530" s="416">
        <f>IF(ISNUMBER(_xlfn.XLOOKUP(A530,抽卷!$A:$A,抽卷!$K:$K,,1,2)),_xlfn.XLOOKUP(A530,抽卷!$A:$A,抽卷!$K:$K,,1,2),NA())</f>
        <v>99</v>
      </c>
      <c r="E530" s="416">
        <f>IF(ISNUMBER(_xlfn.XLOOKUP(A530,抽卷!$A:$A,抽卷!$M:$M,,1,2)),_xlfn.XLOOKUP(A530,抽卷!$A:$A,抽卷!$M:$M,,1,2),NA())</f>
        <v>10</v>
      </c>
      <c r="F530" s="70">
        <f t="shared" si="26"/>
        <v>203.08333333333331</v>
      </c>
    </row>
    <row r="531" spans="1:6" ht="15" customHeight="1" x14ac:dyDescent="0.25">
      <c r="A531" s="95">
        <f t="shared" si="27"/>
        <v>44467</v>
      </c>
      <c r="B531" s="76">
        <f>IF(ISNUMBER(_xlfn.XLOOKUP(A531,鑽量!$A:$A,鑽量!$K:$K,,1,2)),_xlfn.XLOOKUP(A531,鑽量!$A:$A,鑽量!$K:$K,,1,2),NA())</f>
        <v>11290</v>
      </c>
      <c r="C531" s="416">
        <f t="shared" si="25"/>
        <v>94.083333333333329</v>
      </c>
      <c r="D531" s="416">
        <f>IF(ISNUMBER(_xlfn.XLOOKUP(A531,抽卷!$A:$A,抽卷!$K:$K,,1,2)),_xlfn.XLOOKUP(A531,抽卷!$A:$A,抽卷!$K:$K,,1,2),NA())</f>
        <v>92</v>
      </c>
      <c r="E531" s="416">
        <f>IF(ISNUMBER(_xlfn.XLOOKUP(A531,抽卷!$A:$A,抽卷!$M:$M,,1,2)),_xlfn.XLOOKUP(A531,抽卷!$A:$A,抽卷!$M:$M,,1,2),NA())</f>
        <v>20</v>
      </c>
      <c r="F531" s="70">
        <f t="shared" si="26"/>
        <v>206.08333333333331</v>
      </c>
    </row>
    <row r="532" spans="1:6" ht="15" customHeight="1" x14ac:dyDescent="0.25">
      <c r="A532" s="95">
        <f t="shared" si="27"/>
        <v>44468</v>
      </c>
      <c r="B532" s="76">
        <f>IF(ISNUMBER(_xlfn.XLOOKUP(A532,鑽量!$A:$A,鑽量!$K:$K,,1,2)),_xlfn.XLOOKUP(A532,鑽量!$A:$A,鑽量!$K:$K,,1,2),NA())</f>
        <v>14315</v>
      </c>
      <c r="C532" s="416">
        <f t="shared" si="25"/>
        <v>119.29166666666667</v>
      </c>
      <c r="D532" s="416">
        <f>IF(ISNUMBER(_xlfn.XLOOKUP(A532,抽卷!$A:$A,抽卷!$K:$K,,1,2)),_xlfn.XLOOKUP(A532,抽卷!$A:$A,抽卷!$K:$K,,1,2),NA())</f>
        <v>92</v>
      </c>
      <c r="E532" s="416">
        <f>IF(ISNUMBER(_xlfn.XLOOKUP(A532,抽卷!$A:$A,抽卷!$M:$M,,1,2)),_xlfn.XLOOKUP(A532,抽卷!$A:$A,抽卷!$M:$M,,1,2),NA())</f>
        <v>30</v>
      </c>
      <c r="F532" s="70">
        <f t="shared" si="26"/>
        <v>241.29166666666669</v>
      </c>
    </row>
    <row r="533" spans="1:6" ht="15" customHeight="1" x14ac:dyDescent="0.25">
      <c r="A533" s="95">
        <f t="shared" si="27"/>
        <v>44469</v>
      </c>
      <c r="B533" s="76">
        <f>IF(ISNUMBER(_xlfn.XLOOKUP(A533,鑽量!$A:$A,鑽量!$K:$K,,1,2)),_xlfn.XLOOKUP(A533,鑽量!$A:$A,鑽量!$K:$K,,1,2),NA())</f>
        <v>14315</v>
      </c>
      <c r="C533" s="416">
        <f t="shared" si="25"/>
        <v>119.29166666666667</v>
      </c>
      <c r="D533" s="416">
        <f>IF(ISNUMBER(_xlfn.XLOOKUP(A533,抽卷!$A:$A,抽卷!$K:$K,,1,2)),_xlfn.XLOOKUP(A533,抽卷!$A:$A,抽卷!$K:$K,,1,2),NA())</f>
        <v>92</v>
      </c>
      <c r="E533" s="416">
        <f>IF(ISNUMBER(_xlfn.XLOOKUP(A533,抽卷!$A:$A,抽卷!$M:$M,,1,2)),_xlfn.XLOOKUP(A533,抽卷!$A:$A,抽卷!$M:$M,,1,2),NA())</f>
        <v>40</v>
      </c>
      <c r="F533" s="70">
        <f t="shared" si="26"/>
        <v>251.29166666666669</v>
      </c>
    </row>
    <row r="534" spans="1:6" ht="15" customHeight="1" x14ac:dyDescent="0.25">
      <c r="A534" s="95">
        <f t="shared" si="27"/>
        <v>44470</v>
      </c>
      <c r="B534" s="76">
        <f>IF(ISNUMBER(_xlfn.XLOOKUP(A534,鑽量!$A:$A,鑽量!$K:$K,,1,2)),_xlfn.XLOOKUP(A534,鑽量!$A:$A,鑽量!$K:$K,,1,2),NA())</f>
        <v>16400</v>
      </c>
      <c r="C534" s="416">
        <f t="shared" si="25"/>
        <v>136.66666666666666</v>
      </c>
      <c r="D534" s="416">
        <f>IF(ISNUMBER(_xlfn.XLOOKUP(A534,抽卷!$A:$A,抽卷!$K:$K,,1,2)),_xlfn.XLOOKUP(A534,抽卷!$A:$A,抽卷!$K:$K,,1,2),NA())</f>
        <v>112</v>
      </c>
      <c r="E534" s="416">
        <f>IF(ISNUMBER(_xlfn.XLOOKUP(A534,抽卷!$A:$A,抽卷!$M:$M,,1,2)),_xlfn.XLOOKUP(A534,抽卷!$A:$A,抽卷!$M:$M,,1,2),NA())</f>
        <v>50</v>
      </c>
      <c r="F534" s="70">
        <f t="shared" si="26"/>
        <v>298.66666666666663</v>
      </c>
    </row>
    <row r="535" spans="1:6" ht="15" customHeight="1" x14ac:dyDescent="0.25">
      <c r="A535" s="95">
        <f t="shared" si="27"/>
        <v>44471</v>
      </c>
      <c r="B535" s="76">
        <f>IF(ISNUMBER(_xlfn.XLOOKUP(A535,鑽量!$A:$A,鑽量!$K:$K,,1,2)),_xlfn.XLOOKUP(A535,鑽量!$A:$A,鑽量!$K:$K,,1,2),NA())</f>
        <v>17400</v>
      </c>
      <c r="C535" s="416">
        <f t="shared" si="25"/>
        <v>145</v>
      </c>
      <c r="D535" s="416">
        <f>IF(ISNUMBER(_xlfn.XLOOKUP(A535,抽卷!$A:$A,抽卷!$K:$K,,1,2)),_xlfn.XLOOKUP(A535,抽卷!$A:$A,抽卷!$K:$K,,1,2),NA())</f>
        <v>113</v>
      </c>
      <c r="E535" s="416">
        <f>IF(ISNUMBER(_xlfn.XLOOKUP(A535,抽卷!$A:$A,抽卷!$M:$M,,1,2)),_xlfn.XLOOKUP(A535,抽卷!$A:$A,抽卷!$M:$M,,1,2),NA())</f>
        <v>60</v>
      </c>
      <c r="F535" s="70">
        <f t="shared" si="26"/>
        <v>318</v>
      </c>
    </row>
    <row r="536" spans="1:6" ht="15" customHeight="1" x14ac:dyDescent="0.25">
      <c r="A536" s="95">
        <f t="shared" si="27"/>
        <v>44472</v>
      </c>
      <c r="B536" s="76">
        <f>IF(ISNUMBER(_xlfn.XLOOKUP(A536,鑽量!$A:$A,鑽量!$K:$K,,1,2)),_xlfn.XLOOKUP(A536,鑽量!$A:$A,鑽量!$K:$K,,1,2),NA())</f>
        <v>16845</v>
      </c>
      <c r="C536" s="416">
        <f t="shared" si="25"/>
        <v>140.375</v>
      </c>
      <c r="D536" s="416">
        <f>IF(ISNUMBER(_xlfn.XLOOKUP(A536,抽卷!$A:$A,抽卷!$K:$K,,1,2)),_xlfn.XLOOKUP(A536,抽卷!$A:$A,抽卷!$K:$K,,1,2),NA())</f>
        <v>127</v>
      </c>
      <c r="E536" s="416">
        <f>IF(ISNUMBER(_xlfn.XLOOKUP(A536,抽卷!$A:$A,抽卷!$M:$M,,1,2)),_xlfn.XLOOKUP(A536,抽卷!$A:$A,抽卷!$M:$M,,1,2),NA())</f>
        <v>90</v>
      </c>
      <c r="F536" s="70">
        <f t="shared" si="26"/>
        <v>357.375</v>
      </c>
    </row>
    <row r="537" spans="1:6" ht="15" customHeight="1" x14ac:dyDescent="0.25">
      <c r="A537" s="95">
        <f t="shared" si="27"/>
        <v>44473</v>
      </c>
      <c r="B537" s="76">
        <f>IF(ISNUMBER(_xlfn.XLOOKUP(A537,鑽量!$A:$A,鑽量!$K:$K,,1,2)),_xlfn.XLOOKUP(A537,鑽量!$A:$A,鑽量!$K:$K,,1,2),NA())</f>
        <v>16845</v>
      </c>
      <c r="C537" s="416">
        <f t="shared" si="25"/>
        <v>140.375</v>
      </c>
      <c r="D537" s="416">
        <f>IF(ISNUMBER(_xlfn.XLOOKUP(A537,抽卷!$A:$A,抽卷!$K:$K,,1,2)),_xlfn.XLOOKUP(A537,抽卷!$A:$A,抽卷!$K:$K,,1,2),NA())</f>
        <v>127</v>
      </c>
      <c r="E537" s="416">
        <f>IF(ISNUMBER(_xlfn.XLOOKUP(A537,抽卷!$A:$A,抽卷!$M:$M,,1,2)),_xlfn.XLOOKUP(A537,抽卷!$A:$A,抽卷!$M:$M,,1,2),NA())</f>
        <v>90</v>
      </c>
      <c r="F537" s="70">
        <f t="shared" si="26"/>
        <v>357.375</v>
      </c>
    </row>
    <row r="538" spans="1:6" ht="15" customHeight="1" x14ac:dyDescent="0.25">
      <c r="A538" s="95">
        <f t="shared" si="27"/>
        <v>44474</v>
      </c>
      <c r="B538" s="76">
        <f>IF(ISNUMBER(_xlfn.XLOOKUP(A538,鑽量!$A:$A,鑽量!$K:$K,,1,2)),_xlfn.XLOOKUP(A538,鑽量!$A:$A,鑽量!$K:$K,,1,2),NA())</f>
        <v>16845</v>
      </c>
      <c r="C538" s="416">
        <f t="shared" si="25"/>
        <v>140.375</v>
      </c>
      <c r="D538" s="416">
        <f>IF(ISNUMBER(_xlfn.XLOOKUP(A538,抽卷!$A:$A,抽卷!$K:$K,,1,2)),_xlfn.XLOOKUP(A538,抽卷!$A:$A,抽卷!$K:$K,,1,2),NA())</f>
        <v>127</v>
      </c>
      <c r="E538" s="416">
        <f>IF(ISNUMBER(_xlfn.XLOOKUP(A538,抽卷!$A:$A,抽卷!$M:$M,,1,2)),_xlfn.XLOOKUP(A538,抽卷!$A:$A,抽卷!$M:$M,,1,2),NA())</f>
        <v>90</v>
      </c>
      <c r="F538" s="70">
        <f t="shared" si="26"/>
        <v>357.375</v>
      </c>
    </row>
    <row r="539" spans="1:6" ht="15" customHeight="1" x14ac:dyDescent="0.25">
      <c r="A539" s="95">
        <f t="shared" si="27"/>
        <v>44475</v>
      </c>
      <c r="B539" s="76">
        <f>IF(ISNUMBER(_xlfn.XLOOKUP(A539,鑽量!$A:$A,鑽量!$K:$K,,1,2)),_xlfn.XLOOKUP(A539,鑽量!$A:$A,鑽量!$K:$K,,1,2),NA())</f>
        <v>18645</v>
      </c>
      <c r="C539" s="416">
        <f t="shared" si="25"/>
        <v>155.375</v>
      </c>
      <c r="D539" s="416">
        <f>IF(ISNUMBER(_xlfn.XLOOKUP(A539,抽卷!$A:$A,抽卷!$K:$K,,1,2)),_xlfn.XLOOKUP(A539,抽卷!$A:$A,抽卷!$K:$K,,1,2),NA())</f>
        <v>138</v>
      </c>
      <c r="E539" s="416">
        <f>IF(ISNUMBER(_xlfn.XLOOKUP(A539,抽卷!$A:$A,抽卷!$M:$M,,1,2)),_xlfn.XLOOKUP(A539,抽卷!$A:$A,抽卷!$M:$M,,1,2),NA())</f>
        <v>100</v>
      </c>
      <c r="F539" s="70">
        <f t="shared" si="26"/>
        <v>393.375</v>
      </c>
    </row>
    <row r="540" spans="1:6" ht="15" customHeight="1" x14ac:dyDescent="0.25">
      <c r="A540" s="95">
        <f t="shared" si="27"/>
        <v>44476</v>
      </c>
      <c r="B540" s="76">
        <f>IF(ISNUMBER(_xlfn.XLOOKUP(A540,鑽量!$A:$A,鑽量!$K:$K,,1,2)),_xlfn.XLOOKUP(A540,鑽量!$A:$A,鑽量!$K:$K,,1,2),NA())</f>
        <v>18745</v>
      </c>
      <c r="C540" s="416">
        <f t="shared" si="25"/>
        <v>156.20833333333334</v>
      </c>
      <c r="D540" s="416">
        <f>IF(ISNUMBER(_xlfn.XLOOKUP(A540,抽卷!$A:$A,抽卷!$K:$K,,1,2)),_xlfn.XLOOKUP(A540,抽卷!$A:$A,抽卷!$K:$K,,1,2),NA())</f>
        <v>139</v>
      </c>
      <c r="E540" s="416">
        <f>IF(ISNUMBER(_xlfn.XLOOKUP(A540,抽卷!$A:$A,抽卷!$M:$M,,1,2)),_xlfn.XLOOKUP(A540,抽卷!$A:$A,抽卷!$M:$M,,1,2),NA())</f>
        <v>110</v>
      </c>
      <c r="F540" s="70">
        <f t="shared" si="26"/>
        <v>405.20833333333337</v>
      </c>
    </row>
    <row r="541" spans="1:6" ht="15" customHeight="1" x14ac:dyDescent="0.25">
      <c r="A541" s="95">
        <f t="shared" si="27"/>
        <v>44477</v>
      </c>
      <c r="B541" s="76">
        <f>IF(ISNUMBER(_xlfn.XLOOKUP(A541,鑽量!$A:$A,鑽量!$K:$K,,1,2)),_xlfn.XLOOKUP(A541,鑽量!$A:$A,鑽量!$K:$K,,1,2),NA())</f>
        <v>19245</v>
      </c>
      <c r="C541" s="416">
        <f t="shared" si="25"/>
        <v>160.375</v>
      </c>
      <c r="D541" s="416">
        <f>IF(ISNUMBER(_xlfn.XLOOKUP(A541,抽卷!$A:$A,抽卷!$K:$K,,1,2)),_xlfn.XLOOKUP(A541,抽卷!$A:$A,抽卷!$K:$K,,1,2),NA())</f>
        <v>140</v>
      </c>
      <c r="E541" s="416">
        <f>IF(ISNUMBER(_xlfn.XLOOKUP(A541,抽卷!$A:$A,抽卷!$M:$M,,1,2)),_xlfn.XLOOKUP(A541,抽卷!$A:$A,抽卷!$M:$M,,1,2),NA())</f>
        <v>120</v>
      </c>
      <c r="F541" s="70">
        <f t="shared" si="26"/>
        <v>420.375</v>
      </c>
    </row>
    <row r="542" spans="1:6" ht="15" customHeight="1" x14ac:dyDescent="0.25">
      <c r="A542" s="95">
        <f t="shared" si="27"/>
        <v>44478</v>
      </c>
      <c r="B542" s="76">
        <f>IF(ISNUMBER(_xlfn.XLOOKUP(A542,鑽量!$A:$A,鑽量!$K:$K,,1,2)),_xlfn.XLOOKUP(A542,鑽量!$A:$A,鑽量!$K:$K,,1,2),NA())</f>
        <v>19345</v>
      </c>
      <c r="C542" s="416">
        <f t="shared" si="25"/>
        <v>161.20833333333334</v>
      </c>
      <c r="D542" s="416">
        <f>IF(ISNUMBER(_xlfn.XLOOKUP(A542,抽卷!$A:$A,抽卷!$K:$K,,1,2)),_xlfn.XLOOKUP(A542,抽卷!$A:$A,抽卷!$K:$K,,1,2),NA())</f>
        <v>141</v>
      </c>
      <c r="E542" s="416">
        <f>IF(ISNUMBER(_xlfn.XLOOKUP(A542,抽卷!$A:$A,抽卷!$M:$M,,1,2)),_xlfn.XLOOKUP(A542,抽卷!$A:$A,抽卷!$M:$M,,1,2),NA())</f>
        <v>130</v>
      </c>
      <c r="F542" s="70">
        <f t="shared" si="26"/>
        <v>432.20833333333337</v>
      </c>
    </row>
    <row r="543" spans="1:6" ht="15" customHeight="1" x14ac:dyDescent="0.25">
      <c r="A543" s="95">
        <f t="shared" si="27"/>
        <v>44479</v>
      </c>
      <c r="B543" s="76">
        <f>IF(ISNUMBER(_xlfn.XLOOKUP(A543,鑽量!$A:$A,鑽量!$K:$K,,1,2)),_xlfn.XLOOKUP(A543,鑽量!$A:$A,鑽量!$K:$K,,1,2),NA())</f>
        <v>17730</v>
      </c>
      <c r="C543" s="416">
        <f t="shared" si="25"/>
        <v>147.75</v>
      </c>
      <c r="D543" s="416">
        <f>IF(ISNUMBER(_xlfn.XLOOKUP(A543,抽卷!$A:$A,抽卷!$K:$K,,1,2)),_xlfn.XLOOKUP(A543,抽卷!$A:$A,抽卷!$K:$K,,1,2),NA())</f>
        <v>141</v>
      </c>
      <c r="E543" s="416">
        <f>IF(ISNUMBER(_xlfn.XLOOKUP(A543,抽卷!$A:$A,抽卷!$M:$M,,1,2)),_xlfn.XLOOKUP(A543,抽卷!$A:$A,抽卷!$M:$M,,1,2),NA())</f>
        <v>140</v>
      </c>
      <c r="F543" s="70">
        <f t="shared" si="26"/>
        <v>428.75</v>
      </c>
    </row>
    <row r="544" spans="1:6" ht="15" customHeight="1" x14ac:dyDescent="0.25">
      <c r="A544" s="95">
        <f t="shared" si="27"/>
        <v>44480</v>
      </c>
      <c r="B544" s="76">
        <f>IF(ISNUMBER(_xlfn.XLOOKUP(A544,鑽量!$A:$A,鑽量!$K:$K,,1,2)),_xlfn.XLOOKUP(A544,鑽量!$A:$A,鑽量!$K:$K,,1,2),NA())</f>
        <v>17830</v>
      </c>
      <c r="C544" s="416">
        <f t="shared" si="25"/>
        <v>148.58333333333334</v>
      </c>
      <c r="D544" s="416">
        <f>IF(ISNUMBER(_xlfn.XLOOKUP(A544,抽卷!$A:$A,抽卷!$K:$K,,1,2)),_xlfn.XLOOKUP(A544,抽卷!$A:$A,抽卷!$K:$K,,1,2),NA())</f>
        <v>142</v>
      </c>
      <c r="E544" s="416">
        <f>IF(ISNUMBER(_xlfn.XLOOKUP(A544,抽卷!$A:$A,抽卷!$M:$M,,1,2)),_xlfn.XLOOKUP(A544,抽卷!$A:$A,抽卷!$M:$M,,1,2),NA())</f>
        <v>150</v>
      </c>
      <c r="F544" s="70">
        <f t="shared" si="26"/>
        <v>440.58333333333337</v>
      </c>
    </row>
    <row r="545" spans="1:6" ht="15" customHeight="1" x14ac:dyDescent="0.25">
      <c r="A545" s="95">
        <f t="shared" si="27"/>
        <v>44481</v>
      </c>
      <c r="B545" s="76">
        <f>IF(ISNUMBER(_xlfn.XLOOKUP(A545,鑽量!$A:$A,鑽量!$K:$K,,1,2)),_xlfn.XLOOKUP(A545,鑽量!$A:$A,鑽量!$K:$K,,1,2),NA())</f>
        <v>17435</v>
      </c>
      <c r="C545" s="416">
        <f t="shared" si="25"/>
        <v>145.29166666666666</v>
      </c>
      <c r="D545" s="416">
        <f>IF(ISNUMBER(_xlfn.XLOOKUP(A545,抽卷!$A:$A,抽卷!$K:$K,,1,2)),_xlfn.XLOOKUP(A545,抽卷!$A:$A,抽卷!$K:$K,,1,2),NA())</f>
        <v>141</v>
      </c>
      <c r="E545" s="416">
        <f>IF(ISNUMBER(_xlfn.XLOOKUP(A545,抽卷!$A:$A,抽卷!$M:$M,,1,2)),_xlfn.XLOOKUP(A545,抽卷!$A:$A,抽卷!$M:$M,,1,2),NA())</f>
        <v>160</v>
      </c>
      <c r="F545" s="70">
        <f t="shared" si="26"/>
        <v>446.29166666666663</v>
      </c>
    </row>
    <row r="546" spans="1:6" ht="15" customHeight="1" x14ac:dyDescent="0.25">
      <c r="A546" s="95">
        <f t="shared" si="27"/>
        <v>44482</v>
      </c>
      <c r="B546" s="76">
        <f>IF(ISNUMBER(_xlfn.XLOOKUP(A546,鑽量!$A:$A,鑽量!$K:$K,,1,2)),_xlfn.XLOOKUP(A546,鑽量!$A:$A,鑽量!$K:$K,,1,2),NA())</f>
        <v>18760</v>
      </c>
      <c r="C546" s="416">
        <f t="shared" si="25"/>
        <v>156.33333333333334</v>
      </c>
      <c r="D546" s="416">
        <f>IF(ISNUMBER(_xlfn.XLOOKUP(A546,抽卷!$A:$A,抽卷!$K:$K,,1,2)),_xlfn.XLOOKUP(A546,抽卷!$A:$A,抽卷!$K:$K,,1,2),NA())</f>
        <v>159</v>
      </c>
      <c r="E546" s="416">
        <f>IF(ISNUMBER(_xlfn.XLOOKUP(A546,抽卷!$A:$A,抽卷!$M:$M,,1,2)),_xlfn.XLOOKUP(A546,抽卷!$A:$A,抽卷!$M:$M,,1,2),NA())</f>
        <v>170</v>
      </c>
      <c r="F546" s="70">
        <f t="shared" si="26"/>
        <v>485.33333333333337</v>
      </c>
    </row>
    <row r="547" spans="1:6" ht="15" customHeight="1" x14ac:dyDescent="0.25">
      <c r="A547" s="95">
        <f t="shared" si="27"/>
        <v>44483</v>
      </c>
      <c r="B547" s="76">
        <f>IF(ISNUMBER(_xlfn.XLOOKUP(A547,鑽量!$A:$A,鑽量!$K:$K,,1,2)),_xlfn.XLOOKUP(A547,鑽量!$A:$A,鑽量!$K:$K,,1,2),NA())</f>
        <v>19940</v>
      </c>
      <c r="C547" s="416">
        <f t="shared" si="25"/>
        <v>166.16666666666666</v>
      </c>
      <c r="D547" s="416">
        <f>IF(ISNUMBER(_xlfn.XLOOKUP(A547,抽卷!$A:$A,抽卷!$K:$K,,1,2)),_xlfn.XLOOKUP(A547,抽卷!$A:$A,抽卷!$K:$K,,1,2),NA())</f>
        <v>163</v>
      </c>
      <c r="E547" s="416">
        <f>IF(ISNUMBER(_xlfn.XLOOKUP(A547,抽卷!$A:$A,抽卷!$M:$M,,1,2)),_xlfn.XLOOKUP(A547,抽卷!$A:$A,抽卷!$M:$M,,1,2),NA())</f>
        <v>180</v>
      </c>
      <c r="F547" s="70">
        <f t="shared" si="26"/>
        <v>509.16666666666663</v>
      </c>
    </row>
    <row r="548" spans="1:6" ht="15" customHeight="1" x14ac:dyDescent="0.25">
      <c r="A548" s="95">
        <f t="shared" si="27"/>
        <v>44484</v>
      </c>
      <c r="B548" s="76">
        <f>IF(ISNUMBER(_xlfn.XLOOKUP(A548,鑽量!$A:$A,鑽量!$K:$K,,1,2)),_xlfn.XLOOKUP(A548,鑽量!$A:$A,鑽量!$K:$K,,1,2),NA())</f>
        <v>19940</v>
      </c>
      <c r="C548" s="416">
        <f t="shared" si="25"/>
        <v>166.16666666666666</v>
      </c>
      <c r="D548" s="416">
        <f>IF(ISNUMBER(_xlfn.XLOOKUP(A548,抽卷!$A:$A,抽卷!$K:$K,,1,2)),_xlfn.XLOOKUP(A548,抽卷!$A:$A,抽卷!$K:$K,,1,2),NA())</f>
        <v>163</v>
      </c>
      <c r="E548" s="416">
        <f>IF(ISNUMBER(_xlfn.XLOOKUP(A548,抽卷!$A:$A,抽卷!$M:$M,,1,2)),_xlfn.XLOOKUP(A548,抽卷!$A:$A,抽卷!$M:$M,,1,2),NA())</f>
        <v>190</v>
      </c>
      <c r="F548" s="70">
        <f t="shared" si="26"/>
        <v>519.16666666666663</v>
      </c>
    </row>
    <row r="549" spans="1:6" ht="15" customHeight="1" x14ac:dyDescent="0.25">
      <c r="A549" s="95">
        <f t="shared" si="27"/>
        <v>44485</v>
      </c>
      <c r="B549" s="76">
        <f>IF(ISNUMBER(_xlfn.XLOOKUP(A549,鑽量!$A:$A,鑽量!$K:$K,,1,2)),_xlfn.XLOOKUP(A549,鑽量!$A:$A,鑽量!$K:$K,,1,2),NA())</f>
        <v>19925</v>
      </c>
      <c r="C549" s="416">
        <f t="shared" si="25"/>
        <v>166.04166666666666</v>
      </c>
      <c r="D549" s="416">
        <f>IF(ISNUMBER(_xlfn.XLOOKUP(A549,抽卷!$A:$A,抽卷!$K:$K,,1,2)),_xlfn.XLOOKUP(A549,抽卷!$A:$A,抽卷!$K:$K,,1,2),NA())</f>
        <v>162</v>
      </c>
      <c r="E549" s="416">
        <f>IF(ISNUMBER(_xlfn.XLOOKUP(A549,抽卷!$A:$A,抽卷!$M:$M,,1,2)),_xlfn.XLOOKUP(A549,抽卷!$A:$A,抽卷!$M:$M,,1,2),NA())</f>
        <v>210</v>
      </c>
      <c r="F549" s="70">
        <f t="shared" si="26"/>
        <v>538.04166666666663</v>
      </c>
    </row>
    <row r="550" spans="1:6" ht="15" customHeight="1" x14ac:dyDescent="0.25">
      <c r="A550" s="95">
        <f t="shared" si="27"/>
        <v>44486</v>
      </c>
      <c r="B550" s="76">
        <f>IF(ISNUMBER(_xlfn.XLOOKUP(A550,鑽量!$A:$A,鑽量!$K:$K,,1,2)),_xlfn.XLOOKUP(A550,鑽量!$A:$A,鑽量!$K:$K,,1,2),NA())</f>
        <v>20125</v>
      </c>
      <c r="C550" s="416">
        <f t="shared" si="25"/>
        <v>167.70833333333334</v>
      </c>
      <c r="D550" s="416">
        <f>IF(ISNUMBER(_xlfn.XLOOKUP(A550,抽卷!$A:$A,抽卷!$K:$K,,1,2)),_xlfn.XLOOKUP(A550,抽卷!$A:$A,抽卷!$K:$K,,1,2),NA())</f>
        <v>163</v>
      </c>
      <c r="E550" s="416">
        <f>IF(ISNUMBER(_xlfn.XLOOKUP(A550,抽卷!$A:$A,抽卷!$M:$M,,1,2)),_xlfn.XLOOKUP(A550,抽卷!$A:$A,抽卷!$M:$M,,1,2),NA())</f>
        <v>220</v>
      </c>
      <c r="F550" s="70">
        <f t="shared" si="26"/>
        <v>550.70833333333337</v>
      </c>
    </row>
    <row r="551" spans="1:6" ht="15" customHeight="1" x14ac:dyDescent="0.25">
      <c r="A551" s="95">
        <f t="shared" si="27"/>
        <v>44487</v>
      </c>
      <c r="B551" s="76">
        <f>IF(ISNUMBER(_xlfn.XLOOKUP(A551,鑽量!$A:$A,鑽量!$K:$K,,1,2)),_xlfn.XLOOKUP(A551,鑽量!$A:$A,鑽量!$K:$K,,1,2),NA())</f>
        <v>20830</v>
      </c>
      <c r="C551" s="416">
        <f t="shared" si="25"/>
        <v>173.58333333333334</v>
      </c>
      <c r="D551" s="416">
        <f>IF(ISNUMBER(_xlfn.XLOOKUP(A551,抽卷!$A:$A,抽卷!$K:$K,,1,2)),_xlfn.XLOOKUP(A551,抽卷!$A:$A,抽卷!$K:$K,,1,2),NA())</f>
        <v>162</v>
      </c>
      <c r="E551" s="416">
        <f>IF(ISNUMBER(_xlfn.XLOOKUP(A551,抽卷!$A:$A,抽卷!$M:$M,,1,2)),_xlfn.XLOOKUP(A551,抽卷!$A:$A,抽卷!$M:$M,,1,2),NA())</f>
        <v>230</v>
      </c>
      <c r="F551" s="70">
        <f t="shared" si="26"/>
        <v>565.58333333333337</v>
      </c>
    </row>
    <row r="552" spans="1:6" ht="15" customHeight="1" x14ac:dyDescent="0.25">
      <c r="A552" s="95">
        <f t="shared" si="27"/>
        <v>44488</v>
      </c>
      <c r="B552" s="76">
        <f>IF(ISNUMBER(_xlfn.XLOOKUP(A552,鑽量!$A:$A,鑽量!$K:$K,,1,2)),_xlfn.XLOOKUP(A552,鑽量!$A:$A,鑽量!$K:$K,,1,2),NA())</f>
        <v>22480</v>
      </c>
      <c r="C552" s="416">
        <f t="shared" si="25"/>
        <v>187.33333333333334</v>
      </c>
      <c r="D552" s="416">
        <f>IF(ISNUMBER(_xlfn.XLOOKUP(A552,抽卷!$A:$A,抽卷!$K:$K,,1,2)),_xlfn.XLOOKUP(A552,抽卷!$A:$A,抽卷!$K:$K,,1,2),NA())</f>
        <v>168</v>
      </c>
      <c r="E552" s="416">
        <f>IF(ISNUMBER(_xlfn.XLOOKUP(A552,抽卷!$A:$A,抽卷!$M:$M,,1,2)),_xlfn.XLOOKUP(A552,抽卷!$A:$A,抽卷!$M:$M,,1,2),NA())</f>
        <v>240</v>
      </c>
      <c r="F552" s="70">
        <f t="shared" si="26"/>
        <v>595.33333333333337</v>
      </c>
    </row>
    <row r="553" spans="1:6" ht="15" customHeight="1" x14ac:dyDescent="0.25">
      <c r="A553" s="95">
        <f t="shared" si="27"/>
        <v>44489</v>
      </c>
      <c r="B553" s="76">
        <f>IF(ISNUMBER(_xlfn.XLOOKUP(A553,鑽量!$A:$A,鑽量!$K:$K,,1,2)),_xlfn.XLOOKUP(A553,鑽量!$A:$A,鑽量!$K:$K,,1,2),NA())</f>
        <v>21370</v>
      </c>
      <c r="C553" s="416">
        <f t="shared" si="25"/>
        <v>178.08333333333334</v>
      </c>
      <c r="D553" s="416">
        <f>IF(ISNUMBER(_xlfn.XLOOKUP(A553,抽卷!$A:$A,抽卷!$K:$K,,1,2)),_xlfn.XLOOKUP(A553,抽卷!$A:$A,抽卷!$K:$K,,1,2),NA())</f>
        <v>167</v>
      </c>
      <c r="E553" s="416">
        <f>IF(ISNUMBER(_xlfn.XLOOKUP(A553,抽卷!$A:$A,抽卷!$M:$M,,1,2)),_xlfn.XLOOKUP(A553,抽卷!$A:$A,抽卷!$M:$M,,1,2),NA())</f>
        <v>260</v>
      </c>
      <c r="F553" s="70">
        <f t="shared" si="26"/>
        <v>605.08333333333337</v>
      </c>
    </row>
    <row r="554" spans="1:6" ht="15" customHeight="1" x14ac:dyDescent="0.25">
      <c r="A554" s="95">
        <f t="shared" si="27"/>
        <v>44490</v>
      </c>
      <c r="B554" s="76">
        <f>IF(ISNUMBER(_xlfn.XLOOKUP(A554,鑽量!$A:$A,鑽量!$K:$K,,1,2)),_xlfn.XLOOKUP(A554,鑽量!$A:$A,鑽量!$K:$K,,1,2),NA())</f>
        <v>21370</v>
      </c>
      <c r="C554" s="416">
        <f t="shared" si="25"/>
        <v>178.08333333333334</v>
      </c>
      <c r="D554" s="416">
        <f>IF(ISNUMBER(_xlfn.XLOOKUP(A554,抽卷!$A:$A,抽卷!$K:$K,,1,2)),_xlfn.XLOOKUP(A554,抽卷!$A:$A,抽卷!$K:$K,,1,2),NA())</f>
        <v>167</v>
      </c>
      <c r="E554" s="416">
        <f>IF(ISNUMBER(_xlfn.XLOOKUP(A554,抽卷!$A:$A,抽卷!$M:$M,,1,2)),_xlfn.XLOOKUP(A554,抽卷!$A:$A,抽卷!$M:$M,,1,2),NA())</f>
        <v>260</v>
      </c>
      <c r="F554" s="70">
        <f t="shared" si="26"/>
        <v>605.08333333333337</v>
      </c>
    </row>
    <row r="555" spans="1:6" ht="15" customHeight="1" x14ac:dyDescent="0.25">
      <c r="A555" s="95">
        <f t="shared" si="27"/>
        <v>44491</v>
      </c>
      <c r="B555" s="76">
        <f>IF(ISNUMBER(_xlfn.XLOOKUP(A555,鑽量!$A:$A,鑽量!$K:$K,,1,2)),_xlfn.XLOOKUP(A555,鑽量!$A:$A,鑽量!$K:$K,,1,2),NA())</f>
        <v>21125</v>
      </c>
      <c r="C555" s="416">
        <f t="shared" si="25"/>
        <v>176.04166666666666</v>
      </c>
      <c r="D555" s="416">
        <f>IF(ISNUMBER(_xlfn.XLOOKUP(A555,抽卷!$A:$A,抽卷!$K:$K,,1,2)),_xlfn.XLOOKUP(A555,抽卷!$A:$A,抽卷!$K:$K,,1,2),NA())</f>
        <v>164</v>
      </c>
      <c r="E555" s="416">
        <f>IF(ISNUMBER(_xlfn.XLOOKUP(A555,抽卷!$A:$A,抽卷!$M:$M,,1,2)),_xlfn.XLOOKUP(A555,抽卷!$A:$A,抽卷!$M:$M,,1,2),NA())</f>
        <v>270</v>
      </c>
      <c r="F555" s="70">
        <f t="shared" si="26"/>
        <v>610.04166666666663</v>
      </c>
    </row>
    <row r="556" spans="1:6" ht="15" customHeight="1" x14ac:dyDescent="0.25">
      <c r="A556" s="95">
        <f t="shared" si="27"/>
        <v>44492</v>
      </c>
      <c r="B556" s="76">
        <f>IF(ISNUMBER(_xlfn.XLOOKUP(A556,鑽量!$A:$A,鑽量!$K:$K,,1,2)),_xlfn.XLOOKUP(A556,鑽量!$A:$A,鑽量!$K:$K,,1,2),NA())</f>
        <v>21625</v>
      </c>
      <c r="C556" s="416">
        <f t="shared" si="25"/>
        <v>180.20833333333334</v>
      </c>
      <c r="D556" s="416">
        <f>IF(ISNUMBER(_xlfn.XLOOKUP(A556,抽卷!$A:$A,抽卷!$K:$K,,1,2)),_xlfn.XLOOKUP(A556,抽卷!$A:$A,抽卷!$K:$K,,1,2),NA())</f>
        <v>165</v>
      </c>
      <c r="E556" s="416">
        <f>IF(ISNUMBER(_xlfn.XLOOKUP(A556,抽卷!$A:$A,抽卷!$M:$M,,1,2)),_xlfn.XLOOKUP(A556,抽卷!$A:$A,抽卷!$M:$M,,1,2),NA())</f>
        <v>280</v>
      </c>
      <c r="F556" s="70">
        <f t="shared" si="26"/>
        <v>625.20833333333337</v>
      </c>
    </row>
    <row r="557" spans="1:6" ht="15" customHeight="1" x14ac:dyDescent="0.25">
      <c r="A557" s="95">
        <f t="shared" si="27"/>
        <v>44493</v>
      </c>
      <c r="B557" s="76">
        <f>IF(ISNUMBER(_xlfn.XLOOKUP(A557,鑽量!$A:$A,鑽量!$K:$K,,1,2)),_xlfn.XLOOKUP(A557,鑽量!$A:$A,鑽量!$K:$K,,1,2),NA())</f>
        <v>20400</v>
      </c>
      <c r="C557" s="416">
        <f t="shared" si="25"/>
        <v>170</v>
      </c>
      <c r="D557" s="416">
        <f>IF(ISNUMBER(_xlfn.XLOOKUP(A557,抽卷!$A:$A,抽卷!$K:$K,,1,2)),_xlfn.XLOOKUP(A557,抽卷!$A:$A,抽卷!$K:$K,,1,2),NA())</f>
        <v>160</v>
      </c>
      <c r="E557" s="416">
        <f>IF(ISNUMBER(_xlfn.XLOOKUP(A557,抽卷!$A:$A,抽卷!$M:$M,,1,2)),_xlfn.XLOOKUP(A557,抽卷!$A:$A,抽卷!$M:$M,,1,2),NA())</f>
        <v>290</v>
      </c>
      <c r="F557" s="70">
        <f t="shared" si="26"/>
        <v>620</v>
      </c>
    </row>
    <row r="558" spans="1:6" ht="15" customHeight="1" x14ac:dyDescent="0.25">
      <c r="A558" s="95">
        <f t="shared" si="27"/>
        <v>44494</v>
      </c>
      <c r="B558" s="76">
        <f>IF(ISNUMBER(_xlfn.XLOOKUP(A558,鑽量!$A:$A,鑽量!$K:$K,,1,2)),_xlfn.XLOOKUP(A558,鑽量!$A:$A,鑽量!$K:$K,,1,2),NA())</f>
        <v>20575</v>
      </c>
      <c r="C558" s="416">
        <f t="shared" si="25"/>
        <v>171.45833333333334</v>
      </c>
      <c r="D558" s="416">
        <f>IF(ISNUMBER(_xlfn.XLOOKUP(A558,抽卷!$A:$A,抽卷!$K:$K,,1,2)),_xlfn.XLOOKUP(A558,抽卷!$A:$A,抽卷!$K:$K,,1,2),NA())</f>
        <v>171</v>
      </c>
      <c r="E558" s="416">
        <f>IF(ISNUMBER(_xlfn.XLOOKUP(A558,抽卷!$A:$A,抽卷!$M:$M,,1,2)),_xlfn.XLOOKUP(A558,抽卷!$A:$A,抽卷!$M:$M,,1,2),NA())</f>
        <v>310</v>
      </c>
      <c r="F558" s="70">
        <f t="shared" si="26"/>
        <v>652.45833333333337</v>
      </c>
    </row>
    <row r="559" spans="1:6" ht="15" customHeight="1" x14ac:dyDescent="0.25">
      <c r="A559" s="95">
        <f t="shared" si="27"/>
        <v>44495</v>
      </c>
      <c r="B559" s="76">
        <f>IF(ISNUMBER(_xlfn.XLOOKUP(A559,鑽量!$A:$A,鑽量!$K:$K,,1,2)),_xlfn.XLOOKUP(A559,鑽量!$A:$A,鑽量!$K:$K,,1,2),NA())</f>
        <v>20575</v>
      </c>
      <c r="C559" s="416">
        <f t="shared" si="25"/>
        <v>171.45833333333334</v>
      </c>
      <c r="D559" s="416">
        <f>IF(ISNUMBER(_xlfn.XLOOKUP(A559,抽卷!$A:$A,抽卷!$K:$K,,1,2)),_xlfn.XLOOKUP(A559,抽卷!$A:$A,抽卷!$K:$K,,1,2),NA())</f>
        <v>171</v>
      </c>
      <c r="E559" s="416">
        <f>IF(ISNUMBER(_xlfn.XLOOKUP(A559,抽卷!$A:$A,抽卷!$M:$M,,1,2)),_xlfn.XLOOKUP(A559,抽卷!$A:$A,抽卷!$M:$M,,1,2),NA())</f>
        <v>310</v>
      </c>
      <c r="F559" s="70">
        <f t="shared" si="26"/>
        <v>652.45833333333337</v>
      </c>
    </row>
    <row r="560" spans="1:6" ht="15" customHeight="1" x14ac:dyDescent="0.25">
      <c r="A560" s="95">
        <f t="shared" si="27"/>
        <v>44496</v>
      </c>
      <c r="B560" s="76">
        <f>IF(ISNUMBER(_xlfn.XLOOKUP(A560,鑽量!$A:$A,鑽量!$K:$K,,1,2)),_xlfn.XLOOKUP(A560,鑽量!$A:$A,鑽量!$K:$K,,1,2),NA())</f>
        <v>20625</v>
      </c>
      <c r="C560" s="416">
        <f t="shared" si="25"/>
        <v>171.875</v>
      </c>
      <c r="D560" s="416">
        <f>IF(ISNUMBER(_xlfn.XLOOKUP(A560,抽卷!$A:$A,抽卷!$K:$K,,1,2)),_xlfn.XLOOKUP(A560,抽卷!$A:$A,抽卷!$K:$K,,1,2),NA())</f>
        <v>127</v>
      </c>
      <c r="E560" s="416">
        <f>IF(ISNUMBER(_xlfn.XLOOKUP(A560,抽卷!$A:$A,抽卷!$M:$M,,1,2)),_xlfn.XLOOKUP(A560,抽卷!$A:$A,抽卷!$M:$M,,1,2),NA())</f>
        <v>310</v>
      </c>
      <c r="F560" s="70">
        <f t="shared" si="26"/>
        <v>608.875</v>
      </c>
    </row>
    <row r="561" spans="1:6" ht="15" customHeight="1" x14ac:dyDescent="0.25">
      <c r="A561" s="95">
        <f t="shared" si="27"/>
        <v>44497</v>
      </c>
      <c r="B561" s="76">
        <f>IF(ISNUMBER(_xlfn.XLOOKUP(A561,鑽量!$A:$A,鑽量!$K:$K,,1,2)),_xlfn.XLOOKUP(A561,鑽量!$A:$A,鑽量!$K:$K,,1,2),NA())</f>
        <v>20275</v>
      </c>
      <c r="C561" s="416">
        <f t="shared" si="25"/>
        <v>168.95833333333334</v>
      </c>
      <c r="D561" s="416">
        <f>IF(ISNUMBER(_xlfn.XLOOKUP(A561,抽卷!$A:$A,抽卷!$K:$K,,1,2)),_xlfn.XLOOKUP(A561,抽卷!$A:$A,抽卷!$K:$K,,1,2),NA())</f>
        <v>142</v>
      </c>
      <c r="E561" s="416">
        <f>IF(ISNUMBER(_xlfn.XLOOKUP(A561,抽卷!$A:$A,抽卷!$M:$M,,1,2)),_xlfn.XLOOKUP(A561,抽卷!$A:$A,抽卷!$M:$M,,1,2),NA())</f>
        <v>310</v>
      </c>
      <c r="F561" s="70">
        <f t="shared" si="26"/>
        <v>620.95833333333337</v>
      </c>
    </row>
    <row r="562" spans="1:6" ht="15" customHeight="1" x14ac:dyDescent="0.25">
      <c r="A562" s="95">
        <f t="shared" si="27"/>
        <v>44498</v>
      </c>
      <c r="B562" s="76">
        <f>IF(ISNUMBER(_xlfn.XLOOKUP(A562,鑽量!$A:$A,鑽量!$K:$K,,1,2)),_xlfn.XLOOKUP(A562,鑽量!$A:$A,鑽量!$K:$K,,1,2),NA())</f>
        <v>20275</v>
      </c>
      <c r="C562" s="416">
        <f t="shared" si="25"/>
        <v>168.95833333333334</v>
      </c>
      <c r="D562" s="416">
        <f>IF(ISNUMBER(_xlfn.XLOOKUP(A562,抽卷!$A:$A,抽卷!$K:$K,,1,2)),_xlfn.XLOOKUP(A562,抽卷!$A:$A,抽卷!$K:$K,,1,2),NA())</f>
        <v>142</v>
      </c>
      <c r="E562" s="416">
        <f>IF(ISNUMBER(_xlfn.XLOOKUP(A562,抽卷!$A:$A,抽卷!$M:$M,,1,2)),_xlfn.XLOOKUP(A562,抽卷!$A:$A,抽卷!$M:$M,,1,2),NA())</f>
        <v>320</v>
      </c>
      <c r="F562" s="70">
        <f t="shared" si="26"/>
        <v>630.95833333333337</v>
      </c>
    </row>
    <row r="563" spans="1:6" ht="15" customHeight="1" x14ac:dyDescent="0.25">
      <c r="A563" s="95">
        <f t="shared" si="27"/>
        <v>44499</v>
      </c>
      <c r="B563" s="76">
        <f>IF(ISNUMBER(_xlfn.XLOOKUP(A563,鑽量!$A:$A,鑽量!$K:$K,,1,2)),_xlfn.XLOOKUP(A563,鑽量!$A:$A,鑽量!$K:$K,,1,2),NA())</f>
        <v>17750</v>
      </c>
      <c r="C563" s="416">
        <f t="shared" si="25"/>
        <v>147.91666666666666</v>
      </c>
      <c r="D563" s="416">
        <f>IF(ISNUMBER(_xlfn.XLOOKUP(A563,抽卷!$A:$A,抽卷!$K:$K,,1,2)),_xlfn.XLOOKUP(A563,抽卷!$A:$A,抽卷!$K:$K,,1,2),NA())</f>
        <v>143</v>
      </c>
      <c r="E563" s="416">
        <f>IF(ISNUMBER(_xlfn.XLOOKUP(A563,抽卷!$A:$A,抽卷!$M:$M,,1,2)),_xlfn.XLOOKUP(A563,抽卷!$A:$A,抽卷!$M:$M,,1,2),NA())</f>
        <v>310</v>
      </c>
      <c r="F563" s="70">
        <f t="shared" si="26"/>
        <v>600.91666666666663</v>
      </c>
    </row>
    <row r="564" spans="1:6" ht="15" customHeight="1" x14ac:dyDescent="0.25">
      <c r="A564" s="95">
        <f t="shared" si="27"/>
        <v>44500</v>
      </c>
      <c r="B564" s="76">
        <f>IF(ISNUMBER(_xlfn.XLOOKUP(A564,鑽量!$A:$A,鑽量!$K:$K,,1,2)),_xlfn.XLOOKUP(A564,鑽量!$A:$A,鑽量!$K:$K,,1,2),NA())</f>
        <v>16450</v>
      </c>
      <c r="C564" s="416">
        <f t="shared" si="25"/>
        <v>137.08333333333334</v>
      </c>
      <c r="D564" s="416">
        <f>IF(ISNUMBER(_xlfn.XLOOKUP(A564,抽卷!$A:$A,抽卷!$K:$K,,1,2)),_xlfn.XLOOKUP(A564,抽卷!$A:$A,抽卷!$K:$K,,1,2),NA())</f>
        <v>151</v>
      </c>
      <c r="E564" s="416">
        <f>IF(ISNUMBER(_xlfn.XLOOKUP(A564,抽卷!$A:$A,抽卷!$M:$M,,1,2)),_xlfn.XLOOKUP(A564,抽卷!$A:$A,抽卷!$M:$M,,1,2),NA())</f>
        <v>320</v>
      </c>
      <c r="F564" s="70">
        <f t="shared" si="26"/>
        <v>608.08333333333337</v>
      </c>
    </row>
    <row r="565" spans="1:6" ht="15" customHeight="1" x14ac:dyDescent="0.25">
      <c r="A565" s="95">
        <f t="shared" si="27"/>
        <v>44501</v>
      </c>
      <c r="B565" s="76">
        <f>IF(ISNUMBER(_xlfn.XLOOKUP(A565,鑽量!$A:$A,鑽量!$K:$K,,1,2)),_xlfn.XLOOKUP(A565,鑽量!$A:$A,鑽量!$K:$K,,1,2),NA())</f>
        <v>16720</v>
      </c>
      <c r="C565" s="416">
        <f t="shared" si="25"/>
        <v>139.33333333333334</v>
      </c>
      <c r="D565" s="416">
        <f>IF(ISNUMBER(_xlfn.XLOOKUP(A565,抽卷!$A:$A,抽卷!$K:$K,,1,2)),_xlfn.XLOOKUP(A565,抽卷!$A:$A,抽卷!$K:$K,,1,2),NA())</f>
        <v>143</v>
      </c>
      <c r="E565" s="416">
        <f>IF(ISNUMBER(_xlfn.XLOOKUP(A565,抽卷!$A:$A,抽卷!$M:$M,,1,2)),_xlfn.XLOOKUP(A565,抽卷!$A:$A,抽卷!$M:$M,,1,2),NA())</f>
        <v>320</v>
      </c>
      <c r="F565" s="70">
        <f t="shared" si="26"/>
        <v>602.33333333333337</v>
      </c>
    </row>
    <row r="566" spans="1:6" ht="15" customHeight="1" x14ac:dyDescent="0.25">
      <c r="A566" s="95">
        <f t="shared" si="27"/>
        <v>44502</v>
      </c>
      <c r="B566" s="76">
        <f>IF(ISNUMBER(_xlfn.XLOOKUP(A566,鑽量!$A:$A,鑽量!$K:$K,,1,2)),_xlfn.XLOOKUP(A566,鑽量!$A:$A,鑽量!$K:$K,,1,2),NA())</f>
        <v>16070</v>
      </c>
      <c r="C566" s="416">
        <f t="shared" si="25"/>
        <v>133.91666666666666</v>
      </c>
      <c r="D566" s="416">
        <f>IF(ISNUMBER(_xlfn.XLOOKUP(A566,抽卷!$A:$A,抽卷!$K:$K,,1,2)),_xlfn.XLOOKUP(A566,抽卷!$A:$A,抽卷!$K:$K,,1,2),NA())</f>
        <v>142</v>
      </c>
      <c r="E566" s="416">
        <f>IF(ISNUMBER(_xlfn.XLOOKUP(A566,抽卷!$A:$A,抽卷!$M:$M,,1,2)),_xlfn.XLOOKUP(A566,抽卷!$A:$A,抽卷!$M:$M,,1,2),NA())</f>
        <v>320</v>
      </c>
      <c r="F566" s="70">
        <f t="shared" si="26"/>
        <v>595.91666666666663</v>
      </c>
    </row>
    <row r="567" spans="1:6" ht="15" customHeight="1" x14ac:dyDescent="0.25">
      <c r="A567" s="95">
        <f t="shared" si="27"/>
        <v>44503</v>
      </c>
      <c r="B567" s="76">
        <f>IF(ISNUMBER(_xlfn.XLOOKUP(A567,鑽量!$A:$A,鑽量!$K:$K,,1,2)),_xlfn.XLOOKUP(A567,鑽量!$A:$A,鑽量!$K:$K,,1,2),NA())</f>
        <v>16220</v>
      </c>
      <c r="C567" s="416">
        <f t="shared" si="25"/>
        <v>135.16666666666666</v>
      </c>
      <c r="D567" s="416">
        <f>IF(ISNUMBER(_xlfn.XLOOKUP(A567,抽卷!$A:$A,抽卷!$K:$K,,1,2)),_xlfn.XLOOKUP(A567,抽卷!$A:$A,抽卷!$K:$K,,1,2),NA())</f>
        <v>143</v>
      </c>
      <c r="E567" s="416">
        <f>IF(ISNUMBER(_xlfn.XLOOKUP(A567,抽卷!$A:$A,抽卷!$M:$M,,1,2)),_xlfn.XLOOKUP(A567,抽卷!$A:$A,抽卷!$M:$M,,1,2),NA())</f>
        <v>330</v>
      </c>
      <c r="F567" s="70">
        <f t="shared" si="26"/>
        <v>608.16666666666663</v>
      </c>
    </row>
    <row r="568" spans="1:6" ht="15" customHeight="1" x14ac:dyDescent="0.25">
      <c r="A568" s="95">
        <f t="shared" si="27"/>
        <v>44504</v>
      </c>
      <c r="B568" s="76">
        <f>IF(ISNUMBER(_xlfn.XLOOKUP(A568,鑽量!$A:$A,鑽量!$K:$K,,1,2)),_xlfn.XLOOKUP(A568,鑽量!$A:$A,鑽量!$K:$K,,1,2),NA())</f>
        <v>15425</v>
      </c>
      <c r="C568" s="416">
        <f t="shared" ref="C568:C631" si="28">B568/120</f>
        <v>128.54166666666666</v>
      </c>
      <c r="D568" s="416">
        <f>IF(ISNUMBER(_xlfn.XLOOKUP(A568,抽卷!$A:$A,抽卷!$K:$K,,1,2)),_xlfn.XLOOKUP(A568,抽卷!$A:$A,抽卷!$K:$K,,1,2),NA())</f>
        <v>211</v>
      </c>
      <c r="E568" s="416">
        <f>IF(ISNUMBER(_xlfn.XLOOKUP(A568,抽卷!$A:$A,抽卷!$M:$M,,1,2)),_xlfn.XLOOKUP(A568,抽卷!$A:$A,抽卷!$M:$M,,1,2),NA())</f>
        <v>400</v>
      </c>
      <c r="F568" s="70">
        <f t="shared" ref="F568:F631" si="29">IF(ISNA(E568),IF(ISNA(D568),C568,C568+D568),E568+D568+C568)</f>
        <v>739.54166666666663</v>
      </c>
    </row>
    <row r="569" spans="1:6" ht="15" customHeight="1" x14ac:dyDescent="0.25">
      <c r="A569" s="95">
        <f t="shared" si="27"/>
        <v>44505</v>
      </c>
      <c r="B569" s="76">
        <f>IF(ISNUMBER(_xlfn.XLOOKUP(A569,鑽量!$A:$A,鑽量!$K:$K,,1,2)),_xlfn.XLOOKUP(A569,鑽量!$A:$A,鑽量!$K:$K,,1,2),NA())</f>
        <v>15675</v>
      </c>
      <c r="C569" s="416">
        <f t="shared" si="28"/>
        <v>130.625</v>
      </c>
      <c r="D569" s="416">
        <f>IF(ISNUMBER(_xlfn.XLOOKUP(A569,抽卷!$A:$A,抽卷!$K:$K,,1,2)),_xlfn.XLOOKUP(A569,抽卷!$A:$A,抽卷!$K:$K,,1,2),NA())</f>
        <v>211</v>
      </c>
      <c r="E569" s="416">
        <f>IF(ISNUMBER(_xlfn.XLOOKUP(A569,抽卷!$A:$A,抽卷!$M:$M,,1,2)),_xlfn.XLOOKUP(A569,抽卷!$A:$A,抽卷!$M:$M,,1,2),NA())</f>
        <v>400</v>
      </c>
      <c r="F569" s="70">
        <f t="shared" si="29"/>
        <v>741.625</v>
      </c>
    </row>
    <row r="570" spans="1:6" ht="15" customHeight="1" x14ac:dyDescent="0.25">
      <c r="A570" s="95">
        <f t="shared" si="27"/>
        <v>44506</v>
      </c>
      <c r="B570" s="76">
        <f>IF(ISNUMBER(_xlfn.XLOOKUP(A570,鑽量!$A:$A,鑽量!$K:$K,,1,2)),_xlfn.XLOOKUP(A570,鑽量!$A:$A,鑽量!$K:$K,,1,2),NA())</f>
        <v>14025</v>
      </c>
      <c r="C570" s="416">
        <f t="shared" si="28"/>
        <v>116.875</v>
      </c>
      <c r="D570" s="416">
        <f>IF(ISNUMBER(_xlfn.XLOOKUP(A570,抽卷!$A:$A,抽卷!$K:$K,,1,2)),_xlfn.XLOOKUP(A570,抽卷!$A:$A,抽卷!$K:$K,,1,2),NA())</f>
        <v>201</v>
      </c>
      <c r="E570" s="416">
        <f>IF(ISNUMBER(_xlfn.XLOOKUP(A570,抽卷!$A:$A,抽卷!$M:$M,,1,2)),_xlfn.XLOOKUP(A570,抽卷!$A:$A,抽卷!$M:$M,,1,2),NA())</f>
        <v>390</v>
      </c>
      <c r="F570" s="70">
        <f t="shared" si="29"/>
        <v>707.875</v>
      </c>
    </row>
    <row r="571" spans="1:6" ht="15" customHeight="1" x14ac:dyDescent="0.25">
      <c r="A571" s="95">
        <f t="shared" si="27"/>
        <v>44507</v>
      </c>
      <c r="B571" s="76">
        <f>IF(ISNUMBER(_xlfn.XLOOKUP(A571,鑽量!$A:$A,鑽量!$K:$K,,1,2)),_xlfn.XLOOKUP(A571,鑽量!$A:$A,鑽量!$K:$K,,1,2),NA())</f>
        <v>13975</v>
      </c>
      <c r="C571" s="416">
        <f t="shared" si="28"/>
        <v>116.45833333333333</v>
      </c>
      <c r="D571" s="416">
        <f>IF(ISNUMBER(_xlfn.XLOOKUP(A571,抽卷!$A:$A,抽卷!$K:$K,,1,2)),_xlfn.XLOOKUP(A571,抽卷!$A:$A,抽卷!$K:$K,,1,2),NA())</f>
        <v>200</v>
      </c>
      <c r="E571" s="416">
        <f>IF(ISNUMBER(_xlfn.XLOOKUP(A571,抽卷!$A:$A,抽卷!$M:$M,,1,2)),_xlfn.XLOOKUP(A571,抽卷!$A:$A,抽卷!$M:$M,,1,2),NA())</f>
        <v>380</v>
      </c>
      <c r="F571" s="70">
        <f t="shared" si="29"/>
        <v>696.45833333333337</v>
      </c>
    </row>
    <row r="572" spans="1:6" ht="15" customHeight="1" x14ac:dyDescent="0.25">
      <c r="A572" s="95">
        <f t="shared" si="27"/>
        <v>44508</v>
      </c>
      <c r="B572" s="76">
        <f>IF(ISNUMBER(_xlfn.XLOOKUP(A572,鑽量!$A:$A,鑽量!$K:$K,,1,2)),_xlfn.XLOOKUP(A572,鑽量!$A:$A,鑽量!$K:$K,,1,2),NA())</f>
        <v>13525</v>
      </c>
      <c r="C572" s="416">
        <f t="shared" si="28"/>
        <v>112.70833333333333</v>
      </c>
      <c r="D572" s="416">
        <f>IF(ISNUMBER(_xlfn.XLOOKUP(A572,抽卷!$A:$A,抽卷!$K:$K,,1,2)),_xlfn.XLOOKUP(A572,抽卷!$A:$A,抽卷!$K:$K,,1,2),NA())</f>
        <v>199</v>
      </c>
      <c r="E572" s="416">
        <f>IF(ISNUMBER(_xlfn.XLOOKUP(A572,抽卷!$A:$A,抽卷!$M:$M,,1,2)),_xlfn.XLOOKUP(A572,抽卷!$A:$A,抽卷!$M:$M,,1,2),NA())</f>
        <v>370</v>
      </c>
      <c r="F572" s="70">
        <f t="shared" si="29"/>
        <v>681.70833333333337</v>
      </c>
    </row>
    <row r="573" spans="1:6" ht="15" customHeight="1" x14ac:dyDescent="0.25">
      <c r="A573" s="95">
        <f t="shared" si="27"/>
        <v>44509</v>
      </c>
      <c r="B573" s="76">
        <f>IF(ISNUMBER(_xlfn.XLOOKUP(A573,鑽量!$A:$A,鑽量!$K:$K,,1,2)),_xlfn.XLOOKUP(A573,鑽量!$A:$A,鑽量!$K:$K,,1,2),NA())</f>
        <v>13525</v>
      </c>
      <c r="C573" s="416">
        <f t="shared" si="28"/>
        <v>112.70833333333333</v>
      </c>
      <c r="D573" s="416">
        <f>IF(ISNUMBER(_xlfn.XLOOKUP(A573,抽卷!$A:$A,抽卷!$K:$K,,1,2)),_xlfn.XLOOKUP(A573,抽卷!$A:$A,抽卷!$K:$K,,1,2),NA())</f>
        <v>199</v>
      </c>
      <c r="E573" s="416">
        <f>IF(ISNUMBER(_xlfn.XLOOKUP(A573,抽卷!$A:$A,抽卷!$M:$M,,1,2)),_xlfn.XLOOKUP(A573,抽卷!$A:$A,抽卷!$M:$M,,1,2),NA())</f>
        <v>360</v>
      </c>
      <c r="F573" s="70">
        <f t="shared" si="29"/>
        <v>671.70833333333337</v>
      </c>
    </row>
    <row r="574" spans="1:6" ht="15" customHeight="1" x14ac:dyDescent="0.25">
      <c r="A574" s="95">
        <f t="shared" si="27"/>
        <v>44510</v>
      </c>
      <c r="B574" s="76">
        <f>IF(ISNUMBER(_xlfn.XLOOKUP(A574,鑽量!$A:$A,鑽量!$K:$K,,1,2)),_xlfn.XLOOKUP(A574,鑽量!$A:$A,鑽量!$K:$K,,1,2),NA())</f>
        <v>14110</v>
      </c>
      <c r="C574" s="416">
        <f t="shared" si="28"/>
        <v>117.58333333333333</v>
      </c>
      <c r="D574" s="416">
        <f>IF(ISNUMBER(_xlfn.XLOOKUP(A574,抽卷!$A:$A,抽卷!$K:$K,,1,2)),_xlfn.XLOOKUP(A574,抽卷!$A:$A,抽卷!$K:$K,,1,2),NA())</f>
        <v>196</v>
      </c>
      <c r="E574" s="416">
        <f>IF(ISNUMBER(_xlfn.XLOOKUP(A574,抽卷!$A:$A,抽卷!$M:$M,,1,2)),_xlfn.XLOOKUP(A574,抽卷!$A:$A,抽卷!$M:$M,,1,2),NA())</f>
        <v>330</v>
      </c>
      <c r="F574" s="70">
        <f t="shared" si="29"/>
        <v>643.58333333333337</v>
      </c>
    </row>
    <row r="575" spans="1:6" ht="15" customHeight="1" x14ac:dyDescent="0.25">
      <c r="A575" s="95">
        <f t="shared" si="27"/>
        <v>44511</v>
      </c>
      <c r="B575" s="76">
        <f>IF(ISNUMBER(_xlfn.XLOOKUP(A575,鑽量!$A:$A,鑽量!$K:$K,,1,2)),_xlfn.XLOOKUP(A575,鑽量!$A:$A,鑽量!$K:$K,,1,2),NA())</f>
        <v>14110</v>
      </c>
      <c r="C575" s="416">
        <f t="shared" si="28"/>
        <v>117.58333333333333</v>
      </c>
      <c r="D575" s="416">
        <f>IF(ISNUMBER(_xlfn.XLOOKUP(A575,抽卷!$A:$A,抽卷!$K:$K,,1,2)),_xlfn.XLOOKUP(A575,抽卷!$A:$A,抽卷!$K:$K,,1,2),NA())</f>
        <v>196</v>
      </c>
      <c r="E575" s="416">
        <f>IF(ISNUMBER(_xlfn.XLOOKUP(A575,抽卷!$A:$A,抽卷!$M:$M,,1,2)),_xlfn.XLOOKUP(A575,抽卷!$A:$A,抽卷!$M:$M,,1,2),NA())</f>
        <v>330</v>
      </c>
      <c r="F575" s="70">
        <f t="shared" si="29"/>
        <v>643.58333333333337</v>
      </c>
    </row>
    <row r="576" spans="1:6" ht="15" customHeight="1" x14ac:dyDescent="0.25">
      <c r="A576" s="95">
        <f t="shared" si="27"/>
        <v>44512</v>
      </c>
      <c r="B576" s="76">
        <f>IF(ISNUMBER(_xlfn.XLOOKUP(A576,鑽量!$A:$A,鑽量!$K:$K,,1,2)),_xlfn.XLOOKUP(A576,鑽量!$A:$A,鑽量!$K:$K,,1,2),NA())</f>
        <v>13745</v>
      </c>
      <c r="C576" s="416">
        <f t="shared" si="28"/>
        <v>114.54166666666667</v>
      </c>
      <c r="D576" s="416">
        <f>IF(ISNUMBER(_xlfn.XLOOKUP(A576,抽卷!$A:$A,抽卷!$K:$K,,1,2)),_xlfn.XLOOKUP(A576,抽卷!$A:$A,抽卷!$K:$K,,1,2),NA())</f>
        <v>178</v>
      </c>
      <c r="E576" s="416">
        <f>IF(ISNUMBER(_xlfn.XLOOKUP(A576,抽卷!$A:$A,抽卷!$M:$M,,1,2)),_xlfn.XLOOKUP(A576,抽卷!$A:$A,抽卷!$M:$M,,1,2),NA())</f>
        <v>320</v>
      </c>
      <c r="F576" s="70">
        <f t="shared" si="29"/>
        <v>612.54166666666663</v>
      </c>
    </row>
    <row r="577" spans="1:6" ht="15" customHeight="1" x14ac:dyDescent="0.25">
      <c r="A577" s="95">
        <f t="shared" si="27"/>
        <v>44513</v>
      </c>
      <c r="B577" s="76">
        <f>IF(ISNUMBER(_xlfn.XLOOKUP(A577,鑽量!$A:$A,鑽量!$K:$K,,1,2)),_xlfn.XLOOKUP(A577,鑽量!$A:$A,鑽量!$K:$K,,1,2),NA())</f>
        <v>14000</v>
      </c>
      <c r="C577" s="416">
        <f t="shared" si="28"/>
        <v>116.66666666666667</v>
      </c>
      <c r="D577" s="416">
        <f>IF(ISNUMBER(_xlfn.XLOOKUP(A577,抽卷!$A:$A,抽卷!$K:$K,,1,2)),_xlfn.XLOOKUP(A577,抽卷!$A:$A,抽卷!$K:$K,,1,2),NA())</f>
        <v>180</v>
      </c>
      <c r="E577" s="416">
        <f>IF(ISNUMBER(_xlfn.XLOOKUP(A577,抽卷!$A:$A,抽卷!$M:$M,,1,2)),_xlfn.XLOOKUP(A577,抽卷!$A:$A,抽卷!$M:$M,,1,2),NA())</f>
        <v>320</v>
      </c>
      <c r="F577" s="70">
        <f t="shared" si="29"/>
        <v>616.66666666666663</v>
      </c>
    </row>
    <row r="578" spans="1:6" ht="15" customHeight="1" x14ac:dyDescent="0.25">
      <c r="A578" s="95">
        <f t="shared" si="27"/>
        <v>44514</v>
      </c>
      <c r="B578" s="76">
        <f>IF(ISNUMBER(_xlfn.XLOOKUP(A578,鑽量!$A:$A,鑽量!$K:$K,,1,2)),_xlfn.XLOOKUP(A578,鑽量!$A:$A,鑽量!$K:$K,,1,2),NA())</f>
        <v>11770</v>
      </c>
      <c r="C578" s="416">
        <f t="shared" si="28"/>
        <v>98.083333333333329</v>
      </c>
      <c r="D578" s="416">
        <f>IF(ISNUMBER(_xlfn.XLOOKUP(A578,抽卷!$A:$A,抽卷!$K:$K,,1,2)),_xlfn.XLOOKUP(A578,抽卷!$A:$A,抽卷!$K:$K,,1,2),NA())</f>
        <v>175</v>
      </c>
      <c r="E578" s="416">
        <f>IF(ISNUMBER(_xlfn.XLOOKUP(A578,抽卷!$A:$A,抽卷!$M:$M,,1,2)),_xlfn.XLOOKUP(A578,抽卷!$A:$A,抽卷!$M:$M,,1,2),NA())</f>
        <v>300</v>
      </c>
      <c r="F578" s="70">
        <f t="shared" si="29"/>
        <v>573.08333333333337</v>
      </c>
    </row>
    <row r="579" spans="1:6" ht="15" customHeight="1" x14ac:dyDescent="0.25">
      <c r="A579" s="95">
        <f t="shared" si="27"/>
        <v>44515</v>
      </c>
      <c r="B579" s="76">
        <f>IF(ISNUMBER(_xlfn.XLOOKUP(A579,鑽量!$A:$A,鑽量!$K:$K,,1,2)),_xlfn.XLOOKUP(A579,鑽量!$A:$A,鑽量!$K:$K,,1,2),NA())</f>
        <v>11285</v>
      </c>
      <c r="C579" s="416">
        <f t="shared" si="28"/>
        <v>94.041666666666671</v>
      </c>
      <c r="D579" s="416">
        <f>IF(ISNUMBER(_xlfn.XLOOKUP(A579,抽卷!$A:$A,抽卷!$K:$K,,1,2)),_xlfn.XLOOKUP(A579,抽卷!$A:$A,抽卷!$K:$K,,1,2),NA())</f>
        <v>176</v>
      </c>
      <c r="E579" s="416">
        <f>IF(ISNUMBER(_xlfn.XLOOKUP(A579,抽卷!$A:$A,抽卷!$M:$M,,1,2)),_xlfn.XLOOKUP(A579,抽卷!$A:$A,抽卷!$M:$M,,1,2),NA())</f>
        <v>270</v>
      </c>
      <c r="F579" s="70">
        <f t="shared" si="29"/>
        <v>540.04166666666663</v>
      </c>
    </row>
    <row r="580" spans="1:6" ht="15" customHeight="1" x14ac:dyDescent="0.25">
      <c r="A580" s="95">
        <f t="shared" si="27"/>
        <v>44516</v>
      </c>
      <c r="B580" s="76">
        <f>IF(ISNUMBER(_xlfn.XLOOKUP(A580,鑽量!$A:$A,鑽量!$K:$K,,1,2)),_xlfn.XLOOKUP(A580,鑽量!$A:$A,鑽量!$K:$K,,1,2),NA())</f>
        <v>11285</v>
      </c>
      <c r="C580" s="416">
        <f t="shared" si="28"/>
        <v>94.041666666666671</v>
      </c>
      <c r="D580" s="416">
        <f>IF(ISNUMBER(_xlfn.XLOOKUP(A580,抽卷!$A:$A,抽卷!$K:$K,,1,2)),_xlfn.XLOOKUP(A580,抽卷!$A:$A,抽卷!$K:$K,,1,2),NA())</f>
        <v>176</v>
      </c>
      <c r="E580" s="416">
        <f>IF(ISNUMBER(_xlfn.XLOOKUP(A580,抽卷!$A:$A,抽卷!$M:$M,,1,2)),_xlfn.XLOOKUP(A580,抽卷!$A:$A,抽卷!$M:$M,,1,2),NA())</f>
        <v>270</v>
      </c>
      <c r="F580" s="70">
        <f t="shared" si="29"/>
        <v>540.04166666666663</v>
      </c>
    </row>
    <row r="581" spans="1:6" ht="15" customHeight="1" x14ac:dyDescent="0.25">
      <c r="A581" s="95">
        <f t="shared" si="27"/>
        <v>44517</v>
      </c>
      <c r="B581" s="76">
        <f>IF(ISNUMBER(_xlfn.XLOOKUP(A581,鑽量!$A:$A,鑽量!$K:$K,,1,2)),_xlfn.XLOOKUP(A581,鑽量!$A:$A,鑽量!$K:$K,,1,2),NA())</f>
        <v>10470</v>
      </c>
      <c r="C581" s="416">
        <f t="shared" si="28"/>
        <v>87.25</v>
      </c>
      <c r="D581" s="416">
        <f>IF(ISNUMBER(_xlfn.XLOOKUP(A581,抽卷!$A:$A,抽卷!$K:$K,,1,2)),_xlfn.XLOOKUP(A581,抽卷!$A:$A,抽卷!$K:$K,,1,2),NA())</f>
        <v>176</v>
      </c>
      <c r="E581" s="416">
        <f>IF(ISNUMBER(_xlfn.XLOOKUP(A581,抽卷!$A:$A,抽卷!$M:$M,,1,2)),_xlfn.XLOOKUP(A581,抽卷!$A:$A,抽卷!$M:$M,,1,2),NA())</f>
        <v>260</v>
      </c>
      <c r="F581" s="70">
        <f t="shared" si="29"/>
        <v>523.25</v>
      </c>
    </row>
    <row r="582" spans="1:6" ht="15" customHeight="1" x14ac:dyDescent="0.25">
      <c r="A582" s="95">
        <f t="shared" ref="A582:A645" si="30">A581+1</f>
        <v>44518</v>
      </c>
      <c r="B582" s="76">
        <f>IF(ISNUMBER(_xlfn.XLOOKUP(A582,鑽量!$A:$A,鑽量!$K:$K,,1,2)),_xlfn.XLOOKUP(A582,鑽量!$A:$A,鑽量!$K:$K,,1,2),NA())</f>
        <v>9625</v>
      </c>
      <c r="C582" s="416">
        <f t="shared" si="28"/>
        <v>80.208333333333329</v>
      </c>
      <c r="D582" s="416">
        <f>IF(ISNUMBER(_xlfn.XLOOKUP(A582,抽卷!$A:$A,抽卷!$K:$K,,1,2)),_xlfn.XLOOKUP(A582,抽卷!$A:$A,抽卷!$K:$K,,1,2),NA())</f>
        <v>182</v>
      </c>
      <c r="E582" s="416">
        <f>IF(ISNUMBER(_xlfn.XLOOKUP(A582,抽卷!$A:$A,抽卷!$M:$M,,1,2)),_xlfn.XLOOKUP(A582,抽卷!$A:$A,抽卷!$M:$M,,1,2),NA())</f>
        <v>250</v>
      </c>
      <c r="F582" s="70">
        <f t="shared" si="29"/>
        <v>512.20833333333337</v>
      </c>
    </row>
    <row r="583" spans="1:6" ht="15" customHeight="1" x14ac:dyDescent="0.25">
      <c r="A583" s="95">
        <f t="shared" si="30"/>
        <v>44519</v>
      </c>
      <c r="B583" s="76">
        <f>IF(ISNUMBER(_xlfn.XLOOKUP(A583,鑽量!$A:$A,鑽量!$K:$K,,1,2)),_xlfn.XLOOKUP(A583,鑽量!$A:$A,鑽量!$K:$K,,1,2),NA())</f>
        <v>9625</v>
      </c>
      <c r="C583" s="416">
        <f t="shared" si="28"/>
        <v>80.208333333333329</v>
      </c>
      <c r="D583" s="416">
        <f>IF(ISNUMBER(_xlfn.XLOOKUP(A583,抽卷!$A:$A,抽卷!$K:$K,,1,2)),_xlfn.XLOOKUP(A583,抽卷!$A:$A,抽卷!$K:$K,,1,2),NA())</f>
        <v>182</v>
      </c>
      <c r="E583" s="416">
        <f>IF(ISNUMBER(_xlfn.XLOOKUP(A583,抽卷!$A:$A,抽卷!$M:$M,,1,2)),_xlfn.XLOOKUP(A583,抽卷!$A:$A,抽卷!$M:$M,,1,2),NA())</f>
        <v>250</v>
      </c>
      <c r="F583" s="70">
        <f t="shared" si="29"/>
        <v>512.20833333333337</v>
      </c>
    </row>
    <row r="584" spans="1:6" ht="15" customHeight="1" x14ac:dyDescent="0.25">
      <c r="A584" s="95">
        <f t="shared" si="30"/>
        <v>44520</v>
      </c>
      <c r="B584" s="76">
        <f>IF(ISNUMBER(_xlfn.XLOOKUP(A584,鑽量!$A:$A,鑽量!$K:$K,,1,2)),_xlfn.XLOOKUP(A584,鑽量!$A:$A,鑽量!$K:$K,,1,2),NA())</f>
        <v>10505</v>
      </c>
      <c r="C584" s="416">
        <f t="shared" si="28"/>
        <v>87.541666666666671</v>
      </c>
      <c r="D584" s="416">
        <f>IF(ISNUMBER(_xlfn.XLOOKUP(A584,抽卷!$A:$A,抽卷!$K:$K,,1,2)),_xlfn.XLOOKUP(A584,抽卷!$A:$A,抽卷!$K:$K,,1,2),NA())</f>
        <v>169</v>
      </c>
      <c r="E584" s="416">
        <f>IF(ISNUMBER(_xlfn.XLOOKUP(A584,抽卷!$A:$A,抽卷!$M:$M,,1,2)),_xlfn.XLOOKUP(A584,抽卷!$A:$A,抽卷!$M:$M,,1,2),NA())</f>
        <v>230</v>
      </c>
      <c r="F584" s="70">
        <f t="shared" si="29"/>
        <v>486.54166666666669</v>
      </c>
    </row>
    <row r="585" spans="1:6" ht="15" customHeight="1" x14ac:dyDescent="0.25">
      <c r="A585" s="95">
        <f t="shared" si="30"/>
        <v>44521</v>
      </c>
      <c r="B585" s="76">
        <f>IF(ISNUMBER(_xlfn.XLOOKUP(A585,鑽量!$A:$A,鑽量!$K:$K,,1,2)),_xlfn.XLOOKUP(A585,鑽量!$A:$A,鑽量!$K:$K,,1,2),NA())</f>
        <v>10855</v>
      </c>
      <c r="C585" s="416">
        <f t="shared" si="28"/>
        <v>90.458333333333329</v>
      </c>
      <c r="D585" s="416">
        <f>IF(ISNUMBER(_xlfn.XLOOKUP(A585,抽卷!$A:$A,抽卷!$K:$K,,1,2)),_xlfn.XLOOKUP(A585,抽卷!$A:$A,抽卷!$K:$K,,1,2),NA())</f>
        <v>174</v>
      </c>
      <c r="E585" s="416">
        <f>IF(ISNUMBER(_xlfn.XLOOKUP(A585,抽卷!$A:$A,抽卷!$M:$M,,1,2)),_xlfn.XLOOKUP(A585,抽卷!$A:$A,抽卷!$M:$M,,1,2),NA())</f>
        <v>230</v>
      </c>
      <c r="F585" s="70">
        <f t="shared" si="29"/>
        <v>494.45833333333331</v>
      </c>
    </row>
    <row r="586" spans="1:6" ht="15" customHeight="1" x14ac:dyDescent="0.25">
      <c r="A586" s="95">
        <f t="shared" si="30"/>
        <v>44522</v>
      </c>
      <c r="B586" s="76">
        <f>IF(ISNUMBER(_xlfn.XLOOKUP(A586,鑽量!$A:$A,鑽量!$K:$K,,1,2)),_xlfn.XLOOKUP(A586,鑽量!$A:$A,鑽量!$K:$K,,1,2),NA())</f>
        <v>10805</v>
      </c>
      <c r="C586" s="416">
        <f t="shared" si="28"/>
        <v>90.041666666666671</v>
      </c>
      <c r="D586" s="416">
        <f>IF(ISNUMBER(_xlfn.XLOOKUP(A586,抽卷!$A:$A,抽卷!$K:$K,,1,2)),_xlfn.XLOOKUP(A586,抽卷!$A:$A,抽卷!$K:$K,,1,2),NA())</f>
        <v>174</v>
      </c>
      <c r="E586" s="416">
        <f>IF(ISNUMBER(_xlfn.XLOOKUP(A586,抽卷!$A:$A,抽卷!$M:$M,,1,2)),_xlfn.XLOOKUP(A586,抽卷!$A:$A,抽卷!$M:$M,,1,2),NA())</f>
        <v>220</v>
      </c>
      <c r="F586" s="70">
        <f t="shared" si="29"/>
        <v>484.04166666666669</v>
      </c>
    </row>
    <row r="587" spans="1:6" ht="15" customHeight="1" x14ac:dyDescent="0.25">
      <c r="A587" s="95">
        <f t="shared" si="30"/>
        <v>44523</v>
      </c>
      <c r="B587" s="76">
        <f>IF(ISNUMBER(_xlfn.XLOOKUP(A587,鑽量!$A:$A,鑽量!$K:$K,,1,2)),_xlfn.XLOOKUP(A587,鑽量!$A:$A,鑽量!$K:$K,,1,2),NA())</f>
        <v>10880</v>
      </c>
      <c r="C587" s="416">
        <f t="shared" si="28"/>
        <v>90.666666666666671</v>
      </c>
      <c r="D587" s="416">
        <f>IF(ISNUMBER(_xlfn.XLOOKUP(A587,抽卷!$A:$A,抽卷!$K:$K,,1,2)),_xlfn.XLOOKUP(A587,抽卷!$A:$A,抽卷!$K:$K,,1,2),NA())</f>
        <v>182</v>
      </c>
      <c r="E587" s="416">
        <f>IF(ISNUMBER(_xlfn.XLOOKUP(A587,抽卷!$A:$A,抽卷!$M:$M,,1,2)),_xlfn.XLOOKUP(A587,抽卷!$A:$A,抽卷!$M:$M,,1,2),NA())</f>
        <v>200</v>
      </c>
      <c r="F587" s="70">
        <f t="shared" si="29"/>
        <v>472.66666666666669</v>
      </c>
    </row>
    <row r="588" spans="1:6" ht="15" customHeight="1" x14ac:dyDescent="0.25">
      <c r="A588" s="95">
        <f t="shared" si="30"/>
        <v>44524</v>
      </c>
      <c r="B588" s="76">
        <f>IF(ISNUMBER(_xlfn.XLOOKUP(A588,鑽量!$A:$A,鑽量!$K:$K,,1,2)),_xlfn.XLOOKUP(A588,鑽量!$A:$A,鑽量!$K:$K,,1,2),NA())</f>
        <v>10880</v>
      </c>
      <c r="C588" s="416">
        <f t="shared" si="28"/>
        <v>90.666666666666671</v>
      </c>
      <c r="D588" s="416">
        <f>IF(ISNUMBER(_xlfn.XLOOKUP(A588,抽卷!$A:$A,抽卷!$K:$K,,1,2)),_xlfn.XLOOKUP(A588,抽卷!$A:$A,抽卷!$K:$K,,1,2),NA())</f>
        <v>182</v>
      </c>
      <c r="E588" s="416">
        <f>IF(ISNUMBER(_xlfn.XLOOKUP(A588,抽卷!$A:$A,抽卷!$M:$M,,1,2)),_xlfn.XLOOKUP(A588,抽卷!$A:$A,抽卷!$M:$M,,1,2),NA())</f>
        <v>200</v>
      </c>
      <c r="F588" s="70">
        <f t="shared" si="29"/>
        <v>472.66666666666669</v>
      </c>
    </row>
    <row r="589" spans="1:6" ht="15" customHeight="1" x14ac:dyDescent="0.25">
      <c r="A589" s="95">
        <f t="shared" si="30"/>
        <v>44525</v>
      </c>
      <c r="B589" s="76">
        <f>IF(ISNUMBER(_xlfn.XLOOKUP(A589,鑽量!$A:$A,鑽量!$K:$K,,1,2)),_xlfn.XLOOKUP(A589,鑽量!$A:$A,鑽量!$K:$K,,1,2),NA())</f>
        <v>10855</v>
      </c>
      <c r="C589" s="416">
        <f t="shared" si="28"/>
        <v>90.458333333333329</v>
      </c>
      <c r="D589" s="416">
        <f>IF(ISNUMBER(_xlfn.XLOOKUP(A589,抽卷!$A:$A,抽卷!$K:$K,,1,2)),_xlfn.XLOOKUP(A589,抽卷!$A:$A,抽卷!$K:$K,,1,2),NA())</f>
        <v>181</v>
      </c>
      <c r="E589" s="416">
        <f>IF(ISNUMBER(_xlfn.XLOOKUP(A589,抽卷!$A:$A,抽卷!$M:$M,,1,2)),_xlfn.XLOOKUP(A589,抽卷!$A:$A,抽卷!$M:$M,,1,2),NA())</f>
        <v>180</v>
      </c>
      <c r="F589" s="70">
        <f t="shared" si="29"/>
        <v>451.45833333333331</v>
      </c>
    </row>
    <row r="590" spans="1:6" ht="15" customHeight="1" x14ac:dyDescent="0.25">
      <c r="A590" s="95">
        <f t="shared" si="30"/>
        <v>44526</v>
      </c>
      <c r="B590" s="76">
        <f>IF(ISNUMBER(_xlfn.XLOOKUP(A590,鑽量!$A:$A,鑽量!$K:$K,,1,2)),_xlfn.XLOOKUP(A590,鑽量!$A:$A,鑽量!$K:$K,,1,2),NA())</f>
        <v>10855</v>
      </c>
      <c r="C590" s="416">
        <f t="shared" si="28"/>
        <v>90.458333333333329</v>
      </c>
      <c r="D590" s="416">
        <f>IF(ISNUMBER(_xlfn.XLOOKUP(A590,抽卷!$A:$A,抽卷!$K:$K,,1,2)),_xlfn.XLOOKUP(A590,抽卷!$A:$A,抽卷!$K:$K,,1,2),NA())</f>
        <v>181</v>
      </c>
      <c r="E590" s="416">
        <f>IF(ISNUMBER(_xlfn.XLOOKUP(A590,抽卷!$A:$A,抽卷!$M:$M,,1,2)),_xlfn.XLOOKUP(A590,抽卷!$A:$A,抽卷!$M:$M,,1,2),NA())</f>
        <v>180</v>
      </c>
      <c r="F590" s="70">
        <f t="shared" si="29"/>
        <v>451.45833333333331</v>
      </c>
    </row>
    <row r="591" spans="1:6" ht="15" customHeight="1" x14ac:dyDescent="0.25">
      <c r="A591" s="95">
        <f t="shared" si="30"/>
        <v>44527</v>
      </c>
      <c r="B591" s="76">
        <f>IF(ISNUMBER(_xlfn.XLOOKUP(A591,鑽量!$A:$A,鑽量!$K:$K,,1,2)),_xlfn.XLOOKUP(A591,鑽量!$A:$A,鑽量!$K:$K,,1,2),NA())</f>
        <v>11080</v>
      </c>
      <c r="C591" s="416">
        <f t="shared" si="28"/>
        <v>92.333333333333329</v>
      </c>
      <c r="D591" s="416">
        <f>IF(ISNUMBER(_xlfn.XLOOKUP(A591,抽卷!$A:$A,抽卷!$K:$K,,1,2)),_xlfn.XLOOKUP(A591,抽卷!$A:$A,抽卷!$K:$K,,1,2),NA())</f>
        <v>181</v>
      </c>
      <c r="E591" s="416">
        <f>IF(ISNUMBER(_xlfn.XLOOKUP(A591,抽卷!$A:$A,抽卷!$M:$M,,1,2)),_xlfn.XLOOKUP(A591,抽卷!$A:$A,抽卷!$M:$M,,1,2),NA())</f>
        <v>170</v>
      </c>
      <c r="F591" s="70">
        <f t="shared" si="29"/>
        <v>443.33333333333331</v>
      </c>
    </row>
    <row r="592" spans="1:6" ht="15" customHeight="1" x14ac:dyDescent="0.25">
      <c r="A592" s="95">
        <f t="shared" si="30"/>
        <v>44528</v>
      </c>
      <c r="B592" s="76">
        <f>IF(ISNUMBER(_xlfn.XLOOKUP(A592,鑽量!$A:$A,鑽量!$K:$K,,1,2)),_xlfn.XLOOKUP(A592,鑽量!$A:$A,鑽量!$K:$K,,1,2),NA())</f>
        <v>11130</v>
      </c>
      <c r="C592" s="416">
        <f t="shared" si="28"/>
        <v>92.75</v>
      </c>
      <c r="D592" s="416">
        <f>IF(ISNUMBER(_xlfn.XLOOKUP(A592,抽卷!$A:$A,抽卷!$K:$K,,1,2)),_xlfn.XLOOKUP(A592,抽卷!$A:$A,抽卷!$K:$K,,1,2),NA())</f>
        <v>177</v>
      </c>
      <c r="E592" s="416">
        <f>IF(ISNUMBER(_xlfn.XLOOKUP(A592,抽卷!$A:$A,抽卷!$M:$M,,1,2)),_xlfn.XLOOKUP(A592,抽卷!$A:$A,抽卷!$M:$M,,1,2),NA())</f>
        <v>160</v>
      </c>
      <c r="F592" s="70">
        <f t="shared" si="29"/>
        <v>429.75</v>
      </c>
    </row>
    <row r="593" spans="1:6" ht="15" customHeight="1" x14ac:dyDescent="0.25">
      <c r="A593" s="95">
        <f t="shared" si="30"/>
        <v>44529</v>
      </c>
      <c r="B593" s="76">
        <f>IF(ISNUMBER(_xlfn.XLOOKUP(A593,鑽量!$A:$A,鑽量!$K:$K,,1,2)),_xlfn.XLOOKUP(A593,鑽量!$A:$A,鑽量!$K:$K,,1,2),NA())</f>
        <v>10405</v>
      </c>
      <c r="C593" s="416">
        <f t="shared" si="28"/>
        <v>86.708333333333329</v>
      </c>
      <c r="D593" s="416">
        <f>IF(ISNUMBER(_xlfn.XLOOKUP(A593,抽卷!$A:$A,抽卷!$K:$K,,1,2)),_xlfn.XLOOKUP(A593,抽卷!$A:$A,抽卷!$K:$K,,1,2),NA())</f>
        <v>176</v>
      </c>
      <c r="E593" s="416">
        <f>IF(ISNUMBER(_xlfn.XLOOKUP(A593,抽卷!$A:$A,抽卷!$M:$M,,1,2)),_xlfn.XLOOKUP(A593,抽卷!$A:$A,抽卷!$M:$M,,1,2),NA())</f>
        <v>140</v>
      </c>
      <c r="F593" s="70">
        <f t="shared" si="29"/>
        <v>402.70833333333331</v>
      </c>
    </row>
    <row r="594" spans="1:6" ht="15" customHeight="1" x14ac:dyDescent="0.25">
      <c r="A594" s="95">
        <f t="shared" si="30"/>
        <v>44530</v>
      </c>
      <c r="B594" s="76">
        <f>IF(ISNUMBER(_xlfn.XLOOKUP(A594,鑽量!$A:$A,鑽量!$K:$K,,1,2)),_xlfn.XLOOKUP(A594,鑽量!$A:$A,鑽量!$K:$K,,1,2),NA())</f>
        <v>10575</v>
      </c>
      <c r="C594" s="416">
        <f t="shared" si="28"/>
        <v>88.125</v>
      </c>
      <c r="D594" s="416">
        <f>IF(ISNUMBER(_xlfn.XLOOKUP(A594,抽卷!$A:$A,抽卷!$K:$K,,1,2)),_xlfn.XLOOKUP(A594,抽卷!$A:$A,抽卷!$K:$K,,1,2),NA())</f>
        <v>173</v>
      </c>
      <c r="E594" s="416">
        <f>IF(ISNUMBER(_xlfn.XLOOKUP(A594,抽卷!$A:$A,抽卷!$M:$M,,1,2)),_xlfn.XLOOKUP(A594,抽卷!$A:$A,抽卷!$M:$M,,1,2),NA())</f>
        <v>110</v>
      </c>
      <c r="F594" s="70">
        <f t="shared" si="29"/>
        <v>371.125</v>
      </c>
    </row>
    <row r="595" spans="1:6" ht="15" customHeight="1" x14ac:dyDescent="0.25">
      <c r="A595" s="95">
        <f t="shared" si="30"/>
        <v>44531</v>
      </c>
      <c r="B595" s="76">
        <f>IF(ISNUMBER(_xlfn.XLOOKUP(A595,鑽量!$A:$A,鑽量!$K:$K,,1,2)),_xlfn.XLOOKUP(A595,鑽量!$A:$A,鑽量!$K:$K,,1,2),NA())</f>
        <v>10575</v>
      </c>
      <c r="C595" s="416">
        <f t="shared" si="28"/>
        <v>88.125</v>
      </c>
      <c r="D595" s="416">
        <f>IF(ISNUMBER(_xlfn.XLOOKUP(A595,抽卷!$A:$A,抽卷!$K:$K,,1,2)),_xlfn.XLOOKUP(A595,抽卷!$A:$A,抽卷!$K:$K,,1,2),NA())</f>
        <v>173</v>
      </c>
      <c r="E595" s="416">
        <f>IF(ISNUMBER(_xlfn.XLOOKUP(A595,抽卷!$A:$A,抽卷!$M:$M,,1,2)),_xlfn.XLOOKUP(A595,抽卷!$A:$A,抽卷!$M:$M,,1,2),NA())</f>
        <v>110</v>
      </c>
      <c r="F595" s="70">
        <f t="shared" si="29"/>
        <v>371.125</v>
      </c>
    </row>
    <row r="596" spans="1:6" ht="15" customHeight="1" x14ac:dyDescent="0.25">
      <c r="A596" s="95">
        <f t="shared" si="30"/>
        <v>44532</v>
      </c>
      <c r="B596" s="76">
        <f>IF(ISNUMBER(_xlfn.XLOOKUP(A596,鑽量!$A:$A,鑽量!$K:$K,,1,2)),_xlfn.XLOOKUP(A596,鑽量!$A:$A,鑽量!$K:$K,,1,2),NA())</f>
        <v>10575</v>
      </c>
      <c r="C596" s="416">
        <f t="shared" si="28"/>
        <v>88.125</v>
      </c>
      <c r="D596" s="416">
        <f>IF(ISNUMBER(_xlfn.XLOOKUP(A596,抽卷!$A:$A,抽卷!$K:$K,,1,2)),_xlfn.XLOOKUP(A596,抽卷!$A:$A,抽卷!$K:$K,,1,2),NA())</f>
        <v>173</v>
      </c>
      <c r="E596" s="416">
        <f>IF(ISNUMBER(_xlfn.XLOOKUP(A596,抽卷!$A:$A,抽卷!$M:$M,,1,2)),_xlfn.XLOOKUP(A596,抽卷!$A:$A,抽卷!$M:$M,,1,2),NA())</f>
        <v>110</v>
      </c>
      <c r="F596" s="70">
        <f t="shared" si="29"/>
        <v>371.125</v>
      </c>
    </row>
    <row r="597" spans="1:6" ht="15" customHeight="1" x14ac:dyDescent="0.25">
      <c r="A597" s="95">
        <f t="shared" si="30"/>
        <v>44533</v>
      </c>
      <c r="B597" s="76">
        <f>IF(ISNUMBER(_xlfn.XLOOKUP(A597,鑽量!$A:$A,鑽量!$K:$K,,1,2)),_xlfn.XLOOKUP(A597,鑽量!$A:$A,鑽量!$K:$K,,1,2),NA())</f>
        <v>10475</v>
      </c>
      <c r="C597" s="416">
        <f t="shared" si="28"/>
        <v>87.291666666666671</v>
      </c>
      <c r="D597" s="416">
        <f>IF(ISNUMBER(_xlfn.XLOOKUP(A597,抽卷!$A:$A,抽卷!$K:$K,,1,2)),_xlfn.XLOOKUP(A597,抽卷!$A:$A,抽卷!$K:$K,,1,2),NA())</f>
        <v>78</v>
      </c>
      <c r="E597" s="416">
        <f>IF(ISNUMBER(_xlfn.XLOOKUP(A597,抽卷!$A:$A,抽卷!$M:$M,,1,2)),_xlfn.XLOOKUP(A597,抽卷!$A:$A,抽卷!$M:$M,,1,2),NA())</f>
        <v>0</v>
      </c>
      <c r="F597" s="70">
        <f t="shared" si="29"/>
        <v>165.29166666666669</v>
      </c>
    </row>
    <row r="598" spans="1:6" ht="15" customHeight="1" x14ac:dyDescent="0.25">
      <c r="A598" s="95">
        <f t="shared" si="30"/>
        <v>44534</v>
      </c>
      <c r="B598" s="76">
        <f>IF(ISNUMBER(_xlfn.XLOOKUP(A598,鑽量!$A:$A,鑽量!$K:$K,,1,2)),_xlfn.XLOOKUP(A598,鑽量!$A:$A,鑽量!$K:$K,,1,2),NA())</f>
        <v>10475</v>
      </c>
      <c r="C598" s="416">
        <f t="shared" si="28"/>
        <v>87.291666666666671</v>
      </c>
      <c r="D598" s="416">
        <f>IF(ISNUMBER(_xlfn.XLOOKUP(A598,抽卷!$A:$A,抽卷!$K:$K,,1,2)),_xlfn.XLOOKUP(A598,抽卷!$A:$A,抽卷!$K:$K,,1,2),NA())</f>
        <v>78</v>
      </c>
      <c r="E598" s="416">
        <f>IF(ISNUMBER(_xlfn.XLOOKUP(A598,抽卷!$A:$A,抽卷!$M:$M,,1,2)),_xlfn.XLOOKUP(A598,抽卷!$A:$A,抽卷!$M:$M,,1,2),NA())</f>
        <v>0</v>
      </c>
      <c r="F598" s="70">
        <f t="shared" si="29"/>
        <v>165.29166666666669</v>
      </c>
    </row>
    <row r="599" spans="1:6" ht="15" customHeight="1" x14ac:dyDescent="0.25">
      <c r="A599" s="95">
        <f t="shared" si="30"/>
        <v>44535</v>
      </c>
      <c r="B599" s="76">
        <f>IF(ISNUMBER(_xlfn.XLOOKUP(A599,鑽量!$A:$A,鑽量!$K:$K,,1,2)),_xlfn.XLOOKUP(A599,鑽量!$A:$A,鑽量!$K:$K,,1,2),NA())</f>
        <v>10525</v>
      </c>
      <c r="C599" s="416">
        <f t="shared" si="28"/>
        <v>87.708333333333329</v>
      </c>
      <c r="D599" s="416">
        <f>IF(ISNUMBER(_xlfn.XLOOKUP(A599,抽卷!$A:$A,抽卷!$K:$K,,1,2)),_xlfn.XLOOKUP(A599,抽卷!$A:$A,抽卷!$K:$K,,1,2),NA())</f>
        <v>78</v>
      </c>
      <c r="E599" s="416">
        <f>IF(ISNUMBER(_xlfn.XLOOKUP(A599,抽卷!$A:$A,抽卷!$M:$M,,1,2)),_xlfn.XLOOKUP(A599,抽卷!$A:$A,抽卷!$M:$M,,1,2),NA())</f>
        <v>0</v>
      </c>
      <c r="F599" s="70">
        <f t="shared" si="29"/>
        <v>165.70833333333331</v>
      </c>
    </row>
    <row r="600" spans="1:6" ht="15" customHeight="1" x14ac:dyDescent="0.25">
      <c r="A600" s="95">
        <f t="shared" si="30"/>
        <v>44536</v>
      </c>
      <c r="B600" s="76">
        <f>IF(ISNUMBER(_xlfn.XLOOKUP(A600,鑽量!$A:$A,鑽量!$K:$K,,1,2)),_xlfn.XLOOKUP(A600,鑽量!$A:$A,鑽量!$K:$K,,1,2),NA())</f>
        <v>10375</v>
      </c>
      <c r="C600" s="416">
        <f t="shared" si="28"/>
        <v>86.458333333333329</v>
      </c>
      <c r="D600" s="416">
        <f>IF(ISNUMBER(_xlfn.XLOOKUP(A600,抽卷!$A:$A,抽卷!$K:$K,,1,2)),_xlfn.XLOOKUP(A600,抽卷!$A:$A,抽卷!$K:$K,,1,2),NA())</f>
        <v>78</v>
      </c>
      <c r="E600" s="416">
        <f>IF(ISNUMBER(_xlfn.XLOOKUP(A600,抽卷!$A:$A,抽卷!$M:$M,,1,2)),_xlfn.XLOOKUP(A600,抽卷!$A:$A,抽卷!$M:$M,,1,2),NA())</f>
        <v>0</v>
      </c>
      <c r="F600" s="70">
        <f t="shared" si="29"/>
        <v>164.45833333333331</v>
      </c>
    </row>
    <row r="601" spans="1:6" ht="15" customHeight="1" x14ac:dyDescent="0.25">
      <c r="A601" s="95">
        <f t="shared" si="30"/>
        <v>44537</v>
      </c>
      <c r="B601" s="76">
        <f>IF(ISNUMBER(_xlfn.XLOOKUP(A601,鑽量!$A:$A,鑽量!$K:$K,,1,2)),_xlfn.XLOOKUP(A601,鑽量!$A:$A,鑽量!$K:$K,,1,2),NA())</f>
        <v>10375</v>
      </c>
      <c r="C601" s="416">
        <f t="shared" si="28"/>
        <v>86.458333333333329</v>
      </c>
      <c r="D601" s="416">
        <f>IF(ISNUMBER(_xlfn.XLOOKUP(A601,抽卷!$A:$A,抽卷!$K:$K,,1,2)),_xlfn.XLOOKUP(A601,抽卷!$A:$A,抽卷!$K:$K,,1,2),NA())</f>
        <v>78</v>
      </c>
      <c r="E601" s="416">
        <f>IF(ISNUMBER(_xlfn.XLOOKUP(A601,抽卷!$A:$A,抽卷!$M:$M,,1,2)),_xlfn.XLOOKUP(A601,抽卷!$A:$A,抽卷!$M:$M,,1,2),NA())</f>
        <v>0</v>
      </c>
      <c r="F601" s="70">
        <f t="shared" si="29"/>
        <v>164.45833333333331</v>
      </c>
    </row>
    <row r="602" spans="1:6" ht="15" customHeight="1" x14ac:dyDescent="0.25">
      <c r="A602" s="95">
        <f t="shared" si="30"/>
        <v>44538</v>
      </c>
      <c r="B602" s="76">
        <f>IF(ISNUMBER(_xlfn.XLOOKUP(A602,鑽量!$A:$A,鑽量!$K:$K,,1,2)),_xlfn.XLOOKUP(A602,鑽量!$A:$A,鑽量!$K:$K,,1,2),NA())</f>
        <v>11385</v>
      </c>
      <c r="C602" s="416">
        <f t="shared" si="28"/>
        <v>94.875</v>
      </c>
      <c r="D602" s="416">
        <f>IF(ISNUMBER(_xlfn.XLOOKUP(A602,抽卷!$A:$A,抽卷!$K:$K,,1,2)),_xlfn.XLOOKUP(A602,抽卷!$A:$A,抽卷!$K:$K,,1,2),NA())</f>
        <v>80</v>
      </c>
      <c r="E602" s="416">
        <f>IF(ISNUMBER(_xlfn.XLOOKUP(A602,抽卷!$A:$A,抽卷!$M:$M,,1,2)),_xlfn.XLOOKUP(A602,抽卷!$A:$A,抽卷!$M:$M,,1,2),NA())</f>
        <v>0</v>
      </c>
      <c r="F602" s="70">
        <f t="shared" si="29"/>
        <v>174.875</v>
      </c>
    </row>
    <row r="603" spans="1:6" ht="15" customHeight="1" x14ac:dyDescent="0.25">
      <c r="A603" s="95">
        <f t="shared" si="30"/>
        <v>44539</v>
      </c>
      <c r="B603" s="76">
        <f>IF(ISNUMBER(_xlfn.XLOOKUP(A603,鑽量!$A:$A,鑽量!$K:$K,,1,2)),_xlfn.XLOOKUP(A603,鑽量!$A:$A,鑽量!$K:$K,,1,2),NA())</f>
        <v>11385</v>
      </c>
      <c r="C603" s="416">
        <f t="shared" si="28"/>
        <v>94.875</v>
      </c>
      <c r="D603" s="416">
        <f>IF(ISNUMBER(_xlfn.XLOOKUP(A603,抽卷!$A:$A,抽卷!$K:$K,,1,2)),_xlfn.XLOOKUP(A603,抽卷!$A:$A,抽卷!$K:$K,,1,2),NA())</f>
        <v>80</v>
      </c>
      <c r="E603" s="416">
        <f>IF(ISNUMBER(_xlfn.XLOOKUP(A603,抽卷!$A:$A,抽卷!$M:$M,,1,2)),_xlfn.XLOOKUP(A603,抽卷!$A:$A,抽卷!$M:$M,,1,2),NA())</f>
        <v>0</v>
      </c>
      <c r="F603" s="70">
        <f t="shared" si="29"/>
        <v>174.875</v>
      </c>
    </row>
    <row r="604" spans="1:6" ht="15" customHeight="1" x14ac:dyDescent="0.25">
      <c r="A604" s="95">
        <f t="shared" si="30"/>
        <v>44540</v>
      </c>
      <c r="B604" s="76">
        <f>IF(ISNUMBER(_xlfn.XLOOKUP(A604,鑽量!$A:$A,鑽量!$K:$K,,1,2)),_xlfn.XLOOKUP(A604,鑽量!$A:$A,鑽量!$K:$K,,1,2),NA())</f>
        <v>11385</v>
      </c>
      <c r="C604" s="416">
        <f t="shared" si="28"/>
        <v>94.875</v>
      </c>
      <c r="D604" s="416">
        <f>IF(ISNUMBER(_xlfn.XLOOKUP(A604,抽卷!$A:$A,抽卷!$K:$K,,1,2)),_xlfn.XLOOKUP(A604,抽卷!$A:$A,抽卷!$K:$K,,1,2),NA())</f>
        <v>80</v>
      </c>
      <c r="E604" s="416">
        <f>IF(ISNUMBER(_xlfn.XLOOKUP(A604,抽卷!$A:$A,抽卷!$M:$M,,1,2)),_xlfn.XLOOKUP(A604,抽卷!$A:$A,抽卷!$M:$M,,1,2),NA())</f>
        <v>0</v>
      </c>
      <c r="F604" s="70">
        <f t="shared" si="29"/>
        <v>174.875</v>
      </c>
    </row>
    <row r="605" spans="1:6" ht="15" customHeight="1" x14ac:dyDescent="0.25">
      <c r="A605" s="95">
        <f t="shared" si="30"/>
        <v>44541</v>
      </c>
      <c r="B605" s="76">
        <f>IF(ISNUMBER(_xlfn.XLOOKUP(A605,鑽量!$A:$A,鑽量!$K:$K,,1,2)),_xlfn.XLOOKUP(A605,鑽量!$A:$A,鑽量!$K:$K,,1,2),NA())</f>
        <v>11165</v>
      </c>
      <c r="C605" s="416">
        <f t="shared" si="28"/>
        <v>93.041666666666671</v>
      </c>
      <c r="D605" s="416">
        <f>IF(ISNUMBER(_xlfn.XLOOKUP(A605,抽卷!$A:$A,抽卷!$K:$K,,1,2)),_xlfn.XLOOKUP(A605,抽卷!$A:$A,抽卷!$K:$K,,1,2),NA())</f>
        <v>81</v>
      </c>
      <c r="E605" s="416">
        <f>IF(ISNUMBER(_xlfn.XLOOKUP(A605,抽卷!$A:$A,抽卷!$M:$M,,1,2)),_xlfn.XLOOKUP(A605,抽卷!$A:$A,抽卷!$M:$M,,1,2),NA())</f>
        <v>0</v>
      </c>
      <c r="F605" s="70">
        <f t="shared" si="29"/>
        <v>174.04166666666669</v>
      </c>
    </row>
    <row r="606" spans="1:6" ht="15" customHeight="1" x14ac:dyDescent="0.25">
      <c r="A606" s="95">
        <f t="shared" si="30"/>
        <v>44542</v>
      </c>
      <c r="B606" s="76">
        <f>IF(ISNUMBER(_xlfn.XLOOKUP(A606,鑽量!$A:$A,鑽量!$K:$K,,1,2)),_xlfn.XLOOKUP(A606,鑽量!$A:$A,鑽量!$K:$K,,1,2),NA())</f>
        <v>11165</v>
      </c>
      <c r="C606" s="416">
        <f t="shared" si="28"/>
        <v>93.041666666666671</v>
      </c>
      <c r="D606" s="416">
        <f>IF(ISNUMBER(_xlfn.XLOOKUP(A606,抽卷!$A:$A,抽卷!$K:$K,,1,2)),_xlfn.XLOOKUP(A606,抽卷!$A:$A,抽卷!$K:$K,,1,2),NA())</f>
        <v>81</v>
      </c>
      <c r="E606" s="416">
        <f>IF(ISNUMBER(_xlfn.XLOOKUP(A606,抽卷!$A:$A,抽卷!$M:$M,,1,2)),_xlfn.XLOOKUP(A606,抽卷!$A:$A,抽卷!$M:$M,,1,2),NA())</f>
        <v>0</v>
      </c>
      <c r="F606" s="70">
        <f t="shared" si="29"/>
        <v>174.04166666666669</v>
      </c>
    </row>
    <row r="607" spans="1:6" ht="15" customHeight="1" x14ac:dyDescent="0.25">
      <c r="A607" s="95">
        <f t="shared" si="30"/>
        <v>44543</v>
      </c>
      <c r="B607" s="76">
        <f>IF(ISNUMBER(_xlfn.XLOOKUP(A607,鑽量!$A:$A,鑽量!$K:$K,,1,2)),_xlfn.XLOOKUP(A607,鑽量!$A:$A,鑽量!$K:$K,,1,2),NA())</f>
        <v>11820</v>
      </c>
      <c r="C607" s="416">
        <f t="shared" si="28"/>
        <v>98.5</v>
      </c>
      <c r="D607" s="416">
        <f>IF(ISNUMBER(_xlfn.XLOOKUP(A607,抽卷!$A:$A,抽卷!$K:$K,,1,2)),_xlfn.XLOOKUP(A607,抽卷!$A:$A,抽卷!$K:$K,,1,2),NA())</f>
        <v>94</v>
      </c>
      <c r="E607" s="416">
        <f>IF(ISNUMBER(_xlfn.XLOOKUP(A607,抽卷!$A:$A,抽卷!$M:$M,,1,2)),_xlfn.XLOOKUP(A607,抽卷!$A:$A,抽卷!$M:$M,,1,2),NA())</f>
        <v>0</v>
      </c>
      <c r="F607" s="70">
        <f t="shared" si="29"/>
        <v>192.5</v>
      </c>
    </row>
    <row r="608" spans="1:6" ht="15" customHeight="1" x14ac:dyDescent="0.25">
      <c r="A608" s="95">
        <f t="shared" si="30"/>
        <v>44544</v>
      </c>
      <c r="B608" s="76">
        <f>IF(ISNUMBER(_xlfn.XLOOKUP(A608,鑽量!$A:$A,鑽量!$K:$K,,1,2)),_xlfn.XLOOKUP(A608,鑽量!$A:$A,鑽量!$K:$K,,1,2),NA())</f>
        <v>11820</v>
      </c>
      <c r="C608" s="416">
        <f t="shared" si="28"/>
        <v>98.5</v>
      </c>
      <c r="D608" s="416">
        <f>IF(ISNUMBER(_xlfn.XLOOKUP(A608,抽卷!$A:$A,抽卷!$K:$K,,1,2)),_xlfn.XLOOKUP(A608,抽卷!$A:$A,抽卷!$K:$K,,1,2),NA())</f>
        <v>94</v>
      </c>
      <c r="E608" s="416">
        <f>IF(ISNUMBER(_xlfn.XLOOKUP(A608,抽卷!$A:$A,抽卷!$M:$M,,1,2)),_xlfn.XLOOKUP(A608,抽卷!$A:$A,抽卷!$M:$M,,1,2),NA())</f>
        <v>0</v>
      </c>
      <c r="F608" s="70">
        <f t="shared" si="29"/>
        <v>192.5</v>
      </c>
    </row>
    <row r="609" spans="1:6" ht="15" customHeight="1" x14ac:dyDescent="0.25">
      <c r="A609" s="95">
        <f t="shared" si="30"/>
        <v>44545</v>
      </c>
      <c r="B609" s="76">
        <f>IF(ISNUMBER(_xlfn.XLOOKUP(A609,鑽量!$A:$A,鑽量!$K:$K,,1,2)),_xlfn.XLOOKUP(A609,鑽量!$A:$A,鑽量!$K:$K,,1,2),NA())</f>
        <v>11820</v>
      </c>
      <c r="C609" s="416">
        <f t="shared" si="28"/>
        <v>98.5</v>
      </c>
      <c r="D609" s="416">
        <f>IF(ISNUMBER(_xlfn.XLOOKUP(A609,抽卷!$A:$A,抽卷!$K:$K,,1,2)),_xlfn.XLOOKUP(A609,抽卷!$A:$A,抽卷!$K:$K,,1,2),NA())</f>
        <v>94</v>
      </c>
      <c r="E609" s="416">
        <f>IF(ISNUMBER(_xlfn.XLOOKUP(A609,抽卷!$A:$A,抽卷!$M:$M,,1,2)),_xlfn.XLOOKUP(A609,抽卷!$A:$A,抽卷!$M:$M,,1,2),NA())</f>
        <v>0</v>
      </c>
      <c r="F609" s="70">
        <f t="shared" si="29"/>
        <v>192.5</v>
      </c>
    </row>
    <row r="610" spans="1:6" ht="15" customHeight="1" x14ac:dyDescent="0.25">
      <c r="A610" s="95">
        <f t="shared" si="30"/>
        <v>44546</v>
      </c>
      <c r="B610" s="76">
        <f>IF(ISNUMBER(_xlfn.XLOOKUP(A610,鑽量!$A:$A,鑽量!$K:$K,,1,2)),_xlfn.XLOOKUP(A610,鑽量!$A:$A,鑽量!$K:$K,,1,2),NA())</f>
        <v>11820</v>
      </c>
      <c r="C610" s="416">
        <f t="shared" si="28"/>
        <v>98.5</v>
      </c>
      <c r="D610" s="416">
        <f>IF(ISNUMBER(_xlfn.XLOOKUP(A610,抽卷!$A:$A,抽卷!$K:$K,,1,2)),_xlfn.XLOOKUP(A610,抽卷!$A:$A,抽卷!$K:$K,,1,2),NA())</f>
        <v>94</v>
      </c>
      <c r="E610" s="416">
        <f>IF(ISNUMBER(_xlfn.XLOOKUP(A610,抽卷!$A:$A,抽卷!$M:$M,,1,2)),_xlfn.XLOOKUP(A610,抽卷!$A:$A,抽卷!$M:$M,,1,2),NA())</f>
        <v>0</v>
      </c>
      <c r="F610" s="70">
        <f t="shared" si="29"/>
        <v>192.5</v>
      </c>
    </row>
    <row r="611" spans="1:6" ht="15" customHeight="1" x14ac:dyDescent="0.25">
      <c r="A611" s="95">
        <f t="shared" si="30"/>
        <v>44547</v>
      </c>
      <c r="B611" s="76">
        <f>IF(ISNUMBER(_xlfn.XLOOKUP(A611,鑽量!$A:$A,鑽量!$K:$K,,1,2)),_xlfn.XLOOKUP(A611,鑽量!$A:$A,鑽量!$K:$K,,1,2),NA())</f>
        <v>10970</v>
      </c>
      <c r="C611" s="416">
        <f t="shared" si="28"/>
        <v>91.416666666666671</v>
      </c>
      <c r="D611" s="416">
        <f>IF(ISNUMBER(_xlfn.XLOOKUP(A611,抽卷!$A:$A,抽卷!$K:$K,,1,2)),_xlfn.XLOOKUP(A611,抽卷!$A:$A,抽卷!$K:$K,,1,2),NA())</f>
        <v>86</v>
      </c>
      <c r="E611" s="416">
        <f>IF(ISNUMBER(_xlfn.XLOOKUP(A611,抽卷!$A:$A,抽卷!$M:$M,,1,2)),_xlfn.XLOOKUP(A611,抽卷!$A:$A,抽卷!$M:$M,,1,2),NA())</f>
        <v>0</v>
      </c>
      <c r="F611" s="70">
        <f t="shared" si="29"/>
        <v>177.41666666666669</v>
      </c>
    </row>
    <row r="612" spans="1:6" ht="15" customHeight="1" x14ac:dyDescent="0.25">
      <c r="A612" s="95">
        <f t="shared" si="30"/>
        <v>44548</v>
      </c>
      <c r="B612" s="76">
        <f>IF(ISNUMBER(_xlfn.XLOOKUP(A612,鑽量!$A:$A,鑽量!$K:$K,,1,2)),_xlfn.XLOOKUP(A612,鑽量!$A:$A,鑽量!$K:$K,,1,2),NA())</f>
        <v>10970</v>
      </c>
      <c r="C612" s="416">
        <f t="shared" si="28"/>
        <v>91.416666666666671</v>
      </c>
      <c r="D612" s="416">
        <f>IF(ISNUMBER(_xlfn.XLOOKUP(A612,抽卷!$A:$A,抽卷!$K:$K,,1,2)),_xlfn.XLOOKUP(A612,抽卷!$A:$A,抽卷!$K:$K,,1,2),NA())</f>
        <v>86</v>
      </c>
      <c r="E612" s="416">
        <f>IF(ISNUMBER(_xlfn.XLOOKUP(A612,抽卷!$A:$A,抽卷!$M:$M,,1,2)),_xlfn.XLOOKUP(A612,抽卷!$A:$A,抽卷!$M:$M,,1,2),NA())</f>
        <v>0</v>
      </c>
      <c r="F612" s="70">
        <f t="shared" si="29"/>
        <v>177.41666666666669</v>
      </c>
    </row>
    <row r="613" spans="1:6" ht="15" customHeight="1" x14ac:dyDescent="0.25">
      <c r="A613" s="95">
        <f t="shared" si="30"/>
        <v>44549</v>
      </c>
      <c r="B613" s="76">
        <f>IF(ISNUMBER(_xlfn.XLOOKUP(A613,鑽量!$A:$A,鑽量!$K:$K,,1,2)),_xlfn.XLOOKUP(A613,鑽量!$A:$A,鑽量!$K:$K,,1,2),NA())</f>
        <v>11575</v>
      </c>
      <c r="C613" s="416">
        <f t="shared" si="28"/>
        <v>96.458333333333329</v>
      </c>
      <c r="D613" s="416">
        <f>IF(ISNUMBER(_xlfn.XLOOKUP(A613,抽卷!$A:$A,抽卷!$K:$K,,1,2)),_xlfn.XLOOKUP(A613,抽卷!$A:$A,抽卷!$K:$K,,1,2),NA())</f>
        <v>83</v>
      </c>
      <c r="E613" s="416">
        <f>IF(ISNUMBER(_xlfn.XLOOKUP(A613,抽卷!$A:$A,抽卷!$M:$M,,1,2)),_xlfn.XLOOKUP(A613,抽卷!$A:$A,抽卷!$M:$M,,1,2),NA())</f>
        <v>0</v>
      </c>
      <c r="F613" s="70">
        <f t="shared" si="29"/>
        <v>179.45833333333331</v>
      </c>
    </row>
    <row r="614" spans="1:6" ht="15" customHeight="1" x14ac:dyDescent="0.25">
      <c r="A614" s="95">
        <f t="shared" si="30"/>
        <v>44550</v>
      </c>
      <c r="B614" s="76">
        <f>IF(ISNUMBER(_xlfn.XLOOKUP(A614,鑽量!$A:$A,鑽量!$K:$K,,1,2)),_xlfn.XLOOKUP(A614,鑽量!$A:$A,鑽量!$K:$K,,1,2),NA())</f>
        <v>11575</v>
      </c>
      <c r="C614" s="416">
        <f t="shared" si="28"/>
        <v>96.458333333333329</v>
      </c>
      <c r="D614" s="416">
        <f>IF(ISNUMBER(_xlfn.XLOOKUP(A614,抽卷!$A:$A,抽卷!$K:$K,,1,2)),_xlfn.XLOOKUP(A614,抽卷!$A:$A,抽卷!$K:$K,,1,2),NA())</f>
        <v>83</v>
      </c>
      <c r="E614" s="416">
        <f>IF(ISNUMBER(_xlfn.XLOOKUP(A614,抽卷!$A:$A,抽卷!$M:$M,,1,2)),_xlfn.XLOOKUP(A614,抽卷!$A:$A,抽卷!$M:$M,,1,2),NA())</f>
        <v>0</v>
      </c>
      <c r="F614" s="70">
        <f t="shared" si="29"/>
        <v>179.45833333333331</v>
      </c>
    </row>
    <row r="615" spans="1:6" ht="15" customHeight="1" x14ac:dyDescent="0.25">
      <c r="A615" s="95">
        <f t="shared" si="30"/>
        <v>44551</v>
      </c>
      <c r="B615" s="76">
        <f>IF(ISNUMBER(_xlfn.XLOOKUP(A615,鑽量!$A:$A,鑽量!$K:$K,,1,2)),_xlfn.XLOOKUP(A615,鑽量!$A:$A,鑽量!$K:$K,,1,2),NA())</f>
        <v>10450</v>
      </c>
      <c r="C615" s="416">
        <f t="shared" si="28"/>
        <v>87.083333333333329</v>
      </c>
      <c r="D615" s="416">
        <f>IF(ISNUMBER(_xlfn.XLOOKUP(A615,抽卷!$A:$A,抽卷!$K:$K,,1,2)),_xlfn.XLOOKUP(A615,抽卷!$A:$A,抽卷!$K:$K,,1,2),NA())</f>
        <v>88</v>
      </c>
      <c r="E615" s="416">
        <f>IF(ISNUMBER(_xlfn.XLOOKUP(A615,抽卷!$A:$A,抽卷!$M:$M,,1,2)),_xlfn.XLOOKUP(A615,抽卷!$A:$A,抽卷!$M:$M,,1,2),NA())</f>
        <v>0</v>
      </c>
      <c r="F615" s="70">
        <f t="shared" si="29"/>
        <v>175.08333333333331</v>
      </c>
    </row>
    <row r="616" spans="1:6" ht="15" customHeight="1" x14ac:dyDescent="0.25">
      <c r="A616" s="95">
        <f t="shared" si="30"/>
        <v>44552</v>
      </c>
      <c r="B616" s="76">
        <f>IF(ISNUMBER(_xlfn.XLOOKUP(A616,鑽量!$A:$A,鑽量!$K:$K,,1,2)),_xlfn.XLOOKUP(A616,鑽量!$A:$A,鑽量!$K:$K,,1,2),NA())</f>
        <v>10450</v>
      </c>
      <c r="C616" s="416">
        <f t="shared" si="28"/>
        <v>87.083333333333329</v>
      </c>
      <c r="D616" s="416">
        <f>IF(ISNUMBER(_xlfn.XLOOKUP(A616,抽卷!$A:$A,抽卷!$K:$K,,1,2)),_xlfn.XLOOKUP(A616,抽卷!$A:$A,抽卷!$K:$K,,1,2),NA())</f>
        <v>88</v>
      </c>
      <c r="E616" s="416">
        <f>IF(ISNUMBER(_xlfn.XLOOKUP(A616,抽卷!$A:$A,抽卷!$M:$M,,1,2)),_xlfn.XLOOKUP(A616,抽卷!$A:$A,抽卷!$M:$M,,1,2),NA())</f>
        <v>0</v>
      </c>
      <c r="F616" s="70">
        <f t="shared" si="29"/>
        <v>175.08333333333331</v>
      </c>
    </row>
    <row r="617" spans="1:6" ht="15" customHeight="1" x14ac:dyDescent="0.25">
      <c r="A617" s="95">
        <f t="shared" si="30"/>
        <v>44553</v>
      </c>
      <c r="B617" s="76">
        <f>IF(ISNUMBER(_xlfn.XLOOKUP(A617,鑽量!$A:$A,鑽量!$K:$K,,1,2)),_xlfn.XLOOKUP(A617,鑽量!$A:$A,鑽量!$K:$K,,1,2),NA())</f>
        <v>10450</v>
      </c>
      <c r="C617" s="416">
        <f t="shared" si="28"/>
        <v>87.083333333333329</v>
      </c>
      <c r="D617" s="416">
        <f>IF(ISNUMBER(_xlfn.XLOOKUP(A617,抽卷!$A:$A,抽卷!$K:$K,,1,2)),_xlfn.XLOOKUP(A617,抽卷!$A:$A,抽卷!$K:$K,,1,2),NA())</f>
        <v>88</v>
      </c>
      <c r="E617" s="416">
        <f>IF(ISNUMBER(_xlfn.XLOOKUP(A617,抽卷!$A:$A,抽卷!$M:$M,,1,2)),_xlfn.XLOOKUP(A617,抽卷!$A:$A,抽卷!$M:$M,,1,2),NA())</f>
        <v>0</v>
      </c>
      <c r="F617" s="70">
        <f t="shared" si="29"/>
        <v>175.08333333333331</v>
      </c>
    </row>
    <row r="618" spans="1:6" ht="15" customHeight="1" x14ac:dyDescent="0.25">
      <c r="A618" s="95">
        <f t="shared" si="30"/>
        <v>44554</v>
      </c>
      <c r="B618" s="76">
        <f>IF(ISNUMBER(_xlfn.XLOOKUP(A618,鑽量!$A:$A,鑽量!$K:$K,,1,2)),_xlfn.XLOOKUP(A618,鑽量!$A:$A,鑽量!$K:$K,,1,2),NA())</f>
        <v>11360</v>
      </c>
      <c r="C618" s="416">
        <f t="shared" si="28"/>
        <v>94.666666666666671</v>
      </c>
      <c r="D618" s="416">
        <f>IF(ISNUMBER(_xlfn.XLOOKUP(A618,抽卷!$A:$A,抽卷!$K:$K,,1,2)),_xlfn.XLOOKUP(A618,抽卷!$A:$A,抽卷!$K:$K,,1,2),NA())</f>
        <v>88</v>
      </c>
      <c r="E618" s="416">
        <f>IF(ISNUMBER(_xlfn.XLOOKUP(A618,抽卷!$A:$A,抽卷!$M:$M,,1,2)),_xlfn.XLOOKUP(A618,抽卷!$A:$A,抽卷!$M:$M,,1,2),NA())</f>
        <v>0</v>
      </c>
      <c r="F618" s="70">
        <f t="shared" si="29"/>
        <v>182.66666666666669</v>
      </c>
    </row>
    <row r="619" spans="1:6" ht="15" customHeight="1" x14ac:dyDescent="0.25">
      <c r="A619" s="95">
        <f t="shared" si="30"/>
        <v>44555</v>
      </c>
      <c r="B619" s="76">
        <f>IF(ISNUMBER(_xlfn.XLOOKUP(A619,鑽量!$A:$A,鑽量!$K:$K,,1,2)),_xlfn.XLOOKUP(A619,鑽量!$A:$A,鑽量!$K:$K,,1,2),NA())</f>
        <v>11360</v>
      </c>
      <c r="C619" s="416">
        <f t="shared" si="28"/>
        <v>94.666666666666671</v>
      </c>
      <c r="D619" s="416">
        <f>IF(ISNUMBER(_xlfn.XLOOKUP(A619,抽卷!$A:$A,抽卷!$K:$K,,1,2)),_xlfn.XLOOKUP(A619,抽卷!$A:$A,抽卷!$K:$K,,1,2),NA())</f>
        <v>88</v>
      </c>
      <c r="E619" s="416">
        <f>IF(ISNUMBER(_xlfn.XLOOKUP(A619,抽卷!$A:$A,抽卷!$M:$M,,1,2)),_xlfn.XLOOKUP(A619,抽卷!$A:$A,抽卷!$M:$M,,1,2),NA())</f>
        <v>0</v>
      </c>
      <c r="F619" s="70">
        <f t="shared" si="29"/>
        <v>182.66666666666669</v>
      </c>
    </row>
    <row r="620" spans="1:6" ht="15" customHeight="1" x14ac:dyDescent="0.25">
      <c r="A620" s="95">
        <f t="shared" si="30"/>
        <v>44556</v>
      </c>
      <c r="B620" s="76">
        <f>IF(ISNUMBER(_xlfn.XLOOKUP(A620,鑽量!$A:$A,鑽量!$K:$K,,1,2)),_xlfn.XLOOKUP(A620,鑽量!$A:$A,鑽量!$K:$K,,1,2),NA())</f>
        <v>11360</v>
      </c>
      <c r="C620" s="416">
        <f t="shared" si="28"/>
        <v>94.666666666666671</v>
      </c>
      <c r="D620" s="416">
        <f>IF(ISNUMBER(_xlfn.XLOOKUP(A620,抽卷!$A:$A,抽卷!$K:$K,,1,2)),_xlfn.XLOOKUP(A620,抽卷!$A:$A,抽卷!$K:$K,,1,2),NA())</f>
        <v>88</v>
      </c>
      <c r="E620" s="416">
        <f>IF(ISNUMBER(_xlfn.XLOOKUP(A620,抽卷!$A:$A,抽卷!$M:$M,,1,2)),_xlfn.XLOOKUP(A620,抽卷!$A:$A,抽卷!$M:$M,,1,2),NA())</f>
        <v>0</v>
      </c>
      <c r="F620" s="70">
        <f t="shared" si="29"/>
        <v>182.66666666666669</v>
      </c>
    </row>
    <row r="621" spans="1:6" ht="15" customHeight="1" x14ac:dyDescent="0.25">
      <c r="A621" s="95">
        <f t="shared" si="30"/>
        <v>44557</v>
      </c>
      <c r="B621" s="76">
        <f>IF(ISNUMBER(_xlfn.XLOOKUP(A621,鑽量!$A:$A,鑽量!$K:$K,,1,2)),_xlfn.XLOOKUP(A621,鑽量!$A:$A,鑽量!$K:$K,,1,2),NA())</f>
        <v>15445</v>
      </c>
      <c r="C621" s="416">
        <f t="shared" si="28"/>
        <v>128.70833333333334</v>
      </c>
      <c r="D621" s="416">
        <f>IF(ISNUMBER(_xlfn.XLOOKUP(A621,抽卷!$A:$A,抽卷!$K:$K,,1,2)),_xlfn.XLOOKUP(A621,抽卷!$A:$A,抽卷!$K:$K,,1,2),NA())</f>
        <v>73</v>
      </c>
      <c r="E621" s="416">
        <f>IF(ISNUMBER(_xlfn.XLOOKUP(A621,抽卷!$A:$A,抽卷!$M:$M,,1,2)),_xlfn.XLOOKUP(A621,抽卷!$A:$A,抽卷!$M:$M,,1,2),NA())</f>
        <v>0</v>
      </c>
      <c r="F621" s="70">
        <f t="shared" si="29"/>
        <v>201.70833333333334</v>
      </c>
    </row>
    <row r="622" spans="1:6" ht="15" customHeight="1" x14ac:dyDescent="0.25">
      <c r="A622" s="95">
        <f t="shared" si="30"/>
        <v>44558</v>
      </c>
      <c r="B622" s="76">
        <f>IF(ISNUMBER(_xlfn.XLOOKUP(A622,鑽量!$A:$A,鑽量!$K:$K,,1,2)),_xlfn.XLOOKUP(A622,鑽量!$A:$A,鑽量!$K:$K,,1,2),NA())</f>
        <v>15445</v>
      </c>
      <c r="C622" s="416">
        <f t="shared" si="28"/>
        <v>128.70833333333334</v>
      </c>
      <c r="D622" s="416">
        <f>IF(ISNUMBER(_xlfn.XLOOKUP(A622,抽卷!$A:$A,抽卷!$K:$K,,1,2)),_xlfn.XLOOKUP(A622,抽卷!$A:$A,抽卷!$K:$K,,1,2),NA())</f>
        <v>73</v>
      </c>
      <c r="E622" s="416">
        <f>IF(ISNUMBER(_xlfn.XLOOKUP(A622,抽卷!$A:$A,抽卷!$M:$M,,1,2)),_xlfn.XLOOKUP(A622,抽卷!$A:$A,抽卷!$M:$M,,1,2),NA())</f>
        <v>0</v>
      </c>
      <c r="F622" s="70">
        <f t="shared" si="29"/>
        <v>201.70833333333334</v>
      </c>
    </row>
    <row r="623" spans="1:6" ht="15" customHeight="1" x14ac:dyDescent="0.25">
      <c r="A623" s="95">
        <f t="shared" si="30"/>
        <v>44559</v>
      </c>
      <c r="B623" s="76">
        <f>IF(ISNUMBER(_xlfn.XLOOKUP(A623,鑽量!$A:$A,鑽量!$K:$K,,1,2)),_xlfn.XLOOKUP(A623,鑽量!$A:$A,鑽量!$K:$K,,1,2),NA())</f>
        <v>15445</v>
      </c>
      <c r="C623" s="416">
        <f t="shared" si="28"/>
        <v>128.70833333333334</v>
      </c>
      <c r="D623" s="416">
        <f>IF(ISNUMBER(_xlfn.XLOOKUP(A623,抽卷!$A:$A,抽卷!$K:$K,,1,2)),_xlfn.XLOOKUP(A623,抽卷!$A:$A,抽卷!$K:$K,,1,2),NA())</f>
        <v>73</v>
      </c>
      <c r="E623" s="416">
        <f>IF(ISNUMBER(_xlfn.XLOOKUP(A623,抽卷!$A:$A,抽卷!$M:$M,,1,2)),_xlfn.XLOOKUP(A623,抽卷!$A:$A,抽卷!$M:$M,,1,2),NA())</f>
        <v>0</v>
      </c>
      <c r="F623" s="70">
        <f t="shared" si="29"/>
        <v>201.70833333333334</v>
      </c>
    </row>
    <row r="624" spans="1:6" ht="15" customHeight="1" x14ac:dyDescent="0.25">
      <c r="A624" s="95">
        <f t="shared" si="30"/>
        <v>44560</v>
      </c>
      <c r="B624" s="76">
        <f>IF(ISNUMBER(_xlfn.XLOOKUP(A624,鑽量!$A:$A,鑽量!$K:$K,,1,2)),_xlfn.XLOOKUP(A624,鑽量!$A:$A,鑽量!$K:$K,,1,2),NA())</f>
        <v>17435</v>
      </c>
      <c r="C624" s="416">
        <f t="shared" si="28"/>
        <v>145.29166666666666</v>
      </c>
      <c r="D624" s="416">
        <f>IF(ISNUMBER(_xlfn.XLOOKUP(A624,抽卷!$A:$A,抽卷!$K:$K,,1,2)),_xlfn.XLOOKUP(A624,抽卷!$A:$A,抽卷!$K:$K,,1,2),NA())</f>
        <v>73</v>
      </c>
      <c r="E624" s="416">
        <f>IF(ISNUMBER(_xlfn.XLOOKUP(A624,抽卷!$A:$A,抽卷!$M:$M,,1,2)),_xlfn.XLOOKUP(A624,抽卷!$A:$A,抽卷!$M:$M,,1,2),NA())</f>
        <v>0</v>
      </c>
      <c r="F624" s="70">
        <f t="shared" si="29"/>
        <v>218.29166666666666</v>
      </c>
    </row>
    <row r="625" spans="1:6" ht="15" customHeight="1" x14ac:dyDescent="0.25">
      <c r="A625" s="95">
        <f t="shared" si="30"/>
        <v>44561</v>
      </c>
      <c r="B625" s="76">
        <f>IF(ISNUMBER(_xlfn.XLOOKUP(A625,鑽量!$A:$A,鑽量!$K:$K,,1,2)),_xlfn.XLOOKUP(A625,鑽量!$A:$A,鑽量!$K:$K,,1,2),NA())</f>
        <v>17435</v>
      </c>
      <c r="C625" s="416">
        <f t="shared" si="28"/>
        <v>145.29166666666666</v>
      </c>
      <c r="D625" s="416">
        <f>IF(ISNUMBER(_xlfn.XLOOKUP(A625,抽卷!$A:$A,抽卷!$K:$K,,1,2)),_xlfn.XLOOKUP(A625,抽卷!$A:$A,抽卷!$K:$K,,1,2),NA())</f>
        <v>73</v>
      </c>
      <c r="E625" s="416">
        <f>IF(ISNUMBER(_xlfn.XLOOKUP(A625,抽卷!$A:$A,抽卷!$M:$M,,1,2)),_xlfn.XLOOKUP(A625,抽卷!$A:$A,抽卷!$M:$M,,1,2),NA())</f>
        <v>0</v>
      </c>
      <c r="F625" s="70">
        <f t="shared" si="29"/>
        <v>218.29166666666666</v>
      </c>
    </row>
    <row r="626" spans="1:6" ht="15" customHeight="1" x14ac:dyDescent="0.25">
      <c r="A626" s="95">
        <f t="shared" si="30"/>
        <v>44562</v>
      </c>
      <c r="B626" s="76">
        <f>IF(ISNUMBER(_xlfn.XLOOKUP(A626,鑽量!$A:$A,鑽量!$K:$K,,1,2)),_xlfn.XLOOKUP(A626,鑽量!$A:$A,鑽量!$K:$K,,1,2),NA())</f>
        <v>17965</v>
      </c>
      <c r="C626" s="416">
        <f t="shared" si="28"/>
        <v>149.70833333333334</v>
      </c>
      <c r="D626" s="416">
        <f>IF(ISNUMBER(_xlfn.XLOOKUP(A626,抽卷!$A:$A,抽卷!$K:$K,,1,2)),_xlfn.XLOOKUP(A626,抽卷!$A:$A,抽卷!$K:$K,,1,2),NA())</f>
        <v>126</v>
      </c>
      <c r="E626" s="416">
        <f>IF(ISNUMBER(_xlfn.XLOOKUP(A626,抽卷!$A:$A,抽卷!$M:$M,,1,2)),_xlfn.XLOOKUP(A626,抽卷!$A:$A,抽卷!$M:$M,,1,2),NA())</f>
        <v>10</v>
      </c>
      <c r="F626" s="70">
        <f t="shared" si="29"/>
        <v>285.70833333333337</v>
      </c>
    </row>
    <row r="627" spans="1:6" ht="15" customHeight="1" x14ac:dyDescent="0.25">
      <c r="A627" s="95">
        <f t="shared" si="30"/>
        <v>44563</v>
      </c>
      <c r="B627" s="76">
        <f>IF(ISNUMBER(_xlfn.XLOOKUP(A627,鑽量!$A:$A,鑽量!$K:$K,,1,2)),_xlfn.XLOOKUP(A627,鑽量!$A:$A,鑽量!$K:$K,,1,2),NA())</f>
        <v>17965</v>
      </c>
      <c r="C627" s="416">
        <f t="shared" si="28"/>
        <v>149.70833333333334</v>
      </c>
      <c r="D627" s="416">
        <f>IF(ISNUMBER(_xlfn.XLOOKUP(A627,抽卷!$A:$A,抽卷!$K:$K,,1,2)),_xlfn.XLOOKUP(A627,抽卷!$A:$A,抽卷!$K:$K,,1,2),NA())</f>
        <v>128</v>
      </c>
      <c r="E627" s="416">
        <f>IF(ISNUMBER(_xlfn.XLOOKUP(A627,抽卷!$A:$A,抽卷!$M:$M,,1,2)),_xlfn.XLOOKUP(A627,抽卷!$A:$A,抽卷!$M:$M,,1,2),NA())</f>
        <v>20</v>
      </c>
      <c r="F627" s="70">
        <f t="shared" si="29"/>
        <v>297.70833333333337</v>
      </c>
    </row>
    <row r="628" spans="1:6" ht="15" customHeight="1" x14ac:dyDescent="0.25">
      <c r="A628" s="95">
        <f t="shared" si="30"/>
        <v>44564</v>
      </c>
      <c r="B628" s="76">
        <f>IF(ISNUMBER(_xlfn.XLOOKUP(A628,鑽量!$A:$A,鑽量!$K:$K,,1,2)),_xlfn.XLOOKUP(A628,鑽量!$A:$A,鑽量!$K:$K,,1,2),NA())</f>
        <v>18230</v>
      </c>
      <c r="C628" s="416">
        <f t="shared" si="28"/>
        <v>151.91666666666666</v>
      </c>
      <c r="D628" s="416">
        <f>IF(ISNUMBER(_xlfn.XLOOKUP(A628,抽卷!$A:$A,抽卷!$K:$K,,1,2)),_xlfn.XLOOKUP(A628,抽卷!$A:$A,抽卷!$K:$K,,1,2),NA())</f>
        <v>129</v>
      </c>
      <c r="E628" s="416">
        <f>IF(ISNUMBER(_xlfn.XLOOKUP(A628,抽卷!$A:$A,抽卷!$M:$M,,1,2)),_xlfn.XLOOKUP(A628,抽卷!$A:$A,抽卷!$M:$M,,1,2),NA())</f>
        <v>30</v>
      </c>
      <c r="F628" s="70">
        <f t="shared" si="29"/>
        <v>310.91666666666663</v>
      </c>
    </row>
    <row r="629" spans="1:6" ht="15" customHeight="1" x14ac:dyDescent="0.25">
      <c r="A629" s="95">
        <f t="shared" si="30"/>
        <v>44565</v>
      </c>
      <c r="B629" s="76">
        <f>IF(ISNUMBER(_xlfn.XLOOKUP(A629,鑽量!$A:$A,鑽量!$K:$K,,1,2)),_xlfn.XLOOKUP(A629,鑽量!$A:$A,鑽量!$K:$K,,1,2),NA())</f>
        <v>18380</v>
      </c>
      <c r="C629" s="416">
        <f t="shared" si="28"/>
        <v>153.16666666666666</v>
      </c>
      <c r="D629" s="416">
        <f>IF(ISNUMBER(_xlfn.XLOOKUP(A629,抽卷!$A:$A,抽卷!$K:$K,,1,2)),_xlfn.XLOOKUP(A629,抽卷!$A:$A,抽卷!$K:$K,,1,2),NA())</f>
        <v>133</v>
      </c>
      <c r="E629" s="416">
        <f>IF(ISNUMBER(_xlfn.XLOOKUP(A629,抽卷!$A:$A,抽卷!$M:$M,,1,2)),_xlfn.XLOOKUP(A629,抽卷!$A:$A,抽卷!$M:$M,,1,2),NA())</f>
        <v>40</v>
      </c>
      <c r="F629" s="70">
        <f t="shared" si="29"/>
        <v>326.16666666666663</v>
      </c>
    </row>
    <row r="630" spans="1:6" ht="15" customHeight="1" x14ac:dyDescent="0.25">
      <c r="A630" s="95">
        <f t="shared" si="30"/>
        <v>44566</v>
      </c>
      <c r="B630" s="76">
        <f>IF(ISNUMBER(_xlfn.XLOOKUP(A630,鑽量!$A:$A,鑽量!$K:$K,,1,2)),_xlfn.XLOOKUP(A630,鑽量!$A:$A,鑽量!$K:$K,,1,2),NA())</f>
        <v>19255</v>
      </c>
      <c r="C630" s="416">
        <f t="shared" si="28"/>
        <v>160.45833333333334</v>
      </c>
      <c r="D630" s="416">
        <f>IF(ISNUMBER(_xlfn.XLOOKUP(A630,抽卷!$A:$A,抽卷!$K:$K,,1,2)),_xlfn.XLOOKUP(A630,抽卷!$A:$A,抽卷!$K:$K,,1,2),NA())</f>
        <v>145</v>
      </c>
      <c r="E630" s="416">
        <f>IF(ISNUMBER(_xlfn.XLOOKUP(A630,抽卷!$A:$A,抽卷!$M:$M,,1,2)),_xlfn.XLOOKUP(A630,抽卷!$A:$A,抽卷!$M:$M,,1,2),NA())</f>
        <v>50</v>
      </c>
      <c r="F630" s="70">
        <f t="shared" si="29"/>
        <v>355.45833333333337</v>
      </c>
    </row>
    <row r="631" spans="1:6" ht="15" customHeight="1" x14ac:dyDescent="0.25">
      <c r="A631" s="95">
        <f t="shared" si="30"/>
        <v>44567</v>
      </c>
      <c r="B631" s="76">
        <f>IF(ISNUMBER(_xlfn.XLOOKUP(A631,鑽量!$A:$A,鑽量!$K:$K,,1,2)),_xlfn.XLOOKUP(A631,鑽量!$A:$A,鑽量!$K:$K,,1,2),NA())</f>
        <v>19255</v>
      </c>
      <c r="C631" s="416">
        <f t="shared" si="28"/>
        <v>160.45833333333334</v>
      </c>
      <c r="D631" s="416">
        <f>IF(ISNUMBER(_xlfn.XLOOKUP(A631,抽卷!$A:$A,抽卷!$K:$K,,1,2)),_xlfn.XLOOKUP(A631,抽卷!$A:$A,抽卷!$K:$K,,1,2),NA())</f>
        <v>145</v>
      </c>
      <c r="E631" s="416">
        <f>IF(ISNUMBER(_xlfn.XLOOKUP(A631,抽卷!$A:$A,抽卷!$M:$M,,1,2)),_xlfn.XLOOKUP(A631,抽卷!$A:$A,抽卷!$M:$M,,1,2),NA())</f>
        <v>50</v>
      </c>
      <c r="F631" s="70">
        <f t="shared" si="29"/>
        <v>355.45833333333337</v>
      </c>
    </row>
    <row r="632" spans="1:6" ht="15" customHeight="1" x14ac:dyDescent="0.25">
      <c r="A632" s="95">
        <f t="shared" si="30"/>
        <v>44568</v>
      </c>
      <c r="B632" s="76">
        <f>IF(ISNUMBER(_xlfn.XLOOKUP(A632,鑽量!$A:$A,鑽量!$K:$K,,1,2)),_xlfn.XLOOKUP(A632,鑽量!$A:$A,鑽量!$K:$K,,1,2),NA())</f>
        <v>19955</v>
      </c>
      <c r="C632" s="416">
        <f t="shared" ref="C632:C678" si="31">B632/120</f>
        <v>166.29166666666666</v>
      </c>
      <c r="D632" s="416">
        <f>IF(ISNUMBER(_xlfn.XLOOKUP(A632,抽卷!$A:$A,抽卷!$K:$K,,1,2)),_xlfn.XLOOKUP(A632,抽卷!$A:$A,抽卷!$K:$K,,1,2),NA())</f>
        <v>149</v>
      </c>
      <c r="E632" s="416">
        <f>IF(ISNUMBER(_xlfn.XLOOKUP(A632,抽卷!$A:$A,抽卷!$M:$M,,1,2)),_xlfn.XLOOKUP(A632,抽卷!$A:$A,抽卷!$M:$M,,1,2),NA())</f>
        <v>60</v>
      </c>
      <c r="F632" s="70">
        <f t="shared" ref="F632:F678" si="32">IF(ISNA(E632),IF(ISNA(D632),C632,C632+D632),E632+D632+C632)</f>
        <v>375.29166666666663</v>
      </c>
    </row>
    <row r="633" spans="1:6" ht="15" customHeight="1" x14ac:dyDescent="0.25">
      <c r="A633" s="95">
        <f t="shared" si="30"/>
        <v>44569</v>
      </c>
      <c r="B633" s="76">
        <f>IF(ISNUMBER(_xlfn.XLOOKUP(A633,鑽量!$A:$A,鑽量!$K:$K,,1,2)),_xlfn.XLOOKUP(A633,鑽量!$A:$A,鑽量!$K:$K,,1,2),NA())</f>
        <v>19955</v>
      </c>
      <c r="C633" s="416">
        <f t="shared" si="31"/>
        <v>166.29166666666666</v>
      </c>
      <c r="D633" s="416">
        <f>IF(ISNUMBER(_xlfn.XLOOKUP(A633,抽卷!$A:$A,抽卷!$K:$K,,1,2)),_xlfn.XLOOKUP(A633,抽卷!$A:$A,抽卷!$K:$K,,1,2),NA())</f>
        <v>149</v>
      </c>
      <c r="E633" s="416">
        <f>IF(ISNUMBER(_xlfn.XLOOKUP(A633,抽卷!$A:$A,抽卷!$M:$M,,1,2)),_xlfn.XLOOKUP(A633,抽卷!$A:$A,抽卷!$M:$M,,1,2),NA())</f>
        <v>60</v>
      </c>
      <c r="F633" s="70">
        <f t="shared" si="32"/>
        <v>375.29166666666663</v>
      </c>
    </row>
    <row r="634" spans="1:6" ht="15" customHeight="1" x14ac:dyDescent="0.25">
      <c r="A634" s="95">
        <f t="shared" si="30"/>
        <v>44570</v>
      </c>
      <c r="B634" s="76">
        <f>IF(ISNUMBER(_xlfn.XLOOKUP(A634,鑽量!$A:$A,鑽量!$K:$K,,1,2)),_xlfn.XLOOKUP(A634,鑽量!$A:$A,鑽量!$K:$K,,1,2),NA())</f>
        <v>19955</v>
      </c>
      <c r="C634" s="416">
        <f t="shared" si="31"/>
        <v>166.29166666666666</v>
      </c>
      <c r="D634" s="416">
        <f>IF(ISNUMBER(_xlfn.XLOOKUP(A634,抽卷!$A:$A,抽卷!$K:$K,,1,2)),_xlfn.XLOOKUP(A634,抽卷!$A:$A,抽卷!$K:$K,,1,2),NA())</f>
        <v>149</v>
      </c>
      <c r="E634" s="416">
        <f>IF(ISNUMBER(_xlfn.XLOOKUP(A634,抽卷!$A:$A,抽卷!$M:$M,,1,2)),_xlfn.XLOOKUP(A634,抽卷!$A:$A,抽卷!$M:$M,,1,2),NA())</f>
        <v>60</v>
      </c>
      <c r="F634" s="70">
        <f t="shared" si="32"/>
        <v>375.29166666666663</v>
      </c>
    </row>
    <row r="635" spans="1:6" ht="15" customHeight="1" x14ac:dyDescent="0.25">
      <c r="A635" s="95">
        <f t="shared" si="30"/>
        <v>44571</v>
      </c>
      <c r="B635" s="76">
        <f>IF(ISNUMBER(_xlfn.XLOOKUP(A635,鑽量!$A:$A,鑽量!$K:$K,,1,2)),_xlfn.XLOOKUP(A635,鑽量!$A:$A,鑽量!$K:$K,,1,2),NA())</f>
        <v>18680</v>
      </c>
      <c r="C635" s="416">
        <f t="shared" si="31"/>
        <v>155.66666666666666</v>
      </c>
      <c r="D635" s="416">
        <f>IF(ISNUMBER(_xlfn.XLOOKUP(A635,抽卷!$A:$A,抽卷!$K:$K,,1,2)),_xlfn.XLOOKUP(A635,抽卷!$A:$A,抽卷!$K:$K,,1,2),NA())</f>
        <v>144</v>
      </c>
      <c r="E635" s="416">
        <f>IF(ISNUMBER(_xlfn.XLOOKUP(A635,抽卷!$A:$A,抽卷!$M:$M,,1,2)),_xlfn.XLOOKUP(A635,抽卷!$A:$A,抽卷!$M:$M,,1,2),NA())</f>
        <v>60</v>
      </c>
      <c r="F635" s="70">
        <f t="shared" si="32"/>
        <v>359.66666666666663</v>
      </c>
    </row>
    <row r="636" spans="1:6" ht="15" customHeight="1" x14ac:dyDescent="0.25">
      <c r="A636" s="95">
        <f t="shared" si="30"/>
        <v>44572</v>
      </c>
      <c r="B636" s="76">
        <f>IF(ISNUMBER(_xlfn.XLOOKUP(A636,鑽量!$A:$A,鑽量!$K:$K,,1,2)),_xlfn.XLOOKUP(A636,鑽量!$A:$A,鑽量!$K:$K,,1,2),NA())</f>
        <v>18680</v>
      </c>
      <c r="C636" s="416">
        <f t="shared" si="31"/>
        <v>155.66666666666666</v>
      </c>
      <c r="D636" s="416">
        <f>IF(ISNUMBER(_xlfn.XLOOKUP(A636,抽卷!$A:$A,抽卷!$K:$K,,1,2)),_xlfn.XLOOKUP(A636,抽卷!$A:$A,抽卷!$K:$K,,1,2),NA())</f>
        <v>144</v>
      </c>
      <c r="E636" s="416">
        <f>IF(ISNUMBER(_xlfn.XLOOKUP(A636,抽卷!$A:$A,抽卷!$M:$M,,1,2)),_xlfn.XLOOKUP(A636,抽卷!$A:$A,抽卷!$M:$M,,1,2),NA())</f>
        <v>60</v>
      </c>
      <c r="F636" s="70">
        <f t="shared" si="32"/>
        <v>359.66666666666663</v>
      </c>
    </row>
    <row r="637" spans="1:6" ht="15" customHeight="1" x14ac:dyDescent="0.25">
      <c r="A637" s="95">
        <f t="shared" si="30"/>
        <v>44573</v>
      </c>
      <c r="B637" s="76">
        <f>IF(ISNUMBER(_xlfn.XLOOKUP(A637,鑽量!$A:$A,鑽量!$K:$K,,1,2)),_xlfn.XLOOKUP(A637,鑽量!$A:$A,鑽量!$K:$K,,1,2),NA())</f>
        <v>18680</v>
      </c>
      <c r="C637" s="416">
        <f t="shared" si="31"/>
        <v>155.66666666666666</v>
      </c>
      <c r="D637" s="416">
        <f>IF(ISNUMBER(_xlfn.XLOOKUP(A637,抽卷!$A:$A,抽卷!$K:$K,,1,2)),_xlfn.XLOOKUP(A637,抽卷!$A:$A,抽卷!$K:$K,,1,2),NA())</f>
        <v>144</v>
      </c>
      <c r="E637" s="416">
        <f>IF(ISNUMBER(_xlfn.XLOOKUP(A637,抽卷!$A:$A,抽卷!$M:$M,,1,2)),_xlfn.XLOOKUP(A637,抽卷!$A:$A,抽卷!$M:$M,,1,2),NA())</f>
        <v>60</v>
      </c>
      <c r="F637" s="70">
        <f t="shared" si="32"/>
        <v>359.66666666666663</v>
      </c>
    </row>
    <row r="638" spans="1:6" ht="15" customHeight="1" x14ac:dyDescent="0.25">
      <c r="A638" s="95">
        <f t="shared" si="30"/>
        <v>44574</v>
      </c>
      <c r="B638" s="76">
        <f>IF(ISNUMBER(_xlfn.XLOOKUP(A638,鑽量!$A:$A,鑽量!$K:$K,,1,2)),_xlfn.XLOOKUP(A638,鑽量!$A:$A,鑽量!$K:$K,,1,2),NA())</f>
        <v>18680</v>
      </c>
      <c r="C638" s="416">
        <f t="shared" si="31"/>
        <v>155.66666666666666</v>
      </c>
      <c r="D638" s="416">
        <f>IF(ISNUMBER(_xlfn.XLOOKUP(A638,抽卷!$A:$A,抽卷!$K:$K,,1,2)),_xlfn.XLOOKUP(A638,抽卷!$A:$A,抽卷!$K:$K,,1,2),NA())</f>
        <v>144</v>
      </c>
      <c r="E638" s="416">
        <f>IF(ISNUMBER(_xlfn.XLOOKUP(A638,抽卷!$A:$A,抽卷!$M:$M,,1,2)),_xlfn.XLOOKUP(A638,抽卷!$A:$A,抽卷!$M:$M,,1,2),NA())</f>
        <v>60</v>
      </c>
      <c r="F638" s="70">
        <f t="shared" si="32"/>
        <v>359.66666666666663</v>
      </c>
    </row>
    <row r="639" spans="1:6" ht="15" customHeight="1" x14ac:dyDescent="0.25">
      <c r="A639" s="95">
        <f t="shared" si="30"/>
        <v>44575</v>
      </c>
      <c r="B639" s="76">
        <f>IF(ISNUMBER(_xlfn.XLOOKUP(A639,鑽量!$A:$A,鑽量!$K:$K,,1,2)),_xlfn.XLOOKUP(A639,鑽量!$A:$A,鑽量!$K:$K,,1,2),NA())</f>
        <v>18585</v>
      </c>
      <c r="C639" s="416">
        <f t="shared" si="31"/>
        <v>154.875</v>
      </c>
      <c r="D639" s="416">
        <f>IF(ISNUMBER(_xlfn.XLOOKUP(A639,抽卷!$A:$A,抽卷!$K:$K,,1,2)),_xlfn.XLOOKUP(A639,抽卷!$A:$A,抽卷!$K:$K,,1,2),NA())</f>
        <v>132</v>
      </c>
      <c r="E639" s="416">
        <f>IF(ISNUMBER(_xlfn.XLOOKUP(A639,抽卷!$A:$A,抽卷!$M:$M,,1,2)),_xlfn.XLOOKUP(A639,抽卷!$A:$A,抽卷!$M:$M,,1,2),NA())</f>
        <v>60</v>
      </c>
      <c r="F639" s="70">
        <f t="shared" si="32"/>
        <v>346.875</v>
      </c>
    </row>
    <row r="640" spans="1:6" ht="15" customHeight="1" x14ac:dyDescent="0.25">
      <c r="A640" s="95">
        <f t="shared" si="30"/>
        <v>44576</v>
      </c>
      <c r="B640" s="76">
        <f>IF(ISNUMBER(_xlfn.XLOOKUP(A640,鑽量!$A:$A,鑽量!$K:$K,,1,2)),_xlfn.XLOOKUP(A640,鑽量!$A:$A,鑽量!$K:$K,,1,2),NA())</f>
        <v>18585</v>
      </c>
      <c r="C640" s="416">
        <f t="shared" si="31"/>
        <v>154.875</v>
      </c>
      <c r="D640" s="416">
        <f>IF(ISNUMBER(_xlfn.XLOOKUP(A640,抽卷!$A:$A,抽卷!$K:$K,,1,2)),_xlfn.XLOOKUP(A640,抽卷!$A:$A,抽卷!$K:$K,,1,2),NA())</f>
        <v>132</v>
      </c>
      <c r="E640" s="416">
        <f>IF(ISNUMBER(_xlfn.XLOOKUP(A640,抽卷!$A:$A,抽卷!$M:$M,,1,2)),_xlfn.XLOOKUP(A640,抽卷!$A:$A,抽卷!$M:$M,,1,2),NA())</f>
        <v>60</v>
      </c>
      <c r="F640" s="70">
        <f t="shared" si="32"/>
        <v>346.875</v>
      </c>
    </row>
    <row r="641" spans="1:6" ht="15" customHeight="1" x14ac:dyDescent="0.25">
      <c r="A641" s="95">
        <f t="shared" si="30"/>
        <v>44577</v>
      </c>
      <c r="B641" s="76">
        <f>IF(ISNUMBER(_xlfn.XLOOKUP(A641,鑽量!$A:$A,鑽量!$K:$K,,1,2)),_xlfn.XLOOKUP(A641,鑽量!$A:$A,鑽量!$K:$K,,1,2),NA())</f>
        <v>18585</v>
      </c>
      <c r="C641" s="416">
        <f t="shared" si="31"/>
        <v>154.875</v>
      </c>
      <c r="D641" s="416">
        <f>IF(ISNUMBER(_xlfn.XLOOKUP(A641,抽卷!$A:$A,抽卷!$K:$K,,1,2)),_xlfn.XLOOKUP(A641,抽卷!$A:$A,抽卷!$K:$K,,1,2),NA())</f>
        <v>132</v>
      </c>
      <c r="E641" s="416">
        <f>IF(ISNUMBER(_xlfn.XLOOKUP(A641,抽卷!$A:$A,抽卷!$M:$M,,1,2)),_xlfn.XLOOKUP(A641,抽卷!$A:$A,抽卷!$M:$M,,1,2),NA())</f>
        <v>60</v>
      </c>
      <c r="F641" s="70">
        <f t="shared" si="32"/>
        <v>346.875</v>
      </c>
    </row>
    <row r="642" spans="1:6" ht="15" customHeight="1" x14ac:dyDescent="0.25">
      <c r="A642" s="95">
        <f t="shared" si="30"/>
        <v>44578</v>
      </c>
      <c r="B642" s="76">
        <f>IF(ISNUMBER(_xlfn.XLOOKUP(A642,鑽量!$A:$A,鑽量!$K:$K,,1,2)),_xlfn.XLOOKUP(A642,鑽量!$A:$A,鑽量!$K:$K,,1,2),NA())</f>
        <v>18245</v>
      </c>
      <c r="C642" s="416">
        <f t="shared" si="31"/>
        <v>152.04166666666666</v>
      </c>
      <c r="D642" s="416">
        <f>IF(ISNUMBER(_xlfn.XLOOKUP(A642,抽卷!$A:$A,抽卷!$K:$K,,1,2)),_xlfn.XLOOKUP(A642,抽卷!$A:$A,抽卷!$K:$K,,1,2),NA())</f>
        <v>128</v>
      </c>
      <c r="E642" s="416">
        <f>IF(ISNUMBER(_xlfn.XLOOKUP(A642,抽卷!$A:$A,抽卷!$M:$M,,1,2)),_xlfn.XLOOKUP(A642,抽卷!$A:$A,抽卷!$M:$M,,1,2),NA())</f>
        <v>60</v>
      </c>
      <c r="F642" s="70">
        <f t="shared" si="32"/>
        <v>340.04166666666663</v>
      </c>
    </row>
    <row r="643" spans="1:6" ht="15" customHeight="1" x14ac:dyDescent="0.25">
      <c r="A643" s="95">
        <f t="shared" si="30"/>
        <v>44579</v>
      </c>
      <c r="B643" s="76">
        <f>IF(ISNUMBER(_xlfn.XLOOKUP(A643,鑽量!$A:$A,鑽量!$K:$K,,1,2)),_xlfn.XLOOKUP(A643,鑽量!$A:$A,鑽量!$K:$K,,1,2),NA())</f>
        <v>18245</v>
      </c>
      <c r="C643" s="416">
        <f t="shared" si="31"/>
        <v>152.04166666666666</v>
      </c>
      <c r="D643" s="416">
        <f>IF(ISNUMBER(_xlfn.XLOOKUP(A643,抽卷!$A:$A,抽卷!$K:$K,,1,2)),_xlfn.XLOOKUP(A643,抽卷!$A:$A,抽卷!$K:$K,,1,2),NA())</f>
        <v>128</v>
      </c>
      <c r="E643" s="416">
        <f>IF(ISNUMBER(_xlfn.XLOOKUP(A643,抽卷!$A:$A,抽卷!$M:$M,,1,2)),_xlfn.XLOOKUP(A643,抽卷!$A:$A,抽卷!$M:$M,,1,2),NA())</f>
        <v>60</v>
      </c>
      <c r="F643" s="70">
        <f t="shared" si="32"/>
        <v>340.04166666666663</v>
      </c>
    </row>
    <row r="644" spans="1:6" ht="15" customHeight="1" x14ac:dyDescent="0.25">
      <c r="A644" s="95">
        <f t="shared" si="30"/>
        <v>44580</v>
      </c>
      <c r="B644" s="76">
        <f>IF(ISNUMBER(_xlfn.XLOOKUP(A644,鑽量!$A:$A,鑽量!$K:$K,,1,2)),_xlfn.XLOOKUP(A644,鑽量!$A:$A,鑽量!$K:$K,,1,2),NA())</f>
        <v>18245</v>
      </c>
      <c r="C644" s="416">
        <f t="shared" si="31"/>
        <v>152.04166666666666</v>
      </c>
      <c r="D644" s="416">
        <f>IF(ISNUMBER(_xlfn.XLOOKUP(A644,抽卷!$A:$A,抽卷!$K:$K,,1,2)),_xlfn.XLOOKUP(A644,抽卷!$A:$A,抽卷!$K:$K,,1,2),NA())</f>
        <v>128</v>
      </c>
      <c r="E644" s="416">
        <f>IF(ISNUMBER(_xlfn.XLOOKUP(A644,抽卷!$A:$A,抽卷!$M:$M,,1,2)),_xlfn.XLOOKUP(A644,抽卷!$A:$A,抽卷!$M:$M,,1,2),NA())</f>
        <v>60</v>
      </c>
      <c r="F644" s="70">
        <f t="shared" si="32"/>
        <v>340.04166666666663</v>
      </c>
    </row>
    <row r="645" spans="1:6" ht="15" customHeight="1" x14ac:dyDescent="0.25">
      <c r="A645" s="95">
        <f t="shared" si="30"/>
        <v>44581</v>
      </c>
      <c r="B645" s="76">
        <f>IF(ISNUMBER(_xlfn.XLOOKUP(A645,鑽量!$A:$A,鑽量!$K:$K,,1,2)),_xlfn.XLOOKUP(A645,鑽量!$A:$A,鑽量!$K:$K,,1,2),NA())</f>
        <v>18245</v>
      </c>
      <c r="C645" s="416">
        <f t="shared" si="31"/>
        <v>152.04166666666666</v>
      </c>
      <c r="D645" s="416">
        <f>IF(ISNUMBER(_xlfn.XLOOKUP(A645,抽卷!$A:$A,抽卷!$K:$K,,1,2)),_xlfn.XLOOKUP(A645,抽卷!$A:$A,抽卷!$K:$K,,1,2),NA())</f>
        <v>128</v>
      </c>
      <c r="E645" s="416">
        <f>IF(ISNUMBER(_xlfn.XLOOKUP(A645,抽卷!$A:$A,抽卷!$M:$M,,1,2)),_xlfn.XLOOKUP(A645,抽卷!$A:$A,抽卷!$M:$M,,1,2),NA())</f>
        <v>60</v>
      </c>
      <c r="F645" s="70">
        <f t="shared" si="32"/>
        <v>340.04166666666663</v>
      </c>
    </row>
    <row r="646" spans="1:6" ht="15" customHeight="1" x14ac:dyDescent="0.25">
      <c r="A646" s="95">
        <f t="shared" ref="A646:A678" si="33">A645+1</f>
        <v>44582</v>
      </c>
      <c r="B646" s="76">
        <f>IF(ISNUMBER(_xlfn.XLOOKUP(A646,鑽量!$A:$A,鑽量!$K:$K,,1,2)),_xlfn.XLOOKUP(A646,鑽量!$A:$A,鑽量!$K:$K,,1,2),NA())</f>
        <v>14200</v>
      </c>
      <c r="C646" s="416">
        <f t="shared" si="31"/>
        <v>118.33333333333333</v>
      </c>
      <c r="D646" s="416">
        <f>IF(ISNUMBER(_xlfn.XLOOKUP(A646,抽卷!$A:$A,抽卷!$K:$K,,1,2)),_xlfn.XLOOKUP(A646,抽卷!$A:$A,抽卷!$K:$K,,1,2),NA())</f>
        <v>143</v>
      </c>
      <c r="E646" s="416">
        <f>IF(ISNUMBER(_xlfn.XLOOKUP(A646,抽卷!$A:$A,抽卷!$M:$M,,1,2)),_xlfn.XLOOKUP(A646,抽卷!$A:$A,抽卷!$M:$M,,1,2),NA())</f>
        <v>60</v>
      </c>
      <c r="F646" s="70">
        <f t="shared" si="32"/>
        <v>321.33333333333331</v>
      </c>
    </row>
    <row r="647" spans="1:6" ht="15" customHeight="1" x14ac:dyDescent="0.25">
      <c r="A647" s="95">
        <f t="shared" si="33"/>
        <v>44583</v>
      </c>
      <c r="B647" s="76">
        <f>IF(ISNUMBER(_xlfn.XLOOKUP(A647,鑽量!$A:$A,鑽量!$K:$K,,1,2)),_xlfn.XLOOKUP(A647,鑽量!$A:$A,鑽量!$K:$K,,1,2),NA())</f>
        <v>14200</v>
      </c>
      <c r="C647" s="416">
        <f t="shared" si="31"/>
        <v>118.33333333333333</v>
      </c>
      <c r="D647" s="416">
        <f>IF(ISNUMBER(_xlfn.XLOOKUP(A647,抽卷!$A:$A,抽卷!$K:$K,,1,2)),_xlfn.XLOOKUP(A647,抽卷!$A:$A,抽卷!$K:$K,,1,2),NA())</f>
        <v>143</v>
      </c>
      <c r="E647" s="416">
        <f>IF(ISNUMBER(_xlfn.XLOOKUP(A647,抽卷!$A:$A,抽卷!$M:$M,,1,2)),_xlfn.XLOOKUP(A647,抽卷!$A:$A,抽卷!$M:$M,,1,2),NA())</f>
        <v>60</v>
      </c>
      <c r="F647" s="70">
        <f t="shared" si="32"/>
        <v>321.33333333333331</v>
      </c>
    </row>
    <row r="648" spans="1:6" ht="15" customHeight="1" x14ac:dyDescent="0.25">
      <c r="A648" s="95">
        <f t="shared" si="33"/>
        <v>44584</v>
      </c>
      <c r="B648" s="76">
        <f>IF(ISNUMBER(_xlfn.XLOOKUP(A648,鑽量!$A:$A,鑽量!$K:$K,,1,2)),_xlfn.XLOOKUP(A648,鑽量!$A:$A,鑽量!$K:$K,,1,2),NA())</f>
        <v>14200</v>
      </c>
      <c r="C648" s="416">
        <f t="shared" si="31"/>
        <v>118.33333333333333</v>
      </c>
      <c r="D648" s="416">
        <f>IF(ISNUMBER(_xlfn.XLOOKUP(A648,抽卷!$A:$A,抽卷!$K:$K,,1,2)),_xlfn.XLOOKUP(A648,抽卷!$A:$A,抽卷!$K:$K,,1,2),NA())</f>
        <v>143</v>
      </c>
      <c r="E648" s="416">
        <f>IF(ISNUMBER(_xlfn.XLOOKUP(A648,抽卷!$A:$A,抽卷!$M:$M,,1,2)),_xlfn.XLOOKUP(A648,抽卷!$A:$A,抽卷!$M:$M,,1,2),NA())</f>
        <v>60</v>
      </c>
      <c r="F648" s="70">
        <f t="shared" si="32"/>
        <v>321.33333333333331</v>
      </c>
    </row>
    <row r="649" spans="1:6" ht="15" customHeight="1" x14ac:dyDescent="0.25">
      <c r="A649" s="95">
        <f t="shared" si="33"/>
        <v>44585</v>
      </c>
      <c r="B649" s="76">
        <f>IF(ISNUMBER(_xlfn.XLOOKUP(A649,鑽量!$A:$A,鑽量!$K:$K,,1,2)),_xlfn.XLOOKUP(A649,鑽量!$A:$A,鑽量!$K:$K,,1,2),NA())</f>
        <v>14200</v>
      </c>
      <c r="C649" s="416">
        <f t="shared" si="31"/>
        <v>118.33333333333333</v>
      </c>
      <c r="D649" s="416">
        <f>IF(ISNUMBER(_xlfn.XLOOKUP(A649,抽卷!$A:$A,抽卷!$K:$K,,1,2)),_xlfn.XLOOKUP(A649,抽卷!$A:$A,抽卷!$K:$K,,1,2),NA())</f>
        <v>143</v>
      </c>
      <c r="E649" s="416">
        <f>IF(ISNUMBER(_xlfn.XLOOKUP(A649,抽卷!$A:$A,抽卷!$M:$M,,1,2)),_xlfn.XLOOKUP(A649,抽卷!$A:$A,抽卷!$M:$M,,1,2),NA())</f>
        <v>60</v>
      </c>
      <c r="F649" s="70">
        <f t="shared" si="32"/>
        <v>321.33333333333331</v>
      </c>
    </row>
    <row r="650" spans="1:6" ht="15" customHeight="1" x14ac:dyDescent="0.25">
      <c r="A650" s="95">
        <f t="shared" si="33"/>
        <v>44586</v>
      </c>
      <c r="B650" s="76">
        <f>IF(ISNUMBER(_xlfn.XLOOKUP(A650,鑽量!$A:$A,鑽量!$K:$K,,1,2)),_xlfn.XLOOKUP(A650,鑽量!$A:$A,鑽量!$K:$K,,1,2),NA())</f>
        <v>14200</v>
      </c>
      <c r="C650" s="416">
        <f t="shared" si="31"/>
        <v>118.33333333333333</v>
      </c>
      <c r="D650" s="416">
        <f>IF(ISNUMBER(_xlfn.XLOOKUP(A650,抽卷!$A:$A,抽卷!$K:$K,,1,2)),_xlfn.XLOOKUP(A650,抽卷!$A:$A,抽卷!$K:$K,,1,2),NA())</f>
        <v>143</v>
      </c>
      <c r="E650" s="416">
        <f>IF(ISNUMBER(_xlfn.XLOOKUP(A650,抽卷!$A:$A,抽卷!$M:$M,,1,2)),_xlfn.XLOOKUP(A650,抽卷!$A:$A,抽卷!$M:$M,,1,2),NA())</f>
        <v>60</v>
      </c>
      <c r="F650" s="70">
        <f t="shared" si="32"/>
        <v>321.33333333333331</v>
      </c>
    </row>
    <row r="651" spans="1:6" ht="15" customHeight="1" x14ac:dyDescent="0.25">
      <c r="A651" s="95">
        <f t="shared" si="33"/>
        <v>44587</v>
      </c>
      <c r="B651" s="76">
        <f>IF(ISNUMBER(_xlfn.XLOOKUP(A651,鑽量!$A:$A,鑽量!$K:$K,,1,2)),_xlfn.XLOOKUP(A651,鑽量!$A:$A,鑽量!$K:$K,,1,2),NA())</f>
        <v>14200</v>
      </c>
      <c r="C651" s="416">
        <f t="shared" si="31"/>
        <v>118.33333333333333</v>
      </c>
      <c r="D651" s="416">
        <f>IF(ISNUMBER(_xlfn.XLOOKUP(A651,抽卷!$A:$A,抽卷!$K:$K,,1,2)),_xlfn.XLOOKUP(A651,抽卷!$A:$A,抽卷!$K:$K,,1,2),NA())</f>
        <v>143</v>
      </c>
      <c r="E651" s="416">
        <f>IF(ISNUMBER(_xlfn.XLOOKUP(A651,抽卷!$A:$A,抽卷!$M:$M,,1,2)),_xlfn.XLOOKUP(A651,抽卷!$A:$A,抽卷!$M:$M,,1,2),NA())</f>
        <v>60</v>
      </c>
      <c r="F651" s="70">
        <f t="shared" si="32"/>
        <v>321.33333333333331</v>
      </c>
    </row>
    <row r="652" spans="1:6" ht="15" customHeight="1" x14ac:dyDescent="0.25">
      <c r="A652" s="95">
        <f t="shared" si="33"/>
        <v>44588</v>
      </c>
      <c r="B652" s="76">
        <f>IF(ISNUMBER(_xlfn.XLOOKUP(A652,鑽量!$A:$A,鑽量!$K:$K,,1,2)),_xlfn.XLOOKUP(A652,鑽量!$A:$A,鑽量!$K:$K,,1,2),NA())</f>
        <v>14200</v>
      </c>
      <c r="C652" s="416">
        <f t="shared" si="31"/>
        <v>118.33333333333333</v>
      </c>
      <c r="D652" s="416">
        <f>IF(ISNUMBER(_xlfn.XLOOKUP(A652,抽卷!$A:$A,抽卷!$K:$K,,1,2)),_xlfn.XLOOKUP(A652,抽卷!$A:$A,抽卷!$K:$K,,1,2),NA())</f>
        <v>143</v>
      </c>
      <c r="E652" s="416">
        <f>IF(ISNUMBER(_xlfn.XLOOKUP(A652,抽卷!$A:$A,抽卷!$M:$M,,1,2)),_xlfn.XLOOKUP(A652,抽卷!$A:$A,抽卷!$M:$M,,1,2),NA())</f>
        <v>60</v>
      </c>
      <c r="F652" s="70">
        <f t="shared" si="32"/>
        <v>321.33333333333331</v>
      </c>
    </row>
    <row r="653" spans="1:6" ht="15" customHeight="1" x14ac:dyDescent="0.25">
      <c r="A653" s="95">
        <f t="shared" si="33"/>
        <v>44589</v>
      </c>
      <c r="B653" s="76">
        <f>IF(ISNUMBER(_xlfn.XLOOKUP(A653,鑽量!$A:$A,鑽量!$K:$K,,1,2)),_xlfn.XLOOKUP(A653,鑽量!$A:$A,鑽量!$K:$K,,1,2),NA())</f>
        <v>14200</v>
      </c>
      <c r="C653" s="416">
        <f t="shared" si="31"/>
        <v>118.33333333333333</v>
      </c>
      <c r="D653" s="416">
        <f>IF(ISNUMBER(_xlfn.XLOOKUP(A653,抽卷!$A:$A,抽卷!$K:$K,,1,2)),_xlfn.XLOOKUP(A653,抽卷!$A:$A,抽卷!$K:$K,,1,2),NA())</f>
        <v>143</v>
      </c>
      <c r="E653" s="416">
        <f>IF(ISNUMBER(_xlfn.XLOOKUP(A653,抽卷!$A:$A,抽卷!$M:$M,,1,2)),_xlfn.XLOOKUP(A653,抽卷!$A:$A,抽卷!$M:$M,,1,2),NA())</f>
        <v>60</v>
      </c>
      <c r="F653" s="70">
        <f t="shared" si="32"/>
        <v>321.33333333333331</v>
      </c>
    </row>
    <row r="654" spans="1:6" ht="15" customHeight="1" x14ac:dyDescent="0.25">
      <c r="A654" s="95">
        <f t="shared" si="33"/>
        <v>44590</v>
      </c>
      <c r="B654" s="76">
        <f>IF(ISNUMBER(_xlfn.XLOOKUP(A654,鑽量!$A:$A,鑽量!$K:$K,,1,2)),_xlfn.XLOOKUP(A654,鑽量!$A:$A,鑽量!$K:$K,,1,2),NA())</f>
        <v>14200</v>
      </c>
      <c r="C654" s="416">
        <f t="shared" si="31"/>
        <v>118.33333333333333</v>
      </c>
      <c r="D654" s="416">
        <f>IF(ISNUMBER(_xlfn.XLOOKUP(A654,抽卷!$A:$A,抽卷!$K:$K,,1,2)),_xlfn.XLOOKUP(A654,抽卷!$A:$A,抽卷!$K:$K,,1,2),NA())</f>
        <v>143</v>
      </c>
      <c r="E654" s="416">
        <f>IF(ISNUMBER(_xlfn.XLOOKUP(A654,抽卷!$A:$A,抽卷!$M:$M,,1,2)),_xlfn.XLOOKUP(A654,抽卷!$A:$A,抽卷!$M:$M,,1,2),NA())</f>
        <v>60</v>
      </c>
      <c r="F654" s="70">
        <f t="shared" si="32"/>
        <v>321.33333333333331</v>
      </c>
    </row>
    <row r="655" spans="1:6" ht="15" customHeight="1" x14ac:dyDescent="0.25">
      <c r="A655" s="95">
        <f t="shared" si="33"/>
        <v>44591</v>
      </c>
      <c r="B655" s="76">
        <f>IF(ISNUMBER(_xlfn.XLOOKUP(A655,鑽量!$A:$A,鑽量!$K:$K,,1,2)),_xlfn.XLOOKUP(A655,鑽量!$A:$A,鑽量!$K:$K,,1,2),NA())</f>
        <v>11760</v>
      </c>
      <c r="C655" s="416">
        <f t="shared" si="31"/>
        <v>98</v>
      </c>
      <c r="D655" s="416">
        <f>IF(ISNUMBER(_xlfn.XLOOKUP(A655,抽卷!$A:$A,抽卷!$K:$K,,1,2)),_xlfn.XLOOKUP(A655,抽卷!$A:$A,抽卷!$K:$K,,1,2),NA())</f>
        <v>90</v>
      </c>
      <c r="E655" s="416">
        <f>IF(ISNUMBER(_xlfn.XLOOKUP(A655,抽卷!$A:$A,抽卷!$M:$M,,1,2)),_xlfn.XLOOKUP(A655,抽卷!$A:$A,抽卷!$M:$M,,1,2),NA())</f>
        <v>50</v>
      </c>
      <c r="F655" s="70">
        <f t="shared" si="32"/>
        <v>238</v>
      </c>
    </row>
    <row r="656" spans="1:6" ht="15" customHeight="1" x14ac:dyDescent="0.25">
      <c r="A656" s="95">
        <f t="shared" si="33"/>
        <v>44592</v>
      </c>
      <c r="B656" s="76">
        <f>IF(ISNUMBER(_xlfn.XLOOKUP(A656,鑽量!$A:$A,鑽量!$K:$K,,1,2)),_xlfn.XLOOKUP(A656,鑽量!$A:$A,鑽量!$K:$K,,1,2),NA())</f>
        <v>11760</v>
      </c>
      <c r="C656" s="416">
        <f t="shared" si="31"/>
        <v>98</v>
      </c>
      <c r="D656" s="416">
        <f>IF(ISNUMBER(_xlfn.XLOOKUP(A656,抽卷!$A:$A,抽卷!$K:$K,,1,2)),_xlfn.XLOOKUP(A656,抽卷!$A:$A,抽卷!$K:$K,,1,2),NA())</f>
        <v>90</v>
      </c>
      <c r="E656" s="416">
        <f>IF(ISNUMBER(_xlfn.XLOOKUP(A656,抽卷!$A:$A,抽卷!$M:$M,,1,2)),_xlfn.XLOOKUP(A656,抽卷!$A:$A,抽卷!$M:$M,,1,2),NA())</f>
        <v>50</v>
      </c>
      <c r="F656" s="70">
        <f t="shared" si="32"/>
        <v>238</v>
      </c>
    </row>
    <row r="657" spans="1:6" ht="15" customHeight="1" x14ac:dyDescent="0.25">
      <c r="A657" s="95">
        <f t="shared" si="33"/>
        <v>44593</v>
      </c>
      <c r="B657" s="76">
        <f>IF(ISNUMBER(_xlfn.XLOOKUP(A657,鑽量!$A:$A,鑽量!$K:$K,,1,2)),_xlfn.XLOOKUP(A657,鑽量!$A:$A,鑽量!$K:$K,,1,2),NA())</f>
        <v>11990</v>
      </c>
      <c r="C657" s="416">
        <f t="shared" si="31"/>
        <v>99.916666666666671</v>
      </c>
      <c r="D657" s="416">
        <f>IF(ISNUMBER(_xlfn.XLOOKUP(A657,抽卷!$A:$A,抽卷!$K:$K,,1,2)),_xlfn.XLOOKUP(A657,抽卷!$A:$A,抽卷!$K:$K,,1,2),NA())</f>
        <v>81</v>
      </c>
      <c r="E657" s="416">
        <f>IF(ISNUMBER(_xlfn.XLOOKUP(A657,抽卷!$A:$A,抽卷!$M:$M,,1,2)),_xlfn.XLOOKUP(A657,抽卷!$A:$A,抽卷!$M:$M,,1,2),NA())</f>
        <v>20</v>
      </c>
      <c r="F657" s="70">
        <f t="shared" si="32"/>
        <v>200.91666666666669</v>
      </c>
    </row>
    <row r="658" spans="1:6" ht="15" customHeight="1" x14ac:dyDescent="0.25">
      <c r="A658" s="95">
        <f t="shared" si="33"/>
        <v>44594</v>
      </c>
      <c r="B658" s="76">
        <f>IF(ISNUMBER(_xlfn.XLOOKUP(A658,鑽量!$A:$A,鑽量!$K:$K,,1,2)),_xlfn.XLOOKUP(A658,鑽量!$A:$A,鑽量!$K:$K,,1,2),NA())</f>
        <v>11990</v>
      </c>
      <c r="C658" s="416">
        <f t="shared" si="31"/>
        <v>99.916666666666671</v>
      </c>
      <c r="D658" s="416">
        <f>IF(ISNUMBER(_xlfn.XLOOKUP(A658,抽卷!$A:$A,抽卷!$K:$K,,1,2)),_xlfn.XLOOKUP(A658,抽卷!$A:$A,抽卷!$K:$K,,1,2),NA())</f>
        <v>81</v>
      </c>
      <c r="E658" s="416">
        <f>IF(ISNUMBER(_xlfn.XLOOKUP(A658,抽卷!$A:$A,抽卷!$M:$M,,1,2)),_xlfn.XLOOKUP(A658,抽卷!$A:$A,抽卷!$M:$M,,1,2),NA())</f>
        <v>20</v>
      </c>
      <c r="F658" s="70">
        <f t="shared" si="32"/>
        <v>200.91666666666669</v>
      </c>
    </row>
    <row r="659" spans="1:6" ht="15" customHeight="1" x14ac:dyDescent="0.25">
      <c r="A659" s="95">
        <f t="shared" si="33"/>
        <v>44595</v>
      </c>
      <c r="B659" s="76">
        <f>IF(ISNUMBER(_xlfn.XLOOKUP(A659,鑽量!$A:$A,鑽量!$K:$K,,1,2)),_xlfn.XLOOKUP(A659,鑽量!$A:$A,鑽量!$K:$K,,1,2),NA())</f>
        <v>11990</v>
      </c>
      <c r="C659" s="416">
        <f t="shared" si="31"/>
        <v>99.916666666666671</v>
      </c>
      <c r="D659" s="416">
        <f>IF(ISNUMBER(_xlfn.XLOOKUP(A659,抽卷!$A:$A,抽卷!$K:$K,,1,2)),_xlfn.XLOOKUP(A659,抽卷!$A:$A,抽卷!$K:$K,,1,2),NA())</f>
        <v>81</v>
      </c>
      <c r="E659" s="416">
        <f>IF(ISNUMBER(_xlfn.XLOOKUP(A659,抽卷!$A:$A,抽卷!$M:$M,,1,2)),_xlfn.XLOOKUP(A659,抽卷!$A:$A,抽卷!$M:$M,,1,2),NA())</f>
        <v>20</v>
      </c>
      <c r="F659" s="70">
        <f t="shared" si="32"/>
        <v>200.91666666666669</v>
      </c>
    </row>
    <row r="660" spans="1:6" ht="15" customHeight="1" x14ac:dyDescent="0.25">
      <c r="A660" s="95">
        <f t="shared" si="33"/>
        <v>44596</v>
      </c>
      <c r="B660" s="76">
        <f>IF(ISNUMBER(_xlfn.XLOOKUP(A660,鑽量!$A:$A,鑽量!$K:$K,,1,2)),_xlfn.XLOOKUP(A660,鑽量!$A:$A,鑽量!$K:$K,,1,2),NA())</f>
        <v>11990</v>
      </c>
      <c r="C660" s="416">
        <f t="shared" si="31"/>
        <v>99.916666666666671</v>
      </c>
      <c r="D660" s="416">
        <f>IF(ISNUMBER(_xlfn.XLOOKUP(A660,抽卷!$A:$A,抽卷!$K:$K,,1,2)),_xlfn.XLOOKUP(A660,抽卷!$A:$A,抽卷!$K:$K,,1,2),NA())</f>
        <v>81</v>
      </c>
      <c r="E660" s="416">
        <f>IF(ISNUMBER(_xlfn.XLOOKUP(A660,抽卷!$A:$A,抽卷!$M:$M,,1,2)),_xlfn.XLOOKUP(A660,抽卷!$A:$A,抽卷!$M:$M,,1,2),NA())</f>
        <v>20</v>
      </c>
      <c r="F660" s="70">
        <f t="shared" si="32"/>
        <v>200.91666666666669</v>
      </c>
    </row>
    <row r="661" spans="1:6" ht="15" customHeight="1" x14ac:dyDescent="0.25">
      <c r="A661" s="95">
        <f t="shared" si="33"/>
        <v>44597</v>
      </c>
      <c r="B661" s="76">
        <f>IF(ISNUMBER(_xlfn.XLOOKUP(A661,鑽量!$A:$A,鑽量!$K:$K,,1,2)),_xlfn.XLOOKUP(A661,鑽量!$A:$A,鑽量!$K:$K,,1,2),NA())</f>
        <v>20060</v>
      </c>
      <c r="C661" s="416">
        <f t="shared" si="31"/>
        <v>167.16666666666666</v>
      </c>
      <c r="D661" s="416">
        <f>IF(ISNUMBER(_xlfn.XLOOKUP(A661,抽卷!$A:$A,抽卷!$K:$K,,1,2)),_xlfn.XLOOKUP(A661,抽卷!$A:$A,抽卷!$K:$K,,1,2),NA())</f>
        <v>78</v>
      </c>
      <c r="E661" s="416">
        <f>IF(ISNUMBER(_xlfn.XLOOKUP(A661,抽卷!$A:$A,抽卷!$M:$M,,1,2)),_xlfn.XLOOKUP(A661,抽卷!$A:$A,抽卷!$M:$M,,1,2),NA())</f>
        <v>0</v>
      </c>
      <c r="F661" s="70">
        <f t="shared" si="32"/>
        <v>245.16666666666666</v>
      </c>
    </row>
    <row r="662" spans="1:6" ht="15" customHeight="1" x14ac:dyDescent="0.25">
      <c r="A662" s="95">
        <f t="shared" si="33"/>
        <v>44598</v>
      </c>
      <c r="B662" s="76">
        <f>IF(ISNUMBER(_xlfn.XLOOKUP(A662,鑽量!$A:$A,鑽量!$K:$K,,1,2)),_xlfn.XLOOKUP(A662,鑽量!$A:$A,鑽量!$K:$K,,1,2),NA())</f>
        <v>20060</v>
      </c>
      <c r="C662" s="416">
        <f t="shared" si="31"/>
        <v>167.16666666666666</v>
      </c>
      <c r="D662" s="416">
        <f>IF(ISNUMBER(_xlfn.XLOOKUP(A662,抽卷!$A:$A,抽卷!$K:$K,,1,2)),_xlfn.XLOOKUP(A662,抽卷!$A:$A,抽卷!$K:$K,,1,2),NA())</f>
        <v>78</v>
      </c>
      <c r="E662" s="416">
        <f>IF(ISNUMBER(_xlfn.XLOOKUP(A662,抽卷!$A:$A,抽卷!$M:$M,,1,2)),_xlfn.XLOOKUP(A662,抽卷!$A:$A,抽卷!$M:$M,,1,2),NA())</f>
        <v>0</v>
      </c>
      <c r="F662" s="70">
        <f t="shared" si="32"/>
        <v>245.16666666666666</v>
      </c>
    </row>
    <row r="663" spans="1:6" ht="15" customHeight="1" x14ac:dyDescent="0.25">
      <c r="A663" s="95">
        <f t="shared" si="33"/>
        <v>44599</v>
      </c>
      <c r="B663" s="76">
        <f>IF(ISNUMBER(_xlfn.XLOOKUP(A663,鑽量!$A:$A,鑽量!$K:$K,,1,2)),_xlfn.XLOOKUP(A663,鑽量!$A:$A,鑽量!$K:$K,,1,2),NA())</f>
        <v>20060</v>
      </c>
      <c r="C663" s="416">
        <f t="shared" si="31"/>
        <v>167.16666666666666</v>
      </c>
      <c r="D663" s="416">
        <f>IF(ISNUMBER(_xlfn.XLOOKUP(A663,抽卷!$A:$A,抽卷!$K:$K,,1,2)),_xlfn.XLOOKUP(A663,抽卷!$A:$A,抽卷!$K:$K,,1,2),NA())</f>
        <v>78</v>
      </c>
      <c r="E663" s="416">
        <f>IF(ISNUMBER(_xlfn.XLOOKUP(A663,抽卷!$A:$A,抽卷!$M:$M,,1,2)),_xlfn.XLOOKUP(A663,抽卷!$A:$A,抽卷!$M:$M,,1,2),NA())</f>
        <v>0</v>
      </c>
      <c r="F663" s="70">
        <f t="shared" si="32"/>
        <v>245.16666666666666</v>
      </c>
    </row>
    <row r="664" spans="1:6" ht="15" customHeight="1" x14ac:dyDescent="0.25">
      <c r="A664" s="95">
        <f t="shared" si="33"/>
        <v>44600</v>
      </c>
      <c r="B664" s="76">
        <f>IF(ISNUMBER(_xlfn.XLOOKUP(A664,鑽量!$A:$A,鑽量!$K:$K,,1,2)),_xlfn.XLOOKUP(A664,鑽量!$A:$A,鑽量!$K:$K,,1,2),NA())</f>
        <v>20060</v>
      </c>
      <c r="C664" s="416">
        <f t="shared" si="31"/>
        <v>167.16666666666666</v>
      </c>
      <c r="D664" s="416">
        <f>IF(ISNUMBER(_xlfn.XLOOKUP(A664,抽卷!$A:$A,抽卷!$K:$K,,1,2)),_xlfn.XLOOKUP(A664,抽卷!$A:$A,抽卷!$K:$K,,1,2),NA())</f>
        <v>78</v>
      </c>
      <c r="E664" s="416">
        <f>IF(ISNUMBER(_xlfn.XLOOKUP(A664,抽卷!$A:$A,抽卷!$M:$M,,1,2)),_xlfn.XLOOKUP(A664,抽卷!$A:$A,抽卷!$M:$M,,1,2),NA())</f>
        <v>0</v>
      </c>
      <c r="F664" s="70">
        <f t="shared" si="32"/>
        <v>245.16666666666666</v>
      </c>
    </row>
    <row r="665" spans="1:6" ht="15" customHeight="1" x14ac:dyDescent="0.25">
      <c r="A665" s="95">
        <f t="shared" si="33"/>
        <v>44601</v>
      </c>
      <c r="B665" s="76">
        <f>IF(ISNUMBER(_xlfn.XLOOKUP(A665,鑽量!$A:$A,鑽量!$K:$K,,1,2)),_xlfn.XLOOKUP(A665,鑽量!$A:$A,鑽量!$K:$K,,1,2),NA())</f>
        <v>20060</v>
      </c>
      <c r="C665" s="416">
        <f t="shared" si="31"/>
        <v>167.16666666666666</v>
      </c>
      <c r="D665" s="416">
        <f>IF(ISNUMBER(_xlfn.XLOOKUP(A665,抽卷!$A:$A,抽卷!$K:$K,,1,2)),_xlfn.XLOOKUP(A665,抽卷!$A:$A,抽卷!$K:$K,,1,2),NA())</f>
        <v>78</v>
      </c>
      <c r="E665" s="416">
        <f>IF(ISNUMBER(_xlfn.XLOOKUP(A665,抽卷!$A:$A,抽卷!$M:$M,,1,2)),_xlfn.XLOOKUP(A665,抽卷!$A:$A,抽卷!$M:$M,,1,2),NA())</f>
        <v>0</v>
      </c>
      <c r="F665" s="70">
        <f t="shared" si="32"/>
        <v>245.16666666666666</v>
      </c>
    </row>
    <row r="666" spans="1:6" ht="15" customHeight="1" x14ac:dyDescent="0.25">
      <c r="A666" s="95">
        <f t="shared" si="33"/>
        <v>44602</v>
      </c>
      <c r="B666" s="76">
        <f>IF(ISNUMBER(_xlfn.XLOOKUP(A666,鑽量!$A:$A,鑽量!$K:$K,,1,2)),_xlfn.XLOOKUP(A666,鑽量!$A:$A,鑽量!$K:$K,,1,2),NA())</f>
        <v>20060</v>
      </c>
      <c r="C666" s="416">
        <f t="shared" si="31"/>
        <v>167.16666666666666</v>
      </c>
      <c r="D666" s="416">
        <f>IF(ISNUMBER(_xlfn.XLOOKUP(A666,抽卷!$A:$A,抽卷!$K:$K,,1,2)),_xlfn.XLOOKUP(A666,抽卷!$A:$A,抽卷!$K:$K,,1,2),NA())</f>
        <v>78</v>
      </c>
      <c r="E666" s="416">
        <f>IF(ISNUMBER(_xlfn.XLOOKUP(A666,抽卷!$A:$A,抽卷!$M:$M,,1,2)),_xlfn.XLOOKUP(A666,抽卷!$A:$A,抽卷!$M:$M,,1,2),NA())</f>
        <v>0</v>
      </c>
      <c r="F666" s="70">
        <f t="shared" si="32"/>
        <v>245.16666666666666</v>
      </c>
    </row>
    <row r="667" spans="1:6" ht="15" customHeight="1" x14ac:dyDescent="0.25">
      <c r="A667" s="95">
        <f t="shared" si="33"/>
        <v>44603</v>
      </c>
      <c r="B667" s="76">
        <f>IF(ISNUMBER(_xlfn.XLOOKUP(A667,鑽量!$A:$A,鑽量!$K:$K,,1,2)),_xlfn.XLOOKUP(A667,鑽量!$A:$A,鑽量!$K:$K,,1,2),NA())</f>
        <v>20060</v>
      </c>
      <c r="C667" s="416">
        <f t="shared" si="31"/>
        <v>167.16666666666666</v>
      </c>
      <c r="D667" s="416">
        <f>IF(ISNUMBER(_xlfn.XLOOKUP(A667,抽卷!$A:$A,抽卷!$K:$K,,1,2)),_xlfn.XLOOKUP(A667,抽卷!$A:$A,抽卷!$K:$K,,1,2),NA())</f>
        <v>78</v>
      </c>
      <c r="E667" s="416">
        <f>IF(ISNUMBER(_xlfn.XLOOKUP(A667,抽卷!$A:$A,抽卷!$M:$M,,1,2)),_xlfn.XLOOKUP(A667,抽卷!$A:$A,抽卷!$M:$M,,1,2),NA())</f>
        <v>0</v>
      </c>
      <c r="F667" s="70">
        <f t="shared" si="32"/>
        <v>245.16666666666666</v>
      </c>
    </row>
    <row r="668" spans="1:6" ht="15" customHeight="1" x14ac:dyDescent="0.25">
      <c r="A668" s="95">
        <f t="shared" si="33"/>
        <v>44604</v>
      </c>
      <c r="B668" s="76">
        <f>IF(ISNUMBER(_xlfn.XLOOKUP(A668,鑽量!$A:$A,鑽量!$K:$K,,1,2)),_xlfn.XLOOKUP(A668,鑽量!$A:$A,鑽量!$K:$K,,1,2),NA())</f>
        <v>20060</v>
      </c>
      <c r="C668" s="416">
        <f t="shared" si="31"/>
        <v>167.16666666666666</v>
      </c>
      <c r="D668" s="416">
        <f>IF(ISNUMBER(_xlfn.XLOOKUP(A668,抽卷!$A:$A,抽卷!$K:$K,,1,2)),_xlfn.XLOOKUP(A668,抽卷!$A:$A,抽卷!$K:$K,,1,2),NA())</f>
        <v>78</v>
      </c>
      <c r="E668" s="416">
        <f>IF(ISNUMBER(_xlfn.XLOOKUP(A668,抽卷!$A:$A,抽卷!$M:$M,,1,2)),_xlfn.XLOOKUP(A668,抽卷!$A:$A,抽卷!$M:$M,,1,2),NA())</f>
        <v>0</v>
      </c>
      <c r="F668" s="70">
        <f t="shared" si="32"/>
        <v>245.16666666666666</v>
      </c>
    </row>
    <row r="669" spans="1:6" ht="15" customHeight="1" x14ac:dyDescent="0.25">
      <c r="A669" s="95">
        <f t="shared" si="33"/>
        <v>44605</v>
      </c>
      <c r="B669" s="76">
        <f>IF(ISNUMBER(_xlfn.XLOOKUP(A669,鑽量!$A:$A,鑽量!$K:$K,,1,2)),_xlfn.XLOOKUP(A669,鑽量!$A:$A,鑽量!$K:$K,,1,2),NA())</f>
        <v>20060</v>
      </c>
      <c r="C669" s="416">
        <f t="shared" si="31"/>
        <v>167.16666666666666</v>
      </c>
      <c r="D669" s="416">
        <f>IF(ISNUMBER(_xlfn.XLOOKUP(A669,抽卷!$A:$A,抽卷!$K:$K,,1,2)),_xlfn.XLOOKUP(A669,抽卷!$A:$A,抽卷!$K:$K,,1,2),NA())</f>
        <v>78</v>
      </c>
      <c r="E669" s="416">
        <f>IF(ISNUMBER(_xlfn.XLOOKUP(A669,抽卷!$A:$A,抽卷!$M:$M,,1,2)),_xlfn.XLOOKUP(A669,抽卷!$A:$A,抽卷!$M:$M,,1,2),NA())</f>
        <v>0</v>
      </c>
      <c r="F669" s="70">
        <f t="shared" si="32"/>
        <v>245.16666666666666</v>
      </c>
    </row>
    <row r="670" spans="1:6" ht="15" customHeight="1" x14ac:dyDescent="0.25">
      <c r="A670" s="95">
        <f t="shared" si="33"/>
        <v>44606</v>
      </c>
      <c r="B670" s="76">
        <f>IF(ISNUMBER(_xlfn.XLOOKUP(A670,鑽量!$A:$A,鑽量!$K:$K,,1,2)),_xlfn.XLOOKUP(A670,鑽量!$A:$A,鑽量!$K:$K,,1,2),NA())</f>
        <v>20060</v>
      </c>
      <c r="C670" s="416">
        <f t="shared" si="31"/>
        <v>167.16666666666666</v>
      </c>
      <c r="D670" s="416">
        <f>IF(ISNUMBER(_xlfn.XLOOKUP(A670,抽卷!$A:$A,抽卷!$K:$K,,1,2)),_xlfn.XLOOKUP(A670,抽卷!$A:$A,抽卷!$K:$K,,1,2),NA())</f>
        <v>78</v>
      </c>
      <c r="E670" s="416">
        <f>IF(ISNUMBER(_xlfn.XLOOKUP(A670,抽卷!$A:$A,抽卷!$M:$M,,1,2)),_xlfn.XLOOKUP(A670,抽卷!$A:$A,抽卷!$M:$M,,1,2),NA())</f>
        <v>0</v>
      </c>
      <c r="F670" s="70">
        <f t="shared" si="32"/>
        <v>245.16666666666666</v>
      </c>
    </row>
    <row r="671" spans="1:6" ht="15" customHeight="1" x14ac:dyDescent="0.25">
      <c r="A671" s="95">
        <f t="shared" si="33"/>
        <v>44607</v>
      </c>
      <c r="B671" s="76">
        <f>IF(ISNUMBER(_xlfn.XLOOKUP(A671,鑽量!$A:$A,鑽量!$K:$K,,1,2)),_xlfn.XLOOKUP(A671,鑽量!$A:$A,鑽量!$K:$K,,1,2),NA())</f>
        <v>18680</v>
      </c>
      <c r="C671" s="416">
        <f t="shared" si="31"/>
        <v>155.66666666666666</v>
      </c>
      <c r="D671" s="416">
        <f>IF(ISNUMBER(_xlfn.XLOOKUP(A671,抽卷!$A:$A,抽卷!$K:$K,,1,2)),_xlfn.XLOOKUP(A671,抽卷!$A:$A,抽卷!$K:$K,,1,2),NA())</f>
        <v>95</v>
      </c>
      <c r="E671" s="416">
        <f>IF(ISNUMBER(_xlfn.XLOOKUP(A671,抽卷!$A:$A,抽卷!$M:$M,,1,2)),_xlfn.XLOOKUP(A671,抽卷!$A:$A,抽卷!$M:$M,,1,2),NA())</f>
        <v>0</v>
      </c>
      <c r="F671" s="70">
        <f t="shared" si="32"/>
        <v>250.66666666666666</v>
      </c>
    </row>
    <row r="672" spans="1:6" ht="15" customHeight="1" x14ac:dyDescent="0.25">
      <c r="A672" s="95">
        <f t="shared" si="33"/>
        <v>44608</v>
      </c>
      <c r="B672" s="76">
        <f>IF(ISNUMBER(_xlfn.XLOOKUP(A672,鑽量!$A:$A,鑽量!$K:$K,,1,2)),_xlfn.XLOOKUP(A672,鑽量!$A:$A,鑽量!$K:$K,,1,2),NA())</f>
        <v>18680</v>
      </c>
      <c r="C672" s="416">
        <f t="shared" si="31"/>
        <v>155.66666666666666</v>
      </c>
      <c r="D672" s="416">
        <f>IF(ISNUMBER(_xlfn.XLOOKUP(A672,抽卷!$A:$A,抽卷!$K:$K,,1,2)),_xlfn.XLOOKUP(A672,抽卷!$A:$A,抽卷!$K:$K,,1,2),NA())</f>
        <v>95</v>
      </c>
      <c r="E672" s="416">
        <f>IF(ISNUMBER(_xlfn.XLOOKUP(A672,抽卷!$A:$A,抽卷!$M:$M,,1,2)),_xlfn.XLOOKUP(A672,抽卷!$A:$A,抽卷!$M:$M,,1,2),NA())</f>
        <v>0</v>
      </c>
      <c r="F672" s="70">
        <f t="shared" si="32"/>
        <v>250.66666666666666</v>
      </c>
    </row>
    <row r="673" spans="1:6" ht="15" customHeight="1" x14ac:dyDescent="0.25">
      <c r="A673" s="95">
        <f t="shared" si="33"/>
        <v>44609</v>
      </c>
      <c r="B673" s="76">
        <f>IF(ISNUMBER(_xlfn.XLOOKUP(A673,鑽量!$A:$A,鑽量!$K:$K,,1,2)),_xlfn.XLOOKUP(A673,鑽量!$A:$A,鑽量!$K:$K,,1,2),NA())</f>
        <v>18680</v>
      </c>
      <c r="C673" s="416">
        <f t="shared" si="31"/>
        <v>155.66666666666666</v>
      </c>
      <c r="D673" s="416">
        <f>IF(ISNUMBER(_xlfn.XLOOKUP(A673,抽卷!$A:$A,抽卷!$K:$K,,1,2)),_xlfn.XLOOKUP(A673,抽卷!$A:$A,抽卷!$K:$K,,1,2),NA())</f>
        <v>95</v>
      </c>
      <c r="E673" s="416">
        <f>IF(ISNUMBER(_xlfn.XLOOKUP(A673,抽卷!$A:$A,抽卷!$M:$M,,1,2)),_xlfn.XLOOKUP(A673,抽卷!$A:$A,抽卷!$M:$M,,1,2),NA())</f>
        <v>0</v>
      </c>
      <c r="F673" s="70">
        <f t="shared" si="32"/>
        <v>250.66666666666666</v>
      </c>
    </row>
    <row r="674" spans="1:6" ht="15" customHeight="1" x14ac:dyDescent="0.25">
      <c r="A674" s="95">
        <f t="shared" si="33"/>
        <v>44610</v>
      </c>
      <c r="B674" s="76">
        <f>IF(ISNUMBER(_xlfn.XLOOKUP(A674,鑽量!$A:$A,鑽量!$K:$K,,1,2)),_xlfn.XLOOKUP(A674,鑽量!$A:$A,鑽量!$K:$K,,1,2),NA())</f>
        <v>18680</v>
      </c>
      <c r="C674" s="416">
        <f t="shared" si="31"/>
        <v>155.66666666666666</v>
      </c>
      <c r="D674" s="416">
        <f>IF(ISNUMBER(_xlfn.XLOOKUP(A674,抽卷!$A:$A,抽卷!$K:$K,,1,2)),_xlfn.XLOOKUP(A674,抽卷!$A:$A,抽卷!$K:$K,,1,2),NA())</f>
        <v>95</v>
      </c>
      <c r="E674" s="416">
        <f>IF(ISNUMBER(_xlfn.XLOOKUP(A674,抽卷!$A:$A,抽卷!$M:$M,,1,2)),_xlfn.XLOOKUP(A674,抽卷!$A:$A,抽卷!$M:$M,,1,2),NA())</f>
        <v>0</v>
      </c>
      <c r="F674" s="70">
        <f t="shared" si="32"/>
        <v>250.66666666666666</v>
      </c>
    </row>
    <row r="675" spans="1:6" ht="15" customHeight="1" x14ac:dyDescent="0.25">
      <c r="A675" s="95">
        <f t="shared" si="33"/>
        <v>44611</v>
      </c>
      <c r="B675" s="76">
        <f>IF(ISNUMBER(_xlfn.XLOOKUP(A675,鑽量!$A:$A,鑽量!$K:$K,,1,2)),_xlfn.XLOOKUP(A675,鑽量!$A:$A,鑽量!$K:$K,,1,2),NA())</f>
        <v>18680</v>
      </c>
      <c r="C675" s="416">
        <f t="shared" si="31"/>
        <v>155.66666666666666</v>
      </c>
      <c r="D675" s="416">
        <f>IF(ISNUMBER(_xlfn.XLOOKUP(A675,抽卷!$A:$A,抽卷!$K:$K,,1,2)),_xlfn.XLOOKUP(A675,抽卷!$A:$A,抽卷!$K:$K,,1,2),NA())</f>
        <v>95</v>
      </c>
      <c r="E675" s="416">
        <f>IF(ISNUMBER(_xlfn.XLOOKUP(A675,抽卷!$A:$A,抽卷!$M:$M,,1,2)),_xlfn.XLOOKUP(A675,抽卷!$A:$A,抽卷!$M:$M,,1,2),NA())</f>
        <v>0</v>
      </c>
      <c r="F675" s="70">
        <f t="shared" si="32"/>
        <v>250.66666666666666</v>
      </c>
    </row>
    <row r="676" spans="1:6" ht="15" customHeight="1" x14ac:dyDescent="0.25">
      <c r="A676" s="95">
        <f t="shared" si="33"/>
        <v>44612</v>
      </c>
      <c r="B676" s="76">
        <f>IF(ISNUMBER(_xlfn.XLOOKUP(A676,鑽量!$A:$A,鑽量!$K:$K,,1,2)),_xlfn.XLOOKUP(A676,鑽量!$A:$A,鑽量!$K:$K,,1,2),NA())</f>
        <v>18680</v>
      </c>
      <c r="C676" s="416">
        <f t="shared" si="31"/>
        <v>155.66666666666666</v>
      </c>
      <c r="D676" s="416">
        <f>IF(ISNUMBER(_xlfn.XLOOKUP(A676,抽卷!$A:$A,抽卷!$K:$K,,1,2)),_xlfn.XLOOKUP(A676,抽卷!$A:$A,抽卷!$K:$K,,1,2),NA())</f>
        <v>95</v>
      </c>
      <c r="E676" s="416">
        <f>IF(ISNUMBER(_xlfn.XLOOKUP(A676,抽卷!$A:$A,抽卷!$M:$M,,1,2)),_xlfn.XLOOKUP(A676,抽卷!$A:$A,抽卷!$M:$M,,1,2),NA())</f>
        <v>0</v>
      </c>
      <c r="F676" s="70">
        <f t="shared" si="32"/>
        <v>250.66666666666666</v>
      </c>
    </row>
    <row r="677" spans="1:6" ht="15" customHeight="1" x14ac:dyDescent="0.25">
      <c r="A677" s="95">
        <f t="shared" si="33"/>
        <v>44613</v>
      </c>
      <c r="B677" s="76">
        <f>IF(ISNUMBER(_xlfn.XLOOKUP(A677,鑽量!$A:$A,鑽量!$K:$K,,1,2)),_xlfn.XLOOKUP(A677,鑽量!$A:$A,鑽量!$K:$K,,1,2),NA())</f>
        <v>18680</v>
      </c>
      <c r="C677" s="416">
        <f t="shared" si="31"/>
        <v>155.66666666666666</v>
      </c>
      <c r="D677" s="416">
        <f>IF(ISNUMBER(_xlfn.XLOOKUP(A677,抽卷!$A:$A,抽卷!$K:$K,,1,2)),_xlfn.XLOOKUP(A677,抽卷!$A:$A,抽卷!$K:$K,,1,2),NA())</f>
        <v>95</v>
      </c>
      <c r="E677" s="416">
        <f>IF(ISNUMBER(_xlfn.XLOOKUP(A677,抽卷!$A:$A,抽卷!$M:$M,,1,2)),_xlfn.XLOOKUP(A677,抽卷!$A:$A,抽卷!$M:$M,,1,2),NA())</f>
        <v>0</v>
      </c>
      <c r="F677" s="70">
        <f t="shared" si="32"/>
        <v>250.66666666666666</v>
      </c>
    </row>
    <row r="678" spans="1:6" ht="15" customHeight="1" x14ac:dyDescent="0.25">
      <c r="A678" s="95">
        <f t="shared" si="33"/>
        <v>44614</v>
      </c>
      <c r="B678" s="76">
        <f>IF(ISNUMBER(_xlfn.XLOOKUP(A678,鑽量!$A:$A,鑽量!$K:$K,,1,2)),_xlfn.XLOOKUP(A678,鑽量!$A:$A,鑽量!$K:$K,,1,2),NA())</f>
        <v>18680</v>
      </c>
      <c r="C678" s="416">
        <f t="shared" si="31"/>
        <v>155.66666666666666</v>
      </c>
      <c r="D678" s="416">
        <f>IF(ISNUMBER(_xlfn.XLOOKUP(A678,抽卷!$A:$A,抽卷!$K:$K,,1,2)),_xlfn.XLOOKUP(A678,抽卷!$A:$A,抽卷!$K:$K,,1,2),NA())</f>
        <v>95</v>
      </c>
      <c r="E678" s="416">
        <f>IF(ISNUMBER(_xlfn.XLOOKUP(A678,抽卷!$A:$A,抽卷!$M:$M,,1,2)),_xlfn.XLOOKUP(A678,抽卷!$A:$A,抽卷!$M:$M,,1,2),NA())</f>
        <v>0</v>
      </c>
      <c r="F678" s="70">
        <f t="shared" si="32"/>
        <v>250.66666666666666</v>
      </c>
    </row>
  </sheetData>
  <conditionalFormatting sqref="F1:F1048576">
    <cfRule type="colorScale" priority="1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E1048576">
    <cfRule type="cellIs" dxfId="6" priority="8" operator="equal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44" t="s">
        <v>141</v>
      </c>
      <c r="H1" s="644"/>
      <c r="K1" s="419" t="s">
        <v>171</v>
      </c>
      <c r="L1" s="419" t="s">
        <v>172</v>
      </c>
    </row>
    <row r="2" spans="1:18" x14ac:dyDescent="0.25">
      <c r="A2" s="646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46">
        <v>1980</v>
      </c>
      <c r="H2" s="646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46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46"/>
      <c r="H3" s="646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44" t="str">
        <f>"Predicted left to " &amp; A2</f>
        <v>Predicted left to 1980</v>
      </c>
      <c r="H4" s="644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45" t="str">
        <f>IF(G2&gt;=A2,"",_xlfn.FORECAST.LINEAR(A2-G2, E:E, F:F))</f>
        <v/>
      </c>
      <c r="H5" s="644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45"/>
      <c r="H6" s="644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47" t="e">
        <f ca="1">NOW() + G5/1440</f>
        <v>#VALUE!</v>
      </c>
      <c r="H7" s="647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44" t="str">
        <f>"Predicted total to " &amp; A2</f>
        <v>Predicted total to 1980</v>
      </c>
      <c r="H8" s="644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45">
        <f>_xlfn.FORECAST.LINEAR(A2, E:E, F:F)</f>
        <v>671.7693669332881</v>
      </c>
      <c r="H9" s="644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45"/>
      <c r="H10" s="644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48" t="str">
        <f>B1&amp; "日"</f>
        <v>1日</v>
      </c>
      <c r="G1" s="649"/>
      <c r="H1" s="649"/>
      <c r="I1" s="648" t="str">
        <f>C1 &amp; "日"</f>
        <v>7日</v>
      </c>
      <c r="J1" s="649"/>
      <c r="K1" s="649"/>
      <c r="L1" s="648" t="s">
        <v>58</v>
      </c>
      <c r="M1" s="649"/>
      <c r="N1" s="649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-682 D 11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-691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-722 D 02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-741 D 11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-695 D 03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033 D 23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-312 D 21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-499 D 17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-557 D 19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-627 D 04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-670 D 00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-759 D 11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-683 D 12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-703 D 20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-719 D 08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-744 D 04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-751 D 02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-732 D 14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-638 D 17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-598 D 13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-658 D 17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-655 D 05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-694 D 06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-663 D 06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-678 D 01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-680 D 07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-663 D 01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-668 D 00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-711 D 11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-665 D 02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-669 D 22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-708 D 22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-673 D 08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-670 D 13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-707 D 07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-673 D 17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-671 D 12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-633 D 13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-674 D 13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-673 D 13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-629 D 18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-678 D 07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-664 D 04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-654 D 23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-678 D 19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-673 D 01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-682 D 00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-679 D 18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-675 D 23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-706 D 23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-680 D 17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-677 D 07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-725 D 16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-682 D 06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-680 D 21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-691 D 17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-679 D 02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-670 D 18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-694 D 03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-674 D 15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-673 D 06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-639 D 00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-673 D 07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-677 D 15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-636 D 07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-671 D 11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-668 D 03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-624 D 23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-667 D 11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-668 D 20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-580 D 04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-667 D 00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-669 D 16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-593 D 04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-665 D 10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-670 D 11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-615 D 16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-665 D 21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-672 D 08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-639 D 09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-666 D 03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-674 D 06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-610 D 08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-672 D 05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-667 D 18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-674 D 08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-672 D 00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-670 D 21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-674 D 09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-672 D 05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-672 D 04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-614 D 16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-670 D 09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-667 D 13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-647 D 07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-671 D 21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-671 D 17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-715 D 15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-675 D 14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-679 D 03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-713 D 19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-676 D 20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-676 D 01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-729 D 22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-679 D 13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-679 D 01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-749 D 18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-681 D 12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-684 D 06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-760 D 07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-686 D 12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-687 D 12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-765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-690 D 09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-688 D 03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-794 D 21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-696 D 03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-690 D 00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-795 D 09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-700 D 00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-691 D 18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-796 D 08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-703 D 22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-692 D 17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-799 D 13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-706 D 23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-694 D 15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-801 D 02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-710 D 23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-695 D 16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-795 D 11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-713 D 04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-695 D 20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-795 D 22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-716 D 23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-696 D 23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-796 D 19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-718 D 21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-697 D 17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-776 D 15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-719 D 19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-695 D 05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-766 D 17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-720 D 21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-696 D 03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-763 D 19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-722 D 01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-697 D 04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-740 D 15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-725 D 11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-699 D 04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-752 D 00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-726 D 23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-701 D 01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-760 D 09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-729 D 08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-703 D 03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-772 D 17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-732 D 16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-704 D 19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-798 D 12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-739 D 09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-706 D 16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-813 D 06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-745 D 17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-711 D 04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-811 D 16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-750 D 04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-712 D 15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-806 D 01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-752 D 06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-713 D 12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-805 D 11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-754 D 04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-714 D 11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-805 D 00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-758 D 10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-714 D 20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-805 D 02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-759 D 21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-715 D 09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-791 D 08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-761 D 00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-715 D 18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-763 D 15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-769 D 15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-717 D 06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-762 D 16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-772 D 17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-717 D 23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-760 D 20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-773 D 08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-718 D 01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-762 D 14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-776 D 14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-718 D 17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-753 D 06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-783 D 14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-718 D 18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-753 D 08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-783 D 07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-720 D 22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-760 D 01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-782 D 18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-721 D 22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-764 D 21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-784 D 16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-723 D 05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-785 D 19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-784 D 16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-725 D 11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-786 D 15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-784 D 10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-725 D 20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-743 D 20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-783 D 06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-722 D 19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-734 D 08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-781 D 23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-723 D 10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-726 D 07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-781 D 08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-725 D 19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-780 D 13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-780 D 12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-729 D 14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-791 D 19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-780 D 10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-730 D 02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-807 D 18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-779 D 17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-732 D 03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-804 D 23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-779 D 19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-732 D 16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-803 D 22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-780 D 03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-733 D 02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-804 D 16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-780 D 11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-734 D 00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-805 D 05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-780 D 20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-734 D 07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-742 D 21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-777 D 23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-730 D 07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-631 D 06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-774 D 14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-730 D 15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-647 D 12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-773 D 08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-731 D 16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-670 D 19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-772 D 21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-732 D 03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-714 D 05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-771 D 18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-732 D 17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-782 D 08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-770 D 23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-733 D 13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-784 D 23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-770 D 20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-734 D 00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-786 D 17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-770 D 16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-734 D 07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-793 D 10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-770 D 22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-735 D 11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-796 D 01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-771 D 17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-736 D 03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-777 D 12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-770 D 23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-734 D 07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-745 D 07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-770 D 17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-734 D 12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-729 D 05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-770 D 02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-734 D 09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-729 D 11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-769 D 16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-734 D 15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-547 D 13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-765 D 11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-729 D 22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-653 D 12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-763 D 14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-733 D 00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-816 D 12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-761 D 18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-738 D 15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-458 D 13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-740 D 10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-731 D 15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-504 D 06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-731 D 09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-730 D 00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-532 D 20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-727 D 10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-730 D 06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-708 D 18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-724 D 22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-730 D 08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-761 D 19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-720 D 10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-732 D 04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-737 D 09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-715 D 02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-730 D 20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-726 D 02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-718 D 06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-732 D 06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-740 D 04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-721 D 18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-732 D 14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-755 D 18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-724 D 11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-732 D 00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-752 D 13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-729 D 21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-733 D 10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-755 D 22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-726 D 20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-732 D 20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-760 D 08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-730 D 02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-733 D 21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-737 D 12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-732 D 04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-733 D 08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-753 D 17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-734 D 17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-734 D 04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-760 D 16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-752 D 17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-736 D 01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-758 D 07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-753 D 06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-736 D 00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-752 D 23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-753 D 01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-735 D 18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-743 D 15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-751 D 14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-736 D 07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-738 D 06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-747 D 19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-735 D 19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-738 D 22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-747 D 02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-736 D 04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-743 D 20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-746 D 03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-736 D 16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-749 D 13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-746 D 06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-736 D 18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-701 D 14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-743 D 21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-735 D 09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-700 D 01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-740 D 05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-735 D 15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-700 D 11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-738 D 18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-735 D 09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-711 D 14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-738 D 03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-735 D 14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-740 D 12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-737 D 23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-735 D 20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-744 D 05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-738 D 02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-736 D 02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-749 D 19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-738 D 08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-736 D 06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-731 D 21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-737 D 06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-735 D 04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-772 D 16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-735 D 13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-736 D 15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-768 D 08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-736 D 14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-736 D 10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-752 D 12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-736 D 07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-735 D 23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-750 D 00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-736 D 16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-736 D 05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-736 D 11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-738 D 03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-737 D 00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-764 D 17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-739 D 20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-737 D 13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-771 D 09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-741 D 01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-737 D 14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-762 D 19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-741 D 11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-737 D 03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-768 D 18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-741 D 23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-737 D 07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-756 D 21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-742 D 13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-737 D 12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-747 D 18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-743 D 08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-737 D 20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-752 D 13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-745 D 08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-738 D 07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-770 D 02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-747 D 02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-738 D 08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-741 D 02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-747 D 18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-738 D 00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-742 D 05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-748 D 05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-738 D 05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-748 D 12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-750 D 01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-738 D 23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-752 D 02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-751 D 21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-738 D 19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-764 D 05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-752 D 10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-739 D 01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-758 D 03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-754 D 19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-739 D 02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-750 D 01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-755 D 04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-739 D 08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-735 D 05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-757 D 04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-739 D 04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-739 D 13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-756 D 18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-739 D 10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-742 D 01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-757 D 22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-739 D 13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-742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-757 D 12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-739 D 11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-745 D 17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-757 D 13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-739 D 19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-747 D 17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-757 D 12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-739 D 19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-748 D 11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-757 D 08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-739 D 17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-735 D 00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-756 D 14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-739 D 11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-748 D 05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-756 D 12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-740 D 06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-767 D 19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-757 D 01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-740 D 19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-765 D 12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-757 D 00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-740 D 14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-766 D 06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-757 D 04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-740 D 18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-779 D 19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-757 D 03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-741 D 05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-782 D 00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-757 D 04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-741 D 10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-782 D 00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-758 D 03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-742 D 00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-788 D 18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-759 D 04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-742 D 05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-748 D 09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-758 D 17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-740 D 22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-699 D 17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-758 D 07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-741 D 03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-695 D 12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-758 D 06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-741 D 10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-706 D 17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-758 D 05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-741 D 11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-716 D 13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-758 D 07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-741 D 13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-705 D 23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-757 D 15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-740 D 16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-727 D 14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-757 D 00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-740 D 21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-685 D 09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-755 D 14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-740 D 12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-696 D 22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-754 D 20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-740 D 17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-708 D 12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-753 D 23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-740 D 21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-718 D 12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-753 D 16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-741 D 01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-725 D 09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-753 D 10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-741 D 03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-737 D 02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-753 D 11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-741 D 10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-768 D 16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-753 D 15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-741 D 13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-750 D 01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-752 D 09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-740 D 14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-743 D 23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-751 D 21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-740 D 19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-755 D 00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-752 D 02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-742 D 01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-765 D 19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-752 D 02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-741 D 19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-768 D 16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-752 D 10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-742 D 01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-786 D 13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-752 D 22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-742 D 08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-786 D 04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-753 D 12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-742 D 14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-789 D 06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-754 D 04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-742 D 20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-794 D 01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-755 D 02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-743 D 08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-798 D 00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-756 D 02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-743 D 17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-808 D 20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-757 D 15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-744 D 09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-810 D 12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-758 D 15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-744 D 15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-811 D 09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-759 D 22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-744 D 19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-820 D 15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-762 D 03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-745 D 20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-819 D 14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-764 D 03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-745 D 22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-835 D 08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-768 D 05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-748 D 20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-839 D 23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-771 D 10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-749 D 11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-841 D 23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-775 D 04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-749 D 20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-842 D 11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-777 D 20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-750 D 07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-843 D 00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-781 D 03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-751 D 03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-843 D 01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-783 D 08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-751 D 06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-825 D 19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-789 D 06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-752 D 11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  <pageSetUpPr autoPageBreaks="0"/>
  </sheetPr>
  <dimension ref="A1:P79"/>
  <sheetViews>
    <sheetView tabSelected="1" zoomScaleNormal="100" workbookViewId="0">
      <pane xSplit="3" ySplit="3" topLeftCell="D68" activePane="bottomRight" state="frozen"/>
      <selection pane="topRight" activeCell="D1" sqref="D1"/>
      <selection pane="bottomLeft" activeCell="A4" sqref="A4"/>
      <selection pane="bottomRight" activeCell="O80" sqref="O80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16192</v>
      </c>
      <c r="I2" s="35">
        <f ca="1">H2/(NOW()-$D$4)</f>
        <v>20.65706957902221</v>
      </c>
      <c r="J2" s="35"/>
      <c r="K2" s="35">
        <f>AVERAGE(K4:K1048576)</f>
        <v>25.565758866979433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3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885</v>
      </c>
      <c r="C7" s="487">
        <v>885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3435</v>
      </c>
      <c r="C8" s="487">
        <v>2235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66</v>
      </c>
      <c r="C9" s="486">
        <f>C5+C6*10+_xlfn.FLOOR.MATH(C7/120)+_xlfn.FLOOR.MATH(C8/120)*2</f>
        <v>43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42" t="s">
        <v>372</v>
      </c>
      <c r="B11" s="542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42" t="s">
        <v>37</v>
      </c>
      <c r="B12" s="542"/>
      <c r="C12" s="93">
        <v>2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42" t="s">
        <v>373</v>
      </c>
      <c r="B13" s="542"/>
      <c r="C13" s="426">
        <f>(B5 - C5) + (B6 - C6) * 10 + (B7 - C7) / 120 + (B8 - C8) / 120 + C11</f>
        <v>14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42" t="s">
        <v>146</v>
      </c>
      <c r="B14" s="542"/>
      <c r="C14" s="107">
        <f>C12/C13%</f>
        <v>14.285714285714285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79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79" si="10">H39/(E39-D39)</f>
        <v>36.666666666666664</v>
      </c>
      <c r="J39" s="70">
        <f t="shared" ref="J39:J79" si="11">H39/G39</f>
        <v>110</v>
      </c>
      <c r="K39" s="70">
        <f t="shared" ref="K39:K79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79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  <row r="60" spans="4:16" ht="17.100000000000001" customHeight="1" x14ac:dyDescent="0.25">
      <c r="D60" s="95">
        <v>44421</v>
      </c>
      <c r="E60" s="95">
        <v>44425</v>
      </c>
      <c r="F60" s="93" t="s">
        <v>486</v>
      </c>
      <c r="G60" s="108">
        <v>2</v>
      </c>
      <c r="H60" s="110">
        <v>103</v>
      </c>
      <c r="I60" s="70">
        <f t="shared" si="10"/>
        <v>25.75</v>
      </c>
      <c r="J60" s="70">
        <f t="shared" si="11"/>
        <v>51.5</v>
      </c>
      <c r="K60" s="70">
        <f t="shared" si="12"/>
        <v>12.875</v>
      </c>
      <c r="L60" s="19">
        <v>0</v>
      </c>
      <c r="M60" s="435">
        <f t="shared" si="7"/>
        <v>0</v>
      </c>
      <c r="N60" s="19">
        <v>6</v>
      </c>
      <c r="O60" s="405">
        <v>0.06</v>
      </c>
      <c r="P60" s="409">
        <f t="shared" si="13"/>
        <v>-1.7475728155339765E-3</v>
      </c>
    </row>
    <row r="61" spans="4:16" ht="17.100000000000001" customHeight="1" x14ac:dyDescent="0.25">
      <c r="D61" s="95">
        <v>44438</v>
      </c>
      <c r="E61" s="95">
        <v>44442</v>
      </c>
      <c r="F61" s="93" t="s">
        <v>487</v>
      </c>
      <c r="G61" s="108">
        <v>1</v>
      </c>
      <c r="H61" s="110">
        <v>86</v>
      </c>
      <c r="I61" s="70">
        <f t="shared" si="10"/>
        <v>21.5</v>
      </c>
      <c r="J61" s="70">
        <f t="shared" si="11"/>
        <v>86</v>
      </c>
      <c r="K61" s="70">
        <f t="shared" si="12"/>
        <v>21.5</v>
      </c>
      <c r="L61" s="19">
        <v>0</v>
      </c>
      <c r="M61" s="435">
        <f t="shared" si="7"/>
        <v>0</v>
      </c>
      <c r="N61" s="19">
        <v>4</v>
      </c>
      <c r="O61" s="405">
        <v>0.06</v>
      </c>
      <c r="P61" s="409">
        <f t="shared" si="13"/>
        <v>-1.3488372093023254E-2</v>
      </c>
    </row>
    <row r="62" spans="4:16" ht="17.100000000000001" customHeight="1" x14ac:dyDescent="0.25">
      <c r="D62" s="95">
        <v>44442</v>
      </c>
      <c r="E62" s="95">
        <v>44452</v>
      </c>
      <c r="F62" s="93" t="s">
        <v>488</v>
      </c>
      <c r="G62" s="108">
        <v>2</v>
      </c>
      <c r="H62" s="110">
        <v>162</v>
      </c>
      <c r="I62" s="70">
        <f t="shared" si="10"/>
        <v>16.2</v>
      </c>
      <c r="J62" s="70">
        <f t="shared" si="11"/>
        <v>81</v>
      </c>
      <c r="K62" s="70">
        <f t="shared" si="12"/>
        <v>8.1</v>
      </c>
      <c r="L62" s="19">
        <v>0</v>
      </c>
      <c r="M62" s="435">
        <f t="shared" si="7"/>
        <v>0</v>
      </c>
      <c r="N62" s="19">
        <v>7</v>
      </c>
      <c r="O62" s="405">
        <v>0.04</v>
      </c>
      <c r="P62" s="409">
        <f t="shared" si="13"/>
        <v>3.2098765432098733E-3</v>
      </c>
    </row>
    <row r="63" spans="4:16" ht="17.100000000000001" customHeight="1" x14ac:dyDescent="0.25">
      <c r="D63" s="95">
        <v>44452</v>
      </c>
      <c r="E63" s="95">
        <v>44456</v>
      </c>
      <c r="F63" s="93" t="s">
        <v>489</v>
      </c>
      <c r="G63" s="108">
        <v>2</v>
      </c>
      <c r="H63" s="110">
        <v>95</v>
      </c>
      <c r="I63" s="70">
        <f t="shared" si="10"/>
        <v>23.75</v>
      </c>
      <c r="J63" s="70">
        <f t="shared" si="11"/>
        <v>47.5</v>
      </c>
      <c r="K63" s="70">
        <f t="shared" si="12"/>
        <v>11.875</v>
      </c>
      <c r="L63" s="19">
        <v>0</v>
      </c>
      <c r="M63" s="435">
        <f t="shared" si="7"/>
        <v>0</v>
      </c>
      <c r="N63" s="19">
        <v>6</v>
      </c>
      <c r="O63" s="405">
        <v>0.06</v>
      </c>
      <c r="P63" s="409">
        <f t="shared" si="13"/>
        <v>3.1578947368421095E-3</v>
      </c>
    </row>
    <row r="64" spans="4:16" ht="17.100000000000001" customHeight="1" x14ac:dyDescent="0.25">
      <c r="D64" s="95">
        <v>44469</v>
      </c>
      <c r="E64" s="95">
        <v>44474</v>
      </c>
      <c r="F64" s="93" t="s">
        <v>490</v>
      </c>
      <c r="G64" s="108">
        <v>2</v>
      </c>
      <c r="H64" s="110">
        <v>248</v>
      </c>
      <c r="I64" s="70">
        <f t="shared" si="10"/>
        <v>49.6</v>
      </c>
      <c r="J64" s="70">
        <f t="shared" si="11"/>
        <v>124</v>
      </c>
      <c r="K64" s="70">
        <f t="shared" si="12"/>
        <v>24.8</v>
      </c>
      <c r="L64" s="19">
        <v>0</v>
      </c>
      <c r="M64" s="435">
        <f t="shared" si="7"/>
        <v>0</v>
      </c>
      <c r="N64" s="19">
        <v>15</v>
      </c>
      <c r="O64" s="405">
        <v>0.06</v>
      </c>
      <c r="P64" s="409">
        <f t="shared" si="13"/>
        <v>4.8387096774193949E-4</v>
      </c>
    </row>
    <row r="65" spans="4:16" ht="17.100000000000001" customHeight="1" x14ac:dyDescent="0.25">
      <c r="D65" s="95">
        <v>44474</v>
      </c>
      <c r="E65" s="95">
        <v>44484</v>
      </c>
      <c r="F65" s="93" t="s">
        <v>491</v>
      </c>
      <c r="G65" s="108">
        <v>1</v>
      </c>
      <c r="H65" s="110">
        <v>158</v>
      </c>
      <c r="I65" s="70">
        <f t="shared" si="10"/>
        <v>15.8</v>
      </c>
      <c r="J65" s="70">
        <f t="shared" si="11"/>
        <v>158</v>
      </c>
      <c r="K65" s="70">
        <f t="shared" si="12"/>
        <v>15.8</v>
      </c>
      <c r="L65" s="19">
        <v>0</v>
      </c>
      <c r="M65" s="435">
        <f t="shared" si="7"/>
        <v>0</v>
      </c>
      <c r="N65" s="19">
        <v>7</v>
      </c>
      <c r="O65" s="405">
        <v>0.04</v>
      </c>
      <c r="P65" s="409">
        <f t="shared" si="13"/>
        <v>4.3037974683544297E-3</v>
      </c>
    </row>
    <row r="66" spans="4:16" ht="17.100000000000001" customHeight="1" x14ac:dyDescent="0.25">
      <c r="D66" s="95">
        <v>44484</v>
      </c>
      <c r="E66" s="95">
        <v>44487</v>
      </c>
      <c r="F66" s="93" t="s">
        <v>501</v>
      </c>
      <c r="G66" s="108">
        <v>2</v>
      </c>
      <c r="H66" s="110">
        <v>271</v>
      </c>
      <c r="I66" s="70">
        <f t="shared" si="10"/>
        <v>90.333333333333329</v>
      </c>
      <c r="J66" s="70">
        <f t="shared" si="11"/>
        <v>135.5</v>
      </c>
      <c r="K66" s="70">
        <f t="shared" si="12"/>
        <v>45.166666666666664</v>
      </c>
      <c r="L66" s="19">
        <v>1</v>
      </c>
      <c r="M66" s="435">
        <f t="shared" si="7"/>
        <v>0.5</v>
      </c>
      <c r="N66" s="19">
        <v>14</v>
      </c>
      <c r="O66" s="405">
        <v>0.06</v>
      </c>
      <c r="P66" s="409">
        <f t="shared" si="13"/>
        <v>-8.339483394833945E-3</v>
      </c>
    </row>
    <row r="67" spans="4:16" ht="17.100000000000001" customHeight="1" x14ac:dyDescent="0.25">
      <c r="D67" s="95">
        <v>44498</v>
      </c>
      <c r="E67" s="95">
        <v>44504</v>
      </c>
      <c r="F67" s="508" t="s">
        <v>502</v>
      </c>
      <c r="G67" s="108">
        <v>3</v>
      </c>
      <c r="H67" s="110">
        <v>305</v>
      </c>
      <c r="I67" s="70">
        <f t="shared" si="10"/>
        <v>50.833333333333336</v>
      </c>
      <c r="J67" s="70">
        <f t="shared" si="11"/>
        <v>101.66666666666667</v>
      </c>
      <c r="K67" s="70">
        <f t="shared" si="12"/>
        <v>16.944444444444446</v>
      </c>
      <c r="L67" s="19">
        <v>1</v>
      </c>
      <c r="M67" s="435">
        <f t="shared" si="7"/>
        <v>0.33333333333333331</v>
      </c>
      <c r="N67" s="19">
        <v>21</v>
      </c>
      <c r="O67" s="405">
        <v>0.06</v>
      </c>
      <c r="P67" s="409">
        <f t="shared" si="13"/>
        <v>8.8524590163934491E-3</v>
      </c>
    </row>
    <row r="68" spans="4:16" ht="17.100000000000001" customHeight="1" x14ac:dyDescent="0.25">
      <c r="D68" s="95">
        <v>44512</v>
      </c>
      <c r="E68" s="95">
        <v>44515</v>
      </c>
      <c r="F68" s="93" t="s">
        <v>503</v>
      </c>
      <c r="G68" s="108">
        <v>2</v>
      </c>
      <c r="H68" s="110">
        <v>30</v>
      </c>
      <c r="I68" s="70">
        <f t="shared" si="10"/>
        <v>10</v>
      </c>
      <c r="J68" s="70">
        <f t="shared" si="11"/>
        <v>15</v>
      </c>
      <c r="K68" s="70">
        <f t="shared" si="12"/>
        <v>5</v>
      </c>
      <c r="L68" s="19">
        <v>0</v>
      </c>
      <c r="M68" s="435">
        <f t="shared" si="7"/>
        <v>0</v>
      </c>
      <c r="N68" s="19">
        <v>7</v>
      </c>
      <c r="O68" s="405">
        <v>0.06</v>
      </c>
      <c r="P68" s="409">
        <f t="shared" si="13"/>
        <v>0.17333333333333334</v>
      </c>
    </row>
    <row r="69" spans="4:16" ht="17.100000000000001" customHeight="1" x14ac:dyDescent="0.25">
      <c r="D69" s="95">
        <v>44529</v>
      </c>
      <c r="E69" s="95">
        <v>44532</v>
      </c>
      <c r="F69" s="93" t="s">
        <v>504</v>
      </c>
      <c r="G69" s="108">
        <v>2</v>
      </c>
      <c r="H69" s="110">
        <v>190</v>
      </c>
      <c r="I69" s="70">
        <f t="shared" si="10"/>
        <v>63.333333333333336</v>
      </c>
      <c r="J69" s="70">
        <f t="shared" si="11"/>
        <v>95</v>
      </c>
      <c r="K69" s="70">
        <f t="shared" si="12"/>
        <v>31.666666666666668</v>
      </c>
      <c r="L69" s="19">
        <v>1</v>
      </c>
      <c r="M69" s="435">
        <f t="shared" si="7"/>
        <v>0.5</v>
      </c>
      <c r="N69" s="19">
        <v>15</v>
      </c>
      <c r="O69" s="405">
        <v>0.06</v>
      </c>
      <c r="P69" s="409">
        <f t="shared" si="13"/>
        <v>1.8947368421052629E-2</v>
      </c>
    </row>
    <row r="70" spans="4:16" ht="17.100000000000001" customHeight="1" x14ac:dyDescent="0.25">
      <c r="D70" s="95">
        <v>44533</v>
      </c>
      <c r="E70" s="95">
        <v>44544</v>
      </c>
      <c r="F70" s="93" t="s">
        <v>505</v>
      </c>
      <c r="G70" s="108">
        <v>1</v>
      </c>
      <c r="H70" s="110">
        <v>108</v>
      </c>
      <c r="I70" s="70">
        <f t="shared" si="10"/>
        <v>9.8181818181818183</v>
      </c>
      <c r="J70" s="70">
        <f t="shared" si="11"/>
        <v>108</v>
      </c>
      <c r="K70" s="70">
        <f t="shared" si="12"/>
        <v>9.8181818181818183</v>
      </c>
      <c r="L70" s="19">
        <v>0</v>
      </c>
      <c r="M70" s="435">
        <f t="shared" si="7"/>
        <v>0</v>
      </c>
      <c r="N70" s="19">
        <v>7</v>
      </c>
      <c r="O70" s="405">
        <v>0.04</v>
      </c>
      <c r="P70" s="409">
        <f t="shared" si="13"/>
        <v>2.481481481481481E-2</v>
      </c>
    </row>
    <row r="71" spans="4:16" ht="17.100000000000001" customHeight="1" x14ac:dyDescent="0.25">
      <c r="D71" s="95">
        <v>44545</v>
      </c>
      <c r="E71" s="95">
        <v>44549</v>
      </c>
      <c r="F71" s="93" t="s">
        <v>278</v>
      </c>
      <c r="G71" s="108">
        <v>1</v>
      </c>
      <c r="H71" s="110">
        <v>242</v>
      </c>
      <c r="I71" s="70">
        <f t="shared" si="10"/>
        <v>60.5</v>
      </c>
      <c r="J71" s="70">
        <f t="shared" si="11"/>
        <v>242</v>
      </c>
      <c r="K71" s="70">
        <f t="shared" si="12"/>
        <v>60.5</v>
      </c>
      <c r="L71" s="19">
        <v>1</v>
      </c>
      <c r="M71" s="435">
        <f t="shared" si="7"/>
        <v>1</v>
      </c>
      <c r="N71" s="19">
        <v>8</v>
      </c>
      <c r="O71" s="405">
        <v>0.06</v>
      </c>
      <c r="P71" s="409">
        <f t="shared" si="13"/>
        <v>-2.6942148760330575E-2</v>
      </c>
    </row>
    <row r="72" spans="4:16" ht="17.100000000000001" customHeight="1" x14ac:dyDescent="0.25">
      <c r="D72" s="95">
        <v>44561</v>
      </c>
      <c r="E72" s="95">
        <v>44565</v>
      </c>
      <c r="F72" s="93" t="s">
        <v>506</v>
      </c>
      <c r="G72" s="108">
        <v>4</v>
      </c>
      <c r="H72" s="110">
        <v>266</v>
      </c>
      <c r="I72" s="70">
        <f t="shared" si="10"/>
        <v>66.5</v>
      </c>
      <c r="J72" s="70">
        <f t="shared" si="11"/>
        <v>66.5</v>
      </c>
      <c r="K72" s="70">
        <f t="shared" si="12"/>
        <v>16.625</v>
      </c>
      <c r="L72" s="19">
        <v>1</v>
      </c>
      <c r="M72" s="435">
        <f t="shared" si="7"/>
        <v>0.25</v>
      </c>
      <c r="N72" s="19">
        <v>25</v>
      </c>
      <c r="O72" s="405">
        <v>0.06</v>
      </c>
      <c r="P72" s="409">
        <f t="shared" si="13"/>
        <v>3.3984962406015035E-2</v>
      </c>
    </row>
    <row r="73" spans="4:16" ht="17.100000000000001" customHeight="1" x14ac:dyDescent="0.25">
      <c r="D73" s="95">
        <v>44574</v>
      </c>
      <c r="E73" s="95">
        <v>44578</v>
      </c>
      <c r="F73" s="93" t="s">
        <v>507</v>
      </c>
      <c r="G73" s="108">
        <v>1</v>
      </c>
      <c r="H73" s="110">
        <v>209</v>
      </c>
      <c r="I73" s="70">
        <f t="shared" si="10"/>
        <v>52.25</v>
      </c>
      <c r="J73" s="70">
        <f t="shared" si="11"/>
        <v>209</v>
      </c>
      <c r="K73" s="70">
        <f t="shared" si="12"/>
        <v>52.25</v>
      </c>
      <c r="L73" s="19">
        <v>1</v>
      </c>
      <c r="M73" s="435">
        <f t="shared" si="7"/>
        <v>1</v>
      </c>
      <c r="N73" s="19">
        <v>14</v>
      </c>
      <c r="O73" s="405">
        <v>0.06</v>
      </c>
      <c r="P73" s="409">
        <f t="shared" si="13"/>
        <v>6.9856459330143589E-3</v>
      </c>
    </row>
    <row r="74" spans="4:16" ht="17.100000000000001" customHeight="1" x14ac:dyDescent="0.25">
      <c r="D74" s="95">
        <v>44592</v>
      </c>
      <c r="E74" s="95">
        <v>44595</v>
      </c>
      <c r="F74" s="93" t="s">
        <v>508</v>
      </c>
      <c r="G74" s="108">
        <v>1</v>
      </c>
      <c r="H74" s="110">
        <v>221</v>
      </c>
      <c r="I74" s="70">
        <f t="shared" si="10"/>
        <v>73.666666666666671</v>
      </c>
      <c r="J74" s="70">
        <f t="shared" si="11"/>
        <v>221</v>
      </c>
      <c r="K74" s="70">
        <f t="shared" si="12"/>
        <v>73.666666666666671</v>
      </c>
      <c r="L74" s="19">
        <v>1</v>
      </c>
      <c r="M74" s="435">
        <f t="shared" si="7"/>
        <v>1</v>
      </c>
      <c r="N74" s="19">
        <v>13</v>
      </c>
      <c r="O74" s="405">
        <v>0.06</v>
      </c>
      <c r="P74" s="409">
        <f t="shared" si="13"/>
        <v>-1.1764705882352927E-3</v>
      </c>
    </row>
    <row r="75" spans="4:16" ht="17.100000000000001" customHeight="1" x14ac:dyDescent="0.25">
      <c r="D75" s="95">
        <v>44596</v>
      </c>
      <c r="E75" s="95">
        <v>44605</v>
      </c>
      <c r="F75" s="93" t="s">
        <v>509</v>
      </c>
      <c r="G75" s="108">
        <v>3</v>
      </c>
      <c r="H75" s="110">
        <v>180</v>
      </c>
      <c r="I75" s="70">
        <f t="shared" si="10"/>
        <v>20</v>
      </c>
      <c r="J75" s="70">
        <f t="shared" si="11"/>
        <v>60</v>
      </c>
      <c r="K75" s="70">
        <f t="shared" si="12"/>
        <v>6.666666666666667</v>
      </c>
      <c r="L75" s="19">
        <v>0</v>
      </c>
      <c r="M75" s="435">
        <f t="shared" si="7"/>
        <v>0</v>
      </c>
      <c r="N75" s="19">
        <v>7</v>
      </c>
      <c r="O75" s="405">
        <v>0.04</v>
      </c>
      <c r="P75" s="409">
        <f t="shared" si="13"/>
        <v>-1.1111111111111113E-3</v>
      </c>
    </row>
    <row r="76" spans="4:16" ht="17.100000000000001" customHeight="1" x14ac:dyDescent="0.25">
      <c r="D76" s="95">
        <v>44606</v>
      </c>
      <c r="E76" s="95">
        <v>44608</v>
      </c>
      <c r="F76" s="93" t="s">
        <v>510</v>
      </c>
      <c r="G76" s="108">
        <v>1</v>
      </c>
      <c r="H76" s="110">
        <v>114</v>
      </c>
      <c r="I76" s="70">
        <f t="shared" si="10"/>
        <v>57</v>
      </c>
      <c r="J76" s="70">
        <f t="shared" si="11"/>
        <v>114</v>
      </c>
      <c r="K76" s="70">
        <f t="shared" si="12"/>
        <v>57</v>
      </c>
      <c r="L76" s="19">
        <v>0</v>
      </c>
      <c r="M76" s="435">
        <f t="shared" si="7"/>
        <v>0</v>
      </c>
      <c r="N76" s="19">
        <v>6</v>
      </c>
      <c r="O76" s="405">
        <v>0.06</v>
      </c>
      <c r="P76" s="409">
        <f t="shared" si="13"/>
        <v>-7.3684210526315796E-3</v>
      </c>
    </row>
    <row r="77" spans="4:16" ht="17.100000000000001" customHeight="1" x14ac:dyDescent="0.25">
      <c r="D77" s="95">
        <v>44620</v>
      </c>
      <c r="E77" s="95">
        <v>44623</v>
      </c>
      <c r="F77" s="509" t="s">
        <v>511</v>
      </c>
      <c r="G77" s="108">
        <v>1</v>
      </c>
      <c r="H77" s="110">
        <v>187</v>
      </c>
      <c r="I77" s="70">
        <f t="shared" si="10"/>
        <v>62.333333333333336</v>
      </c>
      <c r="J77" s="70">
        <f t="shared" si="11"/>
        <v>187</v>
      </c>
      <c r="K77" s="70">
        <f t="shared" si="12"/>
        <v>62.333333333333336</v>
      </c>
      <c r="L77" s="19">
        <v>1</v>
      </c>
      <c r="M77" s="435">
        <f t="shared" si="7"/>
        <v>1</v>
      </c>
      <c r="N77" s="19">
        <v>12</v>
      </c>
      <c r="O77" s="405">
        <v>0.06</v>
      </c>
      <c r="P77" s="409">
        <f t="shared" si="13"/>
        <v>4.1711229946524153E-3</v>
      </c>
    </row>
    <row r="78" spans="4:16" ht="17.100000000000001" customHeight="1" x14ac:dyDescent="0.25">
      <c r="D78" s="95">
        <v>44624</v>
      </c>
      <c r="E78" s="95">
        <v>44634</v>
      </c>
      <c r="F78" s="93" t="s">
        <v>512</v>
      </c>
      <c r="G78" s="108">
        <v>1</v>
      </c>
      <c r="H78" s="110">
        <v>172</v>
      </c>
      <c r="I78" s="70">
        <f t="shared" si="10"/>
        <v>17.2</v>
      </c>
      <c r="J78" s="70">
        <f t="shared" si="11"/>
        <v>172</v>
      </c>
      <c r="K78" s="70">
        <f t="shared" si="12"/>
        <v>17.2</v>
      </c>
      <c r="L78" s="19">
        <v>1</v>
      </c>
      <c r="M78" s="435">
        <f t="shared" si="7"/>
        <v>1</v>
      </c>
      <c r="N78" s="19">
        <v>3</v>
      </c>
      <c r="O78" s="405">
        <v>0.04</v>
      </c>
      <c r="P78" s="409">
        <f t="shared" si="13"/>
        <v>-2.2558139534883722E-2</v>
      </c>
    </row>
    <row r="79" spans="4:16" ht="17.100000000000001" customHeight="1" x14ac:dyDescent="0.25">
      <c r="D79" s="95">
        <v>44634</v>
      </c>
      <c r="E79" s="95">
        <v>44637</v>
      </c>
      <c r="F79" s="93" t="s">
        <v>513</v>
      </c>
      <c r="G79" s="108">
        <v>1</v>
      </c>
      <c r="H79" s="110">
        <v>14</v>
      </c>
      <c r="I79" s="70">
        <f t="shared" si="10"/>
        <v>4.666666666666667</v>
      </c>
      <c r="J79" s="70">
        <f t="shared" si="11"/>
        <v>14</v>
      </c>
      <c r="K79" s="70">
        <f t="shared" si="12"/>
        <v>4.666666666666667</v>
      </c>
      <c r="L79" s="19">
        <v>0</v>
      </c>
      <c r="M79" s="435">
        <f t="shared" si="7"/>
        <v>0</v>
      </c>
      <c r="N79" s="19">
        <v>2</v>
      </c>
      <c r="O79" s="405">
        <v>0.06</v>
      </c>
      <c r="P79" s="409">
        <f t="shared" si="13"/>
        <v>8.2857142857142851E-2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5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2F-BA67-40FB-94EA-BBDC0680F70C}">
  <sheetPr>
    <tabColor rgb="FF7030A0"/>
  </sheetPr>
  <dimension ref="A1:K45"/>
  <sheetViews>
    <sheetView workbookViewId="0">
      <pane ySplit="1" topLeftCell="A35" activePane="bottomLeft" state="frozen"/>
      <selection pane="bottomLeft" activeCell="K2" sqref="K2"/>
    </sheetView>
  </sheetViews>
  <sheetFormatPr defaultRowHeight="17.25" customHeight="1" x14ac:dyDescent="0.25"/>
  <cols>
    <col min="1" max="1" width="16" style="491" customWidth="1"/>
    <col min="2" max="3" width="19.7109375" style="493" customWidth="1"/>
    <col min="4" max="4" width="8.140625" style="493" customWidth="1"/>
    <col min="5" max="5" width="20.85546875" style="493" customWidth="1"/>
    <col min="6" max="6" width="18.140625" style="500" customWidth="1"/>
    <col min="7" max="7" width="19.7109375" style="500" bestFit="1" customWidth="1"/>
    <col min="8" max="8" width="11.140625" style="497" customWidth="1"/>
    <col min="9" max="9" width="12.85546875" style="498" customWidth="1"/>
    <col min="10" max="10" width="9.140625" style="491"/>
    <col min="11" max="11" width="20.42578125" style="491" customWidth="1"/>
    <col min="12" max="12" width="19.85546875" style="491" customWidth="1"/>
    <col min="13" max="14" width="12" style="491" bestFit="1" customWidth="1"/>
    <col min="15" max="16384" width="9.140625" style="491"/>
  </cols>
  <sheetData>
    <row r="1" spans="1:11" ht="17.25" customHeight="1" x14ac:dyDescent="0.25">
      <c r="A1" s="501" t="s">
        <v>492</v>
      </c>
      <c r="B1" s="502" t="s">
        <v>493</v>
      </c>
      <c r="C1" s="502" t="s">
        <v>498</v>
      </c>
      <c r="D1" s="502" t="s">
        <v>500</v>
      </c>
      <c r="E1" s="502" t="s">
        <v>494</v>
      </c>
      <c r="F1" s="503" t="s">
        <v>495</v>
      </c>
      <c r="G1" s="503" t="s">
        <v>136</v>
      </c>
      <c r="H1" s="504" t="s">
        <v>496</v>
      </c>
      <c r="I1" s="505" t="s">
        <v>497</v>
      </c>
      <c r="K1" s="491" t="s">
        <v>136</v>
      </c>
    </row>
    <row r="2" spans="1:11" ht="17.25" customHeight="1" x14ac:dyDescent="0.25">
      <c r="A2" s="492">
        <v>44482.354166666664</v>
      </c>
      <c r="B2" s="488">
        <v>184401500517</v>
      </c>
      <c r="C2" s="488" t="str">
        <f t="shared" ref="C2:C22" ca="1" si="0">IFERROR(IF($B2 &gt; OFFSET($B2, -4, 0), ($B1 - OFFSET($B1, -4, 0)) / ($A1 - OFFSET($A1, -4, 0)) / 24, ""), "")</f>
        <v/>
      </c>
      <c r="D2" s="488" t="str">
        <f t="shared" ref="D2:D6" ca="1" si="1">IFERROR(C2 / $K$4, "")</f>
        <v/>
      </c>
      <c r="E2" s="488" t="str">
        <f t="shared" ref="E2:E29" ca="1" si="2">IFERROR(_xlfn.FORECAST.LINEAR(INT($A2) + IF(HOUR($A2) &gt; 1, 25/24, 0), OFFSET($B2, -4, 0, 5), OFFSET($A2, -4, 0, 5)), "")</f>
        <v/>
      </c>
      <c r="F2" s="489" t="str">
        <f ca="1">IFERROR($E2-OFFSET($E2, -1, 0), "")</f>
        <v/>
      </c>
      <c r="G2" s="489" t="str">
        <f ca="1">IFERROR($E2-$K$2, "")</f>
        <v/>
      </c>
      <c r="H2" s="506" t="str">
        <f ca="1">IFERROR($G2 / $K$2, "")</f>
        <v/>
      </c>
      <c r="I2" s="490" t="str">
        <f ca="1">IFERROR(1 / (1 + $H2), "")</f>
        <v/>
      </c>
      <c r="K2" s="493">
        <v>275000000000</v>
      </c>
    </row>
    <row r="3" spans="1:11" ht="17.25" customHeight="1" x14ac:dyDescent="0.25">
      <c r="A3" s="492">
        <v>44482.368055555555</v>
      </c>
      <c r="B3" s="488">
        <v>198122455747</v>
      </c>
      <c r="C3" s="488" t="str">
        <f t="shared" ca="1" si="0"/>
        <v/>
      </c>
      <c r="D3" s="488" t="str">
        <f t="shared" ca="1" si="1"/>
        <v/>
      </c>
      <c r="E3" s="488" t="str">
        <f t="shared" ca="1" si="2"/>
        <v/>
      </c>
      <c r="F3" s="489" t="str">
        <f t="shared" ref="F3:F45" ca="1" si="3">IFERROR($E3-OFFSET($E3, -1, 0), "")</f>
        <v/>
      </c>
      <c r="G3" s="489" t="str">
        <f t="shared" ref="G3:G45" ca="1" si="4">IFERROR($E3-$K$2, "")</f>
        <v/>
      </c>
      <c r="H3" s="506" t="str">
        <f t="shared" ref="H3:H45" ca="1" si="5">IFERROR($G3 / $K$2, "")</f>
        <v/>
      </c>
      <c r="I3" s="490" t="str">
        <f t="shared" ref="I3:I45" ca="1" si="6">IFERROR(1 / (1 + $H3), "")</f>
        <v/>
      </c>
      <c r="K3" s="491" t="s">
        <v>499</v>
      </c>
    </row>
    <row r="4" spans="1:11" ht="17.25" customHeight="1" x14ac:dyDescent="0.25">
      <c r="A4" s="492">
        <v>44482.375</v>
      </c>
      <c r="B4" s="488">
        <v>204531780765</v>
      </c>
      <c r="C4" s="488" t="str">
        <f t="shared" ca="1" si="0"/>
        <v/>
      </c>
      <c r="D4" s="488" t="str">
        <f t="shared" ca="1" si="1"/>
        <v/>
      </c>
      <c r="E4" s="488" t="str">
        <f t="shared" ca="1" si="2"/>
        <v/>
      </c>
      <c r="F4" s="489" t="str">
        <f t="shared" ca="1" si="3"/>
        <v/>
      </c>
      <c r="G4" s="489" t="str">
        <f t="shared" ca="1" si="4"/>
        <v/>
      </c>
      <c r="H4" s="506" t="str">
        <f t="shared" ca="1" si="5"/>
        <v/>
      </c>
      <c r="I4" s="490" t="str">
        <f t="shared" ca="1" si="6"/>
        <v/>
      </c>
      <c r="K4" s="493">
        <v>20000000</v>
      </c>
    </row>
    <row r="5" spans="1:11" ht="17.25" customHeight="1" x14ac:dyDescent="0.25">
      <c r="A5" s="492">
        <v>44482.381944444445</v>
      </c>
      <c r="B5" s="488">
        <v>211389924754</v>
      </c>
      <c r="C5" s="488" t="str">
        <f t="shared" ca="1" si="0"/>
        <v/>
      </c>
      <c r="D5" s="488" t="str">
        <f t="shared" ca="1" si="1"/>
        <v/>
      </c>
      <c r="E5" s="488">
        <f ca="1">IFERROR(_xlfn.FORECAST.LINEAR(INT($A5) + IF(HOUR($A5) &gt; 1, 25/24, 0), OFFSET($B5, -4, 0, 5), OFFSET($A5, -4, 0, 5)), "")</f>
        <v>850846322168</v>
      </c>
      <c r="F5" s="489" t="str">
        <f t="shared" ca="1" si="3"/>
        <v/>
      </c>
      <c r="G5" s="489">
        <f t="shared" ca="1" si="4"/>
        <v>575846322168</v>
      </c>
      <c r="H5" s="506">
        <f t="shared" ca="1" si="5"/>
        <v>2.0939866260654547</v>
      </c>
      <c r="I5" s="490">
        <f t="shared" ca="1" si="6"/>
        <v>0.32320760263649717</v>
      </c>
    </row>
    <row r="6" spans="1:11" ht="17.25" customHeight="1" x14ac:dyDescent="0.25">
      <c r="A6" s="492">
        <v>44482.402777777781</v>
      </c>
      <c r="B6" s="488">
        <v>232219220053</v>
      </c>
      <c r="C6" s="488" t="str">
        <f t="shared" ca="1" si="0"/>
        <v/>
      </c>
      <c r="D6" s="488" t="str">
        <f t="shared" ca="1" si="1"/>
        <v/>
      </c>
      <c r="E6" s="488">
        <f t="shared" ca="1" si="2"/>
        <v>859599329680</v>
      </c>
      <c r="F6" s="489">
        <f t="shared" ca="1" si="3"/>
        <v>8753007512</v>
      </c>
      <c r="G6" s="489">
        <f t="shared" ca="1" si="4"/>
        <v>584599329680</v>
      </c>
      <c r="H6" s="506">
        <f t="shared" ca="1" si="5"/>
        <v>2.1258157442909091</v>
      </c>
      <c r="I6" s="490">
        <f t="shared" ca="1" si="6"/>
        <v>0.31991648958401731</v>
      </c>
    </row>
    <row r="7" spans="1:11" ht="17.25" customHeight="1" x14ac:dyDescent="0.25">
      <c r="A7" s="492">
        <v>44482.416666666664</v>
      </c>
      <c r="B7" s="488">
        <v>246146790483</v>
      </c>
      <c r="C7" s="488">
        <f t="shared" ca="1" si="0"/>
        <v>40986616740.371391</v>
      </c>
      <c r="D7" s="488">
        <f ca="1">IFERROR(C7 / $K$4, "")</f>
        <v>2049.3308370185696</v>
      </c>
      <c r="E7" s="488">
        <f t="shared" ca="1" si="2"/>
        <v>865989280248</v>
      </c>
      <c r="F7" s="489">
        <f t="shared" ca="1" si="3"/>
        <v>6389950568</v>
      </c>
      <c r="G7" s="489">
        <f t="shared" ca="1" si="4"/>
        <v>590989280248</v>
      </c>
      <c r="H7" s="506">
        <f t="shared" ca="1" si="5"/>
        <v>2.1490519281745453</v>
      </c>
      <c r="I7" s="490">
        <f t="shared" ca="1" si="6"/>
        <v>0.31755589390349748</v>
      </c>
    </row>
    <row r="8" spans="1:11" ht="17.25" customHeight="1" x14ac:dyDescent="0.25">
      <c r="A8" s="492">
        <v>44482.451388888891</v>
      </c>
      <c r="B8" s="488">
        <v>282009249110</v>
      </c>
      <c r="C8" s="488">
        <f t="shared" ca="1" si="0"/>
        <v>41163715489.369164</v>
      </c>
      <c r="D8" s="488">
        <f t="shared" ref="D8:D32" ca="1" si="7">IFERROR(C8 / $K$4, "")</f>
        <v>2058.185774468458</v>
      </c>
      <c r="E8" s="488">
        <f t="shared" ca="1" si="2"/>
        <v>880188226544</v>
      </c>
      <c r="F8" s="489">
        <f t="shared" ca="1" si="3"/>
        <v>14198946296</v>
      </c>
      <c r="G8" s="489">
        <f t="shared" ca="1" si="4"/>
        <v>605188226544</v>
      </c>
      <c r="H8" s="506">
        <f t="shared" ca="1" si="5"/>
        <v>2.2006844601600002</v>
      </c>
      <c r="I8" s="490">
        <f t="shared" ca="1" si="6"/>
        <v>0.31243317248149188</v>
      </c>
    </row>
    <row r="9" spans="1:11" ht="17.25" customHeight="1" x14ac:dyDescent="0.25">
      <c r="A9" s="492">
        <v>44482.479166666664</v>
      </c>
      <c r="B9" s="488">
        <v>308458672734</v>
      </c>
      <c r="C9" s="488">
        <f t="shared" ca="1" si="0"/>
        <v>42260437278.196404</v>
      </c>
      <c r="D9" s="488">
        <f t="shared" ca="1" si="7"/>
        <v>2113.0218639098202</v>
      </c>
      <c r="E9" s="488">
        <f t="shared" ca="1" si="2"/>
        <v>873465644416</v>
      </c>
      <c r="F9" s="489">
        <f t="shared" ca="1" si="3"/>
        <v>-6722582128</v>
      </c>
      <c r="G9" s="489">
        <f t="shared" ca="1" si="4"/>
        <v>598465644416</v>
      </c>
      <c r="H9" s="506">
        <f t="shared" ca="1" si="5"/>
        <v>2.1762387069672728</v>
      </c>
      <c r="I9" s="490">
        <f t="shared" ca="1" si="6"/>
        <v>0.3148377978665266</v>
      </c>
    </row>
    <row r="10" spans="1:11" ht="17.25" customHeight="1" x14ac:dyDescent="0.25">
      <c r="A10" s="492">
        <v>44482.513888888891</v>
      </c>
      <c r="B10" s="488">
        <v>340142470816</v>
      </c>
      <c r="C10" s="488">
        <f t="shared" ca="1" si="0"/>
        <v>41600891992.812279</v>
      </c>
      <c r="D10" s="488">
        <f t="shared" ca="1" si="7"/>
        <v>2080.0445996406138</v>
      </c>
      <c r="E10" s="488">
        <f t="shared" ca="1" si="2"/>
        <v>856257268528</v>
      </c>
      <c r="F10" s="489">
        <f t="shared" ca="1" si="3"/>
        <v>-17208375888</v>
      </c>
      <c r="G10" s="489">
        <f t="shared" ca="1" si="4"/>
        <v>581257268528</v>
      </c>
      <c r="H10" s="506">
        <f t="shared" ca="1" si="5"/>
        <v>2.1136627946472726</v>
      </c>
      <c r="I10" s="490">
        <f t="shared" ca="1" si="6"/>
        <v>0.32116515690752045</v>
      </c>
    </row>
    <row r="11" spans="1:11" ht="17.25" customHeight="1" x14ac:dyDescent="0.25">
      <c r="A11" s="492">
        <v>44482.520833333336</v>
      </c>
      <c r="B11" s="488">
        <v>347043540249</v>
      </c>
      <c r="C11" s="488">
        <f t="shared" ca="1" si="0"/>
        <v>40471219036.713936</v>
      </c>
      <c r="D11" s="488">
        <f t="shared" ca="1" si="7"/>
        <v>2023.5609518356969</v>
      </c>
      <c r="E11" s="488">
        <f t="shared" ca="1" si="2"/>
        <v>848014928472</v>
      </c>
      <c r="F11" s="489">
        <f t="shared" ca="1" si="3"/>
        <v>-8242340056</v>
      </c>
      <c r="G11" s="489">
        <f t="shared" ca="1" si="4"/>
        <v>573014928472</v>
      </c>
      <c r="H11" s="506">
        <f t="shared" ca="1" si="5"/>
        <v>2.0836906489890907</v>
      </c>
      <c r="I11" s="490">
        <f t="shared" ca="1" si="6"/>
        <v>0.32428674397927187</v>
      </c>
    </row>
    <row r="12" spans="1:11" ht="17.25" customHeight="1" x14ac:dyDescent="0.25">
      <c r="A12" s="492">
        <v>44482.527777777781</v>
      </c>
      <c r="B12" s="488">
        <v>352872917609</v>
      </c>
      <c r="C12" s="488">
        <f t="shared" ca="1" si="0"/>
        <v>40358699904.520653</v>
      </c>
      <c r="D12" s="488">
        <f t="shared" ca="1" si="7"/>
        <v>2017.9349952260327</v>
      </c>
      <c r="E12" s="488">
        <f t="shared" ca="1" si="2"/>
        <v>830235761352</v>
      </c>
      <c r="F12" s="489">
        <f t="shared" ca="1" si="3"/>
        <v>-17779167120</v>
      </c>
      <c r="G12" s="489">
        <f t="shared" ca="1" si="4"/>
        <v>555235761352</v>
      </c>
      <c r="H12" s="506">
        <f t="shared" ca="1" si="5"/>
        <v>2.019039132189091</v>
      </c>
      <c r="I12" s="490">
        <f t="shared" ca="1" si="6"/>
        <v>0.33123121503725084</v>
      </c>
    </row>
    <row r="13" spans="1:11" ht="17.25" customHeight="1" x14ac:dyDescent="0.25">
      <c r="A13" s="492">
        <v>44482.541666666664</v>
      </c>
      <c r="B13" s="488">
        <v>364406651256</v>
      </c>
      <c r="C13" s="488">
        <f t="shared" ca="1" si="0"/>
        <v>38652910089.545494</v>
      </c>
      <c r="D13" s="488">
        <f t="shared" ca="1" si="7"/>
        <v>1932.6455044772747</v>
      </c>
      <c r="E13" s="488">
        <f t="shared" ca="1" si="2"/>
        <v>815842382184</v>
      </c>
      <c r="F13" s="489">
        <f t="shared" ca="1" si="3"/>
        <v>-14393379168</v>
      </c>
      <c r="G13" s="489">
        <f t="shared" ca="1" si="4"/>
        <v>540842382184</v>
      </c>
      <c r="H13" s="506">
        <f t="shared" ca="1" si="5"/>
        <v>1.9666995715781819</v>
      </c>
      <c r="I13" s="490">
        <f t="shared" ca="1" si="6"/>
        <v>0.33707491300443154</v>
      </c>
    </row>
    <row r="14" spans="1:11" ht="17.25" customHeight="1" x14ac:dyDescent="0.25">
      <c r="A14" s="492">
        <v>44482.5625</v>
      </c>
      <c r="B14" s="488">
        <v>380776435950</v>
      </c>
      <c r="C14" s="488">
        <f t="shared" ca="1" si="0"/>
        <v>37298652348</v>
      </c>
      <c r="D14" s="488">
        <f t="shared" ca="1" si="7"/>
        <v>1864.9326174</v>
      </c>
      <c r="E14" s="488">
        <f t="shared" ca="1" si="2"/>
        <v>778122818072</v>
      </c>
      <c r="F14" s="489">
        <f t="shared" ca="1" si="3"/>
        <v>-37719564112</v>
      </c>
      <c r="G14" s="489">
        <f t="shared" ca="1" si="4"/>
        <v>503122818072</v>
      </c>
      <c r="H14" s="506">
        <f t="shared" ca="1" si="5"/>
        <v>1.8295375202618183</v>
      </c>
      <c r="I14" s="490">
        <f t="shared" ca="1" si="6"/>
        <v>0.35341464562288949</v>
      </c>
    </row>
    <row r="15" spans="1:11" ht="17.25" customHeight="1" x14ac:dyDescent="0.25">
      <c r="A15" s="492">
        <v>44482.576388888891</v>
      </c>
      <c r="B15" s="488">
        <v>391749001374</v>
      </c>
      <c r="C15" s="488">
        <f t="shared" ca="1" si="0"/>
        <v>34829112973.15847</v>
      </c>
      <c r="D15" s="488">
        <f t="shared" ca="1" si="7"/>
        <v>1741.4556486579236</v>
      </c>
      <c r="E15" s="488">
        <f t="shared" ca="1" si="2"/>
        <v>765580669156</v>
      </c>
      <c r="F15" s="489">
        <f t="shared" ca="1" si="3"/>
        <v>-12542148916</v>
      </c>
      <c r="G15" s="489">
        <f t="shared" ca="1" si="4"/>
        <v>490580669156</v>
      </c>
      <c r="H15" s="506">
        <f t="shared" ca="1" si="5"/>
        <v>1.7839297060218182</v>
      </c>
      <c r="I15" s="490">
        <f t="shared" ca="1" si="6"/>
        <v>0.35920447195090305</v>
      </c>
    </row>
    <row r="16" spans="1:11" ht="17.25" customHeight="1" x14ac:dyDescent="0.25">
      <c r="A16" s="492">
        <v>44482.590277777781</v>
      </c>
      <c r="B16" s="488">
        <v>402002422265</v>
      </c>
      <c r="C16" s="488">
        <f t="shared" ca="1" si="0"/>
        <v>33529095844.237915</v>
      </c>
      <c r="D16" s="488">
        <f t="shared" ca="1" si="7"/>
        <v>1676.4547922118957</v>
      </c>
      <c r="E16" s="488">
        <f t="shared" ca="1" si="2"/>
        <v>757512628980</v>
      </c>
      <c r="F16" s="489">
        <f t="shared" ca="1" si="3"/>
        <v>-8068040176</v>
      </c>
      <c r="G16" s="489">
        <f t="shared" ca="1" si="4"/>
        <v>482512628980</v>
      </c>
      <c r="H16" s="506">
        <f t="shared" ca="1" si="5"/>
        <v>1.7545913781090909</v>
      </c>
      <c r="I16" s="490">
        <f t="shared" ca="1" si="6"/>
        <v>0.36303025121876953</v>
      </c>
    </row>
    <row r="17" spans="1:9" ht="17.25" customHeight="1" x14ac:dyDescent="0.25">
      <c r="A17" s="492">
        <v>44482.618055555555</v>
      </c>
      <c r="B17" s="488">
        <v>419936002846</v>
      </c>
      <c r="C17" s="488">
        <f t="shared" ca="1" si="0"/>
        <v>32753003104</v>
      </c>
      <c r="D17" s="488">
        <f t="shared" ca="1" si="7"/>
        <v>1637.6501552</v>
      </c>
      <c r="E17" s="488">
        <f t="shared" ca="1" si="2"/>
        <v>729910877868</v>
      </c>
      <c r="F17" s="489">
        <f t="shared" ca="1" si="3"/>
        <v>-27601751112</v>
      </c>
      <c r="G17" s="489">
        <f t="shared" ca="1" si="4"/>
        <v>454910877868</v>
      </c>
      <c r="H17" s="506">
        <f t="shared" ca="1" si="5"/>
        <v>1.6542213740654546</v>
      </c>
      <c r="I17" s="490">
        <f t="shared" ca="1" si="6"/>
        <v>0.37675832534959436</v>
      </c>
    </row>
    <row r="18" spans="1:9" ht="17.25" customHeight="1" x14ac:dyDescent="0.25">
      <c r="A18" s="492">
        <v>44482.631944444445</v>
      </c>
      <c r="B18" s="488">
        <v>428858142114</v>
      </c>
      <c r="C18" s="488">
        <f t="shared" ca="1" si="0"/>
        <v>30288737230.267986</v>
      </c>
      <c r="D18" s="488">
        <f t="shared" ca="1" si="7"/>
        <v>1514.4368615133992</v>
      </c>
      <c r="E18" s="488">
        <f t="shared" ca="1" si="2"/>
        <v>710390319384</v>
      </c>
      <c r="F18" s="489">
        <f t="shared" ca="1" si="3"/>
        <v>-19520558484</v>
      </c>
      <c r="G18" s="489">
        <f t="shared" ca="1" si="4"/>
        <v>435390319384</v>
      </c>
      <c r="H18" s="506">
        <f t="shared" ca="1" si="5"/>
        <v>1.5832375250327273</v>
      </c>
      <c r="I18" s="490">
        <f t="shared" ca="1" si="6"/>
        <v>0.38711113101662264</v>
      </c>
    </row>
    <row r="19" spans="1:9" ht="17.25" customHeight="1" x14ac:dyDescent="0.25">
      <c r="A19" s="492">
        <v>44482.645833333336</v>
      </c>
      <c r="B19" s="488">
        <v>436721110028</v>
      </c>
      <c r="C19" s="488">
        <f t="shared" ca="1" si="0"/>
        <v>28849023698.064152</v>
      </c>
      <c r="D19" s="488">
        <f t="shared" ca="1" si="7"/>
        <v>1442.4511849032076</v>
      </c>
      <c r="E19" s="488">
        <f t="shared" ca="1" si="2"/>
        <v>693872825000</v>
      </c>
      <c r="F19" s="489">
        <f t="shared" ca="1" si="3"/>
        <v>-16517494384</v>
      </c>
      <c r="G19" s="489">
        <f t="shared" ca="1" si="4"/>
        <v>418872825000</v>
      </c>
      <c r="H19" s="506">
        <f t="shared" ca="1" si="5"/>
        <v>1.5231739090909091</v>
      </c>
      <c r="I19" s="490">
        <f t="shared" ca="1" si="6"/>
        <v>0.3963262288013657</v>
      </c>
    </row>
    <row r="20" spans="1:9" ht="17.25" customHeight="1" x14ac:dyDescent="0.25">
      <c r="A20" s="494">
        <v>44482.659722222219</v>
      </c>
      <c r="B20" s="495">
        <v>444645461355</v>
      </c>
      <c r="C20" s="495">
        <f t="shared" ca="1" si="0"/>
        <v>26983265192.085873</v>
      </c>
      <c r="D20" s="488">
        <f t="shared" ca="1" si="7"/>
        <v>1349.1632596042937</v>
      </c>
      <c r="E20" s="488">
        <f ca="1">IFERROR(_xlfn.FORECAST.LINEAR(INT($A20) + IF(HOUR($A20) &gt; 1, 25/24, 0), OFFSET($B20, -4, 0, 5), OFFSET($A20, -4, 0, 5)), "")</f>
        <v>680290148500</v>
      </c>
      <c r="F20" s="496">
        <f t="shared" ca="1" si="3"/>
        <v>-13582676500</v>
      </c>
      <c r="G20" s="496">
        <f t="shared" ca="1" si="4"/>
        <v>405290148500</v>
      </c>
      <c r="H20" s="507">
        <f t="shared" ca="1" si="5"/>
        <v>1.4737823581818181</v>
      </c>
      <c r="I20" s="498">
        <f t="shared" ca="1" si="6"/>
        <v>0.40423928026351535</v>
      </c>
    </row>
    <row r="21" spans="1:9" ht="17.25" customHeight="1" x14ac:dyDescent="0.25">
      <c r="A21" s="499">
        <v>44482.673611111109</v>
      </c>
      <c r="B21" s="493">
        <v>451996868776</v>
      </c>
      <c r="C21" s="493">
        <f t="shared" ca="1" si="0"/>
        <v>25585823456.382862</v>
      </c>
      <c r="D21" s="488">
        <f t="shared" ca="1" si="7"/>
        <v>1279.2911728191432</v>
      </c>
      <c r="E21" s="493">
        <f t="shared" ca="1" si="2"/>
        <v>664172312668</v>
      </c>
      <c r="F21" s="500">
        <f t="shared" ca="1" si="3"/>
        <v>-16117835832</v>
      </c>
      <c r="G21" s="500">
        <f t="shared" ca="1" si="4"/>
        <v>389172312668</v>
      </c>
      <c r="H21" s="497">
        <f t="shared" ca="1" si="5"/>
        <v>1.4151720460654544</v>
      </c>
      <c r="I21" s="498">
        <f t="shared" ca="1" si="6"/>
        <v>0.41404917783356066</v>
      </c>
    </row>
    <row r="22" spans="1:9" ht="17.25" customHeight="1" x14ac:dyDescent="0.25">
      <c r="A22" s="499">
        <v>44482.680555555555</v>
      </c>
      <c r="B22" s="493">
        <v>455943929860</v>
      </c>
      <c r="C22" s="493">
        <f t="shared" ca="1" si="0"/>
        <v>24045649447.849911</v>
      </c>
      <c r="D22" s="493">
        <f t="shared" ca="1" si="7"/>
        <v>1202.2824723924955</v>
      </c>
      <c r="E22" s="493">
        <f t="shared" ca="1" si="2"/>
        <v>656664444688</v>
      </c>
      <c r="F22" s="500">
        <f t="shared" ca="1" si="3"/>
        <v>-7507867980</v>
      </c>
      <c r="G22" s="500">
        <f t="shared" ca="1" si="4"/>
        <v>381664444688</v>
      </c>
      <c r="H22" s="497">
        <f t="shared" ca="1" si="5"/>
        <v>1.3878707079563637</v>
      </c>
      <c r="I22" s="498">
        <f t="shared" ca="1" si="6"/>
        <v>0.41878314293483687</v>
      </c>
    </row>
    <row r="23" spans="1:9" ht="17.25" customHeight="1" x14ac:dyDescent="0.25">
      <c r="A23" s="499">
        <v>44482.701388888891</v>
      </c>
      <c r="B23" s="493">
        <v>468427692748</v>
      </c>
      <c r="C23" s="493">
        <f ca="1">IFERROR(IF($B23 &gt; OFFSET($B23, -4, 0), ($B22 - OFFSET($B22, -4, 0)) / ($A22 - OFFSET($A22, -4, 0)) / 24, ""), "")</f>
        <v>23216389497.343643</v>
      </c>
      <c r="D23" s="493">
        <f t="shared" ca="1" si="7"/>
        <v>1160.8194748671822</v>
      </c>
      <c r="E23" s="493">
        <f t="shared" ca="1" si="2"/>
        <v>661204671544</v>
      </c>
      <c r="F23" s="500">
        <f t="shared" ca="1" si="3"/>
        <v>4540226856</v>
      </c>
      <c r="G23" s="500">
        <f t="shared" ca="1" si="4"/>
        <v>386204671544</v>
      </c>
      <c r="H23" s="497">
        <f t="shared" ca="1" si="5"/>
        <v>1.4043806237963636</v>
      </c>
      <c r="I23" s="498">
        <f t="shared" ca="1" si="6"/>
        <v>0.41590752732862396</v>
      </c>
    </row>
    <row r="24" spans="1:9" ht="17.25" customHeight="1" x14ac:dyDescent="0.25">
      <c r="A24" s="499">
        <v>44482.715277777781</v>
      </c>
      <c r="B24" s="493">
        <v>476649161768</v>
      </c>
      <c r="C24" s="493">
        <f t="shared" ref="C24:C31" ca="1" si="8">IFERROR(IF($B24 &gt; OFFSET($B24, -4, 0), ($B23 - OFFSET($B23, -4, 0)) / ($A23 - OFFSET($A23, -4, 0)) / 24, ""), "")</f>
        <v>23779937040.346043</v>
      </c>
      <c r="D24" s="493">
        <f t="shared" ca="1" si="7"/>
        <v>1188.9968520173022</v>
      </c>
      <c r="E24" s="493">
        <f t="shared" ca="1" si="2"/>
        <v>665920252856</v>
      </c>
      <c r="F24" s="500">
        <f t="shared" ca="1" si="3"/>
        <v>4715581312</v>
      </c>
      <c r="G24" s="500">
        <f t="shared" ca="1" si="4"/>
        <v>390920252856</v>
      </c>
      <c r="H24" s="497">
        <f t="shared" ca="1" si="5"/>
        <v>1.4215281922036365</v>
      </c>
      <c r="I24" s="498">
        <f t="shared" ca="1" si="6"/>
        <v>0.41296236121454405</v>
      </c>
    </row>
    <row r="25" spans="1:9" ht="17.25" customHeight="1" x14ac:dyDescent="0.25">
      <c r="A25" s="499">
        <v>44482.729166666664</v>
      </c>
      <c r="B25" s="493">
        <v>484297875940</v>
      </c>
      <c r="C25" s="493">
        <f t="shared" ca="1" si="8"/>
        <v>24002775306.955708</v>
      </c>
      <c r="D25" s="493">
        <f t="shared" ca="1" si="7"/>
        <v>1200.1387653477855</v>
      </c>
      <c r="E25" s="493">
        <f t="shared" ca="1" si="2"/>
        <v>667484902396</v>
      </c>
      <c r="F25" s="500">
        <f t="shared" ca="1" si="3"/>
        <v>1564649540</v>
      </c>
      <c r="G25" s="500">
        <f t="shared" ca="1" si="4"/>
        <v>392484902396</v>
      </c>
      <c r="H25" s="497">
        <f t="shared" ca="1" si="5"/>
        <v>1.4272178268945455</v>
      </c>
      <c r="I25" s="498">
        <f t="shared" ca="1" si="6"/>
        <v>0.41199433726944468</v>
      </c>
    </row>
    <row r="26" spans="1:9" ht="17.25" customHeight="1" x14ac:dyDescent="0.25">
      <c r="A26" s="499">
        <v>44482.75</v>
      </c>
      <c r="B26" s="493">
        <v>496960977077</v>
      </c>
      <c r="C26" s="493">
        <f t="shared" ca="1" si="8"/>
        <v>24225755373.352528</v>
      </c>
      <c r="D26" s="493">
        <f t="shared" ca="1" si="7"/>
        <v>1211.2877686676263</v>
      </c>
      <c r="E26" s="493">
        <f t="shared" ca="1" si="2"/>
        <v>668366329484</v>
      </c>
      <c r="F26" s="500">
        <f t="shared" ca="1" si="3"/>
        <v>881427088</v>
      </c>
      <c r="G26" s="500">
        <f t="shared" ca="1" si="4"/>
        <v>393366329484</v>
      </c>
      <c r="H26" s="497">
        <f t="shared" ca="1" si="5"/>
        <v>1.4304230163054545</v>
      </c>
      <c r="I26" s="498">
        <f t="shared" ca="1" si="6"/>
        <v>0.41145100803074375</v>
      </c>
    </row>
    <row r="27" spans="1:9" ht="17.25" customHeight="1" x14ac:dyDescent="0.25">
      <c r="A27" s="499">
        <v>44482.770833333336</v>
      </c>
      <c r="B27" s="493">
        <v>505874852922</v>
      </c>
      <c r="C27" s="493">
        <f t="shared" ca="1" si="8"/>
        <v>24610228329.913498</v>
      </c>
      <c r="D27" s="493">
        <f t="shared" ca="1" si="7"/>
        <v>1230.5114164956749</v>
      </c>
      <c r="E27" s="493">
        <f t="shared" ca="1" si="2"/>
        <v>654906824708</v>
      </c>
      <c r="F27" s="500">
        <f t="shared" ca="1" si="3"/>
        <v>-13459504776</v>
      </c>
      <c r="G27" s="500">
        <f t="shared" ca="1" si="4"/>
        <v>379906824708</v>
      </c>
      <c r="H27" s="497">
        <f t="shared" ca="1" si="5"/>
        <v>1.3814793625745454</v>
      </c>
      <c r="I27" s="498">
        <f t="shared" ca="1" si="6"/>
        <v>0.41990706101224839</v>
      </c>
    </row>
    <row r="28" spans="1:9" ht="17.25" customHeight="1" x14ac:dyDescent="0.25">
      <c r="A28" s="499">
        <v>44482.784722222219</v>
      </c>
      <c r="B28" s="493">
        <v>520577543498</v>
      </c>
      <c r="C28" s="493">
        <f t="shared" ca="1" si="8"/>
        <v>22468296104.138435</v>
      </c>
      <c r="D28" s="493">
        <f t="shared" ca="1" si="7"/>
        <v>1123.4148052069218</v>
      </c>
      <c r="E28" s="493">
        <f t="shared" ca="1" si="2"/>
        <v>672514130232</v>
      </c>
      <c r="F28" s="500">
        <f t="shared" ca="1" si="3"/>
        <v>17607305524</v>
      </c>
      <c r="G28" s="500">
        <f t="shared" ca="1" si="4"/>
        <v>397514130232</v>
      </c>
      <c r="H28" s="497">
        <f t="shared" ca="1" si="5"/>
        <v>1.4455059281163636</v>
      </c>
      <c r="I28" s="498">
        <f t="shared" ca="1" si="6"/>
        <v>0.40891334120389727</v>
      </c>
    </row>
    <row r="29" spans="1:9" ht="17.25" customHeight="1" x14ac:dyDescent="0.25">
      <c r="A29" s="499">
        <v>44482.819444444445</v>
      </c>
      <c r="B29" s="493">
        <v>545113354895</v>
      </c>
      <c r="C29" s="493">
        <f t="shared" ca="1" si="8"/>
        <v>26357029040.454693</v>
      </c>
      <c r="D29" s="493">
        <f t="shared" ca="1" si="7"/>
        <v>1317.8514520227347</v>
      </c>
      <c r="E29" s="493">
        <f t="shared" ca="1" si="2"/>
        <v>693736930980</v>
      </c>
      <c r="F29" s="500">
        <f t="shared" ca="1" si="3"/>
        <v>21222800748</v>
      </c>
      <c r="G29" s="500">
        <f t="shared" ca="1" si="4"/>
        <v>418736930980</v>
      </c>
      <c r="H29" s="497">
        <f t="shared" ca="1" si="5"/>
        <v>1.5226797490181818</v>
      </c>
      <c r="I29" s="498">
        <f t="shared" ca="1" si="6"/>
        <v>0.39640386394237975</v>
      </c>
    </row>
    <row r="30" spans="1:9" ht="17.25" customHeight="1" x14ac:dyDescent="0.25">
      <c r="A30" s="499">
        <v>44483</v>
      </c>
      <c r="B30" s="493">
        <v>678208049405</v>
      </c>
      <c r="C30" s="493">
        <f t="shared" ca="1" si="8"/>
        <v>28068682593.609959</v>
      </c>
      <c r="D30" s="493">
        <f t="shared" ca="1" si="7"/>
        <v>1403.434129680498</v>
      </c>
      <c r="E30" s="493">
        <f ca="1">IFERROR(_xlfn.FORECAST.LINEAR(INT($A30) + IF(HOUR($A30) &gt; 1, 25/24, 0), OFFSET($B30, -4, 0, 5), OFFSET($A30, -4, 0, 5)), "")</f>
        <v>677977659496</v>
      </c>
      <c r="F30" s="500">
        <f t="shared" ca="1" si="3"/>
        <v>-15759271484</v>
      </c>
      <c r="G30" s="500">
        <f t="shared" ca="1" si="4"/>
        <v>402977659496</v>
      </c>
      <c r="H30" s="497">
        <f t="shared" ca="1" si="5"/>
        <v>1.4653733072581818</v>
      </c>
      <c r="I30" s="498">
        <f t="shared" ca="1" si="6"/>
        <v>0.40561808512161224</v>
      </c>
    </row>
    <row r="31" spans="1:9" ht="17.25" customHeight="1" x14ac:dyDescent="0.25">
      <c r="A31" s="499">
        <v>44483.020833333336</v>
      </c>
      <c r="B31" s="493">
        <v>690209200816</v>
      </c>
      <c r="C31" s="493">
        <f t="shared" ca="1" si="8"/>
        <v>30207845388</v>
      </c>
      <c r="D31" s="493">
        <f t="shared" ca="1" si="7"/>
        <v>1510.3922694</v>
      </c>
      <c r="E31" s="493">
        <f ca="1">IFERROR(_xlfn.FORECAST.LINEAR(INT($A31) + IF(HOUR($A31) &gt; 1, 25/24, 0), OFFSET($B31, -4, 0, 5), OFFSET($A31, -4, 0, 5)), "")</f>
        <v>676643852652</v>
      </c>
      <c r="F31" s="500">
        <f t="shared" ca="1" si="3"/>
        <v>-1333806844</v>
      </c>
      <c r="G31" s="500">
        <f t="shared" ca="1" si="4"/>
        <v>401643852652</v>
      </c>
      <c r="H31" s="497">
        <f t="shared" ca="1" si="5"/>
        <v>1.4605231005527273</v>
      </c>
      <c r="I31" s="498">
        <f t="shared" ca="1" si="6"/>
        <v>0.40641764337646813</v>
      </c>
    </row>
    <row r="32" spans="1:9" ht="17.25" customHeight="1" x14ac:dyDescent="0.25">
      <c r="A32" s="499">
        <v>44483.040972222225</v>
      </c>
      <c r="B32" s="493">
        <v>700957702276</v>
      </c>
      <c r="C32" s="493">
        <f t="shared" ref="C32" ca="1" si="9">IFERROR(IF($B32 &gt; OFFSET($B32, -4, 0), ($B31 - OFFSET($B31, -4, 0)) / ($A31 - OFFSET($A31, -4, 0)) / 24, ""), "")</f>
        <v>30722391315.666668</v>
      </c>
      <c r="D32" s="493">
        <f t="shared" ca="1" si="7"/>
        <v>1536.1195657833334</v>
      </c>
      <c r="E32" s="493">
        <f ca="1">IFERROR(_xlfn.FORECAST.LINEAR(INT($A32) + IF(HOUR($A32) &gt; 1, 25/24, 0), OFFSET($B32, -4, 0, 5), OFFSET($A32, -4, 0, 5)), "")</f>
        <v>674831386588</v>
      </c>
      <c r="F32" s="500">
        <f t="shared" ca="1" si="3"/>
        <v>-1812466064</v>
      </c>
      <c r="G32" s="500">
        <f t="shared" ca="1" si="4"/>
        <v>399831386588</v>
      </c>
      <c r="H32" s="497">
        <f t="shared" ca="1" si="5"/>
        <v>1.4539323148654546</v>
      </c>
      <c r="I32" s="498">
        <f t="shared" ca="1" si="6"/>
        <v>0.40750920224742565</v>
      </c>
    </row>
    <row r="33" spans="1:9" ht="17.25" customHeight="1" x14ac:dyDescent="0.25">
      <c r="A33" s="499">
        <v>44483.041666666664</v>
      </c>
      <c r="B33" s="493">
        <v>0</v>
      </c>
      <c r="C33" s="493" t="str">
        <f ca="1">IFERROR(IF($B33 &gt; OFFSET($B33, -4, 0), ($B33 - OFFSET($B33, -4, 0)) / ($A33 - OFFSET($A33, -4, 0)) / 24, ""), "")</f>
        <v/>
      </c>
      <c r="D33" s="493" t="str">
        <f ca="1">IFERROR(C33 / $K$4, "")</f>
        <v/>
      </c>
      <c r="E33" s="493" t="str">
        <f ca="1">IFERROR(IF($B33 &gt; OFFSET($B33, -4, 0), _xlfn.FORECAST.LINEAR(INT($A33) + IF(HOUR($A33) &gt; 1, 25/24, 0), OFFSET($B33, -4, 0, 5), OFFSET($A33, -4, 0, 5)), ""), "")</f>
        <v/>
      </c>
      <c r="F33" s="500" t="str">
        <f t="shared" ca="1" si="3"/>
        <v/>
      </c>
      <c r="G33" s="500" t="str">
        <f t="shared" ca="1" si="4"/>
        <v/>
      </c>
      <c r="H33" s="497" t="str">
        <f t="shared" ca="1" si="5"/>
        <v/>
      </c>
      <c r="I33" s="498" t="str">
        <f t="shared" ca="1" si="6"/>
        <v/>
      </c>
    </row>
    <row r="34" spans="1:9" ht="17.25" customHeight="1" x14ac:dyDescent="0.25">
      <c r="A34" s="499">
        <v>44483.055555555555</v>
      </c>
      <c r="B34" s="493">
        <v>17834854949</v>
      </c>
      <c r="C34" s="493" t="str">
        <f t="shared" ref="C34:C45" ca="1" si="10">IFERROR(IF($B34 &gt; OFFSET($B34, -4, 0), ($B34 - OFFSET($B34, -4, 0)) / ($A34 - OFFSET($A34, -4, 0)) / 24, ""), "")</f>
        <v/>
      </c>
      <c r="D34" s="493" t="str">
        <f t="shared" ref="D34:D45" ca="1" si="11">IFERROR(C34 / $K$4, "")</f>
        <v/>
      </c>
      <c r="E34" s="493" t="str">
        <f t="shared" ref="E34:E45" ca="1" si="12">IFERROR(IF($B34 &gt; OFFSET($B34, -4, 0), _xlfn.FORECAST.LINEAR(INT($A34) + IF(HOUR($A34) &gt; 1, 25/24, 0), OFFSET($B34, -4, 0, 5), OFFSET($A34, -4, 0, 5)), ""), "")</f>
        <v/>
      </c>
      <c r="F34" s="500" t="str">
        <f t="shared" ca="1" si="3"/>
        <v/>
      </c>
      <c r="G34" s="500" t="str">
        <f t="shared" ca="1" si="4"/>
        <v/>
      </c>
      <c r="H34" s="497" t="str">
        <f t="shared" ca="1" si="5"/>
        <v/>
      </c>
      <c r="I34" s="498" t="str">
        <f t="shared" ca="1" si="6"/>
        <v/>
      </c>
    </row>
    <row r="35" spans="1:9" ht="17.25" customHeight="1" x14ac:dyDescent="0.25">
      <c r="A35" s="499">
        <v>44483.069444444445</v>
      </c>
      <c r="B35" s="493">
        <v>48782289567</v>
      </c>
      <c r="C35" s="493" t="str">
        <f t="shared" ca="1" si="10"/>
        <v/>
      </c>
      <c r="D35" s="493" t="str">
        <f t="shared" ca="1" si="11"/>
        <v/>
      </c>
      <c r="E35" s="493" t="str">
        <f t="shared" ca="1" si="12"/>
        <v/>
      </c>
      <c r="F35" s="500" t="str">
        <f t="shared" ca="1" si="3"/>
        <v/>
      </c>
      <c r="G35" s="500" t="str">
        <f t="shared" ca="1" si="4"/>
        <v/>
      </c>
      <c r="H35" s="497" t="str">
        <f t="shared" ca="1" si="5"/>
        <v/>
      </c>
      <c r="I35" s="498" t="str">
        <f t="shared" ca="1" si="6"/>
        <v/>
      </c>
    </row>
    <row r="36" spans="1:9" ht="17.25" customHeight="1" x14ac:dyDescent="0.25">
      <c r="A36" s="499">
        <v>44483.083333333336</v>
      </c>
      <c r="B36" s="493">
        <v>73162710536</v>
      </c>
      <c r="C36" s="493" t="str">
        <f t="shared" ca="1" si="10"/>
        <v/>
      </c>
      <c r="D36" s="493" t="str">
        <f t="shared" ca="1" si="11"/>
        <v/>
      </c>
      <c r="E36" s="493" t="str">
        <f t="shared" ca="1" si="12"/>
        <v/>
      </c>
      <c r="F36" s="500" t="str">
        <f t="shared" ca="1" si="3"/>
        <v/>
      </c>
      <c r="G36" s="500" t="str">
        <f t="shared" ca="1" si="4"/>
        <v/>
      </c>
      <c r="H36" s="497" t="str">
        <f t="shared" ca="1" si="5"/>
        <v/>
      </c>
      <c r="I36" s="498" t="str">
        <f t="shared" ca="1" si="6"/>
        <v/>
      </c>
    </row>
    <row r="37" spans="1:9" ht="17.25" customHeight="1" x14ac:dyDescent="0.25">
      <c r="A37" s="499">
        <v>44483.097222222219</v>
      </c>
      <c r="B37" s="493">
        <v>91526200709</v>
      </c>
      <c r="C37" s="493">
        <f t="shared" ca="1" si="10"/>
        <v>68644650532.748909</v>
      </c>
      <c r="D37" s="493">
        <f t="shared" ca="1" si="11"/>
        <v>3432.2325266374455</v>
      </c>
      <c r="E37" s="493">
        <f t="shared" ca="1" si="12"/>
        <v>1714923010176</v>
      </c>
      <c r="F37" s="500" t="str">
        <f t="shared" ca="1" si="3"/>
        <v/>
      </c>
      <c r="G37" s="500">
        <f t="shared" ca="1" si="4"/>
        <v>1439923010176</v>
      </c>
      <c r="H37" s="497">
        <f t="shared" ca="1" si="5"/>
        <v>5.2360836733672729</v>
      </c>
      <c r="I37" s="498">
        <f t="shared" ca="1" si="6"/>
        <v>0.16035705298034175</v>
      </c>
    </row>
    <row r="38" spans="1:9" ht="17.25" customHeight="1" x14ac:dyDescent="0.25">
      <c r="A38" s="499">
        <v>44483.104166666664</v>
      </c>
      <c r="B38" s="493">
        <v>99528132473</v>
      </c>
      <c r="C38" s="493">
        <f t="shared" ca="1" si="10"/>
        <v>70022809308.614777</v>
      </c>
      <c r="D38" s="493">
        <f t="shared" ca="1" si="11"/>
        <v>3501.1404654307389</v>
      </c>
      <c r="E38" s="493">
        <f t="shared" ca="1" si="12"/>
        <v>1662628115488</v>
      </c>
      <c r="F38" s="500">
        <f t="shared" ca="1" si="3"/>
        <v>-52294894688</v>
      </c>
      <c r="G38" s="500">
        <f t="shared" ca="1" si="4"/>
        <v>1387628115488</v>
      </c>
      <c r="H38" s="497">
        <f t="shared" ca="1" si="5"/>
        <v>5.0459204199563636</v>
      </c>
      <c r="I38" s="498">
        <f t="shared" ca="1" si="6"/>
        <v>0.16540078772773814</v>
      </c>
    </row>
    <row r="39" spans="1:9" ht="17.25" customHeight="1" x14ac:dyDescent="0.25">
      <c r="A39" s="499">
        <v>44483.131944444445</v>
      </c>
      <c r="B39" s="493">
        <v>134046769901</v>
      </c>
      <c r="C39" s="493">
        <f t="shared" ca="1" si="10"/>
        <v>56842986889.333336</v>
      </c>
      <c r="D39" s="493">
        <f t="shared" ca="1" si="11"/>
        <v>2842.1493444666667</v>
      </c>
      <c r="E39" s="493">
        <f t="shared" ca="1" si="12"/>
        <v>1355709367592</v>
      </c>
      <c r="F39" s="500">
        <f t="shared" ca="1" si="3"/>
        <v>-306918747896</v>
      </c>
      <c r="G39" s="500">
        <f t="shared" ca="1" si="4"/>
        <v>1080709367592</v>
      </c>
      <c r="H39" s="497">
        <f t="shared" ca="1" si="5"/>
        <v>3.9298522457890908</v>
      </c>
      <c r="I39" s="498">
        <f t="shared" ca="1" si="6"/>
        <v>0.20284583596884986</v>
      </c>
    </row>
    <row r="40" spans="1:9" ht="17.25" customHeight="1" x14ac:dyDescent="0.25">
      <c r="A40" s="499">
        <v>44483.145833333336</v>
      </c>
      <c r="B40" s="493">
        <v>150080709463</v>
      </c>
      <c r="C40" s="493">
        <f t="shared" ca="1" si="10"/>
        <v>51278665951.333336</v>
      </c>
      <c r="D40" s="493">
        <f t="shared" ca="1" si="11"/>
        <v>2563.9332975666666</v>
      </c>
      <c r="E40" s="493">
        <f t="shared" ca="1" si="12"/>
        <v>1251470191392</v>
      </c>
      <c r="F40" s="500">
        <f t="shared" ca="1" si="3"/>
        <v>-104239176200</v>
      </c>
      <c r="G40" s="500">
        <f t="shared" ca="1" si="4"/>
        <v>976470191392</v>
      </c>
      <c r="H40" s="497">
        <f t="shared" ca="1" si="5"/>
        <v>3.5508006959709091</v>
      </c>
      <c r="I40" s="498">
        <f t="shared" ca="1" si="6"/>
        <v>0.21974155029143744</v>
      </c>
    </row>
    <row r="41" spans="1:9" ht="17.25" customHeight="1" x14ac:dyDescent="0.25">
      <c r="A41" s="499">
        <v>44483.166666666664</v>
      </c>
      <c r="B41" s="493">
        <v>169783845036</v>
      </c>
      <c r="C41" s="493">
        <f t="shared" ca="1" si="10"/>
        <v>46954586595.653381</v>
      </c>
      <c r="D41" s="493">
        <f t="shared" ca="1" si="11"/>
        <v>2347.7293297826691</v>
      </c>
      <c r="E41" s="493">
        <f t="shared" ca="1" si="12"/>
        <v>1175870173456</v>
      </c>
      <c r="F41" s="500">
        <f t="shared" ca="1" si="3"/>
        <v>-75600017936</v>
      </c>
      <c r="G41" s="500">
        <f t="shared" ca="1" si="4"/>
        <v>900870173456</v>
      </c>
      <c r="H41" s="497">
        <f t="shared" ca="1" si="5"/>
        <v>3.2758915398399999</v>
      </c>
      <c r="I41" s="498">
        <f t="shared" ca="1" si="6"/>
        <v>0.23386935582501214</v>
      </c>
    </row>
    <row r="42" spans="1:9" ht="17.25" customHeight="1" x14ac:dyDescent="0.25">
      <c r="A42" s="499">
        <v>44483.208333333336</v>
      </c>
      <c r="B42" s="493">
        <v>205647512307</v>
      </c>
      <c r="C42" s="493">
        <f t="shared" ca="1" si="10"/>
        <v>42447751931.623375</v>
      </c>
      <c r="D42" s="493">
        <f t="shared" ca="1" si="11"/>
        <v>2122.387596581169</v>
      </c>
      <c r="E42" s="493">
        <f t="shared" ca="1" si="12"/>
        <v>1049265151216</v>
      </c>
      <c r="F42" s="500">
        <f t="shared" ca="1" si="3"/>
        <v>-126605022240</v>
      </c>
      <c r="G42" s="500">
        <f t="shared" ca="1" si="4"/>
        <v>774265151216</v>
      </c>
      <c r="H42" s="497">
        <f t="shared" ca="1" si="5"/>
        <v>2.8155096407854545</v>
      </c>
      <c r="I42" s="498">
        <f t="shared" ca="1" si="6"/>
        <v>0.26208818589019256</v>
      </c>
    </row>
    <row r="43" spans="1:9" ht="17.25" customHeight="1" x14ac:dyDescent="0.25">
      <c r="A43" s="499">
        <v>44483.236111111109</v>
      </c>
      <c r="B43" s="493">
        <v>227935399233</v>
      </c>
      <c r="C43" s="493">
        <f t="shared" ca="1" si="10"/>
        <v>37555451733.674408</v>
      </c>
      <c r="D43" s="493">
        <f t="shared" ca="1" si="11"/>
        <v>1877.7725866837204</v>
      </c>
      <c r="E43" s="493">
        <f t="shared" ca="1" si="12"/>
        <v>947300853952</v>
      </c>
      <c r="F43" s="500">
        <f t="shared" ca="1" si="3"/>
        <v>-101964297264</v>
      </c>
      <c r="G43" s="500">
        <f t="shared" ca="1" si="4"/>
        <v>672300853952</v>
      </c>
      <c r="H43" s="497">
        <f t="shared" ca="1" si="5"/>
        <v>2.4447303780072729</v>
      </c>
      <c r="I43" s="498">
        <f t="shared" ca="1" si="6"/>
        <v>0.29029848210601772</v>
      </c>
    </row>
    <row r="44" spans="1:9" ht="17.25" customHeight="1" x14ac:dyDescent="0.25">
      <c r="A44" s="499">
        <v>44483.291666666664</v>
      </c>
      <c r="B44" s="493">
        <v>272900463075</v>
      </c>
      <c r="C44" s="493">
        <f t="shared" ca="1" si="10"/>
        <v>35091358176.02433</v>
      </c>
      <c r="D44" s="493">
        <f t="shared" ca="1" si="11"/>
        <v>1754.5679088012166</v>
      </c>
      <c r="E44" s="493">
        <f t="shared" ca="1" si="12"/>
        <v>902883039208</v>
      </c>
      <c r="F44" s="500">
        <f t="shared" ca="1" si="3"/>
        <v>-44417814744</v>
      </c>
      <c r="G44" s="500">
        <f t="shared" ca="1" si="4"/>
        <v>627883039208</v>
      </c>
      <c r="H44" s="497">
        <f t="shared" ca="1" si="5"/>
        <v>2.2832110516654547</v>
      </c>
      <c r="I44" s="498">
        <f t="shared" ca="1" si="6"/>
        <v>0.30457987143188253</v>
      </c>
    </row>
    <row r="45" spans="1:9" ht="17.25" customHeight="1" x14ac:dyDescent="0.25">
      <c r="A45" s="499">
        <v>44483.347222222219</v>
      </c>
      <c r="B45" s="493">
        <v>315340934860</v>
      </c>
      <c r="C45" s="493">
        <f t="shared" ca="1" si="10"/>
        <v>33590097651.842709</v>
      </c>
      <c r="D45" s="493">
        <f t="shared" ca="1" si="11"/>
        <v>1679.5048825921353</v>
      </c>
      <c r="E45" s="493">
        <f t="shared" ca="1" si="12"/>
        <v>875464850448</v>
      </c>
      <c r="F45" s="500">
        <f t="shared" ca="1" si="3"/>
        <v>-27418188760</v>
      </c>
      <c r="G45" s="500">
        <f t="shared" ca="1" si="4"/>
        <v>600464850448</v>
      </c>
      <c r="H45" s="497">
        <f t="shared" ca="1" si="5"/>
        <v>2.1835085470836364</v>
      </c>
      <c r="I45" s="498">
        <f t="shared" ca="1" si="6"/>
        <v>0.31411883624942194</v>
      </c>
    </row>
  </sheetData>
  <conditionalFormatting sqref="F1:H1048576">
    <cfRule type="cellIs" dxfId="4" priority="3" operator="greaterThan">
      <formula>0</formula>
    </cfRule>
    <cfRule type="cellIs" dxfId="3" priority="4" operator="lessThan">
      <formula>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3F0304"/>
        <color rgb="FF423700"/>
        <color rgb="FF132F1A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144" activePane="bottomLeft" state="frozen"/>
      <selection pane="bottomLeft" activeCell="E13" sqref="E13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48" t="str">
        <f>B1&amp; " 時"</f>
        <v>6 時</v>
      </c>
      <c r="G1" s="649"/>
      <c r="H1" s="649"/>
      <c r="I1" s="648" t="str">
        <f>C1&amp; " 時"</f>
        <v>24 時</v>
      </c>
      <c r="J1" s="649"/>
      <c r="K1" s="650"/>
      <c r="L1" s="648" t="str">
        <f>D1&amp; " 時"</f>
        <v>72 時</v>
      </c>
      <c r="M1" s="649"/>
      <c r="N1" s="649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-304 D 01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-296 D 06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-293 D 22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-298 D 12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-304 D 07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-306 D 01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-305 D 08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-302 D 04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167 D 22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-260 D 08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-127 D 19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-125 D 20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-202 D 17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-106 D 14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-055 D 09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-150 D 19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-222 D 10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-160 D 14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-222 D 10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-250 D 18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-237 D 16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-182 D 11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-116 D 04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-196 D 02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-193 D 19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-166 D 19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-202 D 21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-197 D 06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-277 D 01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-208 D 23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-207 D 23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-284 D 19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-233 D 11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-216 D 19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-170 D 20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-261 D 21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-220 D 02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-242 D 07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-233 D 02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-232 D 13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-155 D 11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-207 D 03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-232 D 18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-274 D 03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-237 D 01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-235 D 07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-271 D 00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-240 D 08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-238 D 05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-233 D 11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-243 D 14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-238 D 15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-235 D 18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-243 D 21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-239 D 01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-290 D 16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-278 D 03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-247 D 11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-323 D 01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-304 D 08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-265 D 05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-299 D 22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-311 D 21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-275 D 21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-303 D 22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-312 D 12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-281 D 11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-295 D 16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-306 D 18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-295 D 12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-299 D 17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-301 D 09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-297 D 14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-302 D 20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-303 D 01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-299 D 03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-316 D 02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-304 D 20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-303 D 15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-317 D 16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-308 D 09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-304 D 16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-323 D 17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-315 D 20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-309 D 13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-323 D 12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-317 D 13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-310 D 18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-323 D 08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-322 D 01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-312 D 22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-323 D 07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-322 D 02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-313 D 10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-320 D 17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-322 D 17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-314 D 18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-320 D 08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-322 D 13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-315 D 04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-321 D 20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-322 D 06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-315 D 15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-321 D 23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-322 D 02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-316 D 23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-321 D 16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-321 D 11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-317 D 16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-321 D 15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-321 D 13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-318 D 14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-281 D 09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-318 D 20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-318 D 07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-291 D 21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-316 D 22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-318 D 22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-305 D 01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-311 D 00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-319 D 00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-304 D 03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-309 D 22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-318 D 16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-320 D 05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-312 D 01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-318 D 11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-320 D 05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-312 D 22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-318 D 14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-320 D 03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-313 D 21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-318 D 10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-320 D 02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-314 D 09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-318 D 07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-319 D 06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-314 D 10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-317 D 22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-317 D 23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-317 D 10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-317 D 15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-323 D 06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-320 D 06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-317 D 09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-323 D 01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-320 D 15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-317 D 13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-319 D 01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-320 D 20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-317 D 05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-318 D 17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-320 D 12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-317 D 08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-325 D 02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-321 D 14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-318 D 12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-324 D 10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-322 D 03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-319 D 03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-322 D 10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-322 D 07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-319 D 20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-322 D 10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-323 D 11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-320 D 13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-322 D 11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-323 D 13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-321 D 04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-315 D 22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-319 D 15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-321 D 08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-321 D 08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-319 D 13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-321 D 02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-320 D 19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-321 D 05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-320 D 22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-320 D 13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-321 D 02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-320 D 18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-321 D 12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-321 D 01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-320 D 15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-321 D 08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-321 D 10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-320 D 15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-321 D 18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-321 D 15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-320 D 21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-311 D 18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-314 D 03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-320 D 01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-311 D 08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-313 D 13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-319 D 11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-311 D 23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-311 D 23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-319 D 06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-319 D 08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-313 D 00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-319 D 04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-322 D 15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-314 D 19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-318 D 19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-311 D 15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-315 D 08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-317 D 21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-311 D 08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-315 D 11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-317 D 17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-314 D 19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-317 D 19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-317 D 18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-321 D 23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-317 D 22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-317 D 21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-322 D 14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-318 D 11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-317 D 13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-319 D 17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-320 D 21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-317 D 22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-319 D 03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-320 D 11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-318 D 01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-321 D 20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-320 D 04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-318 D 16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-321 D 17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-320 D 10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-319 D 01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-312 D 17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-319 D 16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-319 D 00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-320 D 20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-319 D 06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-319 D 19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-320 D 21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-319 D 11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-319 D 20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-308 D 22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-316 D 14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-319 D 05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-320 D 17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-316 D 11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-318 D 13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-320 D 22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-320 D 20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-318 D 15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-321 D 16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-321 D 01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-319 D 00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-304 D 07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-319 D 01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-318 D 16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-321 D 04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-318 D 04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-319 D 00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-320 D 22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-318 D 10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-319 D 02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-320 D 06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-320 D 15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-319 D 15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-320 D 11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-320 D 16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-319 D 17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-320 D 10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-320 D 14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-319 D 18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-321 D 14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-321 D 10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-320 D 03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-321 D 13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-321 D 10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-320 D 08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-322 D 00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-321 D 16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-320 D 13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-322 D 04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-321 D 17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-320 D 21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-322 D 03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-321 D 19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-321 D 09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-321 D 23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-321 D 23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-321 D 20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-321 D 19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-321 D 19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-321 D 19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-321 D 19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-321 D 19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-321 D 19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-321 D 18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-321 D 18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-321 D 19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-321 D 19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-321 D 19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-321 D 19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-321 D 19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-321 D 19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-321 D 20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-321 D 20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-321 D 20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-321 D 21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-322 D 11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-321 D 22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-321 D 22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-323 D 03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-322 D 01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-321 D 23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-323 D 00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-322 D 02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-322 D 00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-322 D 21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-322 D 08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-322 D 03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-322 D 18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-322 D 09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-322 D 03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-323 D 11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-323 D 01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-322 D 11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-323 D 10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-323 D 03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-322 D 14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-323 D 02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-323 D 05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-322 D 17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-319 D 15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-322 D 09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-322 D 14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-319 D 21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-322 D 05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-322 D 13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-320 D 03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-322 D 04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-322 D 13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-320 D 06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-322 D 03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-322 D 13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-320 D 12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-322 D 03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-322 D 13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-323 D 04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-322 D 06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-322 D 14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-323 D 04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-322 D 01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-322 D 14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-323 D 03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-322 D 07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-322 D 15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-323 D 01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-322 D 19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-322 D 17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-323 D 00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-323 D 01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-322 D 18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-323 D 00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-323 D 01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-322 D 19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-323 D 04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-323 D 01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-322 D 20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-323 D 05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-323 D 02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-322 D 21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-323 D 04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-323 D 03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-322 D 22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-322 D 09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-322 D 19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-322 D 20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-322 D 11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-322 D 19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-322 D 20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-322 D 15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-322 D 19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-322 D 20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-322 D 21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-322 D 18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-322 D 20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-322 D 21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-322 D 18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-322 D 20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-322 D 22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-322 D 18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-322 D 21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-322 D 23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-322 D 19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-322 D 21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-323 D 01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-322 D 20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-322 D 22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-323 D 01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-322 D 21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-322 D 22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-323 D 01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-322 D 22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-322 D 23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-323 D 00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-322 D 22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-322 D 22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-323 D 00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-322 D 23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-322 D 23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-323 D 00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-322 D 23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-322 D 23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-323 D 00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-322 D 23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-322 D 23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-323 D 00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-323 D 00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-323 D 00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4" workbookViewId="0">
      <selection activeCell="F212" sqref="F21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55">
        <v>43677.583333333336</v>
      </c>
      <c r="C1" s="655"/>
      <c r="D1" s="28" t="s">
        <v>38</v>
      </c>
      <c r="E1" s="26" t="s">
        <v>30</v>
      </c>
      <c r="F1" s="26" t="s">
        <v>22</v>
      </c>
      <c r="G1" s="542" t="s">
        <v>23</v>
      </c>
      <c r="H1" s="542"/>
      <c r="I1" s="542"/>
      <c r="J1" s="542"/>
      <c r="K1" s="6"/>
      <c r="L1" s="25" t="s">
        <v>25</v>
      </c>
      <c r="M1" s="25"/>
      <c r="N1" s="644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55">
        <v>43688.583333333336</v>
      </c>
      <c r="C2" s="65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54" t="str">
        <f ca="1">IF(NOW() &gt; $B$2,"",(NOW()-$B$1)/($B$2-$B$1))</f>
        <v/>
      </c>
      <c r="H2" s="654"/>
      <c r="I2" s="654"/>
      <c r="J2" s="654"/>
      <c r="K2" s="6" t="s">
        <v>27</v>
      </c>
      <c r="L2" s="11">
        <v>100000</v>
      </c>
      <c r="N2" s="644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44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44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51" t="s">
        <v>24</v>
      </c>
      <c r="C5" s="651"/>
      <c r="D5" s="652" t="s">
        <v>42</v>
      </c>
      <c r="E5" s="652"/>
      <c r="F5" s="652" t="s">
        <v>26</v>
      </c>
      <c r="G5" s="652"/>
      <c r="H5" s="652" t="s">
        <v>29</v>
      </c>
      <c r="I5" s="652"/>
      <c r="J5" s="542" t="s">
        <v>40</v>
      </c>
      <c r="K5" s="542"/>
      <c r="L5" s="653" t="s">
        <v>41</v>
      </c>
      <c r="M5" s="653"/>
      <c r="N5" s="542" t="s">
        <v>39</v>
      </c>
      <c r="O5" s="542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56" t="s">
        <v>61</v>
      </c>
      <c r="D1" s="657">
        <f>INDEX(DATA_EVTBLD,B1,3)-B3</f>
        <v>62</v>
      </c>
      <c r="E1" s="656" t="s">
        <v>12</v>
      </c>
      <c r="F1" s="658">
        <f>1-(INDEX(DATA_EVTBLD,B1,3)-B3)/DATA_EVTBLD_MAX</f>
        <v>0.99566918133556859</v>
      </c>
      <c r="G1" s="658"/>
      <c r="H1" s="658"/>
      <c r="I1" s="658"/>
      <c r="J1" s="658"/>
      <c r="K1" s="658"/>
      <c r="L1" s="658"/>
      <c r="M1" s="658"/>
    </row>
    <row r="2" spans="1:13" ht="14.65" customHeight="1" x14ac:dyDescent="0.25">
      <c r="A2" s="327" t="s">
        <v>77</v>
      </c>
      <c r="B2" s="328">
        <v>35</v>
      </c>
      <c r="C2" s="656"/>
      <c r="D2" s="657"/>
      <c r="E2" s="656"/>
      <c r="F2" s="658"/>
      <c r="G2" s="658"/>
      <c r="H2" s="658"/>
      <c r="I2" s="658"/>
      <c r="J2" s="658"/>
      <c r="K2" s="658"/>
      <c r="L2" s="658"/>
      <c r="M2" s="658"/>
    </row>
    <row r="3" spans="1:13" ht="14.65" customHeight="1" x14ac:dyDescent="0.25">
      <c r="A3" s="327" t="s">
        <v>60</v>
      </c>
      <c r="B3" s="328">
        <v>5338</v>
      </c>
      <c r="C3" s="656"/>
      <c r="D3" s="657"/>
      <c r="E3" s="656"/>
      <c r="F3" s="658"/>
      <c r="G3" s="658"/>
      <c r="H3" s="658"/>
      <c r="I3" s="658"/>
      <c r="J3" s="658"/>
      <c r="K3" s="658"/>
      <c r="L3" s="658"/>
      <c r="M3" s="658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4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全體傷害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2021-09-03T06:07:46Z</cp:lastPrinted>
  <dcterms:created xsi:type="dcterms:W3CDTF">2018-11-17T15:28:10Z</dcterms:created>
  <dcterms:modified xsi:type="dcterms:W3CDTF">2022-03-17T01:20:56Z</dcterms:modified>
</cp:coreProperties>
</file>