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39E47662-B107-4241-8759-D58B45E022DB}" xr6:coauthVersionLast="46" xr6:coauthVersionMax="46" xr10:uidLastSave="{00000000-0000-0000-0000-000000000000}"/>
  <bookViews>
    <workbookView xWindow="2115" yWindow="1140" windowWidth="21600" windowHeight="14325" activeTab="4" xr2:uid="{4CFB4A6A-60C6-4091-BCA5-480044B61D33}"/>
  </bookViews>
  <sheets>
    <sheet name="Rotation" sheetId="8" r:id="rId1"/>
    <sheet name="Affliction" sheetId="1" r:id="rId2"/>
    <sheet name="Equips" sheetId="6" r:id="rId3"/>
    <sheet name="Steps" sheetId="4" r:id="rId4"/>
    <sheet name="Damag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7" l="1"/>
  <c r="F28" i="7" l="1"/>
  <c r="F25" i="7"/>
  <c r="F24" i="7"/>
  <c r="F23" i="7"/>
  <c r="F20" i="7"/>
  <c r="F18" i="7"/>
  <c r="F16" i="7"/>
  <c r="F12" i="7"/>
  <c r="F10" i="7"/>
  <c r="F9" i="7"/>
  <c r="F4" i="7"/>
  <c r="F3" i="7"/>
  <c r="F2" i="7"/>
  <c r="E2" i="7"/>
  <c r="H28" i="7"/>
  <c r="H25" i="7"/>
  <c r="H24" i="7"/>
  <c r="H23" i="7"/>
  <c r="H20" i="7"/>
  <c r="H18" i="7"/>
  <c r="H16" i="7"/>
  <c r="H12" i="7"/>
  <c r="H10" i="7"/>
  <c r="H9" i="7"/>
  <c r="H4" i="7"/>
  <c r="H3" i="7"/>
  <c r="G2" i="7"/>
  <c r="H2" i="7" s="1"/>
  <c r="E29" i="7" l="1"/>
  <c r="G29" i="7"/>
  <c r="D28" i="7"/>
  <c r="D24" i="7"/>
  <c r="D23" i="7"/>
  <c r="D20" i="7"/>
  <c r="D18" i="7"/>
  <c r="D16" i="7"/>
  <c r="D12" i="7"/>
  <c r="D10" i="7"/>
  <c r="D9" i="7"/>
  <c r="D4" i="7"/>
  <c r="D3" i="7"/>
  <c r="C2" i="7"/>
  <c r="D2" i="7" s="1"/>
  <c r="C29" i="7" l="1"/>
  <c r="M8" i="8"/>
  <c r="D11" i="4" l="1"/>
  <c r="C11" i="4"/>
  <c r="D8" i="4"/>
  <c r="C8" i="4"/>
  <c r="D5" i="4"/>
  <c r="C5" i="4"/>
  <c r="D2" i="4"/>
  <c r="C2" i="4"/>
  <c r="A5" i="4"/>
  <c r="A11" i="4" l="1"/>
  <c r="A8" i="4"/>
  <c r="A2" i="4"/>
  <c r="T6" i="8" l="1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L8" i="8"/>
  <c r="K8" i="8"/>
  <c r="J8" i="8"/>
  <c r="I8" i="8"/>
  <c r="N7" i="8"/>
  <c r="M7" i="8"/>
  <c r="V2" i="8" s="1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L4" i="8"/>
  <c r="K4" i="8"/>
  <c r="J4" i="8"/>
  <c r="I4" i="8"/>
  <c r="N3" i="8"/>
  <c r="M3" i="8"/>
  <c r="L3" i="8"/>
  <c r="K3" i="8"/>
  <c r="J3" i="8"/>
  <c r="I3" i="8"/>
  <c r="V3" i="8" l="1"/>
  <c r="X3" i="8" s="1"/>
  <c r="V4" i="8"/>
  <c r="Y3" i="8" s="1"/>
  <c r="X5" i="8" l="1"/>
  <c r="X8" i="8"/>
  <c r="X4" i="8"/>
  <c r="X7" i="8"/>
  <c r="X6" i="8"/>
  <c r="Y4" i="8"/>
  <c r="Y7" i="8"/>
  <c r="Y8" i="8"/>
  <c r="Y6" i="8"/>
  <c r="Y5" i="8"/>
  <c r="J2" i="1"/>
  <c r="E4" i="1"/>
  <c r="E5" i="1"/>
  <c r="E2" i="1"/>
  <c r="E3" i="1" s="1"/>
  <c r="E6" i="1"/>
  <c r="E10" i="1" s="1"/>
  <c r="J5" i="1" s="1"/>
  <c r="V5" i="8" l="1" a="1"/>
  <c r="V5" i="8" s="1"/>
  <c r="V6" i="8" a="1"/>
  <c r="V6" i="8" s="1"/>
  <c r="E7" i="1"/>
  <c r="E9" i="1" s="1"/>
  <c r="E8" i="1" s="1"/>
  <c r="J3" i="1" l="1"/>
  <c r="J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tc={CB8FB53A-6734-48F6-BA34-94AD79DA4E09}</author>
    <author>tc={53B2D701-BABF-4409-A1F2-841A52005360}</author>
  </authors>
  <commentList>
    <comment ref="B5" authorId="0" shapeId="0" xr:uid="{CB8FB53A-6734-48F6-BA34-94AD79DA4E09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6" authorId="1" shapeId="0" xr:uid="{53B2D701-BABF-4409-A1F2-841A52005360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<sst xmlns="http://schemas.openxmlformats.org/spreadsheetml/2006/main" count="303" uniqueCount="148">
  <si>
    <t>睡抗</t>
  </si>
  <si>
    <t>濕抗</t>
  </si>
  <si>
    <t>睡眠Base</t>
  </si>
  <si>
    <t>濕身Base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</si>
  <si>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</si>
  <si>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</si>
  <si>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</si>
  <si>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</si>
  <si>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</si>
  <si>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</si>
  <si>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</si>
  <si>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</si>
  <si>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</si>
  <si>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</si>
  <si>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</si>
  <si>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</si>
  <si>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</si>
  <si>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</si>
  <si>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</si>
  <si>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</si>
  <si>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</si>
  <si>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</si>
  <si>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</si>
  <si>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</si>
  <si>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</si>
  <si>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</si>
  <si>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</si>
  <si>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</si>
  <si>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</si>
  <si>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</si>
  <si>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</si>
  <si>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</si>
  <si>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</si>
  <si>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</si>
  <si>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</si>
  <si>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</si>
  <si>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</si>
  <si>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</si>
  <si>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</si>
  <si>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</si>
  <si>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</si>
  <si>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</si>
  <si>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</si>
  <si>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常數</t>
  </si>
  <si>
    <t>面板內被動攻擊</t>
  </si>
  <si>
    <t>面板外被動攻擊</t>
  </si>
  <si>
    <t>攻擊倍率</t>
  </si>
  <si>
    <t>被動技傷</t>
  </si>
  <si>
    <t>超活力</t>
  </si>
  <si>
    <t>其他特攻和</t>
  </si>
  <si>
    <t>龍化建築增傷</t>
  </si>
  <si>
    <t>龍化被動增傷</t>
  </si>
  <si>
    <t>基礎防禦</t>
  </si>
  <si>
    <t>防禦變動</t>
  </si>
  <si>
    <t>傷害計算</t>
  </si>
  <si>
    <t>項目(技傷簡化版)</t>
  </si>
  <si>
    <t>攻擊BUFF</t>
  </si>
  <si>
    <t>刀EX</t>
  </si>
  <si>
    <t>BK特攻</t>
  </si>
  <si>
    <t>屬性增傷EX</t>
  </si>
  <si>
    <t>ATK</t>
  </si>
  <si>
    <t>傷害減免</t>
  </si>
  <si>
    <t>CRT</t>
  </si>
  <si>
    <t>面板</t>
  </si>
  <si>
    <t>SDMG</t>
  </si>
  <si>
    <t>特攻</t>
  </si>
  <si>
    <t>屬性</t>
  </si>
  <si>
    <t>倍率 (1.5 / 1 / 0.5)</t>
  </si>
  <si>
    <t>CRT ? (0 / 1)</t>
  </si>
  <si>
    <t>法 EX</t>
  </si>
  <si>
    <t>技傷 BUFF</t>
  </si>
  <si>
    <t>龍化？ (0 / 1)</t>
  </si>
  <si>
    <t>龍化</t>
  </si>
  <si>
    <t>亂數調整 (0.95~1.05)</t>
  </si>
  <si>
    <t>BK 係數</t>
  </si>
  <si>
    <t>BK 判定 (0 / 1)</t>
  </si>
  <si>
    <t>濕身判定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</si>
  <si>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</si>
  <si>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</si>
  <si>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</si>
  <si>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</si>
  <si>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</si>
  <si>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</si>
  <si>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</si>
  <si>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</si>
  <si>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短銃</t>
  </si>
  <si>
    <t>散銃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</si>
  <si>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</si>
  <si>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</si>
  <si>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</si>
  <si>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</si>
  <si>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</si>
  <si>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</si>
  <si>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</si>
  <si>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</si>
  <si>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</si>
  <si>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</si>
  <si>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</si>
  <si>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</si>
  <si>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</si>
  <si>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</si>
  <si>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</si>
  <si>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</si>
  <si>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</si>
  <si>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</si>
  <si>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</si>
  <si>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</si>
  <si>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</si>
  <si>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</si>
  <si>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</si>
  <si>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守護 +ATK</t>
  </si>
  <si>
    <t>守護 +CDMG</t>
  </si>
  <si>
    <t>兔龍</t>
  </si>
  <si>
    <t>斧符</t>
  </si>
  <si>
    <t>BOSS</t>
  </si>
  <si>
    <t>凍特</t>
  </si>
  <si>
    <t>海盜</t>
  </si>
  <si>
    <t>三葉 A</t>
  </si>
  <si>
    <t>三葉 B</t>
  </si>
  <si>
    <t>賽蓮</t>
  </si>
  <si>
    <t>守護 +活力</t>
  </si>
  <si>
    <t>爆傷</t>
  </si>
  <si>
    <t>DEF+</t>
  </si>
  <si>
    <t>弓克</t>
  </si>
  <si>
    <t>短符</t>
  </si>
  <si>
    <t>開場 +50%</t>
  </si>
  <si>
    <t>啦啦隊</t>
  </si>
  <si>
    <t>特萊茲</t>
  </si>
  <si>
    <t>濕身</t>
  </si>
  <si>
    <t>S3
DEF</t>
  </si>
  <si>
    <t>S4
DEF</t>
  </si>
  <si>
    <t>∑ DEF</t>
  </si>
  <si>
    <t>洛克人</t>
  </si>
  <si>
    <t>無形</t>
  </si>
  <si>
    <t>BK 特</t>
  </si>
  <si>
    <t>S3 &gt; S2 &gt; S1 &gt; S4 &gt; S1</t>
  </si>
  <si>
    <t>切 &gt; S2 &gt; S3 &gt; S4 &gt; FS &gt; S3 &gt; S4 &gt; (等海盜弓克) &gt; S2</t>
  </si>
  <si>
    <t>切 &gt; S2 &gt; S3 &gt; S4 &gt; FS &gt; S4 &gt; S2 &gt; S3</t>
  </si>
  <si>
    <t>Actual</t>
  </si>
  <si>
    <t>三葉 C</t>
  </si>
  <si>
    <t>D</t>
  </si>
  <si>
    <t>U</t>
  </si>
  <si>
    <t>轉P</t>
  </si>
  <si>
    <t>P1</t>
  </si>
  <si>
    <t>P2</t>
  </si>
  <si>
    <t>Cassandra</t>
  </si>
  <si>
    <t>Yuya</t>
  </si>
  <si>
    <t>Serena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</si>
</sst>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sz val="8"/>
      <color theme="0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</fills>
  <borders count="1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22" borderId="1" xfId="0" applyNumberFormat="1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7" borderId="1" xfId="0" applyNumberFormat="1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8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8" fillId="4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8" fillId="42" borderId="1" xfId="0" applyFont="1" applyFill="1" applyBorder="1" applyAlignment="1">
      <alignment horizontal="center" vertical="center"/>
    </xf>
    <xf numFmtId="0" fontId="8" fillId="4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8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1" xfId="0" quotePrefix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9" fontId="14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3" fontId="7" fillId="11" borderId="2" xfId="0" applyNumberFormat="1" applyFont="1" applyFill="1" applyBorder="1" applyAlignment="1">
      <alignment horizontal="center" vertical="center"/>
    </xf>
    <xf numFmtId="3" fontId="7" fillId="11" borderId="3" xfId="0" applyNumberFormat="1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30024"/>
      <color rgb="FF003217"/>
      <color rgb="FF240000"/>
      <color rgb="FF323100"/>
      <color rgb="FF000C24"/>
      <color rgb="FF242300"/>
      <color rgb="FF140000"/>
      <color rgb="FF0E2234"/>
      <color rgb="FF320000"/>
      <color rgb="FF1B0C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09T14:25:11.51" personId="{ABEC8F12-B0D3-44BC-AF35-B8DCE860105B}" id="{CB8FB53A-6734-48F6-BA34-94AD79DA4E09}">
    <text>【護符被動、龍被動】
裝備時，遊戲內顯示出的改變後的 ATK，例如: 滿血
【主條件】
滿血、0 Combo</text>
  </threadedComment>
  <threadedComment ref="B6" dT="2020-10-10T04:01:10.20" personId="{ABEC8F12-B0D3-44BC-AF35-B8DCE860105B}" id="{53B2D701-BABF-4409-A1F2-841A52005360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Y13"/>
  <sheetViews>
    <sheetView workbookViewId="0">
      <selection activeCell="E16" sqref="E16"/>
    </sheetView>
  </sheetViews>
  <sheetFormatPr defaultRowHeight="19.5" customHeight="1" x14ac:dyDescent="0.25"/>
  <cols>
    <col min="1" max="14" width="5.85546875" style="53" customWidth="1"/>
    <col min="15" max="15" width="5.85546875" style="72" customWidth="1"/>
    <col min="16" max="16" width="5.85546875" style="74" customWidth="1"/>
    <col min="17" max="17" width="5.85546875" style="59" customWidth="1"/>
    <col min="18" max="18" width="5.85546875" style="67" customWidth="1"/>
    <col min="19" max="19" width="11" style="60" customWidth="1"/>
    <col min="20" max="20" width="9.140625" style="13" customWidth="1"/>
    <col min="21" max="21" width="11" style="65" customWidth="1"/>
    <col min="22" max="22" width="10.5703125" style="15" customWidth="1"/>
    <col min="23" max="16384" width="9.140625" style="53"/>
  </cols>
  <sheetData>
    <row r="1" spans="1:25" ht="28.5" customHeight="1" x14ac:dyDescent="0.25">
      <c r="A1" s="87" t="s">
        <v>94</v>
      </c>
      <c r="B1" s="88"/>
      <c r="C1" s="88"/>
      <c r="D1" s="88"/>
      <c r="E1" s="88"/>
      <c r="F1" s="88"/>
      <c r="G1" s="89"/>
      <c r="H1" s="87" t="s">
        <v>93</v>
      </c>
      <c r="I1" s="88"/>
      <c r="J1" s="88"/>
      <c r="K1" s="88"/>
      <c r="L1" s="88"/>
      <c r="M1" s="88"/>
      <c r="N1" s="89"/>
      <c r="O1" s="90" t="s">
        <v>96</v>
      </c>
      <c r="P1" s="91"/>
      <c r="Q1" s="81" t="s">
        <v>95</v>
      </c>
      <c r="R1" s="82"/>
      <c r="S1" s="83" t="s">
        <v>90</v>
      </c>
      <c r="T1" s="84"/>
      <c r="U1" s="85" t="s">
        <v>91</v>
      </c>
      <c r="V1" s="86"/>
    </row>
    <row r="2" spans="1:25" s="57" customFormat="1" ht="19.5" customHeight="1" x14ac:dyDescent="0.25">
      <c r="A2" s="64" t="s">
        <v>16</v>
      </c>
      <c r="B2" s="62" t="s">
        <v>105</v>
      </c>
      <c r="C2" s="62" t="s">
        <v>106</v>
      </c>
      <c r="D2" s="62" t="s">
        <v>107</v>
      </c>
      <c r="E2" s="62" t="s">
        <v>108</v>
      </c>
      <c r="F2" s="62" t="s">
        <v>109</v>
      </c>
      <c r="G2" s="63" t="s">
        <v>39</v>
      </c>
      <c r="H2" s="64" t="s">
        <v>16</v>
      </c>
      <c r="I2" s="62" t="s">
        <v>105</v>
      </c>
      <c r="J2" s="62" t="s">
        <v>106</v>
      </c>
      <c r="K2" s="62" t="s">
        <v>107</v>
      </c>
      <c r="L2" s="62" t="s">
        <v>108</v>
      </c>
      <c r="M2" s="62" t="s">
        <v>109</v>
      </c>
      <c r="N2" s="63" t="s">
        <v>39</v>
      </c>
      <c r="O2" s="72" t="s">
        <v>87</v>
      </c>
      <c r="P2" s="73">
        <v>0</v>
      </c>
      <c r="Q2" s="59" t="s">
        <v>87</v>
      </c>
      <c r="R2" s="66">
        <v>0.15</v>
      </c>
      <c r="S2" s="60" t="s">
        <v>9</v>
      </c>
      <c r="T2" s="12"/>
      <c r="U2" s="68" t="s">
        <v>92</v>
      </c>
      <c r="V2" s="69">
        <f>VLOOKUP(T3,$H$3:$M$13,6,FALSE)</f>
        <v>2064</v>
      </c>
      <c r="X2" s="57" t="s">
        <v>40</v>
      </c>
      <c r="Y2" s="57" t="s">
        <v>38</v>
      </c>
    </row>
    <row r="3" spans="1:25" ht="19.5" customHeight="1" x14ac:dyDescent="0.25">
      <c r="A3" s="3" t="s">
        <v>78</v>
      </c>
      <c r="B3" s="61">
        <v>150</v>
      </c>
      <c r="C3" s="61">
        <v>300</v>
      </c>
      <c r="D3" s="61">
        <v>496</v>
      </c>
      <c r="E3" s="61">
        <v>761</v>
      </c>
      <c r="F3" s="61">
        <v>1152</v>
      </c>
      <c r="G3" s="58">
        <v>345</v>
      </c>
      <c r="H3" s="3" t="s">
        <v>78</v>
      </c>
      <c r="I3" s="61">
        <f>B3 * (1+SUM($R:$R))</f>
        <v>193.5</v>
      </c>
      <c r="J3" s="61">
        <f t="shared" ref="J3:J13" si="0">C3 * (1+SUM($R:$R))</f>
        <v>387</v>
      </c>
      <c r="K3" s="61">
        <f t="shared" ref="K3:M10" si="1">D3 * (1+SUM($R:$R))</f>
        <v>639.84</v>
      </c>
      <c r="L3" s="61">
        <f t="shared" si="1"/>
        <v>981.69</v>
      </c>
      <c r="M3" s="61">
        <f t="shared" si="1"/>
        <v>1486.08</v>
      </c>
      <c r="N3" s="58">
        <f t="shared" ref="N3:N13" si="2">G3 * (1+SUM($R:$R))</f>
        <v>445.05</v>
      </c>
      <c r="O3" s="72" t="s">
        <v>17</v>
      </c>
      <c r="P3" s="73">
        <v>0</v>
      </c>
      <c r="Q3" s="59" t="s">
        <v>17</v>
      </c>
      <c r="R3" s="66">
        <v>0</v>
      </c>
      <c r="S3" s="60" t="s">
        <v>77</v>
      </c>
      <c r="T3" s="13" t="s">
        <v>29</v>
      </c>
      <c r="U3" s="68" t="s">
        <v>102</v>
      </c>
      <c r="V3" s="69">
        <f>MOD(T6, V2)</f>
        <v>458</v>
      </c>
      <c r="W3" s="57" t="s">
        <v>39</v>
      </c>
      <c r="X3" s="57" t="b">
        <f>AND(V3 &gt; 0, V3 &lt;= VLOOKUP($T$3,$H$3:$N$13,7,FALSE))</f>
        <v>1</v>
      </c>
      <c r="Y3" s="57" t="b">
        <f>AND(V4 &gt; 0, V4 &lt;= VLOOKUP($T$3,$H$3:$N$13,7,FALSE))</f>
        <v>0</v>
      </c>
    </row>
    <row r="4" spans="1:25" ht="19.5" customHeight="1" x14ac:dyDescent="0.25">
      <c r="A4" s="3" t="s">
        <v>30</v>
      </c>
      <c r="B4" s="61">
        <v>130</v>
      </c>
      <c r="C4" s="61">
        <v>260</v>
      </c>
      <c r="D4" s="61">
        <v>480</v>
      </c>
      <c r="E4" s="61">
        <v>840</v>
      </c>
      <c r="F4" s="61">
        <v>1740</v>
      </c>
      <c r="G4" s="58">
        <v>200</v>
      </c>
      <c r="H4" s="3" t="s">
        <v>30</v>
      </c>
      <c r="I4" s="61">
        <f t="shared" ref="I4:I13" si="3">B4 * (1+SUM($R:$R))</f>
        <v>167.70000000000002</v>
      </c>
      <c r="J4" s="61">
        <f t="shared" si="0"/>
        <v>335.40000000000003</v>
      </c>
      <c r="K4" s="61">
        <f t="shared" si="1"/>
        <v>619.20000000000005</v>
      </c>
      <c r="L4" s="61">
        <f t="shared" si="1"/>
        <v>1083.6000000000001</v>
      </c>
      <c r="M4" s="61">
        <f t="shared" si="1"/>
        <v>2244.6</v>
      </c>
      <c r="N4" s="58">
        <f t="shared" si="2"/>
        <v>258</v>
      </c>
      <c r="O4" s="72" t="s">
        <v>88</v>
      </c>
      <c r="P4" s="73">
        <v>0</v>
      </c>
      <c r="Q4" s="59" t="s">
        <v>88</v>
      </c>
      <c r="R4" s="66">
        <v>0.14000000000000001</v>
      </c>
      <c r="S4" s="60" t="s">
        <v>97</v>
      </c>
      <c r="T4" s="13">
        <v>8714</v>
      </c>
      <c r="U4" s="68" t="s">
        <v>103</v>
      </c>
      <c r="V4" s="69">
        <f>MOD(T7, V2)</f>
        <v>1872</v>
      </c>
      <c r="W4" s="57" t="s">
        <v>105</v>
      </c>
      <c r="X4" s="57" t="b">
        <f>AND(V3 &gt; VLOOKUP($T$3,$H$3:$M$13,1,FALSE),V3 &lt;= VLOOKUP($T$3,$H$3:$M$13,2,FALSE))</f>
        <v>0</v>
      </c>
      <c r="Y4" s="57" t="b">
        <f>AND(V4 &gt; VLOOKUP($T$3,$H$3:$M$13,1,FALSE),V4 &lt;= VLOOKUP($T$3,$H$3:$M$13,2,FALSE))</f>
        <v>0</v>
      </c>
    </row>
    <row r="5" spans="1:25" ht="19.5" customHeight="1" x14ac:dyDescent="0.25">
      <c r="A5" s="3" t="s">
        <v>79</v>
      </c>
      <c r="B5" s="61">
        <v>144</v>
      </c>
      <c r="C5" s="61">
        <v>288</v>
      </c>
      <c r="D5" s="61">
        <v>552</v>
      </c>
      <c r="E5" s="61">
        <v>840</v>
      </c>
      <c r="F5" s="61">
        <v>1320</v>
      </c>
      <c r="G5" s="58">
        <v>288</v>
      </c>
      <c r="H5" s="3" t="s">
        <v>79</v>
      </c>
      <c r="I5" s="61">
        <f t="shared" si="3"/>
        <v>185.76</v>
      </c>
      <c r="J5" s="61">
        <f t="shared" si="0"/>
        <v>371.52</v>
      </c>
      <c r="K5" s="61">
        <f t="shared" si="1"/>
        <v>712.08</v>
      </c>
      <c r="L5" s="61">
        <f t="shared" si="1"/>
        <v>1083.6000000000001</v>
      </c>
      <c r="M5" s="61">
        <f t="shared" si="1"/>
        <v>1702.8</v>
      </c>
      <c r="N5" s="58">
        <f t="shared" si="2"/>
        <v>371.52</v>
      </c>
      <c r="O5" s="72" t="s">
        <v>89</v>
      </c>
      <c r="P5" s="73">
        <v>0</v>
      </c>
      <c r="Q5" s="59" t="s">
        <v>89</v>
      </c>
      <c r="R5" s="66">
        <v>0</v>
      </c>
      <c r="S5" s="60" t="s">
        <v>99</v>
      </c>
      <c r="T5" s="13">
        <v>6000</v>
      </c>
      <c r="U5" s="70" t="s">
        <v>100</v>
      </c>
      <c r="V5" s="71" t="str" cm="1">
        <f t="array" ref="V5">(ROUNDDOWN(T6/V2, 0) + IF(X8,1,0)) &amp; _xlfn.IFS(X3, " + FS", X4, " + C1", X5, " + C2", X6, " + C3", X7, " + C4", TRUE, "")</f>
        <v>4 + FS</v>
      </c>
      <c r="W5" s="57" t="s">
        <v>106</v>
      </c>
      <c r="X5" s="57" t="b">
        <f>AND(V3&gt;VLOOKUP($T$3,$H$3:$M$13,2,FALSE),V3&lt;=VLOOKUP($T$3,$H$3:$M$13,3,FALSE))</f>
        <v>0</v>
      </c>
      <c r="Y5" s="57" t="b">
        <f>AND(V4&gt;=VLOOKUP($T$3,$H$3:$M$13,2,FALSE),V4&lt;VLOOKUP($T$3,$H$3:$M$13,3,FALSE))</f>
        <v>0</v>
      </c>
    </row>
    <row r="6" spans="1:25" ht="19.5" customHeight="1" x14ac:dyDescent="0.25">
      <c r="A6" s="3" t="s">
        <v>80</v>
      </c>
      <c r="B6" s="61">
        <v>200</v>
      </c>
      <c r="C6" s="61">
        <v>440</v>
      </c>
      <c r="D6" s="61">
        <v>800</v>
      </c>
      <c r="E6" s="61">
        <v>1180</v>
      </c>
      <c r="F6" s="61">
        <v>1600</v>
      </c>
      <c r="G6" s="58">
        <v>300</v>
      </c>
      <c r="H6" s="3" t="s">
        <v>80</v>
      </c>
      <c r="I6" s="61">
        <f t="shared" si="3"/>
        <v>258</v>
      </c>
      <c r="J6" s="61">
        <f t="shared" si="0"/>
        <v>567.6</v>
      </c>
      <c r="K6" s="61">
        <f t="shared" si="1"/>
        <v>1032</v>
      </c>
      <c r="L6" s="61">
        <f t="shared" si="1"/>
        <v>1522.2</v>
      </c>
      <c r="M6" s="61">
        <f t="shared" si="1"/>
        <v>2064</v>
      </c>
      <c r="N6" s="58">
        <f t="shared" si="2"/>
        <v>387</v>
      </c>
      <c r="S6" s="75" t="s">
        <v>98</v>
      </c>
      <c r="T6" s="76">
        <f>T4 * (1 - SUM(P:P))</f>
        <v>8714</v>
      </c>
      <c r="U6" s="77" t="s">
        <v>101</v>
      </c>
      <c r="V6" s="71" t="str" cm="1">
        <f t="array" ref="V6">(ROUNDDOWN(T7/V2, 0) + IF(Y8,1,0)) &amp; _xlfn.IFS(Y3, " + FS", Y4, " + C1", Y5, " + C2", Y6, " + C3", Y7, " + C4", TRUE, "")</f>
        <v>3</v>
      </c>
      <c r="W6" s="57" t="s">
        <v>107</v>
      </c>
      <c r="X6" s="57" t="b">
        <f>AND(V3 &gt; VLOOKUP($T$3,$H$3:$M$13,3,FALSE),V3 &lt;= VLOOKUP($T$3,$H$3:$M$13,4,FALSE))</f>
        <v>1</v>
      </c>
      <c r="Y6" s="57" t="b">
        <f>AND(V4 &gt; VLOOKUP($T$3,$H$3:$M$13,3,FALSE),V4 &lt;= VLOOKUP($T$3,$H$3:$M$13,4,FALSE))</f>
        <v>0</v>
      </c>
    </row>
    <row r="7" spans="1:25" ht="19.5" customHeight="1" x14ac:dyDescent="0.25">
      <c r="A7" s="3" t="s">
        <v>81</v>
      </c>
      <c r="B7" s="61">
        <v>120</v>
      </c>
      <c r="C7" s="61">
        <v>360</v>
      </c>
      <c r="D7" s="61">
        <v>480</v>
      </c>
      <c r="E7" s="61">
        <v>960</v>
      </c>
      <c r="F7" s="61">
        <v>1560</v>
      </c>
      <c r="G7" s="58">
        <v>400</v>
      </c>
      <c r="H7" s="3" t="s">
        <v>81</v>
      </c>
      <c r="I7" s="61">
        <f t="shared" si="3"/>
        <v>154.80000000000001</v>
      </c>
      <c r="J7" s="61">
        <f t="shared" si="0"/>
        <v>464.40000000000003</v>
      </c>
      <c r="K7" s="61">
        <f t="shared" si="1"/>
        <v>619.20000000000005</v>
      </c>
      <c r="L7" s="61">
        <f t="shared" si="1"/>
        <v>1238.4000000000001</v>
      </c>
      <c r="M7" s="61">
        <f t="shared" si="1"/>
        <v>2012.4</v>
      </c>
      <c r="N7" s="58">
        <f t="shared" si="2"/>
        <v>516</v>
      </c>
      <c r="S7" s="75" t="s">
        <v>104</v>
      </c>
      <c r="T7" s="76">
        <f>T5 * (1 - SUM(P:P))</f>
        <v>6000</v>
      </c>
      <c r="W7" s="57" t="s">
        <v>108</v>
      </c>
      <c r="X7" s="57" t="b">
        <f>AND(V3 &gt; VLOOKUP($T$3,$H$3:$M$13,4,FALSE),V3 &lt;= VLOOKUP($T$3,$H$3:$M$13,5,FALSE))</f>
        <v>0</v>
      </c>
      <c r="Y7" s="57" t="b">
        <f>AND(V4 &gt; VLOOKUP($T$3,$H$3:$M$13,4,FALSE),V4 &lt;= VLOOKUP($T$3,$H$3:$M$13,5,FALSE))</f>
        <v>0</v>
      </c>
    </row>
    <row r="8" spans="1:25" ht="19.5" customHeight="1" x14ac:dyDescent="0.25">
      <c r="A8" s="3" t="s">
        <v>82</v>
      </c>
      <c r="B8" s="61">
        <v>184</v>
      </c>
      <c r="C8" s="61">
        <v>276</v>
      </c>
      <c r="D8" s="61">
        <v>552</v>
      </c>
      <c r="E8" s="61">
        <v>966</v>
      </c>
      <c r="F8" s="61">
        <v>1495</v>
      </c>
      <c r="G8" s="58">
        <v>460</v>
      </c>
      <c r="H8" s="3" t="s">
        <v>82</v>
      </c>
      <c r="I8" s="61">
        <f t="shared" si="3"/>
        <v>237.36</v>
      </c>
      <c r="J8" s="61">
        <f t="shared" si="0"/>
        <v>356.04</v>
      </c>
      <c r="K8" s="61">
        <f t="shared" si="1"/>
        <v>712.08</v>
      </c>
      <c r="L8" s="61">
        <f t="shared" si="1"/>
        <v>1246.1400000000001</v>
      </c>
      <c r="M8" s="61">
        <f t="shared" si="1"/>
        <v>1928.55</v>
      </c>
      <c r="N8" s="58">
        <f t="shared" si="2"/>
        <v>593.4</v>
      </c>
      <c r="W8" s="57" t="s">
        <v>109</v>
      </c>
      <c r="X8" s="57" t="b">
        <f>V3&gt;VLOOKUP($T$3,$H$3:$M$13,5,FALSE)</f>
        <v>0</v>
      </c>
      <c r="Y8" s="57" t="b">
        <f>V4&gt;VLOOKUP($T$3,$H$3:$M$13,5,FALSE)</f>
        <v>1</v>
      </c>
    </row>
    <row r="9" spans="1:25" ht="19.5" customHeight="1" x14ac:dyDescent="0.25">
      <c r="A9" s="3" t="s">
        <v>29</v>
      </c>
      <c r="B9" s="61">
        <v>130</v>
      </c>
      <c r="C9" s="61">
        <v>330</v>
      </c>
      <c r="D9" s="61">
        <v>570</v>
      </c>
      <c r="E9" s="61">
        <v>1000</v>
      </c>
      <c r="F9" s="61">
        <v>1600</v>
      </c>
      <c r="G9" s="58">
        <v>400</v>
      </c>
      <c r="H9" s="3" t="s">
        <v>29</v>
      </c>
      <c r="I9" s="61">
        <f t="shared" si="3"/>
        <v>167.70000000000002</v>
      </c>
      <c r="J9" s="61">
        <f t="shared" si="0"/>
        <v>425.7</v>
      </c>
      <c r="K9" s="61">
        <f t="shared" si="1"/>
        <v>735.30000000000007</v>
      </c>
      <c r="L9" s="61">
        <f t="shared" si="1"/>
        <v>1290</v>
      </c>
      <c r="M9" s="61">
        <f t="shared" si="1"/>
        <v>2064</v>
      </c>
      <c r="N9" s="58">
        <f t="shared" si="2"/>
        <v>516</v>
      </c>
      <c r="W9" s="57"/>
      <c r="X9" s="57"/>
      <c r="Y9" s="57"/>
    </row>
    <row r="10" spans="1:25" ht="19.5" customHeight="1" x14ac:dyDescent="0.25">
      <c r="A10" s="3" t="s">
        <v>83</v>
      </c>
      <c r="B10" s="61">
        <v>232</v>
      </c>
      <c r="C10" s="61">
        <v>464</v>
      </c>
      <c r="D10" s="61">
        <v>812</v>
      </c>
      <c r="E10" s="61">
        <v>1276</v>
      </c>
      <c r="F10" s="61">
        <v>1972</v>
      </c>
      <c r="G10" s="58">
        <v>580</v>
      </c>
      <c r="H10" s="3" t="s">
        <v>83</v>
      </c>
      <c r="I10" s="61">
        <f t="shared" si="3"/>
        <v>299.28000000000003</v>
      </c>
      <c r="J10" s="61">
        <f t="shared" si="0"/>
        <v>598.56000000000006</v>
      </c>
      <c r="K10" s="61">
        <f t="shared" si="1"/>
        <v>1047.48</v>
      </c>
      <c r="L10" s="61">
        <f t="shared" si="1"/>
        <v>1646.04</v>
      </c>
      <c r="M10" s="61">
        <f t="shared" si="1"/>
        <v>2543.88</v>
      </c>
      <c r="N10" s="58">
        <f t="shared" si="2"/>
        <v>748.2</v>
      </c>
    </row>
    <row r="11" spans="1:25" ht="19.5" customHeight="1" x14ac:dyDescent="0.25">
      <c r="A11" s="3" t="s">
        <v>84</v>
      </c>
      <c r="B11" s="61">
        <v>545</v>
      </c>
      <c r="C11" s="61">
        <v>1090</v>
      </c>
      <c r="D11" s="61"/>
      <c r="E11" s="61"/>
      <c r="F11" s="61"/>
      <c r="G11" s="58">
        <v>400</v>
      </c>
      <c r="H11" s="3" t="s">
        <v>84</v>
      </c>
      <c r="I11" s="61">
        <f t="shared" si="3"/>
        <v>703.05000000000007</v>
      </c>
      <c r="J11" s="61">
        <f t="shared" si="0"/>
        <v>1406.1000000000001</v>
      </c>
      <c r="K11" s="61"/>
      <c r="L11" s="61"/>
      <c r="M11" s="61"/>
      <c r="N11" s="58">
        <f t="shared" si="2"/>
        <v>516</v>
      </c>
    </row>
    <row r="12" spans="1:25" ht="19.5" customHeight="1" x14ac:dyDescent="0.25">
      <c r="A12" s="3" t="s">
        <v>85</v>
      </c>
      <c r="B12" s="61">
        <v>464</v>
      </c>
      <c r="C12" s="61">
        <v>928</v>
      </c>
      <c r="D12" s="61"/>
      <c r="E12" s="61"/>
      <c r="F12" s="61"/>
      <c r="G12" s="58">
        <v>400</v>
      </c>
      <c r="H12" s="3" t="s">
        <v>85</v>
      </c>
      <c r="I12" s="61">
        <f t="shared" si="3"/>
        <v>598.56000000000006</v>
      </c>
      <c r="J12" s="61">
        <f t="shared" si="0"/>
        <v>1197.1200000000001</v>
      </c>
      <c r="K12" s="61"/>
      <c r="L12" s="61"/>
      <c r="M12" s="61"/>
      <c r="N12" s="58">
        <f t="shared" si="2"/>
        <v>516</v>
      </c>
    </row>
    <row r="13" spans="1:25" ht="19.5" customHeight="1" x14ac:dyDescent="0.25">
      <c r="A13" s="3" t="s">
        <v>86</v>
      </c>
      <c r="B13" s="61">
        <v>300</v>
      </c>
      <c r="C13" s="61">
        <v>764</v>
      </c>
      <c r="D13" s="61">
        <v>1228</v>
      </c>
      <c r="E13" s="61"/>
      <c r="F13" s="61"/>
      <c r="G13" s="58">
        <v>400</v>
      </c>
      <c r="H13" s="3" t="s">
        <v>86</v>
      </c>
      <c r="I13" s="61">
        <f t="shared" si="3"/>
        <v>387</v>
      </c>
      <c r="J13" s="61">
        <f t="shared" si="0"/>
        <v>985.56000000000006</v>
      </c>
      <c r="K13" s="61">
        <f>D13 * (1+SUM($R:$R))</f>
        <v>1584.1200000000001</v>
      </c>
      <c r="L13" s="61"/>
      <c r="M13" s="61"/>
      <c r="N13" s="58">
        <f t="shared" si="2"/>
        <v>516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D27" sqref="D27"/>
    </sheetView>
  </sheetViews>
  <sheetFormatPr defaultColWidth="10.85546875" defaultRowHeight="18" customHeight="1" x14ac:dyDescent="0.25"/>
  <cols>
    <col min="1" max="3" width="10.85546875" style="53"/>
    <col min="4" max="4" width="13.28515625" style="53" customWidth="1"/>
    <col min="5" max="5" width="10.85546875" style="55"/>
    <col min="6" max="6" width="18.42578125" style="53" customWidth="1"/>
    <col min="7" max="7" width="10.85546875" style="53"/>
    <col min="8" max="9" width="13.28515625" style="53" customWidth="1"/>
    <col min="10" max="16384" width="10.85546875" style="53"/>
  </cols>
  <sheetData>
    <row r="1" spans="1:10" ht="18" customHeight="1" x14ac:dyDescent="0.25">
      <c r="A1" s="53" t="s">
        <v>0</v>
      </c>
      <c r="B1" s="54">
        <v>0.99</v>
      </c>
      <c r="D1" s="53" t="s">
        <v>5</v>
      </c>
      <c r="E1" s="55" t="s">
        <v>4</v>
      </c>
      <c r="F1" s="53" t="s">
        <v>9</v>
      </c>
      <c r="J1" s="53" t="s">
        <v>4</v>
      </c>
    </row>
    <row r="2" spans="1:10" ht="18" customHeight="1" x14ac:dyDescent="0.25">
      <c r="A2" s="53" t="s">
        <v>1</v>
      </c>
      <c r="B2" s="54">
        <v>0.99</v>
      </c>
      <c r="D2" s="53" t="s">
        <v>12</v>
      </c>
      <c r="E2" s="55">
        <f>B4-B2</f>
        <v>0.81</v>
      </c>
      <c r="H2" s="53" t="s">
        <v>14</v>
      </c>
      <c r="I2" s="53" t="s">
        <v>12</v>
      </c>
      <c r="J2" s="56">
        <f>VLOOKUP(H2,$D:$E,2,FALSE)*VLOOKUP(I2,$D:$E,2,FALSE)</f>
        <v>8.9100000000000082E-2</v>
      </c>
    </row>
    <row r="3" spans="1:10" ht="18" customHeight="1" x14ac:dyDescent="0.25">
      <c r="A3" s="53" t="s">
        <v>2</v>
      </c>
      <c r="B3" s="54">
        <v>1.1000000000000001</v>
      </c>
      <c r="D3" s="53" t="s">
        <v>13</v>
      </c>
      <c r="E3" s="55">
        <f>1-E2</f>
        <v>0.18999999999999995</v>
      </c>
      <c r="H3" s="53" t="s">
        <v>6</v>
      </c>
      <c r="I3" s="53" t="s">
        <v>12</v>
      </c>
      <c r="J3" s="56">
        <f>VLOOKUP(H3,$D:$E,2,FALSE)*VLOOKUP(I3,$D:$E,2,FALSE)</f>
        <v>0.16839900000000016</v>
      </c>
    </row>
    <row r="4" spans="1:10" ht="18" customHeight="1" x14ac:dyDescent="0.25">
      <c r="A4" s="53" t="s">
        <v>3</v>
      </c>
      <c r="B4" s="54">
        <v>1.8</v>
      </c>
      <c r="D4" s="53" t="s">
        <v>11</v>
      </c>
      <c r="E4" s="55">
        <f>1-E5</f>
        <v>0.96389999999999998</v>
      </c>
      <c r="F4" s="53" t="s">
        <v>8</v>
      </c>
      <c r="H4" s="53" t="s">
        <v>6</v>
      </c>
      <c r="I4" s="53" t="s">
        <v>11</v>
      </c>
      <c r="J4" s="56">
        <f>VLOOKUP(H4,$D:$E,2,FALSE)*VLOOKUP(I4,$D:$E,2,FALSE)</f>
        <v>0.20039481000000017</v>
      </c>
    </row>
    <row r="5" spans="1:10" ht="18" customHeight="1" x14ac:dyDescent="0.25">
      <c r="D5" s="53" t="s">
        <v>10</v>
      </c>
      <c r="E5" s="55">
        <f>E3*E3</f>
        <v>3.6099999999999979E-2</v>
      </c>
      <c r="H5" s="53" t="s">
        <v>41</v>
      </c>
      <c r="I5" s="53" t="s">
        <v>12</v>
      </c>
      <c r="J5" s="56">
        <f>VLOOKUP(H5,$D:$E,2,FALSE)*VLOOKUP(I5,$D:$E,2,FALSE)</f>
        <v>9.801000000000018E-3</v>
      </c>
    </row>
    <row r="6" spans="1:10" ht="18" customHeight="1" x14ac:dyDescent="0.25">
      <c r="D6" s="53" t="s">
        <v>14</v>
      </c>
      <c r="E6" s="55">
        <f>B3-B1</f>
        <v>0.1100000000000001</v>
      </c>
    </row>
    <row r="7" spans="1:10" ht="18" customHeight="1" x14ac:dyDescent="0.25">
      <c r="D7" s="53" t="s">
        <v>15</v>
      </c>
      <c r="E7" s="55">
        <f>1-E6</f>
        <v>0.8899999999999999</v>
      </c>
    </row>
    <row r="8" spans="1:10" ht="18" customHeight="1" x14ac:dyDescent="0.25">
      <c r="D8" s="53" t="s">
        <v>6</v>
      </c>
      <c r="E8" s="55">
        <f>1-E9</f>
        <v>0.2079000000000002</v>
      </c>
      <c r="F8" s="53" t="s">
        <v>8</v>
      </c>
    </row>
    <row r="9" spans="1:10" ht="18" customHeight="1" x14ac:dyDescent="0.25">
      <c r="D9" s="53" t="s">
        <v>7</v>
      </c>
      <c r="E9" s="55">
        <f>E7*E7</f>
        <v>0.7920999999999998</v>
      </c>
    </row>
    <row r="10" spans="1:10" ht="18" customHeight="1" x14ac:dyDescent="0.25">
      <c r="D10" s="53" t="s">
        <v>41</v>
      </c>
      <c r="E10" s="55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I21"/>
  <sheetViews>
    <sheetView workbookViewId="0">
      <selection activeCell="F12" sqref="F12"/>
    </sheetView>
  </sheetViews>
  <sheetFormatPr defaultRowHeight="20.25" customHeight="1" x14ac:dyDescent="0.25"/>
  <cols>
    <col min="1" max="1" width="9.140625" style="1"/>
    <col min="2" max="5" width="16.5703125" style="2" customWidth="1"/>
    <col min="6" max="7" width="9.140625" style="1"/>
    <col min="8" max="9" width="16.5703125" style="2" customWidth="1"/>
    <col min="10" max="16384" width="9.140625" style="1"/>
  </cols>
  <sheetData>
    <row r="1" spans="1:9" ht="20.25" customHeight="1" x14ac:dyDescent="0.25">
      <c r="B1" s="1" t="s">
        <v>116</v>
      </c>
      <c r="C1" s="1" t="s">
        <v>116</v>
      </c>
      <c r="D1" s="1" t="s">
        <v>118</v>
      </c>
      <c r="E1" s="1" t="s">
        <v>139</v>
      </c>
      <c r="H1" s="1" t="s">
        <v>116</v>
      </c>
      <c r="I1" s="1" t="s">
        <v>33</v>
      </c>
    </row>
    <row r="2" spans="1:9" ht="20.25" customHeight="1" x14ac:dyDescent="0.25">
      <c r="A2" s="5" t="s">
        <v>16</v>
      </c>
      <c r="B2" s="6">
        <v>624</v>
      </c>
      <c r="C2" s="6">
        <v>624</v>
      </c>
      <c r="D2" s="6">
        <v>624</v>
      </c>
      <c r="E2" s="6">
        <v>624</v>
      </c>
      <c r="G2" s="5" t="s">
        <v>16</v>
      </c>
      <c r="H2" s="6">
        <v>624</v>
      </c>
      <c r="I2" s="6">
        <v>624</v>
      </c>
    </row>
    <row r="3" spans="1:9" ht="20.25" customHeight="1" x14ac:dyDescent="0.25">
      <c r="A3" s="7" t="s">
        <v>17</v>
      </c>
      <c r="B3" s="8" t="s">
        <v>119</v>
      </c>
      <c r="C3" s="8" t="s">
        <v>119</v>
      </c>
      <c r="D3" s="8" t="s">
        <v>112</v>
      </c>
      <c r="E3" s="8" t="s">
        <v>112</v>
      </c>
      <c r="G3" s="7" t="s">
        <v>17</v>
      </c>
      <c r="H3" s="8" t="s">
        <v>119</v>
      </c>
      <c r="I3" s="8" t="s">
        <v>112</v>
      </c>
    </row>
    <row r="4" spans="1:9" ht="20.25" customHeight="1" x14ac:dyDescent="0.25">
      <c r="A4" s="10" t="s">
        <v>18</v>
      </c>
      <c r="B4" s="11" t="s">
        <v>113</v>
      </c>
      <c r="C4" s="11" t="s">
        <v>113</v>
      </c>
      <c r="D4" s="11" t="s">
        <v>133</v>
      </c>
      <c r="E4" s="11" t="s">
        <v>133</v>
      </c>
      <c r="G4" s="10" t="s">
        <v>18</v>
      </c>
      <c r="H4" s="11" t="s">
        <v>113</v>
      </c>
      <c r="I4" s="11" t="s">
        <v>124</v>
      </c>
    </row>
    <row r="5" spans="1:9" ht="20.25" customHeight="1" x14ac:dyDescent="0.25">
      <c r="A5" s="10" t="s">
        <v>19</v>
      </c>
      <c r="B5" s="11" t="s">
        <v>110</v>
      </c>
      <c r="C5" s="11" t="s">
        <v>110</v>
      </c>
      <c r="D5" s="11" t="s">
        <v>125</v>
      </c>
      <c r="E5" s="11" t="s">
        <v>125</v>
      </c>
      <c r="G5" s="10" t="s">
        <v>19</v>
      </c>
      <c r="H5" s="11" t="s">
        <v>110</v>
      </c>
      <c r="I5" s="11" t="s">
        <v>125</v>
      </c>
    </row>
    <row r="6" spans="1:9" ht="20.25" customHeight="1" x14ac:dyDescent="0.25">
      <c r="A6" s="10" t="s">
        <v>20</v>
      </c>
      <c r="B6" s="11" t="s">
        <v>111</v>
      </c>
      <c r="C6" s="11" t="s">
        <v>111</v>
      </c>
      <c r="D6" s="11" t="s">
        <v>126</v>
      </c>
      <c r="E6" s="11" t="s">
        <v>126</v>
      </c>
      <c r="G6" s="10" t="s">
        <v>20</v>
      </c>
      <c r="H6" s="11" t="s">
        <v>111</v>
      </c>
      <c r="I6" s="11" t="s">
        <v>126</v>
      </c>
    </row>
    <row r="7" spans="1:9" ht="20.25" customHeight="1" x14ac:dyDescent="0.25">
      <c r="A7" s="12" t="s">
        <v>21</v>
      </c>
      <c r="B7" s="13" t="s">
        <v>115</v>
      </c>
      <c r="C7" s="13" t="s">
        <v>115</v>
      </c>
      <c r="D7" s="13" t="s">
        <v>120</v>
      </c>
      <c r="E7" s="13" t="s">
        <v>120</v>
      </c>
      <c r="G7" s="12" t="s">
        <v>21</v>
      </c>
      <c r="H7" s="13" t="s">
        <v>120</v>
      </c>
      <c r="I7" s="13" t="s">
        <v>120</v>
      </c>
    </row>
    <row r="8" spans="1:9" ht="20.25" customHeight="1" x14ac:dyDescent="0.25">
      <c r="A8" s="12" t="s">
        <v>22</v>
      </c>
      <c r="B8" s="13" t="s">
        <v>134</v>
      </c>
      <c r="C8" s="13" t="s">
        <v>134</v>
      </c>
      <c r="D8" s="13" t="s">
        <v>125</v>
      </c>
      <c r="E8" s="13" t="s">
        <v>125</v>
      </c>
      <c r="G8" s="12" t="s">
        <v>22</v>
      </c>
      <c r="H8" s="13" t="s">
        <v>115</v>
      </c>
      <c r="I8" s="13" t="s">
        <v>125</v>
      </c>
    </row>
    <row r="9" spans="1:9" ht="20.25" customHeight="1" x14ac:dyDescent="0.25">
      <c r="A9" s="16" t="s">
        <v>23</v>
      </c>
      <c r="B9" s="17" t="s">
        <v>30</v>
      </c>
      <c r="C9" s="17" t="s">
        <v>30</v>
      </c>
      <c r="D9" s="17" t="s">
        <v>30</v>
      </c>
      <c r="E9" s="17" t="s">
        <v>30</v>
      </c>
      <c r="G9" s="16" t="s">
        <v>23</v>
      </c>
      <c r="H9" s="17" t="s">
        <v>30</v>
      </c>
      <c r="I9" s="17" t="s">
        <v>30</v>
      </c>
    </row>
    <row r="10" spans="1:9" ht="20.25" customHeight="1" x14ac:dyDescent="0.25">
      <c r="A10" s="16" t="s">
        <v>24</v>
      </c>
      <c r="B10" s="17" t="s">
        <v>29</v>
      </c>
      <c r="C10" s="17" t="s">
        <v>29</v>
      </c>
      <c r="D10" s="17" t="s">
        <v>29</v>
      </c>
      <c r="E10" s="17" t="s">
        <v>29</v>
      </c>
      <c r="G10" s="16" t="s">
        <v>24</v>
      </c>
      <c r="H10" s="17" t="s">
        <v>29</v>
      </c>
      <c r="I10" s="17" t="s">
        <v>29</v>
      </c>
    </row>
    <row r="11" spans="1:9" ht="20.25" customHeight="1" x14ac:dyDescent="0.25">
      <c r="A11" s="16" t="s">
        <v>25</v>
      </c>
      <c r="B11" s="17" t="s">
        <v>132</v>
      </c>
      <c r="C11" s="17" t="s">
        <v>132</v>
      </c>
      <c r="D11" s="17" t="s">
        <v>127</v>
      </c>
      <c r="E11" s="17" t="s">
        <v>127</v>
      </c>
      <c r="G11" s="16" t="s">
        <v>25</v>
      </c>
      <c r="H11" s="17" t="s">
        <v>121</v>
      </c>
      <c r="I11" s="17" t="s">
        <v>127</v>
      </c>
    </row>
    <row r="12" spans="1:9" ht="20.25" customHeight="1" x14ac:dyDescent="0.25">
      <c r="A12" s="14" t="s">
        <v>26</v>
      </c>
      <c r="B12" s="15"/>
      <c r="C12" s="15"/>
      <c r="D12" s="15"/>
      <c r="E12" s="15"/>
      <c r="G12" s="14" t="s">
        <v>26</v>
      </c>
      <c r="H12" s="15"/>
      <c r="I12" s="15"/>
    </row>
    <row r="13" spans="1:9" ht="20.25" customHeight="1" x14ac:dyDescent="0.25">
      <c r="A13" s="14" t="s">
        <v>27</v>
      </c>
      <c r="B13" s="15"/>
      <c r="C13" s="15"/>
      <c r="D13" s="15"/>
      <c r="E13" s="15"/>
      <c r="G13" s="14" t="s">
        <v>27</v>
      </c>
      <c r="H13" s="15"/>
      <c r="I13" s="15"/>
    </row>
    <row r="14" spans="1:9" ht="20.25" customHeight="1" x14ac:dyDescent="0.25">
      <c r="A14" s="14" t="s">
        <v>28</v>
      </c>
      <c r="B14" s="15"/>
      <c r="C14" s="15"/>
      <c r="D14" s="15"/>
      <c r="E14" s="15"/>
      <c r="G14" s="14" t="s">
        <v>28</v>
      </c>
      <c r="H14" s="15"/>
      <c r="I14" s="15"/>
    </row>
    <row r="15" spans="1:9" ht="20.25" customHeight="1" x14ac:dyDescent="0.25">
      <c r="A15" s="3" t="s">
        <v>31</v>
      </c>
      <c r="B15" s="4" t="s">
        <v>122</v>
      </c>
      <c r="C15" s="4" t="s">
        <v>122</v>
      </c>
      <c r="D15" s="4" t="s">
        <v>128</v>
      </c>
      <c r="E15" s="4" t="s">
        <v>122</v>
      </c>
      <c r="G15" s="3" t="s">
        <v>31</v>
      </c>
      <c r="H15" s="4" t="s">
        <v>122</v>
      </c>
      <c r="I15" s="4" t="s">
        <v>122</v>
      </c>
    </row>
    <row r="16" spans="1:9" ht="20.25" customHeight="1" x14ac:dyDescent="0.25">
      <c r="A16" s="3" t="s">
        <v>32</v>
      </c>
      <c r="B16" s="4" t="s">
        <v>123</v>
      </c>
      <c r="C16" s="4" t="s">
        <v>123</v>
      </c>
      <c r="D16" s="4" t="s">
        <v>37</v>
      </c>
      <c r="E16" s="4" t="s">
        <v>122</v>
      </c>
      <c r="G16" s="3" t="s">
        <v>32</v>
      </c>
      <c r="H16" s="4" t="s">
        <v>123</v>
      </c>
      <c r="I16" s="4" t="s">
        <v>122</v>
      </c>
    </row>
    <row r="17" spans="1:5" ht="20.25" customHeight="1" x14ac:dyDescent="0.25">
      <c r="B17" s="1"/>
      <c r="C17" s="1"/>
      <c r="D17" s="1"/>
      <c r="E17" s="1"/>
    </row>
    <row r="18" spans="1:5" ht="20.25" customHeight="1" x14ac:dyDescent="0.25">
      <c r="A18" s="1" t="s">
        <v>116</v>
      </c>
      <c r="B18" s="93" t="s">
        <v>135</v>
      </c>
      <c r="C18" s="93"/>
      <c r="D18" s="93"/>
      <c r="E18" s="94"/>
    </row>
    <row r="19" spans="1:5" ht="20.25" customHeight="1" x14ac:dyDescent="0.25">
      <c r="A19" s="1" t="s">
        <v>117</v>
      </c>
      <c r="B19" s="92" t="s">
        <v>137</v>
      </c>
      <c r="C19" s="93"/>
      <c r="D19" s="93"/>
      <c r="E19" s="94"/>
    </row>
    <row r="20" spans="1:5" ht="20.25" customHeight="1" x14ac:dyDescent="0.25">
      <c r="A20" s="1" t="s">
        <v>118</v>
      </c>
      <c r="B20" s="92" t="s">
        <v>136</v>
      </c>
      <c r="C20" s="93"/>
      <c r="D20" s="93"/>
      <c r="E20" s="94"/>
    </row>
    <row r="21" spans="1:5" ht="20.25" customHeight="1" x14ac:dyDescent="0.25">
      <c r="E21" s="80"/>
    </row>
  </sheetData>
  <mergeCells count="3">
    <mergeCell ref="B20:E20"/>
    <mergeCell ref="B18:E18"/>
    <mergeCell ref="B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X14"/>
  <sheetViews>
    <sheetView workbookViewId="0">
      <selection activeCell="J10" sqref="J10"/>
    </sheetView>
  </sheetViews>
  <sheetFormatPr defaultRowHeight="20.25" customHeight="1" x14ac:dyDescent="0.25"/>
  <cols>
    <col min="1" max="1" width="7.42578125" style="2" customWidth="1"/>
    <col min="2" max="4" width="5" style="4" customWidth="1"/>
    <col min="5" max="68" width="4.5703125" style="2" customWidth="1"/>
    <col min="69" max="16384" width="9.140625" style="2"/>
  </cols>
  <sheetData>
    <row r="1" spans="1:24" s="1" customFormat="1" ht="20.25" customHeight="1" x14ac:dyDescent="0.25">
      <c r="B1" s="18">
        <v>1</v>
      </c>
      <c r="C1" s="79" t="s">
        <v>129</v>
      </c>
      <c r="D1" s="79" t="s">
        <v>130</v>
      </c>
      <c r="E1" s="1" t="s">
        <v>143</v>
      </c>
      <c r="I1" s="1" t="s">
        <v>142</v>
      </c>
      <c r="N1" s="1" t="s">
        <v>144</v>
      </c>
    </row>
    <row r="2" spans="1:24" s="6" customFormat="1" ht="20.25" customHeight="1" x14ac:dyDescent="0.25">
      <c r="A2" s="6" t="str">
        <f>Equips!B1</f>
        <v>海盜</v>
      </c>
      <c r="B2" s="4"/>
      <c r="C2" s="4" t="str">
        <f>IF(Equips!B15="DEF+","O","X")</f>
        <v>O</v>
      </c>
      <c r="D2" s="4" t="str">
        <f>IF(Equips!B16="DEF+","O","X")</f>
        <v>X</v>
      </c>
      <c r="H2" s="6" t="s">
        <v>40</v>
      </c>
      <c r="O2" s="78"/>
      <c r="Q2" s="6" t="s">
        <v>40</v>
      </c>
      <c r="T2" s="6" t="s">
        <v>38</v>
      </c>
      <c r="U2" s="6" t="s">
        <v>40</v>
      </c>
      <c r="W2" s="6" t="s">
        <v>36</v>
      </c>
      <c r="X2" s="6" t="s">
        <v>40</v>
      </c>
    </row>
    <row r="3" spans="1:24" s="6" customFormat="1" ht="20.25" customHeight="1" x14ac:dyDescent="0.25">
      <c r="A3" s="6" t="s">
        <v>34</v>
      </c>
      <c r="B3" s="4"/>
      <c r="C3" s="4"/>
      <c r="D3" s="4"/>
    </row>
    <row r="4" spans="1:24" s="6" customFormat="1" ht="20.25" customHeight="1" x14ac:dyDescent="0.25">
      <c r="A4" s="6" t="s">
        <v>131</v>
      </c>
      <c r="B4" s="4"/>
      <c r="C4" s="4"/>
      <c r="D4" s="4"/>
    </row>
    <row r="5" spans="1:24" s="8" customFormat="1" ht="20.25" customHeight="1" x14ac:dyDescent="0.25">
      <c r="A5" s="8" t="str">
        <f>Equips!C1</f>
        <v>海盜</v>
      </c>
      <c r="B5" s="4"/>
      <c r="C5" s="4" t="str">
        <f>IF(Equips!C15="DEF+","O","X")</f>
        <v>O</v>
      </c>
      <c r="D5" s="4" t="str">
        <f>IF(Equips!C16="DEF+","O","X")</f>
        <v>X</v>
      </c>
      <c r="E5" s="8" t="s">
        <v>35</v>
      </c>
      <c r="F5" s="8" t="s">
        <v>36</v>
      </c>
      <c r="G5" s="8" t="s">
        <v>38</v>
      </c>
      <c r="J5" s="8" t="s">
        <v>35</v>
      </c>
      <c r="K5" s="8" t="s">
        <v>36</v>
      </c>
      <c r="L5" s="8" t="s">
        <v>35</v>
      </c>
      <c r="M5" s="8" t="s">
        <v>36</v>
      </c>
      <c r="P5" s="8" t="s">
        <v>38</v>
      </c>
      <c r="Q5" s="8" t="s">
        <v>39</v>
      </c>
      <c r="R5" s="8" t="s">
        <v>35</v>
      </c>
      <c r="S5" s="8" t="s">
        <v>36</v>
      </c>
      <c r="T5" s="8" t="s">
        <v>38</v>
      </c>
    </row>
    <row r="6" spans="1:24" s="8" customFormat="1" ht="20.25" customHeight="1" x14ac:dyDescent="0.25">
      <c r="A6" s="8" t="s">
        <v>34</v>
      </c>
      <c r="B6" s="4"/>
      <c r="C6" s="4"/>
      <c r="D6" s="4"/>
    </row>
    <row r="7" spans="1:24" s="8" customFormat="1" ht="20.25" customHeight="1" x14ac:dyDescent="0.25">
      <c r="A7" s="8" t="s">
        <v>131</v>
      </c>
      <c r="B7" s="4"/>
      <c r="C7" s="4"/>
      <c r="D7" s="4"/>
    </row>
    <row r="8" spans="1:24" s="9" customFormat="1" ht="20.25" customHeight="1" x14ac:dyDescent="0.25">
      <c r="A8" s="9" t="str">
        <f>Equips!D1</f>
        <v>三葉 B</v>
      </c>
      <c r="B8" s="4"/>
      <c r="C8" s="4" t="str">
        <f>IF(Equips!D15="DEF+","O","X")</f>
        <v>X</v>
      </c>
      <c r="D8" s="4" t="str">
        <f>IF(Equips!D16="DEF+","O","X")</f>
        <v>X</v>
      </c>
      <c r="E8" s="9" t="s">
        <v>35</v>
      </c>
      <c r="F8" s="9" t="s">
        <v>36</v>
      </c>
      <c r="G8" s="9" t="s">
        <v>38</v>
      </c>
      <c r="I8" s="9" t="s">
        <v>140</v>
      </c>
      <c r="J8" s="9" t="s">
        <v>141</v>
      </c>
      <c r="N8" s="9" t="s">
        <v>35</v>
      </c>
      <c r="O8" s="9" t="s">
        <v>36</v>
      </c>
      <c r="P8" s="9" t="s">
        <v>38</v>
      </c>
      <c r="Q8" s="9" t="s">
        <v>39</v>
      </c>
      <c r="R8" s="9" t="s">
        <v>35</v>
      </c>
      <c r="S8" s="9" t="s">
        <v>36</v>
      </c>
      <c r="W8" s="9" t="s">
        <v>38</v>
      </c>
    </row>
    <row r="9" spans="1:24" s="9" customFormat="1" ht="20.25" customHeight="1" x14ac:dyDescent="0.25">
      <c r="A9" s="9" t="s">
        <v>34</v>
      </c>
      <c r="B9" s="4"/>
      <c r="C9" s="4"/>
      <c r="D9" s="4"/>
      <c r="H9" s="19"/>
    </row>
    <row r="10" spans="1:24" s="9" customFormat="1" ht="20.25" customHeight="1" x14ac:dyDescent="0.25">
      <c r="A10" s="9" t="s">
        <v>131</v>
      </c>
      <c r="B10" s="4"/>
      <c r="C10" s="4"/>
      <c r="D10" s="4"/>
      <c r="H10" s="19"/>
    </row>
    <row r="11" spans="1:24" s="15" customFormat="1" ht="20.25" customHeight="1" x14ac:dyDescent="0.25">
      <c r="A11" s="15" t="str">
        <f>Equips!E1</f>
        <v>三葉 C</v>
      </c>
      <c r="B11" s="4"/>
      <c r="C11" s="4" t="str">
        <f>IF(Equips!E15="DEF+","O","X")</f>
        <v>O</v>
      </c>
      <c r="D11" s="4" t="str">
        <f>IF(Equips!E16="DEF+","O","X")</f>
        <v>O</v>
      </c>
      <c r="E11" s="15" t="s">
        <v>35</v>
      </c>
      <c r="F11" s="15" t="s">
        <v>36</v>
      </c>
      <c r="G11" s="15" t="s">
        <v>38</v>
      </c>
      <c r="I11" s="15" t="s">
        <v>140</v>
      </c>
      <c r="J11" s="15" t="s">
        <v>141</v>
      </c>
      <c r="N11" s="15" t="s">
        <v>35</v>
      </c>
      <c r="O11" s="15" t="s">
        <v>36</v>
      </c>
      <c r="S11" s="15" t="s">
        <v>38</v>
      </c>
      <c r="T11" s="15" t="s">
        <v>39</v>
      </c>
      <c r="U11" s="15" t="s">
        <v>35</v>
      </c>
      <c r="V11" s="15" t="s">
        <v>36</v>
      </c>
      <c r="W11" s="15" t="s">
        <v>38</v>
      </c>
    </row>
    <row r="12" spans="1:24" s="15" customFormat="1" ht="20.25" customHeight="1" x14ac:dyDescent="0.25">
      <c r="A12" s="15" t="s">
        <v>34</v>
      </c>
      <c r="B12" s="4"/>
      <c r="C12" s="4"/>
      <c r="D12" s="4"/>
    </row>
    <row r="13" spans="1:24" s="15" customFormat="1" ht="20.25" customHeight="1" x14ac:dyDescent="0.25">
      <c r="A13" s="15" t="s">
        <v>131</v>
      </c>
      <c r="B13" s="4"/>
      <c r="C13" s="4"/>
      <c r="D13" s="4"/>
    </row>
    <row r="14" spans="1:24" s="4" customFormat="1" ht="20.25" customHeight="1" x14ac:dyDescent="0.25">
      <c r="A14" s="4" t="s"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CA3-18A6-4987-88AD-5768B35D8A0C}">
  <dimension ref="A1:H30"/>
  <sheetViews>
    <sheetView tabSelected="1" workbookViewId="0">
      <pane xSplit="2" topLeftCell="C1" activePane="topRight" state="frozen"/>
      <selection pane="topRight" activeCell="D4" sqref="D4:D8"/>
    </sheetView>
  </sheetViews>
  <sheetFormatPr defaultRowHeight="18" customHeight="1" x14ac:dyDescent="0.25"/>
  <cols>
    <col min="1" max="1" width="9.140625" style="51"/>
    <col min="2" max="2" width="19" style="52" customWidth="1"/>
    <col min="3" max="3" width="9.140625" style="20"/>
    <col min="4" max="4" width="15.42578125" style="20" customWidth="1"/>
    <col min="5" max="5" width="9.140625" style="20"/>
    <col min="6" max="6" width="11.28515625" style="20" customWidth="1"/>
    <col min="7" max="7" width="9.140625" style="20"/>
    <col min="8" max="8" width="11.28515625" style="20" customWidth="1"/>
    <col min="9" max="16384" width="9.140625" style="20"/>
  </cols>
  <sheetData>
    <row r="1" spans="1:8" ht="18" customHeight="1" x14ac:dyDescent="0.25">
      <c r="A1" s="100" t="s">
        <v>55</v>
      </c>
      <c r="B1" s="101"/>
      <c r="C1" s="104" t="s">
        <v>146</v>
      </c>
      <c r="D1" s="105"/>
      <c r="E1" s="104" t="s">
        <v>147</v>
      </c>
      <c r="F1" s="105"/>
      <c r="G1" s="104" t="s">
        <v>145</v>
      </c>
      <c r="H1" s="105"/>
    </row>
    <row r="2" spans="1:8" ht="18" customHeight="1" x14ac:dyDescent="0.25">
      <c r="A2" s="102" t="s">
        <v>43</v>
      </c>
      <c r="B2" s="103"/>
      <c r="C2" s="21">
        <f>5/3</f>
        <v>1.6666666666666667</v>
      </c>
      <c r="D2" s="22">
        <f>C2</f>
        <v>1.6666666666666667</v>
      </c>
      <c r="E2" s="21">
        <f>5/3</f>
        <v>1.6666666666666667</v>
      </c>
      <c r="F2" s="22">
        <f>E2</f>
        <v>1.6666666666666667</v>
      </c>
      <c r="G2" s="21">
        <f>5/3</f>
        <v>1.6666666666666667</v>
      </c>
      <c r="H2" s="22">
        <f>G2</f>
        <v>1.6666666666666667</v>
      </c>
    </row>
    <row r="3" spans="1:8" ht="18" customHeight="1" x14ac:dyDescent="0.25">
      <c r="A3" s="102" t="s">
        <v>61</v>
      </c>
      <c r="B3" s="103"/>
      <c r="C3" s="21">
        <v>0</v>
      </c>
      <c r="D3" s="22">
        <f>1-C3</f>
        <v>1</v>
      </c>
      <c r="E3" s="21">
        <v>0</v>
      </c>
      <c r="F3" s="22">
        <f>1-E3</f>
        <v>1</v>
      </c>
      <c r="G3" s="21">
        <v>0</v>
      </c>
      <c r="H3" s="22">
        <f>1-G3</f>
        <v>1</v>
      </c>
    </row>
    <row r="4" spans="1:8" s="25" customFormat="1" ht="18" customHeight="1" x14ac:dyDescent="0.25">
      <c r="A4" s="116" t="s">
        <v>60</v>
      </c>
      <c r="B4" s="45" t="s">
        <v>63</v>
      </c>
      <c r="C4" s="24">
        <v>4078</v>
      </c>
      <c r="D4" s="95">
        <f>(C4/(1+C5)*(1+C5+C6)*(1+C7)*(1+C8))</f>
        <v>4078</v>
      </c>
      <c r="E4" s="24">
        <v>4353</v>
      </c>
      <c r="F4" s="95">
        <f>(E4/(1+E5)*(1+E5+E6)*(1+E7)*(1+E8))</f>
        <v>5005.95</v>
      </c>
      <c r="G4" s="24">
        <v>4353</v>
      </c>
      <c r="H4" s="95">
        <f>(G4/(1+G5)*(1+G5+G6)*(1+G7)*(1+G8))</f>
        <v>5005.95</v>
      </c>
    </row>
    <row r="5" spans="1:8" s="25" customFormat="1" ht="18" customHeight="1" x14ac:dyDescent="0.25">
      <c r="A5" s="117"/>
      <c r="B5" s="45" t="s">
        <v>44</v>
      </c>
      <c r="C5" s="26">
        <v>0</v>
      </c>
      <c r="D5" s="96"/>
      <c r="E5" s="26">
        <v>0</v>
      </c>
      <c r="F5" s="96"/>
      <c r="G5" s="26">
        <v>0</v>
      </c>
      <c r="H5" s="96"/>
    </row>
    <row r="6" spans="1:8" s="25" customFormat="1" ht="18" customHeight="1" x14ac:dyDescent="0.25">
      <c r="A6" s="117"/>
      <c r="B6" s="45" t="s">
        <v>45</v>
      </c>
      <c r="C6" s="27">
        <v>0</v>
      </c>
      <c r="D6" s="96"/>
      <c r="E6" s="27">
        <v>0</v>
      </c>
      <c r="F6" s="96"/>
      <c r="G6" s="27">
        <v>0</v>
      </c>
      <c r="H6" s="96"/>
    </row>
    <row r="7" spans="1:8" s="25" customFormat="1" ht="18" customHeight="1" x14ac:dyDescent="0.25">
      <c r="A7" s="117"/>
      <c r="B7" s="45" t="s">
        <v>56</v>
      </c>
      <c r="C7" s="27">
        <v>0</v>
      </c>
      <c r="D7" s="96"/>
      <c r="E7" s="27">
        <v>0.15</v>
      </c>
      <c r="F7" s="96"/>
      <c r="G7" s="27">
        <v>0.15</v>
      </c>
      <c r="H7" s="96"/>
    </row>
    <row r="8" spans="1:8" s="25" customFormat="1" ht="18" customHeight="1" x14ac:dyDescent="0.25">
      <c r="A8" s="118"/>
      <c r="B8" s="45" t="s">
        <v>57</v>
      </c>
      <c r="C8" s="27">
        <v>0</v>
      </c>
      <c r="D8" s="97"/>
      <c r="E8" s="27">
        <v>0</v>
      </c>
      <c r="F8" s="97"/>
      <c r="G8" s="27">
        <v>0</v>
      </c>
      <c r="H8" s="97"/>
    </row>
    <row r="9" spans="1:8" s="30" customFormat="1" ht="18" customHeight="1" x14ac:dyDescent="0.25">
      <c r="A9" s="119" t="s">
        <v>46</v>
      </c>
      <c r="B9" s="120"/>
      <c r="C9" s="28">
        <v>16.64</v>
      </c>
      <c r="D9" s="29">
        <f>C9</f>
        <v>16.64</v>
      </c>
      <c r="E9" s="28">
        <v>29.16</v>
      </c>
      <c r="F9" s="29">
        <f>E9</f>
        <v>29.16</v>
      </c>
      <c r="G9" s="28">
        <v>31.71</v>
      </c>
      <c r="H9" s="29">
        <f>G9</f>
        <v>31.71</v>
      </c>
    </row>
    <row r="10" spans="1:8" s="32" customFormat="1" ht="18" customHeight="1" x14ac:dyDescent="0.25">
      <c r="A10" s="121" t="s">
        <v>62</v>
      </c>
      <c r="B10" s="46" t="s">
        <v>68</v>
      </c>
      <c r="C10" s="31">
        <v>0</v>
      </c>
      <c r="D10" s="98">
        <f>1+((0.7+C11)*C10)</f>
        <v>1</v>
      </c>
      <c r="E10" s="31">
        <v>0</v>
      </c>
      <c r="F10" s="98">
        <f>1+((0.7+E11)*E10)</f>
        <v>1</v>
      </c>
      <c r="G10" s="31">
        <v>0</v>
      </c>
      <c r="H10" s="98">
        <f>1+((0.7+G11)*G10)</f>
        <v>1</v>
      </c>
    </row>
    <row r="11" spans="1:8" s="32" customFormat="1" ht="18" customHeight="1" x14ac:dyDescent="0.25">
      <c r="A11" s="122"/>
      <c r="B11" s="46" t="s">
        <v>42</v>
      </c>
      <c r="C11" s="33">
        <v>1.7</v>
      </c>
      <c r="D11" s="99"/>
      <c r="E11" s="33">
        <v>0</v>
      </c>
      <c r="F11" s="99"/>
      <c r="G11" s="33">
        <v>0</v>
      </c>
      <c r="H11" s="99"/>
    </row>
    <row r="12" spans="1:8" s="35" customFormat="1" ht="18" customHeight="1" x14ac:dyDescent="0.25">
      <c r="A12" s="111" t="s">
        <v>64</v>
      </c>
      <c r="B12" s="47" t="s">
        <v>47</v>
      </c>
      <c r="C12" s="34">
        <v>0</v>
      </c>
      <c r="D12" s="131">
        <f>(1+C12+C13)*(1+C14)*(1+C15)</f>
        <v>1</v>
      </c>
      <c r="E12" s="34">
        <v>0</v>
      </c>
      <c r="F12" s="131">
        <f>(1+E12+E13)*(1+E14)*(1+E15)</f>
        <v>1.1499999999999999</v>
      </c>
      <c r="G12" s="34">
        <v>0</v>
      </c>
      <c r="H12" s="131">
        <f>(1+G12+G13)*(1+G14)*(1+G15)</f>
        <v>1.1499999999999999</v>
      </c>
    </row>
    <row r="13" spans="1:8" s="35" customFormat="1" ht="18" customHeight="1" x14ac:dyDescent="0.25">
      <c r="A13" s="112"/>
      <c r="B13" s="47" t="s">
        <v>48</v>
      </c>
      <c r="C13" s="34">
        <v>0</v>
      </c>
      <c r="D13" s="132"/>
      <c r="E13" s="34">
        <v>0</v>
      </c>
      <c r="F13" s="132"/>
      <c r="G13" s="34">
        <v>0</v>
      </c>
      <c r="H13" s="132"/>
    </row>
    <row r="14" spans="1:8" s="35" customFormat="1" ht="18" customHeight="1" x14ac:dyDescent="0.25">
      <c r="A14" s="112"/>
      <c r="B14" s="47" t="s">
        <v>69</v>
      </c>
      <c r="C14" s="34">
        <v>0</v>
      </c>
      <c r="D14" s="132"/>
      <c r="E14" s="34">
        <v>0.15</v>
      </c>
      <c r="F14" s="132"/>
      <c r="G14" s="34">
        <v>0.15</v>
      </c>
      <c r="H14" s="132"/>
    </row>
    <row r="15" spans="1:8" s="35" customFormat="1" ht="18" customHeight="1" x14ac:dyDescent="0.25">
      <c r="A15" s="113"/>
      <c r="B15" s="47" t="s">
        <v>70</v>
      </c>
      <c r="C15" s="34">
        <v>0</v>
      </c>
      <c r="D15" s="133"/>
      <c r="E15" s="34">
        <v>0</v>
      </c>
      <c r="F15" s="133"/>
      <c r="G15" s="34">
        <v>0</v>
      </c>
      <c r="H15" s="133"/>
    </row>
    <row r="16" spans="1:8" s="37" customFormat="1" ht="18" customHeight="1" x14ac:dyDescent="0.25">
      <c r="A16" s="114" t="s">
        <v>65</v>
      </c>
      <c r="B16" s="48" t="s">
        <v>58</v>
      </c>
      <c r="C16" s="36">
        <v>0</v>
      </c>
      <c r="D16" s="134">
        <f>(1+C16)*(1+C17)</f>
        <v>1</v>
      </c>
      <c r="E16" s="36">
        <v>0</v>
      </c>
      <c r="F16" s="134">
        <f>(1+E16)*(1+E17)</f>
        <v>1</v>
      </c>
      <c r="G16" s="36">
        <v>0</v>
      </c>
      <c r="H16" s="134">
        <f>(1+G16)*(1+G17)</f>
        <v>1</v>
      </c>
    </row>
    <row r="17" spans="1:8" s="37" customFormat="1" ht="18" customHeight="1" x14ac:dyDescent="0.25">
      <c r="A17" s="115"/>
      <c r="B17" s="48" t="s">
        <v>49</v>
      </c>
      <c r="C17" s="36">
        <v>0</v>
      </c>
      <c r="D17" s="135"/>
      <c r="E17" s="36">
        <v>0</v>
      </c>
      <c r="F17" s="135"/>
      <c r="G17" s="36">
        <v>0</v>
      </c>
      <c r="H17" s="135"/>
    </row>
    <row r="18" spans="1:8" s="39" customFormat="1" ht="18" customHeight="1" x14ac:dyDescent="0.25">
      <c r="A18" s="106" t="s">
        <v>66</v>
      </c>
      <c r="B18" s="49" t="s">
        <v>67</v>
      </c>
      <c r="C18" s="38">
        <v>1.5</v>
      </c>
      <c r="D18" s="136">
        <f>C18+C19</f>
        <v>1.5</v>
      </c>
      <c r="E18" s="38">
        <v>1.5</v>
      </c>
      <c r="F18" s="136">
        <f>E18+E19</f>
        <v>1.5</v>
      </c>
      <c r="G18" s="38">
        <v>1.5</v>
      </c>
      <c r="H18" s="136">
        <f>G18+G19</f>
        <v>1.5</v>
      </c>
    </row>
    <row r="19" spans="1:8" s="39" customFormat="1" ht="18" customHeight="1" x14ac:dyDescent="0.25">
      <c r="A19" s="107"/>
      <c r="B19" s="49" t="s">
        <v>59</v>
      </c>
      <c r="C19" s="40">
        <v>0</v>
      </c>
      <c r="D19" s="137"/>
      <c r="E19" s="40">
        <v>0</v>
      </c>
      <c r="F19" s="137"/>
      <c r="G19" s="40">
        <v>0</v>
      </c>
      <c r="H19" s="137"/>
    </row>
    <row r="20" spans="1:8" s="42" customFormat="1" ht="18" customHeight="1" x14ac:dyDescent="0.25">
      <c r="A20" s="108" t="s">
        <v>72</v>
      </c>
      <c r="B20" s="50" t="s">
        <v>71</v>
      </c>
      <c r="C20" s="41">
        <v>0</v>
      </c>
      <c r="D20" s="138">
        <f>1+C20*(0.2+C21+C22)</f>
        <v>1</v>
      </c>
      <c r="E20" s="41">
        <v>0</v>
      </c>
      <c r="F20" s="138">
        <f>1+E20*(0.2+E21+E22)</f>
        <v>1</v>
      </c>
      <c r="G20" s="41">
        <v>0</v>
      </c>
      <c r="H20" s="138">
        <f>1+G20*(0.2+G21+G22)</f>
        <v>1</v>
      </c>
    </row>
    <row r="21" spans="1:8" s="42" customFormat="1" ht="18" customHeight="1" x14ac:dyDescent="0.25">
      <c r="A21" s="109"/>
      <c r="B21" s="50" t="s">
        <v>50</v>
      </c>
      <c r="C21" s="41">
        <v>0.5</v>
      </c>
      <c r="D21" s="139"/>
      <c r="E21" s="41">
        <v>0.5</v>
      </c>
      <c r="F21" s="139"/>
      <c r="G21" s="41">
        <v>0.5</v>
      </c>
      <c r="H21" s="139"/>
    </row>
    <row r="22" spans="1:8" s="42" customFormat="1" ht="18" customHeight="1" x14ac:dyDescent="0.25">
      <c r="A22" s="110"/>
      <c r="B22" s="50" t="s">
        <v>51</v>
      </c>
      <c r="C22" s="41">
        <v>0</v>
      </c>
      <c r="D22" s="140"/>
      <c r="E22" s="41">
        <v>0</v>
      </c>
      <c r="F22" s="140"/>
      <c r="G22" s="41">
        <v>0</v>
      </c>
      <c r="H22" s="140"/>
    </row>
    <row r="23" spans="1:8" ht="18" customHeight="1" x14ac:dyDescent="0.25">
      <c r="A23" s="102" t="s">
        <v>73</v>
      </c>
      <c r="B23" s="103"/>
      <c r="C23" s="21">
        <v>1</v>
      </c>
      <c r="D23" s="23">
        <f>C23</f>
        <v>1</v>
      </c>
      <c r="E23" s="21">
        <v>1</v>
      </c>
      <c r="F23" s="23">
        <f>E23</f>
        <v>1</v>
      </c>
      <c r="G23" s="21">
        <v>1</v>
      </c>
      <c r="H23" s="23">
        <f>G23</f>
        <v>1</v>
      </c>
    </row>
    <row r="24" spans="1:8" s="42" customFormat="1" ht="18" customHeight="1" x14ac:dyDescent="0.25">
      <c r="A24" s="125" t="s">
        <v>52</v>
      </c>
      <c r="B24" s="126"/>
      <c r="C24" s="41">
        <v>10</v>
      </c>
      <c r="D24" s="43">
        <f>C24</f>
        <v>10</v>
      </c>
      <c r="E24" s="41">
        <v>10</v>
      </c>
      <c r="F24" s="43">
        <f>E24</f>
        <v>10</v>
      </c>
      <c r="G24" s="41">
        <v>10</v>
      </c>
      <c r="H24" s="43">
        <f>G24</f>
        <v>10</v>
      </c>
    </row>
    <row r="25" spans="1:8" s="25" customFormat="1" ht="18" customHeight="1" x14ac:dyDescent="0.25">
      <c r="A25" s="116" t="s">
        <v>53</v>
      </c>
      <c r="B25" s="45" t="s">
        <v>75</v>
      </c>
      <c r="C25" s="24">
        <v>0</v>
      </c>
      <c r="D25" s="141">
        <f>(1-(1-C26)*C25)*(1-C27)</f>
        <v>1</v>
      </c>
      <c r="E25" s="24">
        <v>0</v>
      </c>
      <c r="F25" s="141">
        <f>(1-(1-E26)*E25)*(1-E27)</f>
        <v>1</v>
      </c>
      <c r="G25" s="24">
        <v>0</v>
      </c>
      <c r="H25" s="141">
        <f>(1-(1-G26)*G25)*(1-G27)</f>
        <v>1</v>
      </c>
    </row>
    <row r="26" spans="1:8" s="25" customFormat="1" ht="18" customHeight="1" x14ac:dyDescent="0.25">
      <c r="A26" s="117"/>
      <c r="B26" s="45" t="s">
        <v>74</v>
      </c>
      <c r="C26" s="24">
        <v>0.8</v>
      </c>
      <c r="D26" s="142"/>
      <c r="E26" s="24">
        <v>0.6</v>
      </c>
      <c r="F26" s="142"/>
      <c r="G26" s="24">
        <v>0.6</v>
      </c>
      <c r="H26" s="142"/>
    </row>
    <row r="27" spans="1:8" s="25" customFormat="1" ht="18" customHeight="1" x14ac:dyDescent="0.25">
      <c r="A27" s="118"/>
      <c r="B27" s="45" t="s">
        <v>37</v>
      </c>
      <c r="C27" s="27">
        <v>0</v>
      </c>
      <c r="D27" s="143"/>
      <c r="E27" s="27">
        <v>0</v>
      </c>
      <c r="F27" s="143"/>
      <c r="G27" s="27">
        <v>0</v>
      </c>
      <c r="H27" s="143"/>
    </row>
    <row r="28" spans="1:8" s="39" customFormat="1" ht="18" customHeight="1" x14ac:dyDescent="0.25">
      <c r="A28" s="127" t="s">
        <v>76</v>
      </c>
      <c r="B28" s="128"/>
      <c r="C28" s="38">
        <v>0</v>
      </c>
      <c r="D28" s="44">
        <f>C28*0.5+1</f>
        <v>1</v>
      </c>
      <c r="E28" s="38">
        <v>0</v>
      </c>
      <c r="F28" s="44">
        <f>E28*0.5+1</f>
        <v>1</v>
      </c>
      <c r="G28" s="38">
        <v>0</v>
      </c>
      <c r="H28" s="44">
        <f>G28*0.5+1</f>
        <v>1</v>
      </c>
    </row>
    <row r="29" spans="1:8" ht="36" customHeight="1" x14ac:dyDescent="0.25">
      <c r="A29" s="123" t="s">
        <v>54</v>
      </c>
      <c r="B29" s="124"/>
      <c r="C29" s="129">
        <f>D2*D3*D4*D9*D10*D12*D16*D18*D20*D23/D24/D25*D28</f>
        <v>16964.480000000003</v>
      </c>
      <c r="D29" s="130"/>
      <c r="E29" s="129">
        <f>F2*F3*F4*F9*F10*F12*F16*F18*F20*F23/F24/F25*F28</f>
        <v>41967.381825000004</v>
      </c>
      <c r="F29" s="130"/>
      <c r="G29" s="129">
        <f>H2*H3*H4*H9*H10*H12*H16*H18*H20*H23/H24/H25*H28</f>
        <v>45637.368918750006</v>
      </c>
      <c r="H29" s="130"/>
    </row>
    <row r="30" spans="1:8" ht="18" customHeight="1" x14ac:dyDescent="0.25">
      <c r="C30" s="20" t="s">
        <v>138</v>
      </c>
      <c r="D30" s="20">
        <v>11704</v>
      </c>
      <c r="E30" s="20" t="s">
        <v>138</v>
      </c>
      <c r="F30" s="20">
        <v>38700</v>
      </c>
      <c r="G30" s="20" t="s">
        <v>138</v>
      </c>
      <c r="H30" s="20">
        <v>38700</v>
      </c>
    </row>
  </sheetData>
  <mergeCells count="42">
    <mergeCell ref="F18:F19"/>
    <mergeCell ref="F20:F22"/>
    <mergeCell ref="F25:F27"/>
    <mergeCell ref="E29:F29"/>
    <mergeCell ref="E1:F1"/>
    <mergeCell ref="F4:F8"/>
    <mergeCell ref="F10:F11"/>
    <mergeCell ref="F12:F15"/>
    <mergeCell ref="F16:F17"/>
    <mergeCell ref="H18:H19"/>
    <mergeCell ref="H20:H22"/>
    <mergeCell ref="H25:H27"/>
    <mergeCell ref="G29:H29"/>
    <mergeCell ref="G1:H1"/>
    <mergeCell ref="H4:H8"/>
    <mergeCell ref="H10:H11"/>
    <mergeCell ref="H12:H15"/>
    <mergeCell ref="H16:H17"/>
    <mergeCell ref="C29:D29"/>
    <mergeCell ref="D12:D15"/>
    <mergeCell ref="D16:D17"/>
    <mergeCell ref="D18:D19"/>
    <mergeCell ref="D20:D22"/>
    <mergeCell ref="D25:D27"/>
    <mergeCell ref="A29:B29"/>
    <mergeCell ref="A23:B23"/>
    <mergeCell ref="A24:B24"/>
    <mergeCell ref="A25:A27"/>
    <mergeCell ref="A28:B28"/>
    <mergeCell ref="A18:A19"/>
    <mergeCell ref="A20:A22"/>
    <mergeCell ref="A12:A15"/>
    <mergeCell ref="A16:A17"/>
    <mergeCell ref="A4:A8"/>
    <mergeCell ref="A9:B9"/>
    <mergeCell ref="A10:A11"/>
    <mergeCell ref="D4:D8"/>
    <mergeCell ref="D10:D11"/>
    <mergeCell ref="A1:B1"/>
    <mergeCell ref="A2:B2"/>
    <mergeCell ref="A3:B3"/>
    <mergeCell ref="C1: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Rotation</vt:lpstr>
      <vt:lpstr>Affliction</vt:lpstr>
      <vt:lpstr>Equips</vt:lpstr>
      <vt:lpstr>Steps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2021-01-21T21:53:08Z</dcterms:modified>
</cp:coreProperties>
</file>