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0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528" documentId="1_{5CA1B34A-CC10-4845-8D16-1F5B572F351D}" xr6:coauthVersionLast="45" xr6:coauthVersionMax="45" xr10:uidLastSave="{0514C904-4BD6-4F76-84E4-82FC28A0A477}"/>
  <bookViews>
    <workbookView xWindow="5370" yWindow="1785" windowWidth="21525" windowHeight="13500" activeTab="12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鑽量" sheetId="47" r:id="rId14"/>
    <sheet name="C鑽量" sheetId="49" r:id="rId15"/>
    <sheet name="抽抽" sheetId="50" r:id="rId16"/>
    <sheet name="虛空" sheetId="52" r:id="rId17"/>
    <sheet name="D虛空" sheetId="53" r:id="rId18"/>
    <sheet name="玩家EXP" sheetId="33" state="hidden" r:id="rId19"/>
    <sheet name="D玩家EXP" sheetId="32" state="hidden" r:id="rId20"/>
    <sheet name="E速度" sheetId="36" state="hidden" r:id="rId21"/>
    <sheet name="Raid" sheetId="16" state="hidden" r:id="rId22"/>
    <sheet name="R速度" sheetId="30" state="hidden" r:id="rId23"/>
    <sheet name="R預估差" sheetId="31" state="hidden" r:id="rId24"/>
    <sheet name="迎擊" sheetId="18" state="hidden" r:id="rId25"/>
    <sheet name="D迎擊" sheetId="7" state="hidden" r:id="rId26"/>
    <sheet name="龍煉-護符" sheetId="19" state="hidden" r:id="rId27"/>
    <sheet name="D龍煉-護符" sheetId="4" state="hidden" r:id="rId28"/>
    <sheet name="爪草" sheetId="22" state="hidden" r:id="rId29"/>
    <sheet name="D爪草" sheetId="23" state="hidden" r:id="rId30"/>
    <sheet name="活動建築" sheetId="37" state="hidden" r:id="rId31"/>
  </sheets>
  <definedNames>
    <definedName name="_xlnm._FilterDatabase" localSheetId="18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6" i="44" l="1"/>
  <c r="C36" i="44"/>
  <c r="E30" i="44"/>
  <c r="C30" i="44"/>
  <c r="E18" i="44"/>
  <c r="C18" i="44"/>
  <c r="C12" i="44"/>
  <c r="E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F5" i="52" l="1"/>
  <c r="G5" i="52"/>
  <c r="H92" i="47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E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S38" i="44" a="1"/>
  <c r="S38" i="44" s="1"/>
  <c r="R38" i="44" a="1"/>
  <c r="R38" i="44" s="1"/>
  <c r="S37" i="44" a="1"/>
  <c r="S37" i="44" s="1"/>
  <c r="R37" i="44" a="1"/>
  <c r="R37" i="44"/>
  <c r="S36" i="44" a="1"/>
  <c r="S36" i="44"/>
  <c r="U36" i="44" s="1"/>
  <c r="R36" i="44" a="1"/>
  <c r="R36" i="44" s="1"/>
  <c r="S32" i="44" a="1"/>
  <c r="S32" i="44" s="1"/>
  <c r="R32" i="44" a="1"/>
  <c r="R32" i="44" s="1"/>
  <c r="S20" i="44" a="1"/>
  <c r="S20" i="44"/>
  <c r="X20" i="44" s="1"/>
  <c r="R20" i="44" a="1"/>
  <c r="R20" i="44" s="1"/>
  <c r="S14" i="44" a="1"/>
  <c r="S14" i="44" s="1"/>
  <c r="X14" i="44" s="1"/>
  <c r="R14" i="44" a="1"/>
  <c r="R14" i="44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K5" i="50"/>
  <c r="D2" i="50"/>
  <c r="E2" i="50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H75" i="47"/>
  <c r="F75" i="47"/>
  <c r="E75" i="47"/>
  <c r="H74" i="47"/>
  <c r="F74" i="47"/>
  <c r="E74" i="47"/>
  <c r="L9" i="44"/>
  <c r="L8" i="44"/>
  <c r="L7" i="44"/>
  <c r="L6" i="44"/>
  <c r="L4" i="44"/>
  <c r="L5" i="44"/>
  <c r="H73" i="47"/>
  <c r="F73" i="47"/>
  <c r="I73" i="47"/>
  <c r="E73" i="47"/>
  <c r="Q29" i="44"/>
  <c r="P29" i="44"/>
  <c r="O29" i="44"/>
  <c r="R26" i="44" s="1" a="1"/>
  <c r="R26" i="44" s="1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24" i="44"/>
  <c r="C24" i="44"/>
  <c r="E33" i="44"/>
  <c r="C33" i="44"/>
  <c r="E27" i="44"/>
  <c r="C27" i="44"/>
  <c r="E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W8" i="44" s="1" a="1"/>
  <c r="W8" i="44" s="1"/>
  <c r="V8" i="44" s="1" a="1"/>
  <c r="V8" i="44" s="1"/>
  <c r="U8" i="44" s="1" a="1"/>
  <c r="U8" i="44" s="1"/>
  <c r="Q8" i="44"/>
  <c r="P8" i="44"/>
  <c r="R7" i="44"/>
  <c r="W7" i="44" s="1" a="1"/>
  <c r="W7" i="44" s="1"/>
  <c r="V7" i="44" s="1" a="1"/>
  <c r="V7" i="44" s="1"/>
  <c r="U7" i="44" s="1" a="1"/>
  <c r="U7" i="44" s="1"/>
  <c r="Q7" i="44"/>
  <c r="P7" i="44"/>
  <c r="R6" i="44"/>
  <c r="W6" i="44" s="1" a="1"/>
  <c r="W6" i="44" s="1"/>
  <c r="V6" i="44" s="1" a="1"/>
  <c r="V6" i="44" s="1"/>
  <c r="Q6" i="44"/>
  <c r="P6" i="44"/>
  <c r="R5" i="44"/>
  <c r="W5" i="44" s="1" a="1"/>
  <c r="W5" i="44" s="1"/>
  <c r="V5" i="44" s="1" a="1"/>
  <c r="V5" i="44" s="1"/>
  <c r="U5" i="44" s="1" a="1"/>
  <c r="U5" i="44" s="1"/>
  <c r="Q5" i="44"/>
  <c r="P5" i="44"/>
  <c r="R4" i="44"/>
  <c r="W4" i="44" a="1"/>
  <c r="W4" i="44" s="1"/>
  <c r="Q4" i="44"/>
  <c r="P4" i="44"/>
  <c r="W20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O9" i="44"/>
  <c r="K9" i="44"/>
  <c r="C6" i="37"/>
  <c r="O8" i="44"/>
  <c r="K8" i="44"/>
  <c r="O7" i="44"/>
  <c r="K7" i="44"/>
  <c r="O6" i="44"/>
  <c r="K6" i="44"/>
  <c r="O5" i="44"/>
  <c r="K5" i="44"/>
  <c r="O4" i="44"/>
  <c r="K4" i="44"/>
  <c r="J33" i="44"/>
  <c r="K33" i="44"/>
  <c r="L33" i="44"/>
  <c r="M33" i="44"/>
  <c r="N33" i="44"/>
  <c r="O33" i="44"/>
  <c r="S30" i="44" s="1" a="1"/>
  <c r="S30" i="44" s="1"/>
  <c r="P33" i="44"/>
  <c r="Q33" i="44"/>
  <c r="J34" i="44"/>
  <c r="K34" i="44"/>
  <c r="L34" i="44"/>
  <c r="S31" i="44" s="1" a="1"/>
  <c r="S31" i="44" s="1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S25" i="44" s="1" a="1"/>
  <c r="S25" i="44" s="1"/>
  <c r="N28" i="44"/>
  <c r="M28" i="44"/>
  <c r="L28" i="44"/>
  <c r="K28" i="44"/>
  <c r="J28" i="44"/>
  <c r="Q27" i="44"/>
  <c r="P27" i="44"/>
  <c r="O27" i="44"/>
  <c r="N27" i="44"/>
  <c r="M27" i="44"/>
  <c r="L27" i="44"/>
  <c r="K27" i="44"/>
  <c r="S24" i="44" s="1" a="1"/>
  <c r="S24" i="44" s="1"/>
  <c r="J27" i="44"/>
  <c r="Q22" i="44"/>
  <c r="P22" i="44"/>
  <c r="O22" i="44"/>
  <c r="N22" i="44"/>
  <c r="M22" i="44"/>
  <c r="L22" i="44"/>
  <c r="S19" i="44" s="1" a="1"/>
  <c r="S19" i="44" s="1"/>
  <c r="J22" i="44"/>
  <c r="K22" i="44"/>
  <c r="Q21" i="44"/>
  <c r="P21" i="44"/>
  <c r="O21" i="44"/>
  <c r="R18" i="44" s="1" a="1"/>
  <c r="R18" i="44" s="1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S13" i="44" s="1" a="1"/>
  <c r="S13" i="44" s="1"/>
  <c r="J15" i="44"/>
  <c r="S12" i="44" s="1" a="1"/>
  <c r="S12" i="44" s="1"/>
  <c r="X40" i="44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L18" i="18" s="1"/>
  <c r="N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O14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O15" i="18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R24" i="44" a="1"/>
  <c r="R24" i="44" s="1"/>
  <c r="S26" i="44" a="1"/>
  <c r="S26" i="44" s="1"/>
  <c r="X26" i="44" s="1"/>
  <c r="I135" i="33"/>
  <c r="F91" i="33"/>
  <c r="I82" i="33"/>
  <c r="AN30" i="7"/>
  <c r="AO19" i="7"/>
  <c r="F149" i="33"/>
  <c r="I67" i="33"/>
  <c r="I181" i="33"/>
  <c r="F116" i="33"/>
  <c r="D7" i="16"/>
  <c r="I141" i="33"/>
  <c r="AP19" i="7"/>
  <c r="I215" i="33"/>
  <c r="I45" i="33"/>
  <c r="AU13" i="7"/>
  <c r="F180" i="33"/>
  <c r="AN20" i="7"/>
  <c r="AN31" i="7"/>
  <c r="G11" i="18"/>
  <c r="F150" i="33"/>
  <c r="I123" i="33"/>
  <c r="AN25" i="7"/>
  <c r="AO15" i="7"/>
  <c r="E9" i="16"/>
  <c r="I47" i="33"/>
  <c r="F5" i="33"/>
  <c r="AQ9" i="7"/>
  <c r="AN9" i="7"/>
  <c r="F6" i="33"/>
  <c r="F157" i="33"/>
  <c r="I60" i="33"/>
  <c r="I211" i="33"/>
  <c r="I216" i="33"/>
  <c r="F197" i="33"/>
  <c r="AQ29" i="7"/>
  <c r="AN28" i="7"/>
  <c r="I100" i="33"/>
  <c r="AQ35" i="7"/>
  <c r="F222" i="33"/>
  <c r="F198" i="33"/>
  <c r="AP33" i="7"/>
  <c r="I160" i="33"/>
  <c r="F49" i="33"/>
  <c r="AR33" i="7"/>
  <c r="I103" i="33"/>
  <c r="F103" i="33"/>
  <c r="I193" i="33"/>
  <c r="I25" i="33"/>
  <c r="I155" i="33"/>
  <c r="AN35" i="7"/>
  <c r="I56" i="33"/>
  <c r="F219" i="33"/>
  <c r="AR25" i="7"/>
  <c r="AU31" i="7"/>
  <c r="F96" i="33"/>
  <c r="AV24" i="7"/>
  <c r="F20" i="33"/>
  <c r="I203" i="33"/>
  <c r="F42" i="33"/>
  <c r="AR22" i="7"/>
  <c r="AV31" i="7"/>
  <c r="F217" i="33"/>
  <c r="F69" i="33"/>
  <c r="AO13" i="7"/>
  <c r="F75" i="33"/>
  <c r="F19" i="33"/>
  <c r="I65" i="33"/>
  <c r="I124" i="33"/>
  <c r="F30" i="33"/>
  <c r="F36" i="33"/>
  <c r="AN34" i="7"/>
  <c r="I199" i="33"/>
  <c r="AV9" i="7"/>
  <c r="AO33" i="7"/>
  <c r="AU25" i="7"/>
  <c r="F140" i="33"/>
  <c r="AU4" i="7"/>
  <c r="AP8" i="7"/>
  <c r="F80" i="33"/>
  <c r="F121" i="33"/>
  <c r="I192" i="33"/>
  <c r="F134" i="33"/>
  <c r="F40" i="33"/>
  <c r="AV13" i="7"/>
  <c r="AV12" i="7"/>
  <c r="I202" i="33"/>
  <c r="AN17" i="7"/>
  <c r="I38" i="33"/>
  <c r="I180" i="33"/>
  <c r="AN32" i="7"/>
  <c r="F17" i="33"/>
  <c r="F107" i="33"/>
  <c r="I14" i="33"/>
  <c r="AV25" i="7"/>
  <c r="I77" i="33"/>
  <c r="I98" i="33"/>
  <c r="I120" i="33"/>
  <c r="F38" i="33"/>
  <c r="I39" i="33"/>
  <c r="I150" i="33"/>
  <c r="AV15" i="7"/>
  <c r="F137" i="33"/>
  <c r="AV3" i="7"/>
  <c r="F173" i="33"/>
  <c r="F215" i="33"/>
  <c r="F45" i="33"/>
  <c r="AU7" i="7"/>
  <c r="AN18" i="7"/>
  <c r="AR4" i="7"/>
  <c r="F154" i="33"/>
  <c r="F172" i="33"/>
  <c r="F22" i="33"/>
  <c r="F43" i="33"/>
  <c r="I102" i="33"/>
  <c r="AV32" i="7"/>
  <c r="AR10" i="7"/>
  <c r="F7" i="33"/>
  <c r="G4" i="18"/>
  <c r="G9" i="18"/>
  <c r="AQ20" i="7"/>
  <c r="I115" i="33"/>
  <c r="F212" i="33"/>
  <c r="F63" i="33"/>
  <c r="AR28" i="7"/>
  <c r="F187" i="33"/>
  <c r="AN27" i="7"/>
  <c r="AQ14" i="7"/>
  <c r="AV11" i="7"/>
  <c r="AN15" i="7"/>
  <c r="I104" i="33"/>
  <c r="F25" i="33"/>
  <c r="AU3" i="7"/>
  <c r="F151" i="33"/>
  <c r="AN19" i="7"/>
  <c r="I7" i="33"/>
  <c r="AP12" i="7"/>
  <c r="I121" i="33"/>
  <c r="I91" i="33"/>
  <c r="I196" i="33"/>
  <c r="AP17" i="7"/>
  <c r="AO18" i="7"/>
  <c r="F35" i="33"/>
  <c r="AP15" i="7"/>
  <c r="F37" i="33"/>
  <c r="AN23" i="7"/>
  <c r="F18" i="33"/>
  <c r="AO29" i="7"/>
  <c r="F181" i="33"/>
  <c r="I109" i="33"/>
  <c r="F93" i="33"/>
  <c r="I85" i="33"/>
  <c r="AQ32" i="7"/>
  <c r="AO5" i="7"/>
  <c r="I198" i="33"/>
  <c r="I112" i="33"/>
  <c r="I8" i="33"/>
  <c r="I69" i="33"/>
  <c r="F34" i="33"/>
  <c r="I89" i="33"/>
  <c r="F129" i="33"/>
  <c r="G6" i="18"/>
  <c r="AV10" i="7"/>
  <c r="I170" i="33"/>
  <c r="AU29" i="7"/>
  <c r="AR31" i="7"/>
  <c r="I222" i="33"/>
  <c r="AV35" i="7"/>
  <c r="I75" i="33"/>
  <c r="AR23" i="7"/>
  <c r="AR6" i="7"/>
  <c r="I50" i="33"/>
  <c r="AO7" i="7"/>
  <c r="AV19" i="7"/>
  <c r="I201" i="33"/>
  <c r="F201" i="33"/>
  <c r="F188" i="33"/>
  <c r="F84" i="33"/>
  <c r="AV7" i="7"/>
  <c r="I184" i="33"/>
  <c r="AO17" i="7"/>
  <c r="AV36" i="7"/>
  <c r="AP27" i="7"/>
  <c r="I178" i="33"/>
  <c r="I55" i="33"/>
  <c r="I165" i="33"/>
  <c r="AP36" i="7"/>
  <c r="I7" i="16"/>
  <c r="F153" i="33"/>
  <c r="I194" i="33"/>
  <c r="I35" i="33"/>
  <c r="F61" i="33"/>
  <c r="F108" i="33"/>
  <c r="I54" i="33"/>
  <c r="F160" i="33"/>
  <c r="AV18" i="7"/>
  <c r="F50" i="33"/>
  <c r="I105" i="33"/>
  <c r="I19" i="33"/>
  <c r="I209" i="33"/>
  <c r="I63" i="33"/>
  <c r="G12" i="18"/>
  <c r="AU26" i="7"/>
  <c r="AR32" i="7"/>
  <c r="F220" i="33"/>
  <c r="F164" i="33"/>
  <c r="I83" i="33"/>
  <c r="I16" i="33"/>
  <c r="AU35" i="7"/>
  <c r="AV20" i="7"/>
  <c r="I125" i="33"/>
  <c r="AQ3" i="7"/>
  <c r="F115" i="33"/>
  <c r="AU36" i="7"/>
  <c r="F3" i="33"/>
  <c r="AQ31" i="7"/>
  <c r="E7" i="16"/>
  <c r="F124" i="33"/>
  <c r="AO4" i="7"/>
  <c r="AU33" i="7"/>
  <c r="AN33" i="7"/>
  <c r="I106" i="33"/>
  <c r="F132" i="33"/>
  <c r="F171" i="33"/>
  <c r="AU32" i="7"/>
  <c r="I49" i="33"/>
  <c r="F24" i="33"/>
  <c r="I3" i="33"/>
  <c r="I119" i="33"/>
  <c r="AU10" i="7"/>
  <c r="F97" i="33"/>
  <c r="F143" i="33"/>
  <c r="F71" i="33"/>
  <c r="F104" i="33"/>
  <c r="I146" i="33"/>
  <c r="F205" i="33"/>
  <c r="I78" i="33"/>
  <c r="AQ34" i="7"/>
  <c r="F118" i="33"/>
  <c r="I144" i="33"/>
  <c r="F12" i="33"/>
  <c r="AO36" i="7"/>
  <c r="I64" i="33"/>
  <c r="F199" i="33"/>
  <c r="AO24" i="7"/>
  <c r="AU12" i="7"/>
  <c r="AQ5" i="7"/>
  <c r="AR16" i="7"/>
  <c r="AR12" i="7"/>
  <c r="F211" i="33"/>
  <c r="F146" i="33"/>
  <c r="I27" i="33"/>
  <c r="AO12" i="7"/>
  <c r="AQ24" i="7"/>
  <c r="F8" i="33"/>
  <c r="I183" i="33"/>
  <c r="AP7" i="7"/>
  <c r="F56" i="33"/>
  <c r="I171" i="33"/>
  <c r="AO25" i="7"/>
  <c r="F28" i="33"/>
  <c r="G17" i="18"/>
  <c r="AR3" i="7"/>
  <c r="AO32" i="7"/>
  <c r="E8" i="16"/>
  <c r="I117" i="33"/>
  <c r="F109" i="33"/>
  <c r="AN13" i="7"/>
  <c r="AV28" i="7"/>
  <c r="F13" i="33"/>
  <c r="AU14" i="7"/>
  <c r="F102" i="33"/>
  <c r="H7" i="16"/>
  <c r="I182" i="33"/>
  <c r="I143" i="33"/>
  <c r="F47" i="33"/>
  <c r="I12" i="33"/>
  <c r="AV17" i="7"/>
  <c r="AV26" i="7"/>
  <c r="I190" i="33"/>
  <c r="I8" i="16"/>
  <c r="I97" i="33"/>
  <c r="AP4" i="7"/>
  <c r="AQ18" i="7"/>
  <c r="I42" i="33"/>
  <c r="I186" i="33"/>
  <c r="I137" i="33"/>
  <c r="I122" i="33"/>
  <c r="AV21" i="7"/>
  <c r="I92" i="33"/>
  <c r="I5" i="33"/>
  <c r="I10" i="33"/>
  <c r="F94" i="33"/>
  <c r="AP5" i="7"/>
  <c r="F167" i="33"/>
  <c r="F131" i="33"/>
  <c r="D9" i="16"/>
  <c r="F105" i="33"/>
  <c r="AU24" i="7"/>
  <c r="I220" i="33"/>
  <c r="F158" i="33"/>
  <c r="AV27" i="7"/>
  <c r="F196" i="33"/>
  <c r="AN14" i="7"/>
  <c r="G5" i="18"/>
  <c r="I17" i="33"/>
  <c r="F77" i="33"/>
  <c r="I116" i="33"/>
  <c r="AR36" i="7"/>
  <c r="I40" i="33"/>
  <c r="AN10" i="7"/>
  <c r="I208" i="33"/>
  <c r="AU5" i="7"/>
  <c r="AU20" i="7"/>
  <c r="AQ11" i="7"/>
  <c r="F156" i="33"/>
  <c r="I153" i="33"/>
  <c r="I113" i="33"/>
  <c r="F62" i="33"/>
  <c r="I9" i="33"/>
  <c r="AP35" i="7"/>
  <c r="F166" i="33"/>
  <c r="F23" i="33"/>
  <c r="AO35" i="7"/>
  <c r="F136" i="33"/>
  <c r="I21" i="33"/>
  <c r="F202" i="33"/>
  <c r="I111" i="33"/>
  <c r="I163" i="33"/>
  <c r="F203" i="33"/>
  <c r="F65" i="33"/>
  <c r="AN11" i="7"/>
  <c r="AO6" i="7"/>
  <c r="F68" i="33"/>
  <c r="F92" i="33"/>
  <c r="F189" i="33"/>
  <c r="G16" i="18"/>
  <c r="I13" i="33"/>
  <c r="I62" i="33"/>
  <c r="I73" i="33"/>
  <c r="I79" i="33"/>
  <c r="F141" i="33"/>
  <c r="AQ22" i="7"/>
  <c r="F21" i="33"/>
  <c r="F214" i="33"/>
  <c r="I4" i="33"/>
  <c r="I185" i="33"/>
  <c r="F15" i="33"/>
  <c r="F120" i="33"/>
  <c r="AP32" i="7"/>
  <c r="AR18" i="7"/>
  <c r="AP16" i="7"/>
  <c r="F53" i="33"/>
  <c r="AV34" i="7"/>
  <c r="I68" i="33"/>
  <c r="I110" i="33"/>
  <c r="AN36" i="7"/>
  <c r="AQ36" i="7"/>
  <c r="F48" i="33"/>
  <c r="F106" i="33"/>
  <c r="G7" i="18"/>
  <c r="F85" i="33"/>
  <c r="AU18" i="7"/>
  <c r="I43" i="33"/>
  <c r="I87" i="33"/>
  <c r="H9" i="16"/>
  <c r="I197" i="33"/>
  <c r="AO11" i="7"/>
  <c r="I158" i="33"/>
  <c r="AO8" i="7"/>
  <c r="F112" i="33"/>
  <c r="I31" i="33"/>
  <c r="I156" i="33"/>
  <c r="I207" i="33"/>
  <c r="AV22" i="7"/>
  <c r="I34" i="33"/>
  <c r="F39" i="33"/>
  <c r="I99" i="33"/>
  <c r="I88" i="33"/>
  <c r="F178" i="33"/>
  <c r="I152" i="33"/>
  <c r="F148" i="33"/>
  <c r="AN22" i="7"/>
  <c r="AO34" i="7"/>
  <c r="F64" i="33"/>
  <c r="I177" i="33"/>
  <c r="AU8" i="7"/>
  <c r="AN26" i="7"/>
  <c r="I145" i="33"/>
  <c r="F58" i="33"/>
  <c r="I162" i="33"/>
  <c r="AP23" i="7"/>
  <c r="I11" i="33"/>
  <c r="F162" i="33"/>
  <c r="AR14" i="7"/>
  <c r="I114" i="33"/>
  <c r="AU34" i="7"/>
  <c r="F41" i="33"/>
  <c r="F59" i="33"/>
  <c r="AU19" i="7"/>
  <c r="I129" i="33"/>
  <c r="I81" i="33"/>
  <c r="I206" i="33"/>
  <c r="I86" i="33"/>
  <c r="I167" i="33"/>
  <c r="AU23" i="7"/>
  <c r="I96" i="33"/>
  <c r="I80" i="33"/>
  <c r="I15" i="33"/>
  <c r="G8" i="18"/>
  <c r="F122" i="33"/>
  <c r="G18" i="18"/>
  <c r="F165" i="33"/>
  <c r="I217" i="33"/>
  <c r="I205" i="33"/>
  <c r="AN4" i="7"/>
  <c r="I95" i="33"/>
  <c r="I66" i="33"/>
  <c r="F179" i="33"/>
  <c r="I189" i="33"/>
  <c r="AN21" i="7"/>
  <c r="F155" i="33"/>
  <c r="I46" i="33"/>
  <c r="I174" i="33"/>
  <c r="I6" i="33"/>
  <c r="I132" i="33"/>
  <c r="I108" i="33"/>
  <c r="F161" i="33"/>
  <c r="I172" i="33"/>
  <c r="I44" i="33"/>
  <c r="AQ17" i="7"/>
  <c r="I101" i="33"/>
  <c r="I58" i="33"/>
  <c r="AQ25" i="7"/>
  <c r="I51" i="33"/>
  <c r="AV33" i="7"/>
  <c r="F142" i="33"/>
  <c r="AU28" i="7"/>
  <c r="F11" i="33"/>
  <c r="AO28" i="7"/>
  <c r="F98" i="33"/>
  <c r="AP9" i="7"/>
  <c r="AP26" i="7"/>
  <c r="AU9" i="7"/>
  <c r="AQ12" i="7"/>
  <c r="I191" i="33"/>
  <c r="AQ7" i="7"/>
  <c r="AQ23" i="7"/>
  <c r="I70" i="33"/>
  <c r="F60" i="33"/>
  <c r="I76" i="33"/>
  <c r="AR24" i="7"/>
  <c r="F78" i="33"/>
  <c r="AR35" i="7"/>
  <c r="F163" i="33"/>
  <c r="F72" i="33"/>
  <c r="F128" i="33"/>
  <c r="I107" i="33"/>
  <c r="AQ10" i="7"/>
  <c r="AP28" i="7"/>
  <c r="AV14" i="7"/>
  <c r="I90" i="33"/>
  <c r="I52" i="33"/>
  <c r="AR5" i="7"/>
  <c r="AP30" i="7"/>
  <c r="AP22" i="7"/>
  <c r="F182" i="33"/>
  <c r="I188" i="33"/>
  <c r="F16" i="33"/>
  <c r="AP6" i="7"/>
  <c r="F174" i="33"/>
  <c r="I179" i="33"/>
  <c r="F73" i="33"/>
  <c r="F119" i="33"/>
  <c r="I127" i="33"/>
  <c r="AR21" i="7"/>
  <c r="I131" i="33"/>
  <c r="I128" i="33"/>
  <c r="I164" i="33"/>
  <c r="I94" i="33"/>
  <c r="F70" i="33"/>
  <c r="F185" i="33"/>
  <c r="I168" i="33"/>
  <c r="AV23" i="7"/>
  <c r="I53" i="33"/>
  <c r="AO10" i="7"/>
  <c r="I187" i="33"/>
  <c r="AP34" i="7"/>
  <c r="AU16" i="7"/>
  <c r="F152" i="33"/>
  <c r="I161" i="33"/>
  <c r="I72" i="33"/>
  <c r="I29" i="33"/>
  <c r="I74" i="33"/>
  <c r="I148" i="33"/>
  <c r="I139" i="33"/>
  <c r="F218" i="33"/>
  <c r="I210" i="33"/>
  <c r="F79" i="33"/>
  <c r="I84" i="33"/>
  <c r="F216" i="33"/>
  <c r="I219" i="33"/>
  <c r="AR13" i="7"/>
  <c r="I118" i="33"/>
  <c r="AQ33" i="7"/>
  <c r="AN24" i="7"/>
  <c r="I71" i="33"/>
  <c r="F87" i="33"/>
  <c r="F82" i="33"/>
  <c r="F175" i="33"/>
  <c r="F14" i="33"/>
  <c r="I41" i="33"/>
  <c r="I20" i="33"/>
  <c r="I57" i="33"/>
  <c r="AQ16" i="7"/>
  <c r="I26" i="33"/>
  <c r="F186" i="33"/>
  <c r="F57" i="33"/>
  <c r="F27" i="33"/>
  <c r="AR20" i="7"/>
  <c r="AN12" i="7"/>
  <c r="AV4" i="7"/>
  <c r="AN7" i="7"/>
  <c r="F130" i="33"/>
  <c r="F169" i="33"/>
  <c r="AV6" i="7"/>
  <c r="I59" i="33"/>
  <c r="F89" i="33"/>
  <c r="AR15" i="7"/>
  <c r="I130" i="33"/>
  <c r="AQ28" i="7"/>
  <c r="F100" i="33"/>
  <c r="AN6" i="7"/>
  <c r="I213" i="33"/>
  <c r="AO22" i="7"/>
  <c r="AR26" i="7"/>
  <c r="F207" i="33"/>
  <c r="I126" i="33"/>
  <c r="AU6" i="7"/>
  <c r="AP10" i="7"/>
  <c r="I140" i="33"/>
  <c r="F117" i="33"/>
  <c r="F193" i="33"/>
  <c r="AN3" i="7"/>
  <c r="AU15" i="7"/>
  <c r="I195" i="33"/>
  <c r="I36" i="33"/>
  <c r="I134" i="33"/>
  <c r="I142" i="33"/>
  <c r="F95" i="33"/>
  <c r="I200" i="33"/>
  <c r="AN29" i="7"/>
  <c r="AP14" i="7"/>
  <c r="F168" i="33"/>
  <c r="AP18" i="7"/>
  <c r="AO31" i="7"/>
  <c r="F125" i="33"/>
  <c r="I24" i="33"/>
  <c r="AQ19" i="7"/>
  <c r="F9" i="33"/>
  <c r="AV30" i="7"/>
  <c r="I166" i="33"/>
  <c r="AN5" i="7"/>
  <c r="F90" i="33"/>
  <c r="F177" i="33"/>
  <c r="F101" i="33"/>
  <c r="AO20" i="7"/>
  <c r="F83" i="33"/>
  <c r="F74" i="33"/>
  <c r="F138" i="33"/>
  <c r="F210" i="33"/>
  <c r="AO9" i="7"/>
  <c r="F221" i="33"/>
  <c r="AR19" i="7"/>
  <c r="I9" i="16"/>
  <c r="F33" i="33"/>
  <c r="F204" i="33"/>
  <c r="F86" i="33"/>
  <c r="I33" i="33"/>
  <c r="I212" i="33"/>
  <c r="I93" i="33"/>
  <c r="F46" i="33"/>
  <c r="AR29" i="7"/>
  <c r="AO26" i="7"/>
  <c r="AO27" i="7"/>
  <c r="G13" i="18"/>
  <c r="AO23" i="7"/>
  <c r="F29" i="33"/>
  <c r="I214" i="33"/>
  <c r="AQ27" i="7"/>
  <c r="AO21" i="7"/>
  <c r="F110" i="33"/>
  <c r="G10" i="18"/>
  <c r="F176" i="33"/>
  <c r="AO14" i="7"/>
  <c r="AQ6" i="7"/>
  <c r="AQ4" i="7"/>
  <c r="AU30" i="7"/>
  <c r="AP11" i="7"/>
  <c r="I175" i="33"/>
  <c r="AR17" i="7"/>
  <c r="AP21" i="7"/>
  <c r="F4" i="33"/>
  <c r="I221" i="33"/>
  <c r="I151" i="33"/>
  <c r="I157" i="33"/>
  <c r="F200" i="33"/>
  <c r="AP24" i="7"/>
  <c r="F195" i="33"/>
  <c r="F66" i="33"/>
  <c r="AP31" i="7"/>
  <c r="F192" i="33"/>
  <c r="AV16" i="7"/>
  <c r="I32" i="33"/>
  <c r="F209" i="33"/>
  <c r="AR9" i="7"/>
  <c r="F127" i="33"/>
  <c r="I136" i="33"/>
  <c r="AP13" i="7"/>
  <c r="F111" i="33"/>
  <c r="AQ15" i="7"/>
  <c r="AQ8" i="7"/>
  <c r="F31" i="33"/>
  <c r="AV29" i="7"/>
  <c r="F44" i="33"/>
  <c r="I149" i="33"/>
  <c r="F133" i="33"/>
  <c r="AQ26" i="7"/>
  <c r="F123" i="33"/>
  <c r="AU22" i="7"/>
  <c r="F194" i="33"/>
  <c r="I173" i="33"/>
  <c r="I28" i="33"/>
  <c r="F26" i="33"/>
  <c r="AR27" i="7"/>
  <c r="F52" i="33"/>
  <c r="F114" i="33"/>
  <c r="F67" i="33"/>
  <c r="AO3" i="7"/>
  <c r="I169" i="33"/>
  <c r="F54" i="33"/>
  <c r="AP25" i="7"/>
  <c r="AU17" i="7"/>
  <c r="D8" i="16"/>
  <c r="AR34" i="7"/>
  <c r="AQ30" i="7"/>
  <c r="F76" i="33"/>
  <c r="I18" i="33"/>
  <c r="AR8" i="7"/>
  <c r="F55" i="33"/>
  <c r="AU27" i="7"/>
  <c r="AO16" i="7"/>
  <c r="F206" i="33"/>
  <c r="AN16" i="7"/>
  <c r="I218" i="33"/>
  <c r="F135" i="33"/>
  <c r="I30" i="33"/>
  <c r="F32" i="33"/>
  <c r="F144" i="33"/>
  <c r="I138" i="33"/>
  <c r="AP29" i="7"/>
  <c r="F147" i="33"/>
  <c r="I204" i="33"/>
  <c r="F190" i="33"/>
  <c r="F10" i="33"/>
  <c r="F51" i="33"/>
  <c r="I61" i="33"/>
  <c r="F113" i="33"/>
  <c r="F88" i="33"/>
  <c r="AP3" i="7"/>
  <c r="AN8" i="7"/>
  <c r="F145" i="33"/>
  <c r="AU21" i="7"/>
  <c r="I23" i="33"/>
  <c r="AU11" i="7"/>
  <c r="F208" i="33"/>
  <c r="F81" i="33"/>
  <c r="AR7" i="7"/>
  <c r="AR30" i="7"/>
  <c r="I176" i="33"/>
  <c r="H8" i="16"/>
  <c r="I22" i="33"/>
  <c r="AV5" i="7"/>
  <c r="AQ21" i="7"/>
  <c r="I154" i="33"/>
  <c r="I133" i="33"/>
  <c r="F159" i="33"/>
  <c r="F99" i="33"/>
  <c r="F213" i="33"/>
  <c r="I48" i="33"/>
  <c r="I159" i="33"/>
  <c r="F183" i="33"/>
  <c r="I147" i="33"/>
  <c r="AR11" i="7"/>
  <c r="F170" i="33"/>
  <c r="AP20" i="7"/>
  <c r="AQ13" i="7"/>
  <c r="AV8" i="7"/>
  <c r="AO30" i="7"/>
  <c r="F126" i="33"/>
  <c r="I37" i="33"/>
  <c r="F139" i="33"/>
  <c r="F191" i="33"/>
  <c r="F184" i="33"/>
  <c r="X38" i="44" l="1"/>
  <c r="W38" i="44"/>
  <c r="X19" i="44"/>
  <c r="V19" i="44"/>
  <c r="W19" i="44"/>
  <c r="V30" i="44"/>
  <c r="U30" i="44"/>
  <c r="X30" i="44"/>
  <c r="X32" i="44"/>
  <c r="W32" i="44"/>
  <c r="X24" i="44"/>
  <c r="V24" i="44"/>
  <c r="W25" i="44"/>
  <c r="W26" i="44"/>
  <c r="V25" i="44"/>
  <c r="X25" i="44"/>
  <c r="X31" i="44"/>
  <c r="W31" i="44"/>
  <c r="V31" i="44"/>
  <c r="X37" i="44"/>
  <c r="W37" i="44"/>
  <c r="V37" i="44"/>
  <c r="S18" i="44" a="1"/>
  <c r="S18" i="44" s="1"/>
  <c r="X36" i="44"/>
  <c r="V4" i="44" a="1"/>
  <c r="V4" i="44" s="1"/>
  <c r="U4" i="44" s="1" a="1"/>
  <c r="U4" i="44" s="1"/>
  <c r="R25" i="44" a="1"/>
  <c r="R25" i="44" s="1"/>
  <c r="U24" i="44"/>
  <c r="R19" i="44" a="1"/>
  <c r="R19" i="44" s="1"/>
  <c r="R30" i="44" a="1"/>
  <c r="R30" i="44" s="1"/>
  <c r="V36" i="44"/>
  <c r="R12" i="44" a="1"/>
  <c r="R12" i="44" s="1"/>
  <c r="R13" i="44" a="1"/>
  <c r="R13" i="44" s="1"/>
  <c r="R31" i="44" a="1"/>
  <c r="R31" i="44" s="1"/>
  <c r="X12" i="44"/>
  <c r="U12" i="44"/>
  <c r="V12" i="44"/>
  <c r="X13" i="44"/>
  <c r="V13" i="44"/>
  <c r="W13" i="44"/>
  <c r="W14" i="44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U6" i="44" a="1"/>
  <c r="U6" i="44" s="1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F13" i="18" s="1"/>
  <c r="H16" i="18"/>
  <c r="J16" i="18"/>
  <c r="F16" i="18" s="1"/>
  <c r="J12" i="18"/>
  <c r="F12" i="18" s="1"/>
  <c r="H12" i="18"/>
  <c r="G27" i="33"/>
  <c r="H27" i="33" s="1"/>
  <c r="G212" i="33"/>
  <c r="H212" i="33" s="1"/>
  <c r="J61" i="33"/>
  <c r="K61" i="33" s="1"/>
  <c r="J34" i="33"/>
  <c r="K34" i="33" s="1"/>
  <c r="G19" i="33"/>
  <c r="H19" i="33" s="1"/>
  <c r="J20" i="33"/>
  <c r="K20" i="33" s="1"/>
  <c r="G151" i="33"/>
  <c r="H151" i="33" s="1"/>
  <c r="J101" i="33"/>
  <c r="K101" i="33" s="1"/>
  <c r="J45" i="33"/>
  <c r="K45" i="33" s="1"/>
  <c r="G176" i="33"/>
  <c r="H176" i="33" s="1"/>
  <c r="G14" i="33"/>
  <c r="H14" i="33" s="1"/>
  <c r="J185" i="33"/>
  <c r="K185" i="33" s="1"/>
  <c r="G135" i="33"/>
  <c r="H135" i="33" s="1"/>
  <c r="J131" i="33"/>
  <c r="K131" i="33" s="1"/>
  <c r="J133" i="33"/>
  <c r="K133" i="33" s="1"/>
  <c r="G166" i="33"/>
  <c r="H166" i="33" s="1"/>
  <c r="G160" i="33"/>
  <c r="H160" i="33" s="1"/>
  <c r="J171" i="33"/>
  <c r="K171" i="33" s="1"/>
  <c r="G71" i="33"/>
  <c r="H71" i="33" s="1"/>
  <c r="G191" i="33"/>
  <c r="H191" i="33" s="1"/>
  <c r="G133" i="33"/>
  <c r="H133" i="33" s="1"/>
  <c r="J114" i="33"/>
  <c r="K114" i="33" s="1"/>
  <c r="G125" i="33"/>
  <c r="H125" i="33" s="1"/>
  <c r="G190" i="33"/>
  <c r="H190" i="33" s="1"/>
  <c r="J38" i="33"/>
  <c r="K38" i="33" s="1"/>
  <c r="G11" i="33"/>
  <c r="H11" i="33" s="1"/>
  <c r="G195" i="33"/>
  <c r="H195" i="33" s="1"/>
  <c r="J75" i="33"/>
  <c r="K75" i="33" s="1"/>
  <c r="G66" i="33"/>
  <c r="H66" i="33" s="1"/>
  <c r="G30" i="33"/>
  <c r="H30" i="33" s="1"/>
  <c r="J211" i="33"/>
  <c r="K211" i="33" s="1"/>
  <c r="J197" i="33"/>
  <c r="K197" i="33" s="1"/>
  <c r="J87" i="33"/>
  <c r="K87" i="33" s="1"/>
  <c r="G9" i="33"/>
  <c r="H9" i="33" s="1"/>
  <c r="G110" i="33"/>
  <c r="H110" i="33" s="1"/>
  <c r="N7" i="16"/>
  <c r="J67" i="33"/>
  <c r="K67" i="33" s="1"/>
  <c r="F18" i="18"/>
  <c r="J175" i="33"/>
  <c r="K175" i="33" s="1"/>
  <c r="J218" i="33"/>
  <c r="K218" i="33" s="1"/>
  <c r="G213" i="33"/>
  <c r="H213" i="33" s="1"/>
  <c r="J24" i="33"/>
  <c r="K24" i="33" s="1"/>
  <c r="J136" i="33"/>
  <c r="K136" i="33" s="1"/>
  <c r="J157" i="33"/>
  <c r="K157" i="33" s="1"/>
  <c r="G114" i="33"/>
  <c r="H114" i="33" s="1"/>
  <c r="G196" i="33"/>
  <c r="H196" i="33" s="1"/>
  <c r="G24" i="33"/>
  <c r="H24" i="33" s="1"/>
  <c r="G153" i="33"/>
  <c r="H153" i="33" s="1"/>
  <c r="J65" i="33"/>
  <c r="K65" i="33" s="1"/>
  <c r="J202" i="33"/>
  <c r="K202" i="33" s="1"/>
  <c r="J189" i="33"/>
  <c r="K189" i="33" s="1"/>
  <c r="G216" i="33"/>
  <c r="H216" i="33" s="1"/>
  <c r="J28" i="33"/>
  <c r="K28" i="33" s="1"/>
  <c r="J149" i="33"/>
  <c r="K149" i="33" s="1"/>
  <c r="J41" i="33"/>
  <c r="K41" i="33" s="1"/>
  <c r="J91" i="33"/>
  <c r="K91" i="33" s="1"/>
  <c r="J50" i="33"/>
  <c r="K50" i="33" s="1"/>
  <c r="G200" i="33"/>
  <c r="H200" i="33" s="1"/>
  <c r="G35" i="33"/>
  <c r="H35" i="33" s="1"/>
  <c r="G171" i="33"/>
  <c r="H171" i="33" s="1"/>
  <c r="J55" i="33"/>
  <c r="K55" i="33" s="1"/>
  <c r="G132" i="33"/>
  <c r="H132" i="33" s="1"/>
  <c r="N9" i="16"/>
  <c r="G169" i="33"/>
  <c r="H169" i="33" s="1"/>
  <c r="G122" i="33"/>
  <c r="H122" i="33" s="1"/>
  <c r="G221" i="33"/>
  <c r="H221" i="33" s="1"/>
  <c r="J153" i="33"/>
  <c r="K153" i="33" s="1"/>
  <c r="G158" i="33"/>
  <c r="H158" i="33" s="1"/>
  <c r="G65" i="33"/>
  <c r="H65" i="33" s="1"/>
  <c r="J115" i="33"/>
  <c r="K115" i="33" s="1"/>
  <c r="G192" i="33"/>
  <c r="H192" i="33" s="1"/>
  <c r="J127" i="33"/>
  <c r="K127" i="33" s="1"/>
  <c r="J31" i="33"/>
  <c r="K31" i="33" s="1"/>
  <c r="J151" i="33"/>
  <c r="K151" i="33" s="1"/>
  <c r="G197" i="33"/>
  <c r="H197" i="33" s="1"/>
  <c r="G16" i="33"/>
  <c r="H16" i="33" s="1"/>
  <c r="G209" i="33"/>
  <c r="H209" i="33" s="1"/>
  <c r="J154" i="33"/>
  <c r="K154" i="33" s="1"/>
  <c r="J80" i="33"/>
  <c r="K80" i="33" s="1"/>
  <c r="G78" i="33"/>
  <c r="H78" i="33" s="1"/>
  <c r="G177" i="33"/>
  <c r="H177" i="33" s="1"/>
  <c r="G10" i="33"/>
  <c r="H10" i="33" s="1"/>
  <c r="J81" i="33"/>
  <c r="K81" i="33" s="1"/>
  <c r="J130" i="33"/>
  <c r="K130" i="33" s="1"/>
  <c r="J5" i="33"/>
  <c r="K5" i="33" s="1"/>
  <c r="J54" i="33"/>
  <c r="K54" i="33" s="1"/>
  <c r="J33" i="33"/>
  <c r="K33" i="33" s="1"/>
  <c r="G38" i="33"/>
  <c r="H38" i="33" s="1"/>
  <c r="J8" i="33"/>
  <c r="K8" i="33" s="1"/>
  <c r="J123" i="33"/>
  <c r="K123" i="33" s="1"/>
  <c r="G210" i="33"/>
  <c r="H210" i="33" s="1"/>
  <c r="J79" i="33"/>
  <c r="K79" i="33" s="1"/>
  <c r="G118" i="33"/>
  <c r="H118" i="33" s="1"/>
  <c r="J113" i="33"/>
  <c r="K113" i="33" s="1"/>
  <c r="G99" i="33"/>
  <c r="H99" i="33" s="1"/>
  <c r="J60" i="33"/>
  <c r="K60" i="33" s="1"/>
  <c r="G181" i="33"/>
  <c r="H181" i="33" s="1"/>
  <c r="G203" i="33"/>
  <c r="H203" i="33" s="1"/>
  <c r="J62" i="33"/>
  <c r="K62" i="33" s="1"/>
  <c r="J181" i="33"/>
  <c r="K181" i="33" s="1"/>
  <c r="G46" i="33"/>
  <c r="H46" i="33" s="1"/>
  <c r="G154" i="33"/>
  <c r="H154" i="33" s="1"/>
  <c r="G147" i="33"/>
  <c r="H147" i="33" s="1"/>
  <c r="J177" i="33"/>
  <c r="K177" i="33" s="1"/>
  <c r="J143" i="33"/>
  <c r="K143" i="33" s="1"/>
  <c r="G130" i="33"/>
  <c r="H130" i="33" s="1"/>
  <c r="J221" i="33"/>
  <c r="K221" i="33" s="1"/>
  <c r="G14" i="18"/>
  <c r="G15" i="18"/>
  <c r="J47" i="33"/>
  <c r="K47" i="33" s="1"/>
  <c r="G136" i="33"/>
  <c r="H136" i="33" s="1"/>
  <c r="G75" i="33"/>
  <c r="H75" i="33" s="1"/>
  <c r="G51" i="33"/>
  <c r="H51" i="33" s="1"/>
  <c r="J107" i="33"/>
  <c r="K107" i="33" s="1"/>
  <c r="J152" i="33"/>
  <c r="K152" i="33" s="1"/>
  <c r="G187" i="33"/>
  <c r="H187" i="33" s="1"/>
  <c r="J111" i="33"/>
  <c r="K111" i="33" s="1"/>
  <c r="J104" i="33"/>
  <c r="K104" i="33" s="1"/>
  <c r="J137" i="33"/>
  <c r="K137" i="33" s="1"/>
  <c r="G116" i="33"/>
  <c r="H116" i="33" s="1"/>
  <c r="G156" i="33"/>
  <c r="H156" i="33" s="1"/>
  <c r="G123" i="33"/>
  <c r="H123" i="33" s="1"/>
  <c r="J173" i="33"/>
  <c r="K173" i="33" s="1"/>
  <c r="G90" i="33"/>
  <c r="H90" i="33" s="1"/>
  <c r="G124" i="33"/>
  <c r="H124" i="33" s="1"/>
  <c r="J51" i="33"/>
  <c r="K51" i="33" s="1"/>
  <c r="J88" i="33"/>
  <c r="K88" i="33" s="1"/>
  <c r="G79" i="33"/>
  <c r="H79" i="33" s="1"/>
  <c r="G21" i="33"/>
  <c r="H21" i="33" s="1"/>
  <c r="J158" i="33"/>
  <c r="K158" i="33" s="1"/>
  <c r="G217" i="33"/>
  <c r="H217" i="33" s="1"/>
  <c r="G117" i="33"/>
  <c r="H117" i="33" s="1"/>
  <c r="J124" i="33"/>
  <c r="K124" i="33" s="1"/>
  <c r="G162" i="33"/>
  <c r="H162" i="33" s="1"/>
  <c r="J206" i="33"/>
  <c r="K206" i="33" s="1"/>
  <c r="J27" i="33"/>
  <c r="K27" i="33" s="1"/>
  <c r="J209" i="33"/>
  <c r="K209" i="33" s="1"/>
  <c r="J98" i="33"/>
  <c r="K98" i="33" s="1"/>
  <c r="J212" i="33"/>
  <c r="K212" i="33" s="1"/>
  <c r="G115" i="33"/>
  <c r="H115" i="33" s="1"/>
  <c r="G220" i="33"/>
  <c r="H220" i="33" s="1"/>
  <c r="G45" i="33"/>
  <c r="H45" i="33" s="1"/>
  <c r="J195" i="33"/>
  <c r="K195" i="33" s="1"/>
  <c r="J102" i="33"/>
  <c r="K102" i="33" s="1"/>
  <c r="J99" i="33"/>
  <c r="K99" i="33" s="1"/>
  <c r="G25" i="33"/>
  <c r="H25" i="33" s="1"/>
  <c r="G41" i="33"/>
  <c r="H41" i="33" s="1"/>
  <c r="G163" i="33"/>
  <c r="H163" i="33" s="1"/>
  <c r="J118" i="33"/>
  <c r="K118" i="33" s="1"/>
  <c r="J166" i="33"/>
  <c r="K166" i="33" s="1"/>
  <c r="J140" i="33"/>
  <c r="K140" i="33" s="1"/>
  <c r="G13" i="33"/>
  <c r="H13" i="33" s="1"/>
  <c r="J214" i="33"/>
  <c r="K214" i="33" s="1"/>
  <c r="J4" i="33"/>
  <c r="K4" i="33" s="1"/>
  <c r="J168" i="33"/>
  <c r="K168" i="33" s="1"/>
  <c r="G150" i="33"/>
  <c r="H150" i="33" s="1"/>
  <c r="J204" i="33"/>
  <c r="K204" i="33" s="1"/>
  <c r="G34" i="33"/>
  <c r="H34" i="33" s="1"/>
  <c r="J141" i="33"/>
  <c r="K141" i="33" s="1"/>
  <c r="J42" i="33"/>
  <c r="K42" i="33" s="1"/>
  <c r="G72" i="33"/>
  <c r="H72" i="33" s="1"/>
  <c r="G129" i="33"/>
  <c r="H129" i="33" s="1"/>
  <c r="G102" i="33"/>
  <c r="H102" i="33" s="1"/>
  <c r="G97" i="33"/>
  <c r="H97" i="33" s="1"/>
  <c r="G180" i="33"/>
  <c r="H180" i="33" s="1"/>
  <c r="G80" i="33"/>
  <c r="H80" i="33" s="1"/>
  <c r="J201" i="33"/>
  <c r="K201" i="33" s="1"/>
  <c r="G113" i="33"/>
  <c r="H113" i="33" s="1"/>
  <c r="J108" i="33"/>
  <c r="K108" i="33" s="1"/>
  <c r="G194" i="33"/>
  <c r="H194" i="33" s="1"/>
  <c r="J68" i="33"/>
  <c r="K68" i="33" s="1"/>
  <c r="J180" i="33"/>
  <c r="K180" i="33" s="1"/>
  <c r="J95" i="33"/>
  <c r="K95" i="33" s="1"/>
  <c r="G218" i="33"/>
  <c r="H218" i="33" s="1"/>
  <c r="G84" i="33"/>
  <c r="H84" i="33" s="1"/>
  <c r="G37" i="33"/>
  <c r="H37" i="33" s="1"/>
  <c r="J64" i="33"/>
  <c r="K64" i="33" s="1"/>
  <c r="J78" i="33"/>
  <c r="K78" i="33" s="1"/>
  <c r="G88" i="33"/>
  <c r="H88" i="33" s="1"/>
  <c r="J194" i="33"/>
  <c r="K194" i="33" s="1"/>
  <c r="J21" i="33"/>
  <c r="K21" i="33" s="1"/>
  <c r="G164" i="33"/>
  <c r="H164" i="33" s="1"/>
  <c r="J57" i="33"/>
  <c r="K57" i="33" s="1"/>
  <c r="G49" i="33"/>
  <c r="H49" i="33" s="1"/>
  <c r="J163" i="33"/>
  <c r="K163" i="33" s="1"/>
  <c r="J82" i="33"/>
  <c r="K82" i="33" s="1"/>
  <c r="J161" i="33"/>
  <c r="K161" i="33" s="1"/>
  <c r="J162" i="33"/>
  <c r="K162" i="33" s="1"/>
  <c r="J191" i="33"/>
  <c r="K191" i="33" s="1"/>
  <c r="J103" i="33"/>
  <c r="K103" i="33" s="1"/>
  <c r="G100" i="33"/>
  <c r="H100" i="33" s="1"/>
  <c r="G183" i="33"/>
  <c r="H183" i="33" s="1"/>
  <c r="J15" i="33"/>
  <c r="K15" i="33" s="1"/>
  <c r="J43" i="33"/>
  <c r="K43" i="33" s="1"/>
  <c r="J142" i="33"/>
  <c r="K142" i="33" s="1"/>
  <c r="G22" i="33"/>
  <c r="H22" i="33" s="1"/>
  <c r="J203" i="33"/>
  <c r="K203" i="33" s="1"/>
  <c r="J200" i="33"/>
  <c r="K200" i="33" s="1"/>
  <c r="J121" i="33"/>
  <c r="K121" i="33" s="1"/>
  <c r="G182" i="33"/>
  <c r="H182" i="33" s="1"/>
  <c r="G93" i="33"/>
  <c r="H93" i="33" s="1"/>
  <c r="G3" i="33"/>
  <c r="H3" i="33" s="1"/>
  <c r="J56" i="33"/>
  <c r="K56" i="33" s="1"/>
  <c r="J135" i="33"/>
  <c r="K135" i="33" s="1"/>
  <c r="J3" i="33"/>
  <c r="K3" i="33" s="1"/>
  <c r="J167" i="33"/>
  <c r="K167" i="33" s="1"/>
  <c r="G108" i="33"/>
  <c r="H108" i="33" s="1"/>
  <c r="J117" i="33"/>
  <c r="K117" i="33" s="1"/>
  <c r="J215" i="33"/>
  <c r="K215" i="33" s="1"/>
  <c r="J93" i="33"/>
  <c r="K93" i="33" s="1"/>
  <c r="G168" i="33"/>
  <c r="H168" i="33" s="1"/>
  <c r="J120" i="33"/>
  <c r="K120" i="33" s="1"/>
  <c r="J183" i="33"/>
  <c r="K183" i="33" s="1"/>
  <c r="G54" i="33"/>
  <c r="H54" i="33" s="1"/>
  <c r="G81" i="33"/>
  <c r="H81" i="33" s="1"/>
  <c r="J30" i="33"/>
  <c r="K30" i="33" s="1"/>
  <c r="G60" i="33"/>
  <c r="H60" i="33" s="1"/>
  <c r="G59" i="33"/>
  <c r="H59" i="33" s="1"/>
  <c r="J14" i="33"/>
  <c r="K14" i="33" s="1"/>
  <c r="G222" i="33"/>
  <c r="H222" i="33" s="1"/>
  <c r="G12" i="33"/>
  <c r="H12" i="33" s="1"/>
  <c r="G39" i="33"/>
  <c r="H39" i="33" s="1"/>
  <c r="J222" i="33"/>
  <c r="K222" i="33" s="1"/>
  <c r="J144" i="33"/>
  <c r="K144" i="33" s="1"/>
  <c r="G82" i="33"/>
  <c r="H82" i="33" s="1"/>
  <c r="J18" i="33"/>
  <c r="K18" i="33" s="1"/>
  <c r="G40" i="33"/>
  <c r="H40" i="33" s="1"/>
  <c r="G33" i="33"/>
  <c r="H33" i="33" s="1"/>
  <c r="G63" i="33"/>
  <c r="H63" i="33" s="1"/>
  <c r="G104" i="33"/>
  <c r="H104" i="33" s="1"/>
  <c r="J112" i="33"/>
  <c r="K112" i="33" s="1"/>
  <c r="G7" i="33"/>
  <c r="H7" i="33" s="1"/>
  <c r="J176" i="33"/>
  <c r="K176" i="33" s="1"/>
  <c r="J11" i="33"/>
  <c r="K11" i="33" s="1"/>
  <c r="G189" i="33"/>
  <c r="H189" i="33" s="1"/>
  <c r="J187" i="33"/>
  <c r="K187" i="33" s="1"/>
  <c r="G67" i="33"/>
  <c r="H67" i="33" s="1"/>
  <c r="J71" i="33"/>
  <c r="K71" i="33" s="1"/>
  <c r="J10" i="33"/>
  <c r="K10" i="33" s="1"/>
  <c r="G105" i="33"/>
  <c r="H105" i="33" s="1"/>
  <c r="J96" i="33"/>
  <c r="K96" i="33" s="1"/>
  <c r="G53" i="33"/>
  <c r="H53" i="33" s="1"/>
  <c r="J92" i="33"/>
  <c r="K92" i="33" s="1"/>
  <c r="G165" i="33"/>
  <c r="H165" i="33" s="1"/>
  <c r="J97" i="33"/>
  <c r="K97" i="33" s="1"/>
  <c r="G74" i="33"/>
  <c r="H74" i="33" s="1"/>
  <c r="N8" i="16"/>
  <c r="G184" i="33"/>
  <c r="H184" i="33" s="1"/>
  <c r="J105" i="33"/>
  <c r="K105" i="33" s="1"/>
  <c r="J129" i="33"/>
  <c r="K129" i="33" s="1"/>
  <c r="J46" i="33"/>
  <c r="K46" i="33" s="1"/>
  <c r="G48" i="33"/>
  <c r="H48" i="33" s="1"/>
  <c r="J219" i="33"/>
  <c r="K219" i="33" s="1"/>
  <c r="J13" i="33"/>
  <c r="K13" i="33" s="1"/>
  <c r="G173" i="33"/>
  <c r="H173" i="33" s="1"/>
  <c r="J145" i="33"/>
  <c r="K145" i="33" s="1"/>
  <c r="G202" i="33"/>
  <c r="H202" i="33" s="1"/>
  <c r="G112" i="33"/>
  <c r="H112" i="33" s="1"/>
  <c r="G47" i="33"/>
  <c r="H47" i="33" s="1"/>
  <c r="J49" i="33"/>
  <c r="K49" i="33" s="1"/>
  <c r="J90" i="33"/>
  <c r="K90" i="33" s="1"/>
  <c r="J40" i="33"/>
  <c r="K40" i="33" s="1"/>
  <c r="O9" i="16"/>
  <c r="G204" i="33"/>
  <c r="H204" i="33" s="1"/>
  <c r="J210" i="33"/>
  <c r="K210" i="33" s="1"/>
  <c r="J85" i="33"/>
  <c r="K85" i="33" s="1"/>
  <c r="O7" i="16"/>
  <c r="G77" i="33"/>
  <c r="H77" i="33" s="1"/>
  <c r="G103" i="33"/>
  <c r="H103" i="33" s="1"/>
  <c r="J125" i="33"/>
  <c r="K125" i="33" s="1"/>
  <c r="O8" i="16"/>
  <c r="G94" i="33"/>
  <c r="H94" i="33" s="1"/>
  <c r="G128" i="33"/>
  <c r="H128" i="33" s="1"/>
  <c r="J66" i="33"/>
  <c r="K66" i="33" s="1"/>
  <c r="J208" i="33"/>
  <c r="K208" i="33" s="1"/>
  <c r="G144" i="33"/>
  <c r="H144" i="33" s="1"/>
  <c r="G91" i="33"/>
  <c r="H91" i="33" s="1"/>
  <c r="G70" i="33"/>
  <c r="H70" i="33" s="1"/>
  <c r="J174" i="33"/>
  <c r="K174" i="33" s="1"/>
  <c r="G111" i="33"/>
  <c r="H111" i="33" s="1"/>
  <c r="G205" i="33"/>
  <c r="H205" i="33" s="1"/>
  <c r="G131" i="33"/>
  <c r="H131" i="33" s="1"/>
  <c r="J22" i="33"/>
  <c r="K22" i="33" s="1"/>
  <c r="G89" i="33"/>
  <c r="H89" i="33" s="1"/>
  <c r="J182" i="33"/>
  <c r="K182" i="33" s="1"/>
  <c r="G8" i="33"/>
  <c r="H8" i="33" s="1"/>
  <c r="J155" i="33"/>
  <c r="K155" i="33" s="1"/>
  <c r="J217" i="33"/>
  <c r="K217" i="33" s="1"/>
  <c r="J39" i="33"/>
  <c r="K39" i="33" s="1"/>
  <c r="J76" i="33"/>
  <c r="K76" i="33" s="1"/>
  <c r="G43" i="33"/>
  <c r="H43" i="33" s="1"/>
  <c r="J160" i="33"/>
  <c r="K160" i="33" s="1"/>
  <c r="G56" i="33"/>
  <c r="H56" i="33" s="1"/>
  <c r="J199" i="33"/>
  <c r="K199" i="33" s="1"/>
  <c r="J9" i="33"/>
  <c r="K9" i="33" s="1"/>
  <c r="G121" i="33"/>
  <c r="H121" i="33" s="1"/>
  <c r="J110" i="33"/>
  <c r="K110" i="33" s="1"/>
  <c r="G141" i="33"/>
  <c r="H141" i="33" s="1"/>
  <c r="G95" i="33"/>
  <c r="H95" i="33" s="1"/>
  <c r="G73" i="33"/>
  <c r="H73" i="33" s="1"/>
  <c r="J16" i="33"/>
  <c r="K16" i="33" s="1"/>
  <c r="J146" i="33"/>
  <c r="K146" i="33" s="1"/>
  <c r="G138" i="33"/>
  <c r="H138" i="33" s="1"/>
  <c r="J122" i="33"/>
  <c r="K122" i="33" s="1"/>
  <c r="G50" i="33"/>
  <c r="H50" i="33" s="1"/>
  <c r="J44" i="33"/>
  <c r="K44" i="33" s="1"/>
  <c r="J147" i="33"/>
  <c r="K147" i="33" s="1"/>
  <c r="G69" i="33"/>
  <c r="H69" i="33" s="1"/>
  <c r="G17" i="33"/>
  <c r="H17" i="33" s="1"/>
  <c r="G185" i="33"/>
  <c r="H185" i="33" s="1"/>
  <c r="G32" i="33"/>
  <c r="H32" i="33" s="1"/>
  <c r="G55" i="33"/>
  <c r="H55" i="33" s="1"/>
  <c r="J119" i="33"/>
  <c r="K119" i="33" s="1"/>
  <c r="J193" i="33"/>
  <c r="K193" i="33" s="1"/>
  <c r="G146" i="33"/>
  <c r="H146" i="33" s="1"/>
  <c r="G179" i="33"/>
  <c r="H179" i="33" s="1"/>
  <c r="G199" i="33"/>
  <c r="H199" i="33" s="1"/>
  <c r="G57" i="33"/>
  <c r="H57" i="33" s="1"/>
  <c r="G137" i="33"/>
  <c r="H137" i="33" s="1"/>
  <c r="J74" i="33"/>
  <c r="K74" i="33" s="1"/>
  <c r="J26" i="33"/>
  <c r="K26" i="33" s="1"/>
  <c r="J25" i="33"/>
  <c r="K25" i="33" s="1"/>
  <c r="J132" i="33"/>
  <c r="K132" i="33" s="1"/>
  <c r="J89" i="33"/>
  <c r="K89" i="33" s="1"/>
  <c r="G188" i="33"/>
  <c r="H188" i="33" s="1"/>
  <c r="G198" i="33"/>
  <c r="H198" i="33" s="1"/>
  <c r="G5" i="33"/>
  <c r="H5" i="33" s="1"/>
  <c r="G20" i="33"/>
  <c r="H20" i="33" s="1"/>
  <c r="J106" i="33"/>
  <c r="K106" i="33" s="1"/>
  <c r="G26" i="33"/>
  <c r="H26" i="33" s="1"/>
  <c r="J94" i="33"/>
  <c r="K94" i="33" s="1"/>
  <c r="J59" i="33"/>
  <c r="K59" i="33" s="1"/>
  <c r="J12" i="33"/>
  <c r="K12" i="33" s="1"/>
  <c r="J36" i="33"/>
  <c r="K36" i="33" s="1"/>
  <c r="G149" i="33"/>
  <c r="H149" i="33" s="1"/>
  <c r="J37" i="33"/>
  <c r="K37" i="33" s="1"/>
  <c r="G143" i="33"/>
  <c r="H143" i="33" s="1"/>
  <c r="J213" i="33"/>
  <c r="K213" i="33" s="1"/>
  <c r="J53" i="33"/>
  <c r="K53" i="33" s="1"/>
  <c r="J150" i="33"/>
  <c r="K150" i="33" s="1"/>
  <c r="G96" i="33"/>
  <c r="H96" i="33" s="1"/>
  <c r="G206" i="33"/>
  <c r="H206" i="33" s="1"/>
  <c r="G215" i="33"/>
  <c r="H215" i="33" s="1"/>
  <c r="J134" i="33"/>
  <c r="K134" i="33" s="1"/>
  <c r="G76" i="33"/>
  <c r="H76" i="33" s="1"/>
  <c r="G68" i="33"/>
  <c r="H68" i="33" s="1"/>
  <c r="G175" i="33"/>
  <c r="H175" i="33" s="1"/>
  <c r="G106" i="33"/>
  <c r="H106" i="33" s="1"/>
  <c r="J73" i="33"/>
  <c r="K73" i="33" s="1"/>
  <c r="J17" i="33"/>
  <c r="K17" i="33" s="1"/>
  <c r="G155" i="33"/>
  <c r="H155" i="33" s="1"/>
  <c r="G159" i="33"/>
  <c r="H159" i="33" s="1"/>
  <c r="J188" i="33"/>
  <c r="K188" i="33" s="1"/>
  <c r="J83" i="33"/>
  <c r="K83" i="33" s="1"/>
  <c r="J220" i="33"/>
  <c r="K220" i="33" s="1"/>
  <c r="G29" i="33"/>
  <c r="H29" i="33" s="1"/>
  <c r="G207" i="33"/>
  <c r="H207" i="33" s="1"/>
  <c r="J128" i="33"/>
  <c r="K128" i="33" s="1"/>
  <c r="J165" i="33"/>
  <c r="K165" i="33" s="1"/>
  <c r="G109" i="33"/>
  <c r="H109" i="33" s="1"/>
  <c r="G140" i="33"/>
  <c r="H140" i="33" s="1"/>
  <c r="J139" i="33"/>
  <c r="K139" i="33" s="1"/>
  <c r="J184" i="33"/>
  <c r="K184" i="33" s="1"/>
  <c r="G101" i="33"/>
  <c r="H101" i="33" s="1"/>
  <c r="G23" i="33"/>
  <c r="H23" i="33" s="1"/>
  <c r="J170" i="33"/>
  <c r="K170" i="33" s="1"/>
  <c r="G98" i="33"/>
  <c r="H98" i="33" s="1"/>
  <c r="J6" i="33"/>
  <c r="K6" i="33" s="1"/>
  <c r="J70" i="33"/>
  <c r="K70" i="33" s="1"/>
  <c r="J48" i="33"/>
  <c r="K48" i="33" s="1"/>
  <c r="G85" i="33"/>
  <c r="H85" i="33" s="1"/>
  <c r="G172" i="33"/>
  <c r="H172" i="33" s="1"/>
  <c r="J7" i="33"/>
  <c r="K7" i="33" s="1"/>
  <c r="G18" i="33"/>
  <c r="H18" i="33" s="1"/>
  <c r="J29" i="33"/>
  <c r="K29" i="33" s="1"/>
  <c r="J19" i="33"/>
  <c r="K19" i="33" s="1"/>
  <c r="G178" i="33"/>
  <c r="H178" i="33" s="1"/>
  <c r="J186" i="33"/>
  <c r="K186" i="33" s="1"/>
  <c r="G31" i="33"/>
  <c r="H31" i="33" s="1"/>
  <c r="G92" i="33"/>
  <c r="H92" i="33" s="1"/>
  <c r="G4" i="33"/>
  <c r="H4" i="33" s="1"/>
  <c r="J69" i="33"/>
  <c r="K69" i="33" s="1"/>
  <c r="G201" i="33"/>
  <c r="H201" i="33" s="1"/>
  <c r="J86" i="33"/>
  <c r="K86" i="33" s="1"/>
  <c r="J58" i="33"/>
  <c r="K58" i="33" s="1"/>
  <c r="G134" i="33"/>
  <c r="H134" i="33" s="1"/>
  <c r="J77" i="33"/>
  <c r="K77" i="33" s="1"/>
  <c r="G61" i="33"/>
  <c r="H61" i="33" s="1"/>
  <c r="J72" i="33"/>
  <c r="K72" i="33" s="1"/>
  <c r="J190" i="33"/>
  <c r="K190" i="33" s="1"/>
  <c r="G152" i="33"/>
  <c r="H152" i="33" s="1"/>
  <c r="G62" i="33"/>
  <c r="H62" i="33" s="1"/>
  <c r="J126" i="33"/>
  <c r="K126" i="33" s="1"/>
  <c r="G161" i="33"/>
  <c r="H161" i="33" s="1"/>
  <c r="J216" i="33"/>
  <c r="K216" i="33" s="1"/>
  <c r="J178" i="33"/>
  <c r="K178" i="33" s="1"/>
  <c r="J159" i="33"/>
  <c r="K159" i="33" s="1"/>
  <c r="G6" i="33"/>
  <c r="H6" i="33" s="1"/>
  <c r="J172" i="33"/>
  <c r="K172" i="33" s="1"/>
  <c r="G211" i="33"/>
  <c r="H211" i="33" s="1"/>
  <c r="J169" i="33"/>
  <c r="K169" i="33" s="1"/>
  <c r="G28" i="33"/>
  <c r="H28" i="33" s="1"/>
  <c r="G148" i="33"/>
  <c r="H148" i="33" s="1"/>
  <c r="G64" i="33"/>
  <c r="H64" i="33" s="1"/>
  <c r="G127" i="33"/>
  <c r="H127" i="33" s="1"/>
  <c r="G126" i="33"/>
  <c r="H126" i="33" s="1"/>
  <c r="G119" i="33"/>
  <c r="H119" i="33" s="1"/>
  <c r="G167" i="33"/>
  <c r="H167" i="33" s="1"/>
  <c r="J192" i="33"/>
  <c r="K192" i="33" s="1"/>
  <c r="J138" i="33"/>
  <c r="K138" i="33" s="1"/>
  <c r="G42" i="33"/>
  <c r="H42" i="33" s="1"/>
  <c r="G142" i="33"/>
  <c r="H142" i="33" s="1"/>
  <c r="J100" i="33"/>
  <c r="K100" i="33" s="1"/>
  <c r="G139" i="33"/>
  <c r="H139" i="33" s="1"/>
  <c r="G83" i="33"/>
  <c r="H83" i="33" s="1"/>
  <c r="J207" i="33"/>
  <c r="K207" i="33" s="1"/>
  <c r="J52" i="33"/>
  <c r="K52" i="33" s="1"/>
  <c r="G186" i="33"/>
  <c r="H186" i="33" s="1"/>
  <c r="J164" i="33"/>
  <c r="K164" i="33" s="1"/>
  <c r="G120" i="33"/>
  <c r="H120" i="33" s="1"/>
  <c r="G193" i="33"/>
  <c r="H193" i="33" s="1"/>
  <c r="G58" i="33"/>
  <c r="H58" i="33" s="1"/>
  <c r="G174" i="33"/>
  <c r="H174" i="33" s="1"/>
  <c r="J156" i="33"/>
  <c r="K156" i="33" s="1"/>
  <c r="G208" i="33"/>
  <c r="H208" i="33" s="1"/>
  <c r="J84" i="33"/>
  <c r="K84" i="33" s="1"/>
  <c r="G170" i="33"/>
  <c r="H170" i="33" s="1"/>
  <c r="J148" i="33"/>
  <c r="K148" i="33" s="1"/>
  <c r="G86" i="33"/>
  <c r="H86" i="33" s="1"/>
  <c r="G107" i="33"/>
  <c r="H107" i="33" s="1"/>
  <c r="J116" i="33"/>
  <c r="K116" i="33" s="1"/>
  <c r="J23" i="33"/>
  <c r="K23" i="33" s="1"/>
  <c r="G52" i="33"/>
  <c r="H52" i="33" s="1"/>
  <c r="G15" i="33"/>
  <c r="H15" i="33" s="1"/>
  <c r="J35" i="33"/>
  <c r="K35" i="33" s="1"/>
  <c r="G157" i="33"/>
  <c r="H157" i="33" s="1"/>
  <c r="J63" i="33"/>
  <c r="K63" i="33" s="1"/>
  <c r="J196" i="33"/>
  <c r="K196" i="33" s="1"/>
  <c r="G219" i="33"/>
  <c r="H219" i="33" s="1"/>
  <c r="G36" i="33"/>
  <c r="H36" i="33" s="1"/>
  <c r="J179" i="33"/>
  <c r="K179" i="33" s="1"/>
  <c r="G44" i="33"/>
  <c r="H44" i="33" s="1"/>
  <c r="J109" i="33"/>
  <c r="K109" i="33" s="1"/>
  <c r="J205" i="33"/>
  <c r="K205" i="33" s="1"/>
  <c r="J32" i="33"/>
  <c r="K32" i="33" s="1"/>
  <c r="G214" i="33"/>
  <c r="H214" i="33" s="1"/>
  <c r="G145" i="33"/>
  <c r="H145" i="33" s="1"/>
  <c r="G87" i="33"/>
  <c r="H87" i="33" s="1"/>
  <c r="J198" i="33"/>
  <c r="K198" i="33" s="1"/>
  <c r="A8" i="37"/>
  <c r="C7" i="37"/>
  <c r="X18" i="44" l="1"/>
  <c r="V18" i="44"/>
  <c r="U18" i="44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K18" i="18"/>
  <c r="K13" i="18"/>
  <c r="K12" i="18"/>
  <c r="K16" i="18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<sst xmlns="http://schemas.openxmlformats.org/spreadsheetml/2006/main" count="1315" uniqueCount="506">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</sst>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52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2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chartsheet" Target="chartsheets/sheet3.xml"/><Relationship Id="rId28" Type="http://schemas.openxmlformats.org/officeDocument/2006/relationships/worksheet" Target="worksheets/sheet24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45" t="s">
        <v>170</v>
      </c>
      <c r="B10" s="416" t="s">
        <v>171</v>
      </c>
    </row>
    <row r="11" spans="1:3" s="403" customFormat="1" ht="35.25" customHeight="1" x14ac:dyDescent="0.25">
      <c r="A11" s="846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47" t="s">
        <v>167</v>
      </c>
      <c r="B17" s="842" t="s">
        <v>167</v>
      </c>
      <c r="C17" s="419" t="s">
        <v>175</v>
      </c>
    </row>
    <row r="18" spans="1:3" s="402" customFormat="1" ht="22.5" customHeight="1" x14ac:dyDescent="0.25">
      <c r="A18" s="848"/>
      <c r="B18" s="843"/>
      <c r="C18" s="419" t="s">
        <v>205</v>
      </c>
    </row>
    <row r="19" spans="1:3" s="402" customFormat="1" ht="22.5" customHeight="1" x14ac:dyDescent="0.25">
      <c r="A19" s="848"/>
      <c r="B19" s="843"/>
      <c r="C19" s="424" t="s">
        <v>202</v>
      </c>
    </row>
    <row r="20" spans="1:3" s="402" customFormat="1" ht="22.5" customHeight="1" x14ac:dyDescent="0.25">
      <c r="A20" s="848"/>
      <c r="B20" s="843"/>
      <c r="C20" s="424" t="s">
        <v>201</v>
      </c>
    </row>
    <row r="21" spans="1:3" s="415" customFormat="1" ht="22.5" customHeight="1" thickBot="1" x14ac:dyDescent="0.3">
      <c r="A21" s="849"/>
      <c r="B21" s="844"/>
      <c r="C21" s="420" t="s">
        <v>206</v>
      </c>
    </row>
    <row r="22" spans="1:3" s="412" customFormat="1" ht="22.5" customHeight="1" x14ac:dyDescent="0.25">
      <c r="A22" s="847" t="s">
        <v>180</v>
      </c>
      <c r="B22" s="842" t="s">
        <v>181</v>
      </c>
      <c r="C22" s="418" t="s">
        <v>182</v>
      </c>
    </row>
    <row r="23" spans="1:3" s="402" customFormat="1" ht="22.5" customHeight="1" x14ac:dyDescent="0.25">
      <c r="A23" s="848"/>
      <c r="B23" s="843"/>
      <c r="C23" s="419" t="s">
        <v>183</v>
      </c>
    </row>
    <row r="24" spans="1:3" s="402" customFormat="1" ht="22.5" customHeight="1" x14ac:dyDescent="0.25">
      <c r="A24" s="848"/>
      <c r="B24" s="843"/>
      <c r="C24" s="402" t="s">
        <v>186</v>
      </c>
    </row>
    <row r="25" spans="1:3" s="402" customFormat="1" ht="22.5" customHeight="1" x14ac:dyDescent="0.25">
      <c r="A25" s="848"/>
      <c r="B25" s="843"/>
      <c r="C25" s="419" t="s">
        <v>184</v>
      </c>
    </row>
    <row r="26" spans="1:3" s="415" customFormat="1" ht="22.5" customHeight="1" thickBot="1" x14ac:dyDescent="0.3">
      <c r="A26" s="849"/>
      <c r="B26" s="844"/>
      <c r="C26" s="415" t="s">
        <v>185</v>
      </c>
    </row>
    <row r="27" spans="1:3" s="412" customFormat="1" ht="22.5" customHeight="1" x14ac:dyDescent="0.25">
      <c r="A27" s="847" t="s">
        <v>188</v>
      </c>
      <c r="B27" s="842" t="s">
        <v>188</v>
      </c>
      <c r="C27" s="418" t="s">
        <v>189</v>
      </c>
    </row>
    <row r="28" spans="1:3" s="402" customFormat="1" ht="22.5" customHeight="1" x14ac:dyDescent="0.25">
      <c r="A28" s="848"/>
      <c r="B28" s="843"/>
      <c r="C28" s="424" t="s">
        <v>241</v>
      </c>
    </row>
    <row r="29" spans="1:3" s="402" customFormat="1" ht="22.5" customHeight="1" x14ac:dyDescent="0.25">
      <c r="A29" s="848"/>
      <c r="B29" s="843"/>
      <c r="C29" s="424" t="s">
        <v>243</v>
      </c>
    </row>
    <row r="30" spans="1:3" s="402" customFormat="1" ht="22.5" customHeight="1" x14ac:dyDescent="0.25">
      <c r="A30" s="848"/>
      <c r="B30" s="843"/>
      <c r="C30" s="402" t="s">
        <v>242</v>
      </c>
    </row>
    <row r="31" spans="1:3" s="414" customFormat="1" ht="22.5" customHeight="1" thickBot="1" x14ac:dyDescent="0.3">
      <c r="A31" s="849"/>
      <c r="B31" s="413" t="s">
        <v>190</v>
      </c>
      <c r="C31" s="414" t="s">
        <v>314</v>
      </c>
    </row>
    <row r="32" spans="1:3" s="412" customFormat="1" ht="22.5" customHeight="1" x14ac:dyDescent="0.25">
      <c r="A32" s="839" t="s">
        <v>194</v>
      </c>
      <c r="B32" s="836" t="s">
        <v>194</v>
      </c>
      <c r="C32" s="418" t="s">
        <v>195</v>
      </c>
    </row>
    <row r="33" spans="1:3" s="402" customFormat="1" ht="22.5" customHeight="1" x14ac:dyDescent="0.25">
      <c r="A33" s="840"/>
      <c r="B33" s="837"/>
      <c r="C33" s="419" t="s">
        <v>196</v>
      </c>
    </row>
    <row r="34" spans="1:3" s="402" customFormat="1" ht="22.5" customHeight="1" x14ac:dyDescent="0.25">
      <c r="A34" s="840"/>
      <c r="B34" s="837"/>
      <c r="C34" s="419" t="s">
        <v>197</v>
      </c>
    </row>
    <row r="35" spans="1:3" s="415" customFormat="1" ht="22.5" customHeight="1" thickBot="1" x14ac:dyDescent="0.3">
      <c r="A35" s="841"/>
      <c r="B35" s="838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57" t="s">
        <v>414</v>
      </c>
      <c r="B1" s="857"/>
      <c r="C1" s="857"/>
      <c r="D1" s="857"/>
      <c r="E1" s="857"/>
      <c r="F1" s="857"/>
      <c r="G1" s="857"/>
      <c r="H1" s="857"/>
      <c r="I1" s="857"/>
      <c r="J1" s="857"/>
      <c r="K1" s="857"/>
      <c r="L1" s="857"/>
      <c r="M1" s="857"/>
    </row>
    <row r="2" spans="1:21" s="11" customFormat="1" ht="18.75" customHeight="1" x14ac:dyDescent="0.25">
      <c r="A2" s="858" t="s">
        <v>315</v>
      </c>
      <c r="B2" s="858"/>
      <c r="C2" s="858"/>
      <c r="D2" s="858"/>
      <c r="E2" s="858"/>
      <c r="F2" s="858"/>
      <c r="G2" s="858"/>
      <c r="H2" s="858"/>
      <c r="I2" s="858"/>
      <c r="J2" s="858"/>
      <c r="K2" s="858"/>
      <c r="L2" s="858"/>
      <c r="M2" s="858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884" t="s">
        <v>248</v>
      </c>
      <c r="B3" s="882" t="s">
        <v>309</v>
      </c>
      <c r="C3" s="883"/>
      <c r="D3" s="882" t="s">
        <v>295</v>
      </c>
      <c r="E3" s="883"/>
      <c r="F3" s="882" t="s">
        <v>299</v>
      </c>
      <c r="G3" s="883"/>
      <c r="H3" s="882" t="s">
        <v>299</v>
      </c>
      <c r="I3" s="883"/>
      <c r="J3" s="882" t="s">
        <v>336</v>
      </c>
      <c r="K3" s="883"/>
      <c r="L3" s="882"/>
      <c r="M3" s="883"/>
      <c r="N3" s="882"/>
      <c r="O3" s="883"/>
      <c r="P3" s="882"/>
      <c r="Q3" s="883"/>
      <c r="R3" s="882"/>
      <c r="S3" s="883"/>
      <c r="T3" s="882"/>
      <c r="U3" s="883"/>
    </row>
    <row r="4" spans="1:21" s="589" customFormat="1" ht="21" customHeight="1" x14ac:dyDescent="0.25">
      <c r="A4" s="885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886"/>
      <c r="B5" s="880" t="s">
        <v>310</v>
      </c>
      <c r="C5" s="881"/>
      <c r="D5" s="880" t="s">
        <v>298</v>
      </c>
      <c r="E5" s="881"/>
      <c r="F5" s="880" t="s">
        <v>303</v>
      </c>
      <c r="G5" s="887"/>
      <c r="H5" s="887"/>
      <c r="I5" s="881"/>
      <c r="J5" s="880" t="s">
        <v>339</v>
      </c>
      <c r="K5" s="881"/>
      <c r="L5" s="880"/>
      <c r="M5" s="881"/>
      <c r="N5" s="880"/>
      <c r="O5" s="881"/>
      <c r="P5" s="880"/>
      <c r="Q5" s="881"/>
      <c r="R5" s="880"/>
      <c r="S5" s="881"/>
      <c r="T5" s="880"/>
      <c r="U5" s="881"/>
    </row>
    <row r="6" spans="1:21" s="586" customFormat="1" ht="21" customHeight="1" x14ac:dyDescent="0.25">
      <c r="A6" s="854" t="s">
        <v>250</v>
      </c>
      <c r="B6" s="850" t="s">
        <v>244</v>
      </c>
      <c r="C6" s="851"/>
      <c r="D6" s="850" t="s">
        <v>269</v>
      </c>
      <c r="E6" s="851"/>
      <c r="F6" s="850" t="s">
        <v>277</v>
      </c>
      <c r="G6" s="851"/>
      <c r="H6" s="850" t="s">
        <v>384</v>
      </c>
      <c r="I6" s="851"/>
      <c r="J6" s="850"/>
      <c r="K6" s="851"/>
      <c r="L6" s="850"/>
      <c r="M6" s="851"/>
      <c r="N6" s="850"/>
      <c r="O6" s="851"/>
      <c r="P6" s="850"/>
      <c r="Q6" s="851"/>
      <c r="R6" s="850"/>
      <c r="S6" s="851"/>
      <c r="T6" s="850"/>
      <c r="U6" s="851"/>
    </row>
    <row r="7" spans="1:21" s="590" customFormat="1" ht="21" customHeight="1" x14ac:dyDescent="0.25">
      <c r="A7" s="855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55"/>
      <c r="B8" s="852" t="s">
        <v>382</v>
      </c>
      <c r="C8" s="853"/>
      <c r="D8" s="852"/>
      <c r="E8" s="853"/>
      <c r="F8" s="852" t="s">
        <v>301</v>
      </c>
      <c r="G8" s="853"/>
      <c r="H8" s="852"/>
      <c r="I8" s="853"/>
      <c r="J8" s="852"/>
      <c r="K8" s="853"/>
      <c r="L8" s="852"/>
      <c r="M8" s="853"/>
      <c r="N8" s="852"/>
      <c r="O8" s="853"/>
      <c r="P8" s="852"/>
      <c r="Q8" s="853"/>
      <c r="R8" s="852"/>
      <c r="S8" s="853"/>
      <c r="T8" s="852"/>
      <c r="U8" s="853"/>
    </row>
    <row r="9" spans="1:21" s="695" customFormat="1" ht="21" customHeight="1" x14ac:dyDescent="0.25">
      <c r="A9" s="855"/>
      <c r="B9" s="850" t="s">
        <v>408</v>
      </c>
      <c r="C9" s="851"/>
      <c r="D9" s="850" t="s">
        <v>269</v>
      </c>
      <c r="E9" s="851"/>
      <c r="F9" s="850" t="s">
        <v>412</v>
      </c>
      <c r="G9" s="851"/>
      <c r="H9" s="850"/>
      <c r="I9" s="851"/>
      <c r="J9" s="850"/>
      <c r="K9" s="851"/>
      <c r="L9" s="850"/>
      <c r="M9" s="851"/>
      <c r="N9" s="850"/>
      <c r="O9" s="851"/>
      <c r="P9" s="850"/>
      <c r="Q9" s="851"/>
      <c r="R9" s="850"/>
      <c r="S9" s="851"/>
      <c r="T9" s="850"/>
      <c r="U9" s="851"/>
    </row>
    <row r="10" spans="1:21" s="590" customFormat="1" ht="21" customHeight="1" x14ac:dyDescent="0.25">
      <c r="A10" s="855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856"/>
      <c r="B11" s="852" t="s">
        <v>411</v>
      </c>
      <c r="C11" s="853"/>
      <c r="D11" s="852" t="s">
        <v>410</v>
      </c>
      <c r="E11" s="853"/>
      <c r="F11" s="852" t="s">
        <v>410</v>
      </c>
      <c r="G11" s="853"/>
      <c r="H11" s="852"/>
      <c r="I11" s="853"/>
      <c r="J11" s="852"/>
      <c r="K11" s="853"/>
      <c r="L11" s="852"/>
      <c r="M11" s="853"/>
      <c r="N11" s="852"/>
      <c r="O11" s="853"/>
      <c r="P11" s="852"/>
      <c r="Q11" s="853"/>
      <c r="R11" s="852"/>
      <c r="S11" s="853"/>
      <c r="T11" s="852"/>
      <c r="U11" s="853"/>
    </row>
    <row r="12" spans="1:21" s="149" customFormat="1" ht="21" customHeight="1" x14ac:dyDescent="0.25">
      <c r="A12" s="877" t="s">
        <v>251</v>
      </c>
      <c r="B12" s="875" t="s">
        <v>276</v>
      </c>
      <c r="C12" s="876"/>
      <c r="D12" s="875" t="s">
        <v>283</v>
      </c>
      <c r="E12" s="876"/>
      <c r="F12" s="875"/>
      <c r="G12" s="876"/>
      <c r="H12" s="875"/>
      <c r="I12" s="876"/>
      <c r="J12" s="875"/>
      <c r="K12" s="876"/>
      <c r="L12" s="875"/>
      <c r="M12" s="876"/>
      <c r="N12" s="875"/>
      <c r="O12" s="876"/>
      <c r="P12" s="875"/>
      <c r="Q12" s="876"/>
      <c r="R12" s="875"/>
      <c r="S12" s="876"/>
      <c r="T12" s="875"/>
      <c r="U12" s="876"/>
    </row>
    <row r="13" spans="1:21" s="589" customFormat="1" ht="21" customHeight="1" x14ac:dyDescent="0.25">
      <c r="A13" s="878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879"/>
      <c r="B14" s="873" t="s">
        <v>280</v>
      </c>
      <c r="C14" s="874"/>
      <c r="D14" s="873" t="s">
        <v>288</v>
      </c>
      <c r="E14" s="874"/>
      <c r="F14" s="873"/>
      <c r="G14" s="874"/>
      <c r="H14" s="873"/>
      <c r="I14" s="874"/>
      <c r="J14" s="873"/>
      <c r="K14" s="874"/>
      <c r="L14" s="873"/>
      <c r="M14" s="874"/>
      <c r="N14" s="873"/>
      <c r="O14" s="874"/>
      <c r="P14" s="873"/>
      <c r="Q14" s="874"/>
      <c r="R14" s="873"/>
      <c r="S14" s="874"/>
      <c r="T14" s="873"/>
      <c r="U14" s="874"/>
    </row>
    <row r="15" spans="1:21" s="157" customFormat="1" ht="21" customHeight="1" x14ac:dyDescent="0.25">
      <c r="A15" s="870" t="s">
        <v>253</v>
      </c>
      <c r="B15" s="868" t="s">
        <v>258</v>
      </c>
      <c r="C15" s="869"/>
      <c r="D15" s="868" t="s">
        <v>258</v>
      </c>
      <c r="E15" s="869"/>
      <c r="F15" s="868"/>
      <c r="G15" s="869"/>
      <c r="H15" s="868"/>
      <c r="I15" s="869"/>
      <c r="J15" s="868"/>
      <c r="K15" s="869"/>
      <c r="L15" s="868"/>
      <c r="M15" s="869"/>
      <c r="N15" s="868"/>
      <c r="O15" s="869"/>
      <c r="P15" s="868"/>
      <c r="Q15" s="869"/>
      <c r="R15" s="868"/>
      <c r="S15" s="869"/>
      <c r="T15" s="868"/>
      <c r="U15" s="869"/>
    </row>
    <row r="16" spans="1:21" s="589" customFormat="1" ht="21" customHeight="1" x14ac:dyDescent="0.25">
      <c r="A16" s="871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72"/>
      <c r="B17" s="866" t="s">
        <v>312</v>
      </c>
      <c r="C17" s="867"/>
      <c r="D17" s="866" t="s">
        <v>271</v>
      </c>
      <c r="E17" s="867"/>
      <c r="F17" s="866"/>
      <c r="G17" s="867"/>
      <c r="H17" s="866"/>
      <c r="I17" s="867"/>
      <c r="J17" s="866"/>
      <c r="K17" s="867"/>
      <c r="L17" s="866"/>
      <c r="M17" s="867"/>
      <c r="N17" s="866"/>
      <c r="O17" s="867"/>
      <c r="P17" s="866"/>
      <c r="Q17" s="867"/>
      <c r="R17" s="866"/>
      <c r="S17" s="867"/>
      <c r="T17" s="866"/>
      <c r="U17" s="867"/>
    </row>
    <row r="18" spans="1:21" s="164" customFormat="1" ht="21" customHeight="1" x14ac:dyDescent="0.25">
      <c r="A18" s="863" t="s">
        <v>255</v>
      </c>
      <c r="B18" s="861" t="s">
        <v>261</v>
      </c>
      <c r="C18" s="862"/>
      <c r="D18" s="861" t="s">
        <v>332</v>
      </c>
      <c r="E18" s="862"/>
      <c r="F18" s="861" t="s">
        <v>263</v>
      </c>
      <c r="G18" s="862"/>
      <c r="H18" s="861" t="s">
        <v>313</v>
      </c>
      <c r="I18" s="862"/>
      <c r="J18" s="861"/>
      <c r="K18" s="862"/>
      <c r="L18" s="861"/>
      <c r="M18" s="862"/>
      <c r="N18" s="861"/>
      <c r="O18" s="862"/>
      <c r="P18" s="861"/>
      <c r="Q18" s="862"/>
      <c r="R18" s="861"/>
      <c r="S18" s="862"/>
      <c r="T18" s="861"/>
      <c r="U18" s="862"/>
    </row>
    <row r="19" spans="1:21" s="589" customFormat="1" ht="21" customHeight="1" x14ac:dyDescent="0.25">
      <c r="A19" s="864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65"/>
      <c r="B20" s="859"/>
      <c r="C20" s="860"/>
      <c r="D20" s="859"/>
      <c r="E20" s="860"/>
      <c r="F20" s="859" t="s">
        <v>264</v>
      </c>
      <c r="G20" s="860"/>
      <c r="H20" s="859"/>
      <c r="I20" s="860"/>
      <c r="J20" s="859"/>
      <c r="K20" s="860"/>
      <c r="L20" s="859"/>
      <c r="M20" s="860"/>
      <c r="N20" s="859"/>
      <c r="O20" s="860"/>
      <c r="P20" s="859"/>
      <c r="Q20" s="860"/>
      <c r="R20" s="859"/>
      <c r="S20" s="860"/>
      <c r="T20" s="859"/>
      <c r="U20" s="860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888" t="s">
        <v>422</v>
      </c>
      <c r="B1" s="888"/>
      <c r="C1" s="888"/>
      <c r="D1" s="888"/>
      <c r="E1" s="888"/>
      <c r="F1" s="888"/>
      <c r="G1" s="888"/>
      <c r="H1" s="888"/>
      <c r="I1" s="888"/>
      <c r="J1" s="888"/>
      <c r="K1" s="888"/>
      <c r="L1" s="888"/>
      <c r="M1" s="888"/>
    </row>
    <row r="2" spans="1:21" s="137" customFormat="1" ht="21" customHeight="1" x14ac:dyDescent="0.25">
      <c r="A2" s="889" t="s">
        <v>249</v>
      </c>
      <c r="B2" s="882" t="s">
        <v>309</v>
      </c>
      <c r="C2" s="883"/>
      <c r="D2" s="882" t="s">
        <v>295</v>
      </c>
      <c r="E2" s="883"/>
      <c r="F2" s="882" t="s">
        <v>299</v>
      </c>
      <c r="G2" s="883"/>
      <c r="H2" s="882" t="s">
        <v>299</v>
      </c>
      <c r="I2" s="883"/>
      <c r="J2" s="882" t="s">
        <v>385</v>
      </c>
      <c r="K2" s="883"/>
      <c r="L2" s="882"/>
      <c r="M2" s="883"/>
      <c r="N2" s="882"/>
      <c r="O2" s="883"/>
      <c r="P2" s="882"/>
      <c r="Q2" s="883"/>
      <c r="R2" s="882"/>
      <c r="S2" s="883"/>
      <c r="T2" s="882"/>
      <c r="U2" s="883"/>
    </row>
    <row r="3" spans="1:21" s="589" customFormat="1" ht="21" customHeight="1" x14ac:dyDescent="0.25">
      <c r="A3" s="890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890"/>
      <c r="B4" s="880" t="s">
        <v>310</v>
      </c>
      <c r="C4" s="881"/>
      <c r="D4" s="880" t="s">
        <v>298</v>
      </c>
      <c r="E4" s="881"/>
      <c r="F4" s="880" t="s">
        <v>303</v>
      </c>
      <c r="G4" s="887"/>
      <c r="H4" s="887"/>
      <c r="I4" s="881"/>
      <c r="J4" s="880" t="s">
        <v>393</v>
      </c>
      <c r="K4" s="881"/>
      <c r="L4" s="880"/>
      <c r="M4" s="881"/>
      <c r="N4" s="880"/>
      <c r="O4" s="881"/>
      <c r="P4" s="880"/>
      <c r="Q4" s="881"/>
      <c r="R4" s="880"/>
      <c r="S4" s="881"/>
      <c r="T4" s="880"/>
      <c r="U4" s="881"/>
    </row>
    <row r="5" spans="1:21" s="695" customFormat="1" ht="21" customHeight="1" x14ac:dyDescent="0.25">
      <c r="A5" s="855"/>
      <c r="B5" s="850" t="s">
        <v>408</v>
      </c>
      <c r="C5" s="851"/>
      <c r="D5" s="850" t="s">
        <v>407</v>
      </c>
      <c r="E5" s="851"/>
      <c r="F5" s="850" t="s">
        <v>269</v>
      </c>
      <c r="G5" s="851"/>
      <c r="H5" s="850"/>
      <c r="I5" s="851"/>
      <c r="J5" s="850"/>
      <c r="K5" s="851"/>
      <c r="L5" s="850"/>
      <c r="M5" s="851"/>
      <c r="N5" s="850"/>
      <c r="O5" s="851"/>
      <c r="P5" s="850"/>
      <c r="Q5" s="851"/>
      <c r="R5" s="850"/>
      <c r="S5" s="851"/>
      <c r="T5" s="850"/>
      <c r="U5" s="851"/>
    </row>
    <row r="6" spans="1:21" s="590" customFormat="1" ht="21" customHeight="1" x14ac:dyDescent="0.25">
      <c r="A6" s="855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856"/>
      <c r="B7" s="852" t="s">
        <v>410</v>
      </c>
      <c r="C7" s="853"/>
      <c r="D7" s="852" t="s">
        <v>410</v>
      </c>
      <c r="E7" s="853"/>
      <c r="F7" s="852" t="s">
        <v>410</v>
      </c>
      <c r="G7" s="853"/>
      <c r="H7" s="852"/>
      <c r="I7" s="853"/>
      <c r="J7" s="852"/>
      <c r="K7" s="853"/>
      <c r="L7" s="852"/>
      <c r="M7" s="853"/>
      <c r="N7" s="852"/>
      <c r="O7" s="853"/>
      <c r="P7" s="852"/>
      <c r="Q7" s="853"/>
      <c r="R7" s="852"/>
      <c r="S7" s="853"/>
      <c r="T7" s="852"/>
      <c r="U7" s="853"/>
    </row>
    <row r="8" spans="1:21" s="149" customFormat="1" ht="21" customHeight="1" x14ac:dyDescent="0.25">
      <c r="A8" s="899" t="s">
        <v>252</v>
      </c>
      <c r="B8" s="897" t="s">
        <v>266</v>
      </c>
      <c r="C8" s="876"/>
      <c r="D8" s="875" t="s">
        <v>276</v>
      </c>
      <c r="E8" s="876"/>
      <c r="F8" s="875" t="s">
        <v>273</v>
      </c>
      <c r="G8" s="876"/>
      <c r="H8" s="875" t="s">
        <v>283</v>
      </c>
      <c r="I8" s="876"/>
      <c r="J8" s="875" t="s">
        <v>283</v>
      </c>
      <c r="K8" s="876"/>
      <c r="L8" s="875" t="s">
        <v>318</v>
      </c>
      <c r="M8" s="876"/>
      <c r="N8" s="875"/>
      <c r="O8" s="876"/>
      <c r="P8" s="875"/>
      <c r="Q8" s="876"/>
      <c r="R8" s="875"/>
      <c r="S8" s="876"/>
      <c r="T8" s="875"/>
      <c r="U8" s="876"/>
    </row>
    <row r="9" spans="1:21" s="589" customFormat="1" ht="21" customHeight="1" x14ac:dyDescent="0.25">
      <c r="A9" s="900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00"/>
      <c r="B10" s="898" t="s">
        <v>268</v>
      </c>
      <c r="C10" s="874"/>
      <c r="D10" s="873" t="s">
        <v>280</v>
      </c>
      <c r="E10" s="874"/>
      <c r="F10" s="873" t="s">
        <v>275</v>
      </c>
      <c r="G10" s="874"/>
      <c r="H10" s="873"/>
      <c r="I10" s="874"/>
      <c r="J10" s="873" t="s">
        <v>305</v>
      </c>
      <c r="K10" s="874"/>
      <c r="L10" s="873"/>
      <c r="M10" s="874"/>
      <c r="N10" s="873"/>
      <c r="O10" s="874"/>
      <c r="P10" s="873"/>
      <c r="Q10" s="874"/>
      <c r="R10" s="873"/>
      <c r="S10" s="874"/>
      <c r="T10" s="873"/>
      <c r="U10" s="874"/>
    </row>
    <row r="11" spans="1:21" s="149" customFormat="1" ht="21" customHeight="1" x14ac:dyDescent="0.25">
      <c r="A11" s="900"/>
      <c r="B11" s="897" t="s">
        <v>285</v>
      </c>
      <c r="C11" s="876"/>
      <c r="D11" s="875" t="s">
        <v>289</v>
      </c>
      <c r="E11" s="876"/>
      <c r="F11" s="875" t="s">
        <v>292</v>
      </c>
      <c r="G11" s="876"/>
      <c r="H11" s="875" t="s">
        <v>306</v>
      </c>
      <c r="I11" s="876"/>
      <c r="J11" s="875" t="s">
        <v>306</v>
      </c>
      <c r="K11" s="876"/>
      <c r="L11" s="875" t="s">
        <v>263</v>
      </c>
      <c r="M11" s="876"/>
      <c r="N11" s="875"/>
      <c r="O11" s="876"/>
      <c r="P11" s="875"/>
      <c r="Q11" s="876"/>
      <c r="R11" s="875"/>
      <c r="S11" s="876"/>
      <c r="T11" s="875"/>
      <c r="U11" s="876"/>
    </row>
    <row r="12" spans="1:21" s="589" customFormat="1" ht="21" customHeight="1" x14ac:dyDescent="0.25">
      <c r="A12" s="900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01"/>
      <c r="B13" s="898" t="s">
        <v>286</v>
      </c>
      <c r="C13" s="874"/>
      <c r="D13" s="873" t="s">
        <v>291</v>
      </c>
      <c r="E13" s="874"/>
      <c r="F13" s="873" t="s">
        <v>294</v>
      </c>
      <c r="G13" s="874"/>
      <c r="H13" s="873" t="s">
        <v>307</v>
      </c>
      <c r="I13" s="874"/>
      <c r="J13" s="873"/>
      <c r="K13" s="874"/>
      <c r="L13" s="873" t="s">
        <v>387</v>
      </c>
      <c r="M13" s="874"/>
      <c r="N13" s="873"/>
      <c r="O13" s="874"/>
      <c r="P13" s="873"/>
      <c r="Q13" s="874"/>
      <c r="R13" s="873"/>
      <c r="S13" s="874"/>
      <c r="T13" s="873"/>
      <c r="U13" s="874"/>
    </row>
    <row r="14" spans="1:21" s="157" customFormat="1" ht="21" customHeight="1" x14ac:dyDescent="0.25">
      <c r="A14" s="894" t="s">
        <v>254</v>
      </c>
      <c r="B14" s="902" t="s">
        <v>258</v>
      </c>
      <c r="C14" s="869"/>
      <c r="D14" s="868" t="s">
        <v>246</v>
      </c>
      <c r="E14" s="869"/>
      <c r="F14" s="868" t="s">
        <v>354</v>
      </c>
      <c r="G14" s="869"/>
      <c r="H14" s="868" t="s">
        <v>258</v>
      </c>
      <c r="I14" s="869"/>
      <c r="J14" s="868"/>
      <c r="K14" s="869"/>
      <c r="L14" s="868"/>
      <c r="M14" s="869"/>
      <c r="N14" s="868"/>
      <c r="O14" s="869"/>
      <c r="P14" s="868"/>
      <c r="Q14" s="869"/>
      <c r="R14" s="868"/>
      <c r="S14" s="869"/>
      <c r="T14" s="868"/>
      <c r="U14" s="869"/>
    </row>
    <row r="15" spans="1:21" s="589" customFormat="1" ht="21" customHeight="1" x14ac:dyDescent="0.25">
      <c r="A15" s="895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96"/>
      <c r="B16" s="903" t="s">
        <v>353</v>
      </c>
      <c r="C16" s="867"/>
      <c r="D16" s="903" t="s">
        <v>353</v>
      </c>
      <c r="E16" s="867"/>
      <c r="F16" s="866" t="s">
        <v>352</v>
      </c>
      <c r="G16" s="867"/>
      <c r="H16" s="866" t="s">
        <v>352</v>
      </c>
      <c r="I16" s="867"/>
      <c r="J16" s="866"/>
      <c r="K16" s="867"/>
      <c r="L16" s="866"/>
      <c r="M16" s="867"/>
      <c r="N16" s="866"/>
      <c r="O16" s="867"/>
      <c r="P16" s="866"/>
      <c r="Q16" s="867"/>
      <c r="R16" s="866"/>
      <c r="S16" s="867"/>
      <c r="T16" s="866"/>
      <c r="U16" s="867"/>
    </row>
    <row r="17" spans="1:21" s="164" customFormat="1" ht="21" customHeight="1" x14ac:dyDescent="0.25">
      <c r="A17" s="891" t="s">
        <v>256</v>
      </c>
      <c r="B17" s="861" t="s">
        <v>261</v>
      </c>
      <c r="C17" s="862"/>
      <c r="D17" s="861" t="s">
        <v>332</v>
      </c>
      <c r="E17" s="862"/>
      <c r="F17" s="861" t="s">
        <v>263</v>
      </c>
      <c r="G17" s="862"/>
      <c r="H17" s="861" t="s">
        <v>313</v>
      </c>
      <c r="I17" s="862"/>
      <c r="J17" s="861" t="s">
        <v>380</v>
      </c>
      <c r="K17" s="862"/>
      <c r="L17" s="861"/>
      <c r="M17" s="862"/>
      <c r="N17" s="861"/>
      <c r="O17" s="862"/>
      <c r="P17" s="861"/>
      <c r="Q17" s="862"/>
      <c r="R17" s="861"/>
      <c r="S17" s="862"/>
      <c r="T17" s="861"/>
      <c r="U17" s="862"/>
    </row>
    <row r="18" spans="1:21" s="589" customFormat="1" ht="21" customHeight="1" x14ac:dyDescent="0.25">
      <c r="A18" s="892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893"/>
      <c r="B19" s="859"/>
      <c r="C19" s="860"/>
      <c r="D19" s="859"/>
      <c r="E19" s="860"/>
      <c r="F19" s="859" t="s">
        <v>264</v>
      </c>
      <c r="G19" s="860"/>
      <c r="H19" s="859"/>
      <c r="I19" s="860"/>
      <c r="J19" s="859"/>
      <c r="K19" s="860"/>
      <c r="L19" s="859"/>
      <c r="M19" s="860"/>
      <c r="N19" s="859"/>
      <c r="O19" s="860"/>
      <c r="P19" s="859"/>
      <c r="Q19" s="860"/>
      <c r="R19" s="859"/>
      <c r="S19" s="860"/>
      <c r="T19" s="859"/>
      <c r="U19" s="860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25" workbookViewId="0">
      <selection activeCell="P34" sqref="P34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904" t="s">
        <v>340</v>
      </c>
      <c r="I1" s="904"/>
      <c r="J1" s="904"/>
      <c r="K1" s="904"/>
      <c r="L1" s="904"/>
      <c r="M1" s="904"/>
      <c r="N1" s="904"/>
      <c r="O1" s="904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71" t="s">
        <v>236</v>
      </c>
      <c r="B2" s="972"/>
      <c r="C2" s="972"/>
      <c r="D2" s="973"/>
      <c r="F2" s="948" t="s">
        <v>30</v>
      </c>
      <c r="G2" s="949"/>
      <c r="H2" s="956" t="s">
        <v>217</v>
      </c>
      <c r="I2" s="957"/>
      <c r="J2" s="957"/>
      <c r="K2" s="957"/>
      <c r="L2" s="957"/>
      <c r="M2" s="957"/>
      <c r="N2" s="957"/>
      <c r="O2" s="958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941" t="s">
        <v>193</v>
      </c>
      <c r="B3" s="942"/>
      <c r="C3" s="942"/>
      <c r="D3" s="943"/>
      <c r="F3" s="950"/>
      <c r="G3" s="951"/>
      <c r="H3" s="494" t="str">
        <f>"中級 (" &amp; HDRAG_GAMES_HBRUN_MED &amp; "場)"</f>
        <v>中級 (299場)</v>
      </c>
      <c r="I3" s="964" t="str">
        <f>"高級 (" &amp; HDRAG_GAMES_HBRUN_EXP &amp; "場)"</f>
        <v>高級 (225場)</v>
      </c>
      <c r="J3" s="965"/>
      <c r="K3" s="966"/>
      <c r="L3" s="964" t="str">
        <f>"超級 (" &amp; HDRAG_GAMES_HBRUN_MST &amp; "場)"</f>
        <v>超級 (232場)</v>
      </c>
      <c r="M3" s="965"/>
      <c r="N3" s="965"/>
      <c r="O3" s="974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960">
        <f>HDRAG_AVG_HBRUN_MED_ORB</f>
        <v>2.4381270903010033</v>
      </c>
      <c r="I5" s="959">
        <f>HDRAG_AVG_HBRUN_EXP_ORB</f>
        <v>4.4133333333333331</v>
      </c>
      <c r="J5" s="959">
        <f>HDRAG_AVG_HBRUN_EXP_TAIL</f>
        <v>2</v>
      </c>
      <c r="K5" s="961">
        <f>HDRAG_AVG_HBRUN_EXP_ORIHAL</f>
        <v>0.31555555555555553</v>
      </c>
      <c r="L5" s="959">
        <f>HDRAG_AVG_HBRUN_MST_ORB</f>
        <v>6.3965517241379306</v>
      </c>
      <c r="M5" s="959">
        <f>HDRAG_AVG_HBRUN_MST_TAIL</f>
        <v>2.0517241379310347</v>
      </c>
      <c r="N5" s="959">
        <f>HDRAG_AVG_HBRUN_MST_HORN</f>
        <v>1.9827586206896552</v>
      </c>
      <c r="O5" s="944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960"/>
      <c r="I6" s="959"/>
      <c r="J6" s="959"/>
      <c r="K6" s="961"/>
      <c r="L6" s="959"/>
      <c r="M6" s="998"/>
      <c r="N6" s="998"/>
      <c r="O6" s="945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952" t="s">
        <v>35</v>
      </c>
      <c r="G7" s="953"/>
      <c r="H7" s="936" t="s">
        <v>217</v>
      </c>
      <c r="I7" s="937"/>
      <c r="J7" s="937"/>
      <c r="K7" s="937"/>
      <c r="L7" s="937"/>
      <c r="M7" s="937"/>
      <c r="N7" s="937"/>
      <c r="O7" s="938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954"/>
      <c r="G8" s="955"/>
      <c r="H8" s="495" t="str">
        <f>"中級 (" &amp; HDRAG_GAMES_HMERC_MED &amp; "場)"</f>
        <v>中級 (246場)</v>
      </c>
      <c r="I8" s="1001" t="str">
        <f>"高級 (" &amp; HDRAG_GAMES_HMERC_EXP &amp; "場)"</f>
        <v>高級 (524場)</v>
      </c>
      <c r="J8" s="1002"/>
      <c r="K8" s="1015"/>
      <c r="L8" s="1001" t="str">
        <f>"超級 (" &amp; HDRAG_GAMES_HMERC_MST &amp; "場)"</f>
        <v>超級 (356場)</v>
      </c>
      <c r="M8" s="1002"/>
      <c r="N8" s="1002"/>
      <c r="O8" s="1003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939">
        <f>HDRAG_AVG_HMERC_MED_ORB</f>
        <v>2.3861788617886179</v>
      </c>
      <c r="I10" s="946">
        <f>HDRAG_AVG_HMERC_EXP_ORB</f>
        <v>4.4217557251908399</v>
      </c>
      <c r="J10" s="967">
        <f>HDRAG_AVG_HMERC_EXP_TAIL</f>
        <v>2.0152671755725189</v>
      </c>
      <c r="K10" s="962">
        <f>HDRAG_AVG_HMERC_EXP_ORIHAL</f>
        <v>0.35496183206106868</v>
      </c>
      <c r="L10" s="967">
        <f>HDRAG_AVG_HMERC_MST_ORB</f>
        <v>6.4241573033707864</v>
      </c>
      <c r="M10" s="967">
        <f>HDRAG_AVG_HMERC_MST_TAIL</f>
        <v>1.9213483146067416</v>
      </c>
      <c r="N10" s="967">
        <f>HDRAG_AVG_HMERC_MST_HORN</f>
        <v>2.1151685393258428</v>
      </c>
      <c r="O10" s="969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71" t="s">
        <v>237</v>
      </c>
      <c r="B11" s="972"/>
      <c r="C11" s="972"/>
      <c r="D11" s="973"/>
      <c r="F11" s="467" t="s">
        <v>210</v>
      </c>
      <c r="G11" s="468">
        <f>IF(HDRAG_HAS_REC_HMERC,HDRAG_HMERC_ITEMS + G9 + G10,0)</f>
        <v>3116</v>
      </c>
      <c r="H11" s="940"/>
      <c r="I11" s="947"/>
      <c r="J11" s="968"/>
      <c r="K11" s="963"/>
      <c r="L11" s="968"/>
      <c r="M11" s="968"/>
      <c r="N11" s="968"/>
      <c r="O11" s="970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905" t="s">
        <v>31</v>
      </c>
      <c r="G12" s="906"/>
      <c r="H12" s="929" t="s">
        <v>217</v>
      </c>
      <c r="I12" s="930"/>
      <c r="J12" s="930"/>
      <c r="K12" s="930"/>
      <c r="L12" s="930"/>
      <c r="M12" s="930"/>
      <c r="N12" s="930"/>
      <c r="O12" s="931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907"/>
      <c r="G13" s="908"/>
      <c r="H13" s="496" t="str">
        <f>"中級 (" &amp; HDRAG_GAMES_HMID_MED &amp; "場)"</f>
        <v>中級 (803場)</v>
      </c>
      <c r="I13" s="1012" t="str">
        <f>"高級 (" &amp; HDRAG_GAMES_HMID_EXP &amp; "場)"</f>
        <v>高級 (471場)</v>
      </c>
      <c r="J13" s="1013"/>
      <c r="K13" s="1014"/>
      <c r="L13" s="1012" t="str">
        <f>"超級 (" &amp; HDRAG_GAMES_HMID_MST &amp; "場)"</f>
        <v>超級 (131場)</v>
      </c>
      <c r="M13" s="1013"/>
      <c r="N13" s="1013"/>
      <c r="O13" s="1046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932">
        <f>HDRAG_AVG_HMID_MED_ORB</f>
        <v>2.5504358655043586</v>
      </c>
      <c r="I15" s="933">
        <f>HDRAG_AVG_HMID_EXP_ORB</f>
        <v>4.3949044585987265</v>
      </c>
      <c r="J15" s="933">
        <f>HDRAG_AVG_HMID_EXP_TAIL</f>
        <v>1.9660297239915074</v>
      </c>
      <c r="K15" s="927">
        <f>HDRAG_AVG_HMID_EXP_ORIHAL</f>
        <v>0.32484076433121017</v>
      </c>
      <c r="L15" s="933">
        <f>HDRAG_AVG_HMID_MST_ORB</f>
        <v>6.5038167938931295</v>
      </c>
      <c r="M15" s="933">
        <f>HDRAG_AVG_HMID_MST_TAIL</f>
        <v>1.9541984732824427</v>
      </c>
      <c r="N15" s="933">
        <f>HDRAG_AVG_HMID_MST_HORN</f>
        <v>2.0839694656488548</v>
      </c>
      <c r="O15" s="934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932"/>
      <c r="I16" s="933"/>
      <c r="J16" s="933"/>
      <c r="K16" s="927"/>
      <c r="L16" s="933"/>
      <c r="M16" s="1000"/>
      <c r="N16" s="1000"/>
      <c r="O16" s="935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909" t="s">
        <v>36</v>
      </c>
      <c r="G17" s="910"/>
      <c r="H17" s="917" t="s">
        <v>217</v>
      </c>
      <c r="I17" s="918"/>
      <c r="J17" s="918"/>
      <c r="K17" s="918"/>
      <c r="L17" s="918"/>
      <c r="M17" s="918"/>
      <c r="N17" s="918"/>
      <c r="O17" s="919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911"/>
      <c r="G18" s="912"/>
      <c r="H18" s="499" t="str">
        <f>"中級 (" &amp; HDRAG_GAMES_HJUP_MED &amp; "場)"</f>
        <v>中級 (443場)</v>
      </c>
      <c r="I18" s="1009" t="str">
        <f>"高級 (" &amp; HDRAG_GAMES_HJUP_EXP &amp; "場)"</f>
        <v>高級 (435場)</v>
      </c>
      <c r="J18" s="1010"/>
      <c r="K18" s="1011"/>
      <c r="L18" s="1009" t="str">
        <f>"超級 (" &amp; HDRAG_GAMES_HJUP_MST &amp; "場)"</f>
        <v>超級 (254場)</v>
      </c>
      <c r="M18" s="1010"/>
      <c r="N18" s="1010"/>
      <c r="O18" s="1045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920">
        <f>HDRAG_AVG_HJUP_MED_ORB</f>
        <v>2.4582392776523703</v>
      </c>
      <c r="I20" s="921">
        <f>HDRAG_AVG_HJUP_EXP_ORB</f>
        <v>4.4206896551724135</v>
      </c>
      <c r="J20" s="921">
        <f>HDRAG_AVG_HJUP_EXP_TAIL</f>
        <v>2.0045977011494251</v>
      </c>
      <c r="K20" s="928">
        <f>HDRAG_AVG_HJUP_EXP_ORIHAL</f>
        <v>0.30804597701149428</v>
      </c>
      <c r="L20" s="921">
        <f>HDRAG_AVG_HJUP_MST_ORB</f>
        <v>6.4763779527559056</v>
      </c>
      <c r="M20" s="921">
        <f>HDRAG_AVG_HJUP_MST_TAIL</f>
        <v>2.106299212598425</v>
      </c>
      <c r="N20" s="921">
        <f>HDRAG_AVG_HJUP_MST_HORN</f>
        <v>2.0393700787401574</v>
      </c>
      <c r="O20" s="922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920"/>
      <c r="I21" s="921"/>
      <c r="J21" s="921"/>
      <c r="K21" s="928"/>
      <c r="L21" s="921"/>
      <c r="M21" s="999"/>
      <c r="N21" s="999"/>
      <c r="O21" s="923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913" t="s">
        <v>37</v>
      </c>
      <c r="G22" s="914"/>
      <c r="H22" s="924" t="s">
        <v>217</v>
      </c>
      <c r="I22" s="925"/>
      <c r="J22" s="925"/>
      <c r="K22" s="925"/>
      <c r="L22" s="925"/>
      <c r="M22" s="925"/>
      <c r="N22" s="925"/>
      <c r="O22" s="926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915"/>
      <c r="G23" s="916"/>
      <c r="H23" s="502" t="str">
        <f>"中級 (" &amp; HDRAG_GAMES_HZOD_MED &amp; "場)"</f>
        <v>中級 (241場)</v>
      </c>
      <c r="I23" s="1006" t="str">
        <f>"高級 (" &amp; HDRAG_GAMES_HZOD_EXP &amp; "場)"</f>
        <v>高級 (331場)</v>
      </c>
      <c r="J23" s="1007"/>
      <c r="K23" s="1008"/>
      <c r="L23" s="1006" t="str">
        <f>"超級 (" &amp; HDRAG_GAMES_HZOD_MST &amp; "場)"</f>
        <v>超級 (397場)</v>
      </c>
      <c r="M23" s="1007"/>
      <c r="N23" s="1007"/>
      <c r="O23" s="1044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979">
        <f>HDRAG_AVG_HZOD_MED_ORB</f>
        <v>2.3692946058091287</v>
      </c>
      <c r="I25" s="981">
        <f>HDRAG_AVG_HZOD_EXP_ORB</f>
        <v>4.4410876132930515</v>
      </c>
      <c r="J25" s="981">
        <f>HDRAG_AVG_HZOD_EXP_TAIL</f>
        <v>1.9607250755287009</v>
      </c>
      <c r="K25" s="986">
        <f>HDRAG_AVG_HZOD_EXP_ORIHAL</f>
        <v>0.35649546827794559</v>
      </c>
      <c r="L25" s="981">
        <f>HDRAG_AVG_HZOD_MST_ORB</f>
        <v>6.3576826196473553</v>
      </c>
      <c r="M25" s="981">
        <f>HDRAG_AVG_HZOD_MST_TAIL</f>
        <v>2.005037783375315</v>
      </c>
      <c r="N25" s="981">
        <f>HDRAG_AVG_HZOD_MST_HORN</f>
        <v>1.9899244332493702</v>
      </c>
      <c r="O25" s="977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980"/>
      <c r="I26" s="982"/>
      <c r="J26" s="982"/>
      <c r="K26" s="987"/>
      <c r="L26" s="982"/>
      <c r="M26" s="982"/>
      <c r="N26" s="982"/>
      <c r="O26" s="978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983"/>
      <c r="I27" s="984"/>
      <c r="J27" s="984"/>
      <c r="K27" s="984"/>
      <c r="L27" s="984"/>
      <c r="M27" s="984"/>
      <c r="N27" s="984"/>
      <c r="O27" s="985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40" t="str">
        <f>"高級 (" &amp; HDRAG_GAMES_HBRUN_EXP + HDRAG_GAMES_HMERC_EXP + HDRAG_GAMES_HMID_EXP + HDRAG_GAMES_HJUP_EXP + HDRAG_GAMES_HZOD_EXP &amp; "場)"</f>
        <v>高級 (1986場)</v>
      </c>
      <c r="J28" s="1041"/>
      <c r="K28" s="1042"/>
      <c r="L28" s="1040" t="str">
        <f>"超級 (" &amp; HDRAG_GAMES_HBRUN_MST + HDRAG_GAMES_HMERC_MST + HDRAG_GAMES_HMID_MST + HDRAG_GAMES_HJUP_MST + HDRAG_GAMES_HZOD_MST &amp; "場)"</f>
        <v>超級 (1370場)</v>
      </c>
      <c r="M28" s="1041"/>
      <c r="N28" s="1041"/>
      <c r="O28" s="1043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47">
        <f>AVERAGE(DATA_HDRAG_HBRUN_MED_ORB,HDRAG_AVG_HMERC_MED_ORB,HDRAG_AVG_HMID_MED_ORB,HDRAG_AVG_HJUP_MED_ORB,HDRAG_AVG_HZOD_MED_ORB)</f>
        <v>2.4381655069661865</v>
      </c>
      <c r="I30" s="988">
        <f>AVERAGE(DATA_HDRAG_HBRUN_EXP_ORB,HDRAG_AVG_HMERC_EXP_ORB,HDRAG_AVG_HMID_EXP_ORB,HDRAG_AVG_HJUP_EXP_ORB,HDRAG_AVG_HZOD_EXP_ORB)</f>
        <v>4.4134429583067902</v>
      </c>
      <c r="J30" s="988">
        <f>AVERAGE(DATA_HDRAG_HBRUN_EXP_TAIL,HDRAG_AVG_HMERC_EXP_TAIL,HDRAG_AVG_HMID_EXP_TAIL,HDRAG_AVG_HJUP_EXP_TAIL,HDRAG_AVG_HZOD_EXP_TAIL)</f>
        <v>1.9997668981495291</v>
      </c>
      <c r="K30" s="1004">
        <f>AVERAGE(DATA_HDRAG_HBRUN_EXP_ORIHAL,HDRAG_AVG_HMERC_EXP_ORIHAL,HDRAG_AVG_HMID_EXP_ORIHAL,HDRAG_AVG_HJUP_EXP_ORIHAL,HDRAG_AVG_HZOD_EXP_ORIHAL)</f>
        <v>0.3159141661208808</v>
      </c>
      <c r="L30" s="988">
        <f>AVERAGE(DATA_HDRAG_HBRUN_MST_ORB,HDRAG_AVG_HMERC_MST_ORB,HDRAG_AVG_HMID_MST_ORB,HDRAG_AVG_HJUP_MST_ORB,HDRAG_AVG_HZOD_MST_ORB)</f>
        <v>6.3972967570748613</v>
      </c>
      <c r="M30" s="988">
        <f>AVERAGE(DATA_HDRAG_HBRUN_MST_TAIL,HDRAG_AVG_HMERC_MST_TAIL,HDRAG_AVG_HMID_MST_TAIL,HDRAG_AVG_HJUP_MST_TAIL,HDRAG_AVG_HZOD_MST_TAIL)</f>
        <v>2.0507918804400971</v>
      </c>
      <c r="N30" s="988">
        <f>AVERAGE(DATA_HDRAG_HBRUN_MST_HORN,HDRAG_AVG_HMERC_MST_HORN,HDRAG_AVG_HMID_MST_HORN,HDRAG_AVG_HJUP_MST_HORN,HDRAG_AVG_HZOD_MST_HORN)</f>
        <v>1.9840187818515433</v>
      </c>
      <c r="O30" s="975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48"/>
      <c r="I31" s="989"/>
      <c r="J31" s="989"/>
      <c r="K31" s="1005"/>
      <c r="L31" s="989"/>
      <c r="M31" s="989"/>
      <c r="N31" s="989"/>
      <c r="O31" s="976"/>
    </row>
    <row r="32" spans="1:18" ht="15.75" customHeight="1" x14ac:dyDescent="0.25">
      <c r="G32" s="311"/>
      <c r="R32" s="239"/>
    </row>
    <row r="33" spans="3:18" ht="28.5" customHeight="1" x14ac:dyDescent="0.25">
      <c r="F33" s="1016"/>
      <c r="G33" s="1017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1020" t="s">
        <v>24</v>
      </c>
      <c r="Q33" s="1021"/>
      <c r="R33" s="581" t="s">
        <v>296</v>
      </c>
    </row>
    <row r="34" spans="3:18" ht="16.5" customHeight="1" x14ac:dyDescent="0.25">
      <c r="F34" s="994" t="s">
        <v>30</v>
      </c>
      <c r="G34" s="995"/>
      <c r="H34" s="1061" t="s">
        <v>226</v>
      </c>
      <c r="I34" s="1018" t="s">
        <v>223</v>
      </c>
      <c r="J34" s="1018" t="s">
        <v>223</v>
      </c>
      <c r="K34" s="1018" t="s">
        <v>226</v>
      </c>
      <c r="L34" s="1018" t="s">
        <v>223</v>
      </c>
      <c r="M34" s="1018" t="s">
        <v>223</v>
      </c>
      <c r="N34" s="1018" t="s">
        <v>226</v>
      </c>
      <c r="O34" s="1067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996"/>
      <c r="G35" s="997"/>
      <c r="H35" s="1062"/>
      <c r="I35" s="1019"/>
      <c r="J35" s="1019"/>
      <c r="K35" s="1019"/>
      <c r="L35" s="1019"/>
      <c r="M35" s="1019"/>
      <c r="N35" s="1019"/>
      <c r="O35" s="1068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990" t="s">
        <v>35</v>
      </c>
      <c r="G38" s="991"/>
      <c r="H38" s="1069" t="s">
        <v>226</v>
      </c>
      <c r="I38" s="1063" t="s">
        <v>223</v>
      </c>
      <c r="J38" s="1063" t="s">
        <v>223</v>
      </c>
      <c r="K38" s="1063" t="s">
        <v>226</v>
      </c>
      <c r="L38" s="1063" t="s">
        <v>223</v>
      </c>
      <c r="M38" s="1063" t="s">
        <v>226</v>
      </c>
      <c r="N38" s="1063" t="s">
        <v>226</v>
      </c>
      <c r="O38" s="1065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992"/>
      <c r="G39" s="993"/>
      <c r="H39" s="1070"/>
      <c r="I39" s="1064"/>
      <c r="J39" s="1064"/>
      <c r="K39" s="1064"/>
      <c r="L39" s="1064"/>
      <c r="M39" s="1064"/>
      <c r="N39" s="1064"/>
      <c r="O39" s="1066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1053" t="s">
        <v>31</v>
      </c>
      <c r="G42" s="1054"/>
      <c r="H42" s="1051" t="s">
        <v>226</v>
      </c>
      <c r="I42" s="1049" t="s">
        <v>226</v>
      </c>
      <c r="J42" s="1049" t="s">
        <v>223</v>
      </c>
      <c r="K42" s="1049" t="s">
        <v>226</v>
      </c>
      <c r="L42" s="1049" t="s">
        <v>226</v>
      </c>
      <c r="M42" s="1049" t="s">
        <v>226</v>
      </c>
      <c r="N42" s="1049" t="s">
        <v>223</v>
      </c>
      <c r="O42" s="1059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1055"/>
      <c r="G43" s="1056"/>
      <c r="H43" s="1052"/>
      <c r="I43" s="1050"/>
      <c r="J43" s="1050"/>
      <c r="K43" s="1050"/>
      <c r="L43" s="1050"/>
      <c r="M43" s="1050"/>
      <c r="N43" s="1050"/>
      <c r="O43" s="1060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032" t="s">
        <v>36</v>
      </c>
      <c r="G46" s="1033"/>
      <c r="H46" s="1036" t="s">
        <v>223</v>
      </c>
      <c r="I46" s="1038" t="s">
        <v>226</v>
      </c>
      <c r="J46" s="1038" t="s">
        <v>226</v>
      </c>
      <c r="K46" s="1038" t="s">
        <v>226</v>
      </c>
      <c r="L46" s="1038" t="s">
        <v>223</v>
      </c>
      <c r="M46" s="1038" t="s">
        <v>223</v>
      </c>
      <c r="N46" s="1038" t="s">
        <v>223</v>
      </c>
      <c r="O46" s="1057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1034"/>
      <c r="G47" s="1035"/>
      <c r="H47" s="1037"/>
      <c r="I47" s="1039"/>
      <c r="J47" s="1039"/>
      <c r="K47" s="1039"/>
      <c r="L47" s="1039"/>
      <c r="M47" s="1039"/>
      <c r="N47" s="1039"/>
      <c r="O47" s="1058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1028" t="s">
        <v>37</v>
      </c>
      <c r="G50" s="1029"/>
      <c r="H50" s="1026" t="s">
        <v>226</v>
      </c>
      <c r="I50" s="1024" t="s">
        <v>226</v>
      </c>
      <c r="J50" s="1024" t="s">
        <v>223</v>
      </c>
      <c r="K50" s="1024" t="s">
        <v>223</v>
      </c>
      <c r="L50" s="1024" t="s">
        <v>226</v>
      </c>
      <c r="M50" s="1024" t="s">
        <v>223</v>
      </c>
      <c r="N50" s="1024" t="s">
        <v>226</v>
      </c>
      <c r="O50" s="1022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1030"/>
      <c r="G51" s="1031"/>
      <c r="H51" s="1027"/>
      <c r="I51" s="1025"/>
      <c r="J51" s="1025"/>
      <c r="K51" s="1025"/>
      <c r="L51" s="1025"/>
      <c r="M51" s="1025"/>
      <c r="N51" s="1025"/>
      <c r="O51" s="1023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57" t="s">
        <v>214</v>
      </c>
      <c r="C1" s="857"/>
      <c r="D1" s="857"/>
      <c r="E1" s="857" t="s">
        <v>219</v>
      </c>
      <c r="F1" s="857"/>
      <c r="G1" s="857"/>
      <c r="H1" s="857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57" t="s">
        <v>214</v>
      </c>
      <c r="C1" s="857"/>
      <c r="D1" s="857"/>
      <c r="E1" s="857" t="s">
        <v>219</v>
      </c>
      <c r="F1" s="857"/>
      <c r="G1" s="857"/>
      <c r="H1" s="857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57" t="s">
        <v>214</v>
      </c>
      <c r="C1" s="857"/>
      <c r="D1" s="857"/>
      <c r="E1" s="857" t="s">
        <v>219</v>
      </c>
      <c r="F1" s="857"/>
      <c r="G1" s="857"/>
      <c r="H1" s="857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57" t="s">
        <v>214</v>
      </c>
      <c r="C1" s="857"/>
      <c r="D1" s="857"/>
      <c r="E1" s="857" t="s">
        <v>219</v>
      </c>
      <c r="F1" s="857"/>
      <c r="G1" s="857"/>
      <c r="H1" s="857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57" t="s">
        <v>214</v>
      </c>
      <c r="C1" s="857"/>
      <c r="D1" s="857"/>
      <c r="E1" s="857" t="s">
        <v>219</v>
      </c>
      <c r="F1" s="857"/>
      <c r="G1" s="857"/>
      <c r="H1" s="857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888" t="s">
        <v>429</v>
      </c>
      <c r="B1" s="888"/>
      <c r="C1" s="888"/>
      <c r="D1" s="888"/>
      <c r="E1" s="888"/>
      <c r="F1" s="888"/>
      <c r="G1" s="888"/>
      <c r="H1" s="888"/>
      <c r="I1" s="888"/>
      <c r="J1" s="888"/>
      <c r="K1" s="888"/>
      <c r="L1" s="670"/>
      <c r="M1" s="670"/>
    </row>
    <row r="2" spans="1:21" s="667" customFormat="1" ht="21" customHeight="1" x14ac:dyDescent="0.25">
      <c r="A2" s="889" t="s">
        <v>319</v>
      </c>
      <c r="B2" s="882"/>
      <c r="C2" s="883"/>
      <c r="D2" s="882"/>
      <c r="E2" s="883"/>
      <c r="F2" s="882"/>
      <c r="G2" s="883"/>
      <c r="H2" s="882"/>
      <c r="I2" s="883"/>
      <c r="J2" s="882"/>
      <c r="K2" s="883"/>
      <c r="L2" s="882"/>
      <c r="M2" s="883"/>
      <c r="N2" s="882"/>
      <c r="O2" s="883"/>
      <c r="P2" s="882"/>
      <c r="Q2" s="883"/>
      <c r="R2" s="882"/>
      <c r="S2" s="883"/>
      <c r="T2" s="882"/>
      <c r="U2" s="883"/>
    </row>
    <row r="3" spans="1:21" s="589" customFormat="1" ht="21" customHeight="1" x14ac:dyDescent="0.25">
      <c r="A3" s="890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890"/>
      <c r="B4" s="880"/>
      <c r="C4" s="881"/>
      <c r="D4" s="880"/>
      <c r="E4" s="881"/>
      <c r="F4" s="880"/>
      <c r="G4" s="887"/>
      <c r="H4" s="887"/>
      <c r="I4" s="881"/>
      <c r="J4" s="880"/>
      <c r="K4" s="881"/>
      <c r="L4" s="880"/>
      <c r="M4" s="881"/>
      <c r="N4" s="880"/>
      <c r="O4" s="881"/>
      <c r="P4" s="880"/>
      <c r="Q4" s="881"/>
      <c r="R4" s="880"/>
      <c r="S4" s="881"/>
      <c r="T4" s="880"/>
      <c r="U4" s="881"/>
    </row>
    <row r="5" spans="1:21" s="664" customFormat="1" ht="21" customHeight="1" x14ac:dyDescent="0.25">
      <c r="A5" s="854" t="s">
        <v>320</v>
      </c>
      <c r="B5" s="1081" t="s">
        <v>426</v>
      </c>
      <c r="C5" s="851"/>
      <c r="D5" s="1081" t="s">
        <v>426</v>
      </c>
      <c r="E5" s="851"/>
      <c r="F5" s="850" t="s">
        <v>431</v>
      </c>
      <c r="G5" s="851"/>
      <c r="H5" s="850" t="s">
        <v>433</v>
      </c>
      <c r="I5" s="851"/>
      <c r="J5" s="850" t="s">
        <v>412</v>
      </c>
      <c r="K5" s="851"/>
      <c r="L5" s="850"/>
      <c r="M5" s="851"/>
      <c r="N5" s="850"/>
      <c r="O5" s="851"/>
      <c r="P5" s="850"/>
      <c r="Q5" s="851"/>
      <c r="R5" s="850"/>
      <c r="S5" s="851"/>
      <c r="T5" s="850"/>
      <c r="U5" s="851"/>
    </row>
    <row r="6" spans="1:21" s="590" customFormat="1" ht="21" customHeight="1" x14ac:dyDescent="0.25">
      <c r="A6" s="855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56"/>
      <c r="B7" s="1080" t="s">
        <v>427</v>
      </c>
      <c r="C7" s="853"/>
      <c r="D7" s="852" t="s">
        <v>428</v>
      </c>
      <c r="E7" s="853"/>
      <c r="F7" s="852" t="s">
        <v>432</v>
      </c>
      <c r="G7" s="853"/>
      <c r="H7" s="852" t="s">
        <v>436</v>
      </c>
      <c r="I7" s="853"/>
      <c r="J7" s="852" t="s">
        <v>435</v>
      </c>
      <c r="K7" s="853"/>
      <c r="L7" s="852"/>
      <c r="M7" s="853"/>
      <c r="N7" s="852"/>
      <c r="O7" s="853"/>
      <c r="P7" s="852"/>
      <c r="Q7" s="853"/>
      <c r="R7" s="852"/>
      <c r="S7" s="853"/>
      <c r="T7" s="852"/>
      <c r="U7" s="853"/>
    </row>
    <row r="8" spans="1:21" s="668" customFormat="1" ht="21" customHeight="1" x14ac:dyDescent="0.25">
      <c r="A8" s="899" t="s">
        <v>321</v>
      </c>
      <c r="B8" s="897" t="s">
        <v>293</v>
      </c>
      <c r="C8" s="876"/>
      <c r="D8" s="875" t="s">
        <v>342</v>
      </c>
      <c r="E8" s="876"/>
      <c r="F8" s="875" t="s">
        <v>345</v>
      </c>
      <c r="G8" s="876"/>
      <c r="H8" s="875" t="s">
        <v>347</v>
      </c>
      <c r="I8" s="876"/>
      <c r="J8" s="875" t="s">
        <v>318</v>
      </c>
      <c r="K8" s="876"/>
      <c r="L8" s="875"/>
      <c r="M8" s="876"/>
      <c r="N8" s="875"/>
      <c r="O8" s="876"/>
      <c r="P8" s="875"/>
      <c r="Q8" s="876"/>
      <c r="R8" s="875"/>
      <c r="S8" s="876"/>
      <c r="T8" s="875"/>
      <c r="U8" s="876"/>
    </row>
    <row r="9" spans="1:21" s="589" customFormat="1" ht="21" customHeight="1" x14ac:dyDescent="0.25">
      <c r="A9" s="900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00"/>
      <c r="B10" s="1071" t="s">
        <v>341</v>
      </c>
      <c r="C10" s="1072"/>
      <c r="D10" s="1073" t="s">
        <v>344</v>
      </c>
      <c r="E10" s="1072"/>
      <c r="F10" s="1073" t="s">
        <v>346</v>
      </c>
      <c r="G10" s="1072"/>
      <c r="H10" s="1073" t="s">
        <v>349</v>
      </c>
      <c r="I10" s="1072"/>
      <c r="J10" s="1073" t="s">
        <v>350</v>
      </c>
      <c r="K10" s="1072"/>
      <c r="L10" s="873"/>
      <c r="M10" s="874"/>
      <c r="N10" s="873"/>
      <c r="O10" s="874"/>
      <c r="P10" s="873"/>
      <c r="Q10" s="874"/>
      <c r="R10" s="873"/>
      <c r="S10" s="874"/>
      <c r="T10" s="873"/>
      <c r="U10" s="874"/>
    </row>
    <row r="11" spans="1:21" s="668" customFormat="1" ht="21" customHeight="1" x14ac:dyDescent="0.25">
      <c r="A11" s="900"/>
      <c r="B11" s="897" t="s">
        <v>333</v>
      </c>
      <c r="C11" s="876"/>
      <c r="D11" s="875" t="s">
        <v>420</v>
      </c>
      <c r="E11" s="876"/>
      <c r="F11" s="875" t="s">
        <v>424</v>
      </c>
      <c r="G11" s="876"/>
      <c r="H11" s="875"/>
      <c r="I11" s="876"/>
      <c r="J11" s="875"/>
      <c r="K11" s="876"/>
      <c r="L11" s="875"/>
      <c r="M11" s="876"/>
      <c r="N11" s="875"/>
      <c r="O11" s="876"/>
      <c r="P11" s="875"/>
      <c r="Q11" s="876"/>
      <c r="R11" s="875"/>
      <c r="S11" s="876"/>
      <c r="T11" s="875"/>
      <c r="U11" s="876"/>
    </row>
    <row r="12" spans="1:21" s="589" customFormat="1" ht="21" customHeight="1" x14ac:dyDescent="0.25">
      <c r="A12" s="900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01"/>
      <c r="B13" s="1071" t="s">
        <v>386</v>
      </c>
      <c r="C13" s="1072"/>
      <c r="D13" s="1073"/>
      <c r="E13" s="1072"/>
      <c r="F13" s="1073" t="s">
        <v>386</v>
      </c>
      <c r="G13" s="1072"/>
      <c r="H13" s="1073"/>
      <c r="I13" s="1072"/>
      <c r="J13" s="1073"/>
      <c r="K13" s="1072"/>
      <c r="L13" s="873"/>
      <c r="M13" s="874"/>
      <c r="N13" s="873"/>
      <c r="O13" s="874"/>
      <c r="P13" s="873"/>
      <c r="Q13" s="874"/>
      <c r="R13" s="873"/>
      <c r="S13" s="874"/>
      <c r="T13" s="873"/>
      <c r="U13" s="874"/>
    </row>
    <row r="14" spans="1:21" s="157" customFormat="1" ht="21" customHeight="1" x14ac:dyDescent="0.25">
      <c r="A14" s="870" t="s">
        <v>322</v>
      </c>
      <c r="B14" s="868" t="s">
        <v>355</v>
      </c>
      <c r="C14" s="869"/>
      <c r="D14" s="868" t="s">
        <v>364</v>
      </c>
      <c r="E14" s="869"/>
      <c r="F14" s="868" t="s">
        <v>363</v>
      </c>
      <c r="G14" s="869"/>
      <c r="H14" s="868" t="s">
        <v>361</v>
      </c>
      <c r="I14" s="869"/>
      <c r="J14" s="868" t="s">
        <v>370</v>
      </c>
      <c r="K14" s="869"/>
      <c r="L14" s="902"/>
      <c r="M14" s="869"/>
      <c r="N14" s="868"/>
      <c r="O14" s="869"/>
      <c r="P14" s="868"/>
      <c r="Q14" s="869"/>
      <c r="R14" s="868"/>
      <c r="S14" s="869"/>
      <c r="T14" s="868"/>
      <c r="U14" s="869"/>
    </row>
    <row r="15" spans="1:21" s="589" customFormat="1" ht="21" customHeight="1" x14ac:dyDescent="0.25">
      <c r="A15" s="871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71"/>
      <c r="B16" s="866" t="s">
        <v>360</v>
      </c>
      <c r="C16" s="867"/>
      <c r="D16" s="1074" t="s">
        <v>367</v>
      </c>
      <c r="E16" s="1075"/>
      <c r="F16" s="866" t="s">
        <v>369</v>
      </c>
      <c r="G16" s="867"/>
      <c r="H16" s="866" t="s">
        <v>365</v>
      </c>
      <c r="I16" s="867"/>
      <c r="J16" s="866" t="s">
        <v>365</v>
      </c>
      <c r="K16" s="867"/>
      <c r="L16" s="903"/>
      <c r="M16" s="867"/>
      <c r="N16" s="866"/>
      <c r="O16" s="867"/>
      <c r="P16" s="866"/>
      <c r="Q16" s="867"/>
      <c r="R16" s="866"/>
      <c r="S16" s="867"/>
      <c r="T16" s="866"/>
      <c r="U16" s="867"/>
    </row>
    <row r="17" spans="1:21" s="157" customFormat="1" ht="21" customHeight="1" x14ac:dyDescent="0.25">
      <c r="A17" s="871"/>
      <c r="B17" s="868" t="s">
        <v>355</v>
      </c>
      <c r="C17" s="869"/>
      <c r="D17" s="868" t="s">
        <v>359</v>
      </c>
      <c r="E17" s="869"/>
      <c r="F17" s="868" t="s">
        <v>364</v>
      </c>
      <c r="G17" s="869"/>
      <c r="H17" s="1078" t="s">
        <v>417</v>
      </c>
      <c r="I17" s="1079"/>
      <c r="J17" s="1078"/>
      <c r="K17" s="1079"/>
      <c r="L17" s="868"/>
      <c r="M17" s="869"/>
      <c r="N17" s="868"/>
      <c r="O17" s="869"/>
      <c r="P17" s="868"/>
      <c r="Q17" s="869"/>
      <c r="R17" s="868"/>
      <c r="S17" s="869"/>
      <c r="T17" s="868"/>
      <c r="U17" s="869"/>
    </row>
    <row r="18" spans="1:21" s="589" customFormat="1" ht="21" customHeight="1" x14ac:dyDescent="0.25">
      <c r="A18" s="871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71"/>
      <c r="B19" s="866" t="s">
        <v>358</v>
      </c>
      <c r="C19" s="867"/>
      <c r="D19" s="866" t="s">
        <v>376</v>
      </c>
      <c r="E19" s="867"/>
      <c r="F19" s="866" t="s">
        <v>366</v>
      </c>
      <c r="G19" s="867"/>
      <c r="H19" s="866"/>
      <c r="I19" s="867"/>
      <c r="J19" s="866"/>
      <c r="K19" s="867"/>
      <c r="L19" s="866"/>
      <c r="M19" s="867"/>
      <c r="N19" s="866"/>
      <c r="O19" s="867"/>
      <c r="P19" s="866"/>
      <c r="Q19" s="867"/>
      <c r="R19" s="866"/>
      <c r="S19" s="867"/>
      <c r="T19" s="866"/>
      <c r="U19" s="867"/>
    </row>
    <row r="20" spans="1:21" s="157" customFormat="1" ht="21" customHeight="1" x14ac:dyDescent="0.25">
      <c r="A20" s="871"/>
      <c r="B20" s="1078" t="s">
        <v>370</v>
      </c>
      <c r="C20" s="1079"/>
      <c r="D20" s="1078" t="s">
        <v>258</v>
      </c>
      <c r="E20" s="1079"/>
      <c r="F20" s="868" t="s">
        <v>355</v>
      </c>
      <c r="G20" s="869"/>
      <c r="H20" s="1078" t="s">
        <v>379</v>
      </c>
      <c r="I20" s="1079"/>
      <c r="J20" s="1078"/>
      <c r="K20" s="1079"/>
      <c r="L20" s="868"/>
      <c r="M20" s="869"/>
      <c r="N20" s="868"/>
      <c r="O20" s="869"/>
      <c r="P20" s="868"/>
      <c r="Q20" s="869"/>
      <c r="R20" s="868"/>
      <c r="S20" s="869"/>
      <c r="T20" s="868"/>
      <c r="U20" s="869"/>
    </row>
    <row r="21" spans="1:21" s="589" customFormat="1" ht="21" customHeight="1" x14ac:dyDescent="0.25">
      <c r="A21" s="871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72"/>
      <c r="B22" s="866" t="s">
        <v>378</v>
      </c>
      <c r="C22" s="867"/>
      <c r="D22" s="866" t="s">
        <v>378</v>
      </c>
      <c r="E22" s="867"/>
      <c r="F22" s="866" t="s">
        <v>378</v>
      </c>
      <c r="G22" s="867"/>
      <c r="H22" s="866" t="s">
        <v>378</v>
      </c>
      <c r="I22" s="867"/>
      <c r="J22" s="866"/>
      <c r="K22" s="867"/>
      <c r="L22" s="866"/>
      <c r="M22" s="867"/>
      <c r="N22" s="866"/>
      <c r="O22" s="867"/>
      <c r="P22" s="866"/>
      <c r="Q22" s="867"/>
      <c r="R22" s="866"/>
      <c r="S22" s="867"/>
      <c r="T22" s="866"/>
      <c r="U22" s="867"/>
    </row>
    <row r="23" spans="1:21" s="669" customFormat="1" ht="21" customHeight="1" x14ac:dyDescent="0.25">
      <c r="A23" s="891" t="s">
        <v>323</v>
      </c>
      <c r="B23" s="1076"/>
      <c r="C23" s="1077"/>
      <c r="D23" s="1076"/>
      <c r="E23" s="1077"/>
      <c r="F23" s="861"/>
      <c r="G23" s="862"/>
      <c r="H23" s="861"/>
      <c r="I23" s="862"/>
      <c r="J23" s="861"/>
      <c r="K23" s="862"/>
      <c r="L23" s="861"/>
      <c r="M23" s="862"/>
      <c r="N23" s="861"/>
      <c r="O23" s="862"/>
      <c r="P23" s="861"/>
      <c r="Q23" s="862"/>
      <c r="R23" s="861"/>
      <c r="S23" s="862"/>
      <c r="T23" s="861"/>
      <c r="U23" s="862"/>
    </row>
    <row r="24" spans="1:21" s="589" customFormat="1" ht="21" customHeight="1" x14ac:dyDescent="0.25">
      <c r="A24" s="892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893"/>
      <c r="B25" s="859"/>
      <c r="C25" s="860"/>
      <c r="D25" s="859"/>
      <c r="E25" s="860"/>
      <c r="F25" s="859"/>
      <c r="G25" s="860"/>
      <c r="H25" s="859"/>
      <c r="I25" s="860"/>
      <c r="J25" s="859"/>
      <c r="K25" s="860"/>
      <c r="L25" s="859"/>
      <c r="M25" s="860"/>
      <c r="N25" s="859"/>
      <c r="O25" s="860"/>
      <c r="P25" s="859"/>
      <c r="Q25" s="860"/>
      <c r="R25" s="859"/>
      <c r="S25" s="860"/>
      <c r="T25" s="859"/>
      <c r="U25" s="860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topLeftCell="A4" zoomScale="101" zoomScaleNormal="100" workbookViewId="0">
      <selection activeCell="E42" sqref="E42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1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49"/>
      <c r="V1" s="749"/>
      <c r="W1" s="749"/>
      <c r="X1" s="219"/>
    </row>
    <row r="2" spans="1:26" ht="15" customHeight="1" x14ac:dyDescent="0.25">
      <c r="C2" s="1107" t="s">
        <v>317</v>
      </c>
      <c r="D2" s="1108"/>
      <c r="E2" s="1109"/>
      <c r="F2" s="1112" t="s">
        <v>327</v>
      </c>
      <c r="G2" s="1112" t="s">
        <v>328</v>
      </c>
      <c r="I2" s="1114" t="s">
        <v>375</v>
      </c>
      <c r="J2" s="1124" t="s">
        <v>66</v>
      </c>
      <c r="K2" s="1107" t="s">
        <v>455</v>
      </c>
      <c r="L2" s="1109"/>
      <c r="M2" s="1107" t="s">
        <v>214</v>
      </c>
      <c r="N2" s="1108"/>
      <c r="O2" s="1109"/>
      <c r="P2" s="1107" t="s">
        <v>219</v>
      </c>
      <c r="Q2" s="1108"/>
      <c r="R2" s="1108"/>
      <c r="S2" s="1109"/>
      <c r="T2" s="219"/>
      <c r="U2" s="1082" t="s">
        <v>452</v>
      </c>
      <c r="V2" s="1083"/>
      <c r="W2" s="1084"/>
    </row>
    <row r="3" spans="1:26" ht="15.95" customHeight="1" x14ac:dyDescent="0.25">
      <c r="C3" s="611" t="s">
        <v>65</v>
      </c>
      <c r="D3" s="712" t="s">
        <v>64</v>
      </c>
      <c r="E3" s="714" t="s">
        <v>448</v>
      </c>
      <c r="F3" s="1113"/>
      <c r="G3" s="1113"/>
      <c r="I3" s="1115"/>
      <c r="J3" s="1125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28" t="s">
        <v>25</v>
      </c>
      <c r="Q3" s="717" t="s">
        <v>64</v>
      </c>
      <c r="R3" s="717" t="s">
        <v>448</v>
      </c>
      <c r="S3" s="727" t="s">
        <v>215</v>
      </c>
      <c r="T3" s="644"/>
      <c r="U3" s="750" t="s">
        <v>47</v>
      </c>
      <c r="V3" s="751" t="s">
        <v>453</v>
      </c>
      <c r="W3" s="752" t="s">
        <v>454</v>
      </c>
    </row>
    <row r="4" spans="1:26" ht="21.95" customHeight="1" x14ac:dyDescent="0.25">
      <c r="B4" s="612" t="s">
        <v>319</v>
      </c>
      <c r="C4" s="618">
        <v>41</v>
      </c>
      <c r="D4" s="619">
        <v>111</v>
      </c>
      <c r="E4" s="619"/>
      <c r="F4" s="619">
        <v>5</v>
      </c>
      <c r="G4" s="620">
        <v>10</v>
      </c>
      <c r="I4" s="1115"/>
      <c r="J4" s="612" t="s">
        <v>319</v>
      </c>
      <c r="K4" s="672">
        <f>IFERROR(COUNT(AGITO_FLAME_STD_SILVER),"")</f>
        <v>23</v>
      </c>
      <c r="L4" s="635">
        <f>IFERROR(AVERAGE(AGITO_FLAME_STD_SILVER) + 2, "")</f>
        <v>7.2173913043478262</v>
      </c>
      <c r="M4" s="672">
        <f>IFERROR(COUNT(AGITO_FLAME_EXP_SILVER),"")</f>
        <v>36</v>
      </c>
      <c r="N4" s="635">
        <f>IFERROR(AVERAGE(AGITO_FLAME_EXP_SILVER),"")</f>
        <v>2.4444444444444446</v>
      </c>
      <c r="O4" s="636">
        <f>IFERROR(AVERAGE(AGITO_FLAME_EXP_GOLD),"")</f>
        <v>3.2222222222222223</v>
      </c>
      <c r="P4" s="716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3" t="str" cm="1">
        <f t="array" ref="U4">IFERROR(_xlfn.CEILING.MATH((AGITO_WEAPON_MUB_624_SILVER - V4*N4) / L4),"")</f>
        <v/>
      </c>
      <c r="V4" s="754" t="str" cm="1">
        <f t="array" ref="V4">IFERROR(_xlfn.CEILING.MATH((AGITO_WEAPON_MUB_624_GOLD - W4*Q4) / O4),"")</f>
        <v/>
      </c>
      <c r="W4" s="755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8</v>
      </c>
      <c r="G5" s="623">
        <v>25</v>
      </c>
      <c r="I5" s="1115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395</v>
      </c>
      <c r="N5" s="637">
        <f>IFERROR(AVERAGE(AGITO_WATER_EXP_SILVER),"")</f>
        <v>2.5848101265822785</v>
      </c>
      <c r="O5" s="638">
        <f>IFERROR(AVERAGE(AGITO_WATER_EXP_GOLD),"")</f>
        <v>3.4759493670886075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6" t="str" cm="1">
        <f t="array" ref="U5">IFERROR(_xlfn.CEILING.MATH((AGITO_WEAPON_MUB_624_SILVER - V5*N5) / L5),"")</f>
        <v/>
      </c>
      <c r="V5" s="757" t="str" cm="1">
        <f t="array" ref="V5">IFERROR(_xlfn.CEILING.MATH((AGITO_WEAPON_MUB_624_GOLD - W5*Q5) / O5),"")</f>
        <v/>
      </c>
      <c r="W5" s="758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3209</v>
      </c>
      <c r="D6" s="625">
        <v>3215</v>
      </c>
      <c r="E6" s="625">
        <v>503</v>
      </c>
      <c r="F6" s="625">
        <v>8</v>
      </c>
      <c r="G6" s="626">
        <v>25</v>
      </c>
      <c r="I6" s="1115"/>
      <c r="J6" s="614" t="s">
        <v>321</v>
      </c>
      <c r="K6" s="610">
        <f>IFERROR(COUNT(AGITO_WIND_STD_SILVER),"")</f>
        <v>478</v>
      </c>
      <c r="L6" s="639">
        <f>IFERROR(AVERAGE(AGITO_WIND_STD_SILVER) + 2, "")</f>
        <v>7.1882845188284517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238</v>
      </c>
      <c r="Q6" s="639">
        <f>IFERROR(AVERAGE(AGITO_WIND_MST_GOLD),"")</f>
        <v>2.0420168067226889</v>
      </c>
      <c r="R6" s="639">
        <f>IFERROR(AVERAGE(AGITO_WIND_MST_POT),"")</f>
        <v>2.9957983193277311</v>
      </c>
      <c r="S6" s="640">
        <f>IFERROR(AVERAGE(AGITO_WIND_MST_ORIHAL),"")</f>
        <v>1.0924369747899159</v>
      </c>
      <c r="T6" s="644"/>
      <c r="U6" s="759" cm="1">
        <f t="array" ref="U6">IFERROR(_xlfn.CEILING.MATH((AGITO_WEAPON_MUB_624_SILVER - V6*N6) / L6),"")</f>
        <v>20</v>
      </c>
      <c r="V6" s="760" cm="1">
        <f t="array" ref="V6">IFERROR(_xlfn.CEILING.MATH((AGITO_WEAPON_MUB_624_GOLD - W6*Q6) / O6),"")</f>
        <v>52</v>
      </c>
      <c r="W6" s="761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2573</v>
      </c>
      <c r="D7" s="628">
        <v>2261</v>
      </c>
      <c r="E7" s="628"/>
      <c r="F7" s="628">
        <v>8</v>
      </c>
      <c r="G7" s="629">
        <v>25</v>
      </c>
      <c r="I7" s="1115"/>
      <c r="J7" s="615" t="s">
        <v>322</v>
      </c>
      <c r="K7" s="676">
        <f>IFERROR(COUNT(AGITO_LIGHT_STD_SILVER),"")</f>
        <v>93</v>
      </c>
      <c r="L7" s="641">
        <f>IFERROR(AVERAGE(AGITO_LIGHT_STD_SILVER) + 2, "")</f>
        <v>7.204301075268817</v>
      </c>
      <c r="M7" s="676">
        <f>IFERROR(COUNT(AGITO_LIGHT_EXP_SILVER),"")</f>
        <v>930</v>
      </c>
      <c r="N7" s="641">
        <f>IFERROR(AVERAGE(AGITO_LIGHT_EXP_SILVER),"")</f>
        <v>2.5731182795698926</v>
      </c>
      <c r="O7" s="642">
        <f>IFERROR(AVERAGE(AGITO_LIGHT_EXP_GOLD),"")</f>
        <v>3.5086021505376346</v>
      </c>
      <c r="P7" s="724">
        <f>IFERROR(COUNT(AGITO_LIGHT_MST_GOLD),"")</f>
        <v>0</v>
      </c>
      <c r="Q7" s="641" t="str">
        <f>IFERROR(AVERAGE(AGITO_LIGHT_MST_GOLD),"")</f>
        <v/>
      </c>
      <c r="R7" s="641" t="str">
        <f>IFERROR(AVERAGE(AGITO_LIGHT_MST_POT),"")</f>
        <v/>
      </c>
      <c r="S7" s="642" t="str">
        <f>IFERROR(AVERAGE(AGITO_LIGHT_MST_ORIHAL),"")</f>
        <v/>
      </c>
      <c r="T7" s="644"/>
      <c r="U7" s="762" t="str" cm="1">
        <f t="array" ref="U7">IFERROR(_xlfn.CEILING.MATH((AGITO_WEAPON_MUB_624_SILVER - V7*N7) / L7),"")</f>
        <v/>
      </c>
      <c r="V7" s="763" t="str" cm="1">
        <f t="array" ref="V7">IFERROR(_xlfn.CEILING.MATH((AGITO_WEAPON_MUB_624_GOLD - W7*Q7) / O7),"")</f>
        <v/>
      </c>
      <c r="W7" s="764" t="str" cm="1">
        <f t="array" ref="W7">IFERROR(_xlfn.CEILING.MATH(AGITO_WEAPON_MUB_624_POT / R7),"")</f>
        <v/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115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3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5" t="str" cm="1">
        <f t="array" ref="U8">IFERROR(_xlfn.CEILING.MATH((AGITO_WEAPON_MUB_624_SILVER - V8*N8) / L8),"")</f>
        <v/>
      </c>
      <c r="V8" s="766" t="str" cm="1">
        <f t="array" ref="V8">IFERROR(_xlfn.CEILING.MATH((AGITO_WEAPON_MUB_624_GOLD - W8*Q8) / O8),"")</f>
        <v/>
      </c>
      <c r="W8" s="767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116"/>
      <c r="J9" s="681" t="s">
        <v>211</v>
      </c>
      <c r="K9" s="682">
        <f>IFERROR(COUNT(AGITO_FLAME_STD_SILVER,AGITO_WATER_STD_SILVER,AGITO_WIND_STD_SILVER,AGITO_LIGHT_STD_SILVER,AGITO_SHADOW_STD_SILVER),"")</f>
        <v>709</v>
      </c>
      <c r="L9" s="685">
        <f>IFERROR(AVERAGE(AGITO_FLAME_STD_SILVER,AGITO_WATER_STD_SILVER,AGITO_WIND_STD_SILVER,AGITO_LIGHT_STD_SILVER,AGITO_SHADOW_STD_SILVER) + 2,"")</f>
        <v>7.1932299012693939</v>
      </c>
      <c r="M9" s="682">
        <f>IFERROR(COUNT(AGITO_FLAME_EXP_SILVER,AGITO_WATER_EXP_SILVER,AGITO_WIND_EXP_SILVER,AGITO_LIGHT_EXP_SILVER,AGITO_SHADOW_EXP_SILVER),"")</f>
        <v>2445</v>
      </c>
      <c r="N9" s="685">
        <f>IFERROR(AVERAGE(AGITO_FLAME_EXP_SILVER,AGITO_WATER_EXP_SILVER,AGITO_WIND_EXP_SILVER,AGITO_LIGHT_EXP_SILVER,AGITO_SHADOW_EXP_SILVER),"")</f>
        <v>2.6049079754601228</v>
      </c>
      <c r="O9" s="683">
        <f>IFERROR(AVERAGE(AGITO_FLAME_EXP_GOLD,AGITO_WATER_EXP_GOLD,AGITO_WIND_EXP_GOLD,AGITO_LIGHT_EXP_GOLD,AGITO_SHADOW_EXP_GOLD),"")</f>
        <v>3.4683026584867074</v>
      </c>
      <c r="P9" s="682">
        <f>IFERROR(COUNT(AGITO_FLAME_MST_GOLD,AGITO_WATER_MST_GOLD,AGITO_WIND_MST_GOLD,AGITO_LIGHT_MST_GOLD,AGITO_SHADOW_MST_GOLD),"")</f>
        <v>238</v>
      </c>
      <c r="Q9" s="685">
        <f>IFERROR(AVERAGE(AGITO_FLAME_MST_GOLD,AGITO_WATER_MST_GOLD,AGITO_WIND_MST_GOLD,AGITO_LIGHT_MST_GOLD,AGITO_SHADOW_MST_GOLD),"")</f>
        <v>2.0420168067226889</v>
      </c>
      <c r="R9" s="685">
        <f>IFERROR(AVERAGE(AGITO_FLAME_MST_POT,AGITO_WATER_MST_POT,AGITO_WIND_MST_POT,AGITO_LIGHT_MST_POT,AGITO_SHADOW_MST_POT),"")</f>
        <v>2.9957983193277311</v>
      </c>
      <c r="S9" s="683">
        <f>IFERROR(AVERAGE(AGITO_FLAME_MST_ORIHAL,AGITO_WATER_MST_ORIHAL,AGITO_WIND_MST_ORIHAL,AGITO_LIGHT_MST_ORIHAL,AGITO_SHADOW_MST_ORIHAL),"")</f>
        <v>1.0924369747899159</v>
      </c>
      <c r="T9" s="649"/>
      <c r="U9" s="791" t="s">
        <v>131</v>
      </c>
      <c r="V9" s="792" t="s">
        <v>131</v>
      </c>
      <c r="W9" s="793" t="s">
        <v>131</v>
      </c>
      <c r="X9" s="644"/>
      <c r="Y9" s="219"/>
      <c r="Z9" s="219"/>
    </row>
    <row r="10" spans="1:26" ht="15" customHeight="1" x14ac:dyDescent="0.25">
      <c r="B10" s="738"/>
      <c r="C10" s="1129" t="s">
        <v>38</v>
      </c>
      <c r="D10" s="1130"/>
      <c r="E10" s="1130"/>
      <c r="F10" s="1131"/>
      <c r="G10" s="740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49"/>
      <c r="V10" s="749"/>
      <c r="W10" s="749"/>
      <c r="X10" s="219"/>
    </row>
    <row r="11" spans="1:26" ht="15" customHeight="1" x14ac:dyDescent="0.25">
      <c r="A11" s="239"/>
      <c r="B11" s="745"/>
      <c r="C11" s="1128" t="s">
        <v>65</v>
      </c>
      <c r="D11" s="1126"/>
      <c r="E11" s="1126" t="s">
        <v>64</v>
      </c>
      <c r="F11" s="1127"/>
      <c r="G11" s="740"/>
      <c r="I11" s="1119" t="s">
        <v>450</v>
      </c>
      <c r="J11" s="725" t="s">
        <v>142</v>
      </c>
      <c r="K11" s="726" t="s">
        <v>7</v>
      </c>
      <c r="L11" s="726" t="s">
        <v>221</v>
      </c>
      <c r="M11" s="726" t="s">
        <v>5</v>
      </c>
      <c r="N11" s="726" t="s">
        <v>10</v>
      </c>
      <c r="O11" s="726" t="s">
        <v>13</v>
      </c>
      <c r="P11" s="726" t="s">
        <v>4</v>
      </c>
      <c r="Q11" s="617" t="s">
        <v>222</v>
      </c>
      <c r="R11" s="650" t="s">
        <v>329</v>
      </c>
      <c r="S11" s="1117" t="s">
        <v>24</v>
      </c>
      <c r="T11" s="1118"/>
      <c r="U11" s="768" t="s">
        <v>324</v>
      </c>
      <c r="V11" s="769" t="s">
        <v>325</v>
      </c>
      <c r="W11" s="769" t="s">
        <v>451</v>
      </c>
      <c r="X11" s="643" t="s">
        <v>296</v>
      </c>
    </row>
    <row r="12" spans="1:26" s="284" customFormat="1" ht="18.95" customHeight="1" x14ac:dyDescent="0.25">
      <c r="B12" s="994" t="s">
        <v>319</v>
      </c>
      <c r="C12" s="1092">
        <f>IF(ISBLANK(G4),"",INDEX(DATA_AGITO_BUILDING_25,G4+ 1, 3))</f>
        <v>180</v>
      </c>
      <c r="D12" s="1092"/>
      <c r="E12" s="1092">
        <f>IF(ISBLANK(G4),"",INDEX(DATA_AGITO_BUILDING_25,G4 + 1, 4))</f>
        <v>30</v>
      </c>
      <c r="F12" s="1132"/>
      <c r="G12" s="739"/>
      <c r="I12" s="1120"/>
      <c r="J12" s="1104"/>
      <c r="K12" s="1110"/>
      <c r="L12" s="1110"/>
      <c r="M12" s="1110"/>
      <c r="N12" s="1110"/>
      <c r="O12" s="1110"/>
      <c r="P12" s="1110"/>
      <c r="Q12" s="1110"/>
      <c r="R12" s="746" cm="1">
        <f t="array" ref="R12">IF(ISBLANK(C4),"",(SUM(J15:Q15) + C4) / AGITO_WEAPON_MUB_614_SILVER)</f>
        <v>0.20499999999999999</v>
      </c>
      <c r="S12" s="592" cm="1">
        <f t="array" ref="S12">IF(ISBLANK(C4),"",-(F4 * AGITO_WEAPON_MUB_614_SILVER - SUM(J15:Q15) - C4))</f>
        <v>-959</v>
      </c>
      <c r="T12" s="735" t="s">
        <v>65</v>
      </c>
      <c r="U12" s="770">
        <f>IF(AND(K4&gt;0,S12&lt;0), _xlfn.CEILING.MATH(-S12/L4),"")</f>
        <v>133</v>
      </c>
      <c r="V12" s="771">
        <f>IF(AND(M4&gt;0,S12&lt;0), _xlfn.CEILING.MATH(-S12/N4),"")</f>
        <v>393</v>
      </c>
      <c r="W12" s="772" t="s">
        <v>131</v>
      </c>
      <c r="X12" s="645">
        <f>IFERROR((-F4 * AGITO_WEAPON_MUB_614_SILVER - S12)/(-F4 * AGITO_WEAPON_MUB_614_SILVER),"")</f>
        <v>4.1000000000000002E-2</v>
      </c>
    </row>
    <row r="13" spans="1:26" s="284" customFormat="1" ht="18.95" customHeight="1" x14ac:dyDescent="0.25">
      <c r="B13" s="996"/>
      <c r="C13" s="1093"/>
      <c r="D13" s="1093"/>
      <c r="E13" s="1093"/>
      <c r="F13" s="1133"/>
      <c r="G13" s="739"/>
      <c r="I13" s="1120"/>
      <c r="J13" s="1105"/>
      <c r="K13" s="1111"/>
      <c r="L13" s="1111"/>
      <c r="M13" s="1111"/>
      <c r="N13" s="1111"/>
      <c r="O13" s="1111"/>
      <c r="P13" s="1111"/>
      <c r="Q13" s="1111"/>
      <c r="R13" s="747" cm="1">
        <f t="array" ref="R13">IF(ISBLANK(D4),"",(SUM(J16:Q16) + D4) / AGITO_WEAPON_MUB_614_GOLD)</f>
        <v>0.74</v>
      </c>
      <c r="S13" s="593" cm="1">
        <f t="array" ref="S13">IF(ISBLANK(D4),"",-(F4 * AGITO_WEAPON_MUB_614_GOLD - SUM(J16:Q16) - D4))</f>
        <v>-639</v>
      </c>
      <c r="T13" s="733" t="s">
        <v>64</v>
      </c>
      <c r="U13" s="773" t="s">
        <v>131</v>
      </c>
      <c r="V13" s="774">
        <f>IF(AND(M4&gt;0,S13&lt;0), _xlfn.CEILING.MATH(-S13/O4),"")</f>
        <v>199</v>
      </c>
      <c r="W13" s="775" t="str">
        <f>IF(AND(P4&gt;0,S13&lt;0), _xlfn.CEILING.MATH(-S13/Q4),"")</f>
        <v/>
      </c>
      <c r="X13" s="646">
        <f>IFERROR((-F4 * AGITO_WEAPON_MUB_614_GOLD - S13)/(-F4 * AGITO_WEAPON_MUB_614_GOLD),"")</f>
        <v>0.14799999999999999</v>
      </c>
    </row>
    <row r="14" spans="1:26" s="284" customFormat="1" ht="18.95" customHeight="1" x14ac:dyDescent="0.25">
      <c r="B14" s="996"/>
      <c r="C14" s="1093"/>
      <c r="D14" s="1093"/>
      <c r="E14" s="1093"/>
      <c r="F14" s="1133"/>
      <c r="G14" s="739"/>
      <c r="I14" s="1120"/>
      <c r="J14" s="1105"/>
      <c r="K14" s="1111"/>
      <c r="L14" s="1111"/>
      <c r="M14" s="1111"/>
      <c r="N14" s="1111"/>
      <c r="O14" s="1111"/>
      <c r="P14" s="1111"/>
      <c r="Q14" s="1111"/>
      <c r="R14" s="747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3" t="s">
        <v>448</v>
      </c>
      <c r="U14" s="773" t="s">
        <v>131</v>
      </c>
      <c r="V14" s="774" t="s">
        <v>131</v>
      </c>
      <c r="W14" s="775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19"/>
      <c r="C15" s="736"/>
      <c r="D15" s="737"/>
      <c r="E15" s="737"/>
      <c r="F15" s="741"/>
      <c r="G15" s="737"/>
      <c r="I15" s="1120"/>
      <c r="J15" s="651">
        <f>_xlfn.IFNA(VLOOKUP(J12,DATA_AGITO_WEAPON,2,FALSE), 0)</f>
        <v>0</v>
      </c>
      <c r="K15" s="652">
        <f>_xlfn.IFNA(VLOOKUP(K12,DATA_AGITO_WEAPON,2,FALSE), 0)</f>
        <v>0</v>
      </c>
      <c r="L15" s="652">
        <f>_xlfn.IFNA(VLOOKUP(L12,DATA_AGITO_WEAPON,2,FALSE), 0)</f>
        <v>0</v>
      </c>
      <c r="M15" s="652">
        <f>_xlfn.IFNA(VLOOKUP(M12,DATA_AGITO_WEAPON,2,FALSE), 0)</f>
        <v>0</v>
      </c>
      <c r="N15" s="652">
        <f>_xlfn.IFNA(VLOOKUP(N12,DATA_AGITO_WEAPON,2,FALSE), 0)</f>
        <v>0</v>
      </c>
      <c r="O15" s="652">
        <f>_xlfn.IFNA(VLOOKUP(O12,DATA_AGITO_WEAPON,2,FALSE), 0)</f>
        <v>0</v>
      </c>
      <c r="P15" s="652">
        <f>_xlfn.IFNA(VLOOKUP(P12,DATA_AGITO_WEAPON,2,FALSE), 0)</f>
        <v>0</v>
      </c>
      <c r="Q15" s="652">
        <f>_xlfn.IFNA(VLOOKUP(Q12,DATA_AGITO_WEAPON,2,FALSE), 0)</f>
        <v>0</v>
      </c>
      <c r="R15" s="747"/>
      <c r="S15" s="607"/>
      <c r="T15" s="733"/>
      <c r="U15" s="773"/>
      <c r="V15" s="774"/>
      <c r="W15" s="775"/>
      <c r="X15" s="646"/>
    </row>
    <row r="16" spans="1:26" ht="39.75" hidden="1" customHeight="1" x14ac:dyDescent="0.25">
      <c r="B16" s="719"/>
      <c r="C16" s="736"/>
      <c r="D16" s="737"/>
      <c r="E16" s="737"/>
      <c r="F16" s="741"/>
      <c r="G16" s="737"/>
      <c r="I16" s="1120"/>
      <c r="J16" s="651">
        <f>_xlfn.IFNA(VLOOKUP(J12,DATA_AGITO_WEAPON,3,FALSE), 0)</f>
        <v>0</v>
      </c>
      <c r="K16" s="652">
        <f>_xlfn.IFNA(VLOOKUP(K12,DATA_AGITO_WEAPON,3,FALSE), 0)</f>
        <v>0</v>
      </c>
      <c r="L16" s="652">
        <f>_xlfn.IFNA(VLOOKUP(L12,DATA_AGITO_WEAPON,3,FALSE), 0)</f>
        <v>0</v>
      </c>
      <c r="M16" s="652">
        <f>_xlfn.IFNA(VLOOKUP(M12,DATA_AGITO_WEAPON,3,FALSE), 0)</f>
        <v>0</v>
      </c>
      <c r="N16" s="652">
        <f>_xlfn.IFNA(VLOOKUP(N12,DATA_AGITO_WEAPON,3,FALSE), 0)</f>
        <v>0</v>
      </c>
      <c r="O16" s="652">
        <f>_xlfn.IFNA(VLOOKUP(O12,DATA_AGITO_WEAPON,3,FALSE), 0)</f>
        <v>0</v>
      </c>
      <c r="P16" s="652">
        <f>_xlfn.IFNA(VLOOKUP(P12,DATA_AGITO_WEAPON,3,FALSE), 0)</f>
        <v>0</v>
      </c>
      <c r="Q16" s="652">
        <f>_xlfn.IFNA(VLOOKUP(Q12,DATA_AGITO_WEAPON,3,FALSE), 0)</f>
        <v>0</v>
      </c>
      <c r="R16" s="747"/>
      <c r="S16" s="607"/>
      <c r="T16" s="733"/>
      <c r="U16" s="773"/>
      <c r="V16" s="774"/>
      <c r="W16" s="775"/>
      <c r="X16" s="646"/>
    </row>
    <row r="17" spans="2:24" s="715" customFormat="1" ht="54" hidden="1" customHeight="1" x14ac:dyDescent="0.25">
      <c r="B17" s="719"/>
      <c r="C17" s="736"/>
      <c r="D17" s="737"/>
      <c r="E17" s="737"/>
      <c r="F17" s="741"/>
      <c r="G17" s="737"/>
      <c r="I17" s="1120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7"/>
      <c r="S17" s="607"/>
      <c r="T17" s="733"/>
      <c r="U17" s="773"/>
      <c r="V17" s="774"/>
      <c r="W17" s="775"/>
      <c r="X17" s="646"/>
    </row>
    <row r="18" spans="2:24" s="284" customFormat="1" ht="18.95" customHeight="1" x14ac:dyDescent="0.25">
      <c r="B18" s="992" t="s">
        <v>320</v>
      </c>
      <c r="C18" s="1094">
        <f>IF(ISBLANK(G5),"",INDEX(DATA_AGITO_BUILDING_25,G5+ 1, 3))</f>
        <v>0</v>
      </c>
      <c r="D18" s="1094"/>
      <c r="E18" s="1094">
        <f>IF(ISBLANK(G5),"",INDEX(DATA_AGITO_BUILDING_25,G5+ 1, 4))</f>
        <v>0</v>
      </c>
      <c r="F18" s="1095"/>
      <c r="G18" s="739"/>
      <c r="I18" s="1120"/>
      <c r="J18" s="1103">
        <v>614</v>
      </c>
      <c r="K18" s="1099">
        <v>614</v>
      </c>
      <c r="L18" s="1099">
        <v>614</v>
      </c>
      <c r="M18" s="1099">
        <v>614</v>
      </c>
      <c r="N18" s="1099">
        <v>614</v>
      </c>
      <c r="O18" s="1099">
        <v>614</v>
      </c>
      <c r="P18" s="1099">
        <v>614</v>
      </c>
      <c r="Q18" s="1099">
        <v>614</v>
      </c>
      <c r="R18" s="747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2778</v>
      </c>
      <c r="T18" s="733" t="s">
        <v>65</v>
      </c>
      <c r="U18" s="773" t="str">
        <f>IF(AND(K5&gt;0,S18&lt;0), _xlfn.CEILING.MATH(-S18/L5),"")</f>
        <v/>
      </c>
      <c r="V18" s="774" t="str">
        <f>IF(AND(M5&gt;0,S18&lt;0), _xlfn.CEILING.MATH(-S18/N5),"")</f>
        <v/>
      </c>
      <c r="W18" s="775" t="s">
        <v>131</v>
      </c>
      <c r="X18" s="646">
        <f>IFERROR((-F5 * AGITO_WEAPON_MUB_614_SILVER - S18)/(-F5 * AGITO_WEAPON_MUB_614_SILVER),"")</f>
        <v>2.7362500000000001</v>
      </c>
    </row>
    <row r="19" spans="2:24" s="284" customFormat="1" ht="18.95" customHeight="1" x14ac:dyDescent="0.25">
      <c r="B19" s="992"/>
      <c r="C19" s="1094"/>
      <c r="D19" s="1094"/>
      <c r="E19" s="1094"/>
      <c r="F19" s="1095"/>
      <c r="G19" s="739"/>
      <c r="I19" s="1120"/>
      <c r="J19" s="1103"/>
      <c r="K19" s="1099"/>
      <c r="L19" s="1099"/>
      <c r="M19" s="1099"/>
      <c r="N19" s="1099"/>
      <c r="O19" s="1099"/>
      <c r="P19" s="1099"/>
      <c r="Q19" s="1099"/>
      <c r="R19" s="747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2942</v>
      </c>
      <c r="T19" s="733" t="s">
        <v>64</v>
      </c>
      <c r="U19" s="773" t="s">
        <v>131</v>
      </c>
      <c r="V19" s="774" t="str">
        <f>IF(AND(M5&gt;0,S19&lt;0), _xlfn.CEILING.MATH(-S19/O5),"")</f>
        <v/>
      </c>
      <c r="W19" s="775" t="str">
        <f>IF(AND(P5&gt;0,S19&lt;0), _xlfn.CEILING.MATH(-S19/Q5),"")</f>
        <v/>
      </c>
      <c r="X19" s="646">
        <f>IFERROR((-F5 * AGITO_WEAPON_MUB_614_GOLD - S19)/(-F5 * AGITO_WEAPON_MUB_614_GOLD),"")</f>
        <v>3.4516666666666667</v>
      </c>
    </row>
    <row r="20" spans="2:24" s="284" customFormat="1" ht="18.95" customHeight="1" x14ac:dyDescent="0.25">
      <c r="B20" s="992"/>
      <c r="C20" s="1094"/>
      <c r="D20" s="1094"/>
      <c r="E20" s="1094"/>
      <c r="F20" s="1095"/>
      <c r="G20" s="739"/>
      <c r="I20" s="1120"/>
      <c r="J20" s="1103"/>
      <c r="K20" s="1099"/>
      <c r="L20" s="1099"/>
      <c r="M20" s="1099"/>
      <c r="N20" s="1099"/>
      <c r="O20" s="1099"/>
      <c r="P20" s="1099"/>
      <c r="Q20" s="1099"/>
      <c r="R20" s="747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3" t="s">
        <v>448</v>
      </c>
      <c r="U20" s="773" t="s">
        <v>131</v>
      </c>
      <c r="V20" s="774" t="s">
        <v>131</v>
      </c>
      <c r="W20" s="775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18"/>
      <c r="C21" s="736" t="str">
        <f>IF(ISBLANK(G10),"",INDEX(DATA_AGITO_BUILDING_25,G10+ 1, 1))</f>
        <v/>
      </c>
      <c r="D21" s="737"/>
      <c r="E21" s="737" t="str">
        <f>IF(ISBLANK(G10),"",INDEX(DATA_AGITO_BUILDING_25,G10+ 1, 2))</f>
        <v/>
      </c>
      <c r="F21" s="741"/>
      <c r="G21" s="737"/>
      <c r="I21" s="1120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7"/>
      <c r="S21" s="607"/>
      <c r="T21" s="733"/>
      <c r="U21" s="773"/>
      <c r="V21" s="774"/>
      <c r="W21" s="775"/>
      <c r="X21" s="646"/>
    </row>
    <row r="22" spans="2:24" ht="24" hidden="1" customHeight="1" x14ac:dyDescent="0.25">
      <c r="B22" s="718"/>
      <c r="C22" s="736"/>
      <c r="D22" s="737"/>
      <c r="E22" s="737"/>
      <c r="F22" s="741"/>
      <c r="G22" s="737"/>
      <c r="I22" s="1120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7"/>
      <c r="S22" s="607"/>
      <c r="T22" s="733"/>
      <c r="U22" s="773"/>
      <c r="V22" s="774"/>
      <c r="W22" s="775"/>
      <c r="X22" s="646"/>
    </row>
    <row r="23" spans="2:24" s="715" customFormat="1" ht="24" hidden="1" customHeight="1" x14ac:dyDescent="0.25">
      <c r="B23" s="718"/>
      <c r="C23" s="736"/>
      <c r="D23" s="737"/>
      <c r="E23" s="737"/>
      <c r="F23" s="741"/>
      <c r="G23" s="737"/>
      <c r="I23" s="1120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7"/>
      <c r="S23" s="607"/>
      <c r="T23" s="733"/>
      <c r="U23" s="773"/>
      <c r="V23" s="774"/>
      <c r="W23" s="775"/>
      <c r="X23" s="646"/>
    </row>
    <row r="24" spans="2:24" s="284" customFormat="1" ht="18.95" customHeight="1" x14ac:dyDescent="0.25">
      <c r="B24" s="1055" t="s">
        <v>321</v>
      </c>
      <c r="C24" s="1096">
        <f>IF(ISBLANK(G6),"",INDEX(DATA_AGITO_BUILDING_25,G6+ 1, 1))</f>
        <v>0</v>
      </c>
      <c r="D24" s="1096"/>
      <c r="E24" s="1096">
        <f>IF(ISBLANK(G6),"",INDEX(DATA_AGITO_BUILDING_25,G6+ 1, 2))</f>
        <v>0</v>
      </c>
      <c r="F24" s="1097"/>
      <c r="G24" s="739"/>
      <c r="I24" s="1120"/>
      <c r="J24" s="1134">
        <v>624</v>
      </c>
      <c r="K24" s="1098">
        <v>624</v>
      </c>
      <c r="L24" s="1098">
        <v>624</v>
      </c>
      <c r="M24" s="1098">
        <v>624</v>
      </c>
      <c r="N24" s="1098">
        <v>624</v>
      </c>
      <c r="O24" s="1098">
        <v>624</v>
      </c>
      <c r="P24" s="1098">
        <v>624</v>
      </c>
      <c r="Q24" s="1098">
        <v>624</v>
      </c>
      <c r="R24" s="747" cm="1">
        <f t="array" ref="R24">IF(ISBLANK(C6),"",(SUM(J27:Q27) + C6) / AGITO_WEAPON_MUB_624_SILVER)</f>
        <v>19.460714285714285</v>
      </c>
      <c r="S24" s="593" cm="1">
        <f t="array" ref="S24">IF(ISBLANK(C6),"",-(F6*AGITO_WEAPON_MUB_624_SILVER-SUM(J27:Q27)-C6))</f>
        <v>3209</v>
      </c>
      <c r="T24" s="733" t="s">
        <v>65</v>
      </c>
      <c r="U24" s="773" t="str">
        <f>IF(AND(S24&lt;0,K6&gt;0), _xlfn.CEILING.MATH(-S24/L6),"")</f>
        <v/>
      </c>
      <c r="V24" s="774" t="str">
        <f>IF(AND(S24&lt;0,M6&gt;0), _xlfn.CEILING.MATH(-S24/N6),"")</f>
        <v/>
      </c>
      <c r="W24" s="775" t="s">
        <v>131</v>
      </c>
      <c r="X24" s="646">
        <f>IFERROR((-F6 * AGITO_WEAPON_MUB_624_SILVER - S24)/(-F6 * AGITO_WEAPON_MUB_624_SILVER),"")</f>
        <v>2.4325892857142857</v>
      </c>
    </row>
    <row r="25" spans="2:24" s="284" customFormat="1" ht="18.95" customHeight="1" x14ac:dyDescent="0.25">
      <c r="B25" s="1055"/>
      <c r="C25" s="1096"/>
      <c r="D25" s="1096"/>
      <c r="E25" s="1096"/>
      <c r="F25" s="1097"/>
      <c r="G25" s="739"/>
      <c r="I25" s="1120"/>
      <c r="J25" s="1134"/>
      <c r="K25" s="1098"/>
      <c r="L25" s="1098"/>
      <c r="M25" s="1098"/>
      <c r="N25" s="1098"/>
      <c r="O25" s="1098"/>
      <c r="P25" s="1098"/>
      <c r="Q25" s="1098"/>
      <c r="R25" s="747" cm="1">
        <f t="array" ref="R25">IF(ISBLANK(D6),"",(SUM(J28:Q28) + D6) / AGITO_WEAPON_MUB_624_GOLD)</f>
        <v>24.074999999999999</v>
      </c>
      <c r="S25" s="593" cm="1">
        <f t="array" ref="S25">IF(ISBLANK(D6),"",-(F6 * AGITO_WEAPON_MUB_624_GOLD - SUM(J28:Q28) - D6))</f>
        <v>3215</v>
      </c>
      <c r="T25" s="733" t="s">
        <v>64</v>
      </c>
      <c r="U25" s="773" t="s">
        <v>131</v>
      </c>
      <c r="V25" s="774" t="str">
        <f>IF(AND(M6&gt;0,S25&lt;0), _xlfn.CEILING.MATH(-S25/O6),"")</f>
        <v/>
      </c>
      <c r="W25" s="775" t="str">
        <f>IF(AND(P6&gt;0,S25&lt;0), _xlfn.CEILING.MATH(-S25/Q6),"")</f>
        <v/>
      </c>
      <c r="X25" s="646">
        <f>IFERROR((-F6 * AGITO_WEAPON_MUB_624_GOLD - S25)/(-F6 * AGITO_WEAPON_MUB_624_GOLD),"")</f>
        <v>3.0093749999999999</v>
      </c>
    </row>
    <row r="26" spans="2:24" s="284" customFormat="1" ht="18.95" customHeight="1" x14ac:dyDescent="0.25">
      <c r="B26" s="1055"/>
      <c r="C26" s="1096"/>
      <c r="D26" s="1096"/>
      <c r="E26" s="1096"/>
      <c r="F26" s="1097"/>
      <c r="G26" s="739"/>
      <c r="I26" s="1120"/>
      <c r="J26" s="1134"/>
      <c r="K26" s="1098"/>
      <c r="L26" s="1098"/>
      <c r="M26" s="1098"/>
      <c r="N26" s="1098"/>
      <c r="O26" s="1098"/>
      <c r="P26" s="1098"/>
      <c r="Q26" s="1098"/>
      <c r="R26" s="747" cm="1">
        <f t="array" ref="R26">IF(ISBLANK(E6),"",(SUM(J29:Q29) + E6) / AGITO_WEAPON_MUB_624_POT)</f>
        <v>22.37142857142857</v>
      </c>
      <c r="S26" s="593" cm="1">
        <f t="array" ref="S26">IF(ISBLANK(E6),"",-(F6 * AGITO_WEAPON_MUB_624_POT - SUM(J29:Q29) - E6))</f>
        <v>503</v>
      </c>
      <c r="T26" s="733" t="s">
        <v>448</v>
      </c>
      <c r="U26" s="773" t="s">
        <v>131</v>
      </c>
      <c r="V26" s="774" t="s">
        <v>131</v>
      </c>
      <c r="W26" s="775" t="str">
        <f>IF(AND(P6&gt;0,S25&lt;0), _xlfn.CEILING.MATH(-S25/R6),"")</f>
        <v/>
      </c>
      <c r="X26" s="646">
        <f>IFERROR((-F6 * AGITO_WEAPON_MUB_624_POT - S26)/(-F6 * AGITO_WEAPON_MUB_624_POT),"")</f>
        <v>2.7964285714285713</v>
      </c>
    </row>
    <row r="27" spans="2:24" ht="27" hidden="1" customHeight="1" x14ac:dyDescent="0.25">
      <c r="B27" s="722"/>
      <c r="C27" s="736" t="str">
        <f>IF(ISBLANK(G15),"",INDEX(DATA_AGITO_BUILDING_25,G15+ 1, 1))</f>
        <v/>
      </c>
      <c r="D27" s="737"/>
      <c r="E27" s="737" t="str">
        <f>IF(ISBLANK(G15),"",INDEX(DATA_AGITO_BUILDING_25,G15+ 1, 2))</f>
        <v/>
      </c>
      <c r="F27" s="741"/>
      <c r="G27" s="737"/>
      <c r="I27" s="1120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7"/>
      <c r="S27" s="607"/>
      <c r="T27" s="733"/>
      <c r="U27" s="773"/>
      <c r="V27" s="774"/>
      <c r="W27" s="775"/>
      <c r="X27" s="646"/>
    </row>
    <row r="28" spans="2:24" ht="29.25" hidden="1" customHeight="1" x14ac:dyDescent="0.25">
      <c r="B28" s="722"/>
      <c r="C28" s="736"/>
      <c r="D28" s="737"/>
      <c r="E28" s="737"/>
      <c r="F28" s="741"/>
      <c r="G28" s="737"/>
      <c r="I28" s="1120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7"/>
      <c r="S28" s="607"/>
      <c r="T28" s="733"/>
      <c r="U28" s="773"/>
      <c r="V28" s="774"/>
      <c r="W28" s="775"/>
      <c r="X28" s="646"/>
    </row>
    <row r="29" spans="2:24" s="715" customFormat="1" ht="29.25" hidden="1" customHeight="1" x14ac:dyDescent="0.25">
      <c r="B29" s="722"/>
      <c r="C29" s="736"/>
      <c r="D29" s="737"/>
      <c r="E29" s="737"/>
      <c r="F29" s="741"/>
      <c r="G29" s="737"/>
      <c r="I29" s="1120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7"/>
      <c r="S29" s="607"/>
      <c r="T29" s="733"/>
      <c r="U29" s="773"/>
      <c r="V29" s="774"/>
      <c r="W29" s="775"/>
      <c r="X29" s="646"/>
    </row>
    <row r="30" spans="2:24" ht="18.95" customHeight="1" x14ac:dyDescent="0.25">
      <c r="B30" s="1034" t="s">
        <v>322</v>
      </c>
      <c r="C30" s="1089">
        <f>IF(ISBLANK(G7),"",INDEX(DATA_AGITO_BUILDING_25,G7+ 1, 3))</f>
        <v>0</v>
      </c>
      <c r="D30" s="1089"/>
      <c r="E30" s="1089">
        <f>IF(ISBLANK(G7),"",INDEX(DATA_AGITO_BUILDING_25,G7+ 1, 4))</f>
        <v>0</v>
      </c>
      <c r="F30" s="1090"/>
      <c r="G30" s="739"/>
      <c r="I30" s="1120"/>
      <c r="J30" s="1106">
        <v>614</v>
      </c>
      <c r="K30" s="1102">
        <v>614</v>
      </c>
      <c r="L30" s="1102">
        <v>614</v>
      </c>
      <c r="M30" s="1102">
        <v>614</v>
      </c>
      <c r="N30" s="1102">
        <v>614</v>
      </c>
      <c r="O30" s="1102">
        <v>614</v>
      </c>
      <c r="P30" s="1102">
        <v>614</v>
      </c>
      <c r="Q30" s="1102">
        <v>614</v>
      </c>
      <c r="R30" s="747" cm="1">
        <f t="array" ref="R30">IF(ISBLANK(C7),"",(SUM(J33:Q33) + C7) / AGITO_WEAPON_MUB_614_SILVER)</f>
        <v>20.864999999999998</v>
      </c>
      <c r="S30" s="593" cm="1">
        <f t="array" ref="S30">IF(ISBLANK(C7),"",-(F7 * AGITO_WEAPON_MUB_614_SILVER - SUM(J33:Q33) - C7))</f>
        <v>2573</v>
      </c>
      <c r="T30" s="733" t="s">
        <v>65</v>
      </c>
      <c r="U30" s="773" t="str">
        <f>IF(AND(S30&lt;0,K7&gt;0), _xlfn.CEILING.MATH(-S30/L7),"")</f>
        <v/>
      </c>
      <c r="V30" s="774" t="str">
        <f>IF(AND(S30&lt;0,M7&gt;0), _xlfn.CEILING.MATH(-S30/N7),"")</f>
        <v/>
      </c>
      <c r="W30" s="775" t="s">
        <v>131</v>
      </c>
      <c r="X30" s="646">
        <f>IFERROR((-F7 * AGITO_WEAPON_MUB_614_SILVER - S30)/(-F7 * AGITO_WEAPON_MUB_614_SILVER),"")</f>
        <v>2.6081249999999998</v>
      </c>
    </row>
    <row r="31" spans="2:24" ht="18.95" customHeight="1" x14ac:dyDescent="0.25">
      <c r="B31" s="1034"/>
      <c r="C31" s="1089"/>
      <c r="D31" s="1089"/>
      <c r="E31" s="1089"/>
      <c r="F31" s="1090"/>
      <c r="G31" s="739"/>
      <c r="I31" s="1120"/>
      <c r="J31" s="1106"/>
      <c r="K31" s="1102"/>
      <c r="L31" s="1102"/>
      <c r="M31" s="1102"/>
      <c r="N31" s="1102"/>
      <c r="O31" s="1102"/>
      <c r="P31" s="1102"/>
      <c r="Q31" s="1102"/>
      <c r="R31" s="747" cm="1">
        <f t="array" ref="R31">IF(ISBLANK(D7),"",(SUM(J34:Q34) + D7) / AGITO_WEAPON_MUB_614_GOLD)</f>
        <v>23.073333333333334</v>
      </c>
      <c r="S31" s="593" cm="1">
        <f t="array" ref="S31">IF(ISBLANK(D7),"",-(F7 * AGITO_WEAPON_MUB_614_GOLD - SUM(J34:Q34) - D7))</f>
        <v>2261</v>
      </c>
      <c r="T31" s="733" t="s">
        <v>64</v>
      </c>
      <c r="U31" s="773" t="s">
        <v>131</v>
      </c>
      <c r="V31" s="774" t="str">
        <f>IF(AND(S31&lt;0,M7&gt;0), _xlfn.CEILING.MATH(-S31/O7),"")</f>
        <v/>
      </c>
      <c r="W31" s="775" t="str">
        <f>IF(AND(S31&lt;0,P7&gt;0), _xlfn.CEILING.MATH(-S31/Q7),"")</f>
        <v/>
      </c>
      <c r="X31" s="646">
        <f>IFERROR((-F7 * AGITO_WEAPON_MUB_614_GOLD - S31)/(-F7 * AGITO_WEAPON_MUB_614_GOLD),"")</f>
        <v>2.8841666666666668</v>
      </c>
    </row>
    <row r="32" spans="2:24" s="715" customFormat="1" ht="18.95" customHeight="1" x14ac:dyDescent="0.25">
      <c r="B32" s="1034"/>
      <c r="C32" s="1089"/>
      <c r="D32" s="1089"/>
      <c r="E32" s="1089"/>
      <c r="F32" s="1090"/>
      <c r="G32" s="739"/>
      <c r="I32" s="1120"/>
      <c r="J32" s="1106"/>
      <c r="K32" s="1102"/>
      <c r="L32" s="1102"/>
      <c r="M32" s="1102"/>
      <c r="N32" s="1102"/>
      <c r="O32" s="1102"/>
      <c r="P32" s="1102"/>
      <c r="Q32" s="1102"/>
      <c r="R32" s="747" t="str" cm="1">
        <f t="array" ref="R32">IF(ISBLANK(E7),"",(SUM(J35:Q35) + E7) / AGITO_WEAPON_MUB_614_POT)</f>
        <v/>
      </c>
      <c r="S32" s="593" t="str" cm="1">
        <f t="array" ref="S32">IF(ISBLANK(E7),"",-(F7 * AGITO_WEAPON_MUB_614_POT - SUM(J35:Q35) - E7))</f>
        <v/>
      </c>
      <c r="T32" s="733" t="s">
        <v>448</v>
      </c>
      <c r="U32" s="773" t="s">
        <v>131</v>
      </c>
      <c r="V32" s="774" t="s">
        <v>131</v>
      </c>
      <c r="W32" s="775" t="str">
        <f>IF(AND(S32&lt;0,P7&gt;0), _xlfn.CEILING.MATH(-S32/R7),"")</f>
        <v/>
      </c>
      <c r="X32" s="646" t="str">
        <f>IFERROR((-F7 * AGITO_WEAPON_MUB_614_POT - S32)/(-F7 * AGITO_WEAPON_MUB_614_POT),"")</f>
        <v/>
      </c>
    </row>
    <row r="33" spans="2:24" ht="30.75" hidden="1" customHeight="1" x14ac:dyDescent="0.25">
      <c r="B33" s="721"/>
      <c r="C33" s="736" t="str">
        <f>IF(ISBLANK(G21),"",INDEX(DATA_AGITO_BUILDING_25,G21+ 1, 1))</f>
        <v/>
      </c>
      <c r="D33" s="737"/>
      <c r="E33" s="737" t="str">
        <f>IF(ISBLANK(G21),"",INDEX(DATA_AGITO_BUILDING_25,G21+ 1, 2))</f>
        <v/>
      </c>
      <c r="F33" s="741"/>
      <c r="G33" s="737"/>
      <c r="I33" s="1120"/>
      <c r="J33" s="657">
        <f>_xlfn.IFNA(VLOOKUP(J30,DATA_AGITO_WEAPON,2,FALSE), 0)</f>
        <v>200</v>
      </c>
      <c r="K33" s="658">
        <f>_xlfn.IFNA(VLOOKUP(K30,DATA_AGITO_WEAPON,2,FALSE), 0)</f>
        <v>200</v>
      </c>
      <c r="L33" s="658">
        <f>_xlfn.IFNA(VLOOKUP(L30,DATA_AGITO_WEAPON,2,FALSE), 0)</f>
        <v>200</v>
      </c>
      <c r="M33" s="658">
        <f>_xlfn.IFNA(VLOOKUP(M30,DATA_AGITO_WEAPON,2,FALSE), 0)</f>
        <v>200</v>
      </c>
      <c r="N33" s="658">
        <f>_xlfn.IFNA(VLOOKUP(N30,DATA_AGITO_WEAPON,2,FALSE), 0)</f>
        <v>200</v>
      </c>
      <c r="O33" s="658">
        <f>_xlfn.IFNA(VLOOKUP(O30,DATA_AGITO_WEAPON,2,FALSE), 0)</f>
        <v>200</v>
      </c>
      <c r="P33" s="658">
        <f>_xlfn.IFNA(VLOOKUP(P30,DATA_AGITO_WEAPON,2,FALSE), 0)</f>
        <v>200</v>
      </c>
      <c r="Q33" s="658">
        <f>_xlfn.IFNA(VLOOKUP(Q30,DATA_AGITO_WEAPON,2,FALSE), 0)</f>
        <v>200</v>
      </c>
      <c r="R33" s="747"/>
      <c r="S33" s="607"/>
      <c r="T33" s="733"/>
      <c r="U33" s="773"/>
      <c r="V33" s="774"/>
      <c r="W33" s="775"/>
      <c r="X33" s="646"/>
    </row>
    <row r="34" spans="2:24" ht="27.75" hidden="1" customHeight="1" x14ac:dyDescent="0.25">
      <c r="B34" s="721"/>
      <c r="C34" s="736"/>
      <c r="D34" s="737"/>
      <c r="E34" s="737"/>
      <c r="F34" s="741"/>
      <c r="G34" s="737"/>
      <c r="I34" s="1120"/>
      <c r="J34" s="657">
        <f>_xlfn.IFNA(VLOOKUP(J30,DATA_AGITO_WEAPON,3,FALSE), 0)</f>
        <v>150</v>
      </c>
      <c r="K34" s="658">
        <f>_xlfn.IFNA(VLOOKUP(K30,DATA_AGITO_WEAPON,3,FALSE), 0)</f>
        <v>150</v>
      </c>
      <c r="L34" s="658">
        <f>_xlfn.IFNA(VLOOKUP(L30,DATA_AGITO_WEAPON,3,FALSE), 0)</f>
        <v>150</v>
      </c>
      <c r="M34" s="658">
        <f>_xlfn.IFNA(VLOOKUP(M30,DATA_AGITO_WEAPON,3,FALSE), 0)</f>
        <v>150</v>
      </c>
      <c r="N34" s="658">
        <f>_xlfn.IFNA(VLOOKUP(N30,DATA_AGITO_WEAPON,3,FALSE), 0)</f>
        <v>150</v>
      </c>
      <c r="O34" s="658">
        <f>_xlfn.IFNA(VLOOKUP(O30,DATA_AGITO_WEAPON,3,FALSE), 0)</f>
        <v>150</v>
      </c>
      <c r="P34" s="658">
        <f>_xlfn.IFNA(VLOOKUP(P30,DATA_AGITO_WEAPON,3,FALSE), 0)</f>
        <v>150</v>
      </c>
      <c r="Q34" s="658">
        <f>_xlfn.IFNA(VLOOKUP(Q30,DATA_AGITO_WEAPON,3,FALSE), 0)</f>
        <v>150</v>
      </c>
      <c r="R34" s="747"/>
      <c r="S34" s="607"/>
      <c r="T34" s="733"/>
      <c r="U34" s="773"/>
      <c r="V34" s="774"/>
      <c r="W34" s="775"/>
      <c r="X34" s="646"/>
    </row>
    <row r="35" spans="2:24" s="715" customFormat="1" ht="27.75" hidden="1" customHeight="1" x14ac:dyDescent="0.25">
      <c r="B35" s="721"/>
      <c r="C35" s="736"/>
      <c r="D35" s="737"/>
      <c r="E35" s="737"/>
      <c r="F35" s="741"/>
      <c r="G35" s="737"/>
      <c r="I35" s="1120"/>
      <c r="J35" s="657">
        <f>_xlfn.IFNA(VLOOKUP(J30,DATA_AGITO_WEAPON,4,FALSE), 0)</f>
        <v>0</v>
      </c>
      <c r="K35" s="658">
        <f>_xlfn.IFNA(VLOOKUP(K30,DATA_AGITO_WEAPON,4,FALSE), 0)</f>
        <v>0</v>
      </c>
      <c r="L35" s="658">
        <f>_xlfn.IFNA(VLOOKUP(L30,DATA_AGITO_WEAPON,4,FALSE), 0)</f>
        <v>0</v>
      </c>
      <c r="M35" s="658">
        <f>_xlfn.IFNA(VLOOKUP(M30,DATA_AGITO_WEAPON,4,FALSE), 0)</f>
        <v>0</v>
      </c>
      <c r="N35" s="658">
        <f>_xlfn.IFNA(VLOOKUP(N30,DATA_AGITO_WEAPON,4,FALSE), 0)</f>
        <v>0</v>
      </c>
      <c r="O35" s="658">
        <f>_xlfn.IFNA(VLOOKUP(O30,DATA_AGITO_WEAPON,4,FALSE), 0)</f>
        <v>0</v>
      </c>
      <c r="P35" s="658">
        <f>_xlfn.IFNA(VLOOKUP(P30,DATA_AGITO_WEAPON,4,FALSE), 0)</f>
        <v>0</v>
      </c>
      <c r="Q35" s="658">
        <f>_xlfn.IFNA(VLOOKUP(Q30,DATA_AGITO_WEAPON,4,FALSE), 0)</f>
        <v>0</v>
      </c>
      <c r="R35" s="747"/>
      <c r="S35" s="607"/>
      <c r="T35" s="733"/>
      <c r="U35" s="773"/>
      <c r="V35" s="774"/>
      <c r="W35" s="775"/>
      <c r="X35" s="646"/>
    </row>
    <row r="36" spans="2:24" ht="18.95" customHeight="1" x14ac:dyDescent="0.25">
      <c r="B36" s="1091" t="s">
        <v>323</v>
      </c>
      <c r="C36" s="1085" t="str">
        <f>IF(ISBLANK(G8),"",INDEX(DATA_AGITO_BUILDING_25,G8+ 1, 3))</f>
        <v/>
      </c>
      <c r="D36" s="1085"/>
      <c r="E36" s="1085" t="str">
        <f>IF(ISBLANK(G8),"",INDEX(DATA_AGITO_BUILDING_25,G8+ 1, 4))</f>
        <v/>
      </c>
      <c r="F36" s="1086"/>
      <c r="G36" s="739"/>
      <c r="I36" s="1120"/>
      <c r="J36" s="1122"/>
      <c r="K36" s="1100"/>
      <c r="L36" s="1100"/>
      <c r="M36" s="1100"/>
      <c r="N36" s="1100"/>
      <c r="O36" s="1100"/>
      <c r="P36" s="1100"/>
      <c r="Q36" s="1100"/>
      <c r="R36" s="747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3" t="s">
        <v>65</v>
      </c>
      <c r="U36" s="773" t="str">
        <f>IF(AND(S36&lt;0,K8&gt;0), _xlfn.CEILING.MATH(-S36/L8),"")</f>
        <v/>
      </c>
      <c r="V36" s="774" t="str">
        <f>IF(AND(S36&lt;0,M8&gt;0), _xlfn.CEILING.MATH(-S36/N8),"")</f>
        <v/>
      </c>
      <c r="W36" s="775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091"/>
      <c r="C37" s="1085"/>
      <c r="D37" s="1085"/>
      <c r="E37" s="1085"/>
      <c r="F37" s="1086"/>
      <c r="G37" s="739"/>
      <c r="I37" s="1120"/>
      <c r="J37" s="1122"/>
      <c r="K37" s="1100"/>
      <c r="L37" s="1100"/>
      <c r="M37" s="1100"/>
      <c r="N37" s="1100"/>
      <c r="O37" s="1100"/>
      <c r="P37" s="1100"/>
      <c r="Q37" s="1100"/>
      <c r="R37" s="747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3" t="s">
        <v>64</v>
      </c>
      <c r="U37" s="773" t="s">
        <v>131</v>
      </c>
      <c r="V37" s="774" t="str">
        <f>IF(AND(S37&lt;0,M8&gt;0), _xlfn.CEILING.MATH(-S37/O8),"")</f>
        <v/>
      </c>
      <c r="W37" s="775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5" customFormat="1" ht="18.95" customHeight="1" x14ac:dyDescent="0.25">
      <c r="B38" s="1030"/>
      <c r="C38" s="1087"/>
      <c r="D38" s="1087"/>
      <c r="E38" s="1087"/>
      <c r="F38" s="1088"/>
      <c r="G38" s="739"/>
      <c r="I38" s="1120"/>
      <c r="J38" s="1123"/>
      <c r="K38" s="1101"/>
      <c r="L38" s="1101"/>
      <c r="M38" s="1101"/>
      <c r="N38" s="1101"/>
      <c r="O38" s="1101"/>
      <c r="P38" s="1101"/>
      <c r="Q38" s="1101"/>
      <c r="R38" s="748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4" t="s">
        <v>448</v>
      </c>
      <c r="U38" s="776" t="s">
        <v>131</v>
      </c>
      <c r="V38" s="777" t="s">
        <v>131</v>
      </c>
      <c r="W38" s="778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120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2"/>
      <c r="S39" s="731"/>
      <c r="T39" s="731"/>
      <c r="U39" s="779"/>
      <c r="V39" s="779"/>
      <c r="W39" s="779"/>
      <c r="X39" s="487"/>
    </row>
    <row r="40" spans="2:24" ht="20.25" hidden="1" customHeight="1" x14ac:dyDescent="0.25">
      <c r="I40" s="1120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2"/>
      <c r="S40" s="731"/>
      <c r="T40" s="731"/>
      <c r="U40" s="779"/>
      <c r="V40" s="779"/>
      <c r="W40" s="779"/>
      <c r="X40" s="487" t="str">
        <f>IFERROR(IF(T37=0,100%,(HDRAG_MAX_BUILDING - T37)/HDRAG_MAX_BUILDING),"")</f>
        <v/>
      </c>
    </row>
    <row r="41" spans="2:24" s="715" customFormat="1" ht="20.25" hidden="1" customHeight="1" x14ac:dyDescent="0.25">
      <c r="I41" s="1121"/>
      <c r="J41" s="720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3"/>
      <c r="S41" s="744"/>
      <c r="T41" s="744"/>
      <c r="U41" s="780"/>
      <c r="V41" s="780"/>
      <c r="W41" s="780"/>
      <c r="X41" s="489"/>
    </row>
    <row r="42" spans="2:24" x14ac:dyDescent="0.25">
      <c r="I42" s="730"/>
    </row>
    <row r="45" spans="2:24" x14ac:dyDescent="0.25">
      <c r="I45" s="659"/>
    </row>
  </sheetData>
  <mergeCells count="69"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abSelected="1" topLeftCell="A8" zoomScaleNormal="100" workbookViewId="0">
      <selection activeCell="A26" sqref="A26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34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38" t="s">
        <v>214</v>
      </c>
      <c r="C1" s="1138"/>
      <c r="D1" s="1138" t="s">
        <v>219</v>
      </c>
      <c r="E1" s="1138"/>
      <c r="F1" s="1141"/>
      <c r="G1" s="606" t="s">
        <v>212</v>
      </c>
      <c r="H1" s="1139" t="s">
        <v>214</v>
      </c>
      <c r="I1" s="1139"/>
      <c r="J1" s="1139" t="s">
        <v>219</v>
      </c>
      <c r="K1" s="1139"/>
      <c r="L1" s="1142"/>
      <c r="M1" s="633" t="s">
        <v>212</v>
      </c>
      <c r="N1" s="1071" t="s">
        <v>214</v>
      </c>
      <c r="O1" s="1071"/>
      <c r="P1" s="1071" t="s">
        <v>219</v>
      </c>
      <c r="Q1" s="1071"/>
      <c r="R1" s="1072"/>
      <c r="S1" s="605" t="s">
        <v>212</v>
      </c>
      <c r="T1" s="1140" t="s">
        <v>214</v>
      </c>
      <c r="U1" s="1140"/>
      <c r="V1" s="1140" t="s">
        <v>219</v>
      </c>
      <c r="W1" s="1140"/>
      <c r="X1" s="1075"/>
      <c r="Y1" s="732" t="s">
        <v>212</v>
      </c>
      <c r="Z1" s="1135" t="s">
        <v>214</v>
      </c>
      <c r="AA1" s="1135"/>
      <c r="AB1" s="1135" t="s">
        <v>219</v>
      </c>
      <c r="AC1" s="1135"/>
      <c r="AD1" s="1136"/>
      <c r="AF1" s="1137" t="s">
        <v>326</v>
      </c>
      <c r="AG1" s="1137" t="s">
        <v>504</v>
      </c>
      <c r="AH1" s="1137"/>
      <c r="AI1" s="1137" t="s">
        <v>505</v>
      </c>
      <c r="AJ1" s="1137"/>
      <c r="AK1" s="1137" t="s">
        <v>449</v>
      </c>
      <c r="AL1" s="1137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37"/>
      <c r="AG2" s="729" t="s">
        <v>65</v>
      </c>
      <c r="AH2" s="729" t="s">
        <v>64</v>
      </c>
      <c r="AI2" s="835" t="s">
        <v>65</v>
      </c>
      <c r="AJ2" s="835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AF3" s="603">
        <v>0</v>
      </c>
      <c r="AG3" s="715">
        <f>SUM(AK4:AK$28)</f>
        <v>825</v>
      </c>
      <c r="AH3" s="715">
        <f>SUM(AL4:AL$28)</f>
        <v>135</v>
      </c>
      <c r="AI3" s="834">
        <f>SUM(AK4:AK$18)</f>
        <v>425</v>
      </c>
      <c r="AJ3" s="834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AF4" s="603">
        <v>1</v>
      </c>
      <c r="AG4" s="715">
        <f>SUM(AK5:AK$28)</f>
        <v>815</v>
      </c>
      <c r="AH4" s="715">
        <f>SUM(AL5:AL$28)</f>
        <v>135</v>
      </c>
      <c r="AI4" s="834">
        <f>SUM(AK5:AK$18)</f>
        <v>415</v>
      </c>
      <c r="AJ4" s="834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AF5" s="603">
        <v>2</v>
      </c>
      <c r="AG5" s="715">
        <f>SUM(AK6:AK$28)</f>
        <v>805</v>
      </c>
      <c r="AH5" s="715">
        <f>SUM(AL6:AL$28)</f>
        <v>135</v>
      </c>
      <c r="AI5" s="834">
        <f>SUM(AK6:AK$18)</f>
        <v>405</v>
      </c>
      <c r="AJ5" s="834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AF6" s="603">
        <v>3</v>
      </c>
      <c r="AG6" s="715">
        <f>SUM(AK7:AK$28)</f>
        <v>785</v>
      </c>
      <c r="AH6" s="715">
        <f>SUM(AL7:AL$28)</f>
        <v>135</v>
      </c>
      <c r="AI6" s="834">
        <f>SUM(AK7:AK$18)</f>
        <v>385</v>
      </c>
      <c r="AJ6" s="834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AF7" s="603">
        <v>4</v>
      </c>
      <c r="AG7" s="715">
        <f>SUM(AK8:AK$28)</f>
        <v>765</v>
      </c>
      <c r="AH7" s="715">
        <f>SUM(AL8:AL$28)</f>
        <v>135</v>
      </c>
      <c r="AI7" s="834">
        <f>SUM(AK8:AK$18)</f>
        <v>365</v>
      </c>
      <c r="AJ7" s="834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AF8" s="603">
        <v>5</v>
      </c>
      <c r="AG8" s="715">
        <f>SUM(AK9:AK$28)</f>
        <v>735</v>
      </c>
      <c r="AH8" s="715">
        <f>SUM(AL9:AL$28)</f>
        <v>135</v>
      </c>
      <c r="AI8" s="834">
        <f>SUM(AK9:AK$18)</f>
        <v>335</v>
      </c>
      <c r="AJ8" s="834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AF9" s="603">
        <v>6</v>
      </c>
      <c r="AG9" s="715">
        <f>SUM(AK10:AK$28)</f>
        <v>705</v>
      </c>
      <c r="AH9" s="715">
        <f>SUM(AL10:AL$28)</f>
        <v>135</v>
      </c>
      <c r="AI9" s="834">
        <f>SUM(AK10:AK$18)</f>
        <v>305</v>
      </c>
      <c r="AJ9" s="834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AF10" s="603">
        <v>7</v>
      </c>
      <c r="AG10" s="715">
        <f>SUM(AK11:AK$28)</f>
        <v>675</v>
      </c>
      <c r="AH10" s="715">
        <f>SUM(AL11:AL$28)</f>
        <v>135</v>
      </c>
      <c r="AI10" s="834">
        <f>SUM(AK11:AK$18)</f>
        <v>275</v>
      </c>
      <c r="AJ10" s="834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AF11" s="603">
        <v>8</v>
      </c>
      <c r="AG11" s="715">
        <f>SUM(AK12:AK$28)</f>
        <v>645</v>
      </c>
      <c r="AH11" s="715">
        <f>SUM(AL12:AL$28)</f>
        <v>135</v>
      </c>
      <c r="AI11" s="834">
        <f>SUM(AK12:AK$18)</f>
        <v>245</v>
      </c>
      <c r="AJ11" s="834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AF12" s="603">
        <v>9</v>
      </c>
      <c r="AG12" s="715">
        <f>SUM(AK13:AK$28)</f>
        <v>615</v>
      </c>
      <c r="AH12" s="715">
        <f>SUM(AL13:AL$28)</f>
        <v>135</v>
      </c>
      <c r="AI12" s="834">
        <f>SUM(AK13:AK$18)</f>
        <v>215</v>
      </c>
      <c r="AJ12" s="834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AF13" s="603">
        <v>10</v>
      </c>
      <c r="AG13" s="715">
        <f>SUM(AK14:AK$28)</f>
        <v>580</v>
      </c>
      <c r="AH13" s="715">
        <f>SUM(AL14:AL$28)</f>
        <v>130</v>
      </c>
      <c r="AI13" s="834">
        <f>SUM(AK14:AK$18)</f>
        <v>180</v>
      </c>
      <c r="AJ13" s="834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AF14" s="603">
        <v>11</v>
      </c>
      <c r="AG14" s="715">
        <f>SUM(AK15:AK$28)</f>
        <v>545</v>
      </c>
      <c r="AH14" s="715">
        <f>SUM(AL15:AL$28)</f>
        <v>125</v>
      </c>
      <c r="AI14" s="834">
        <f>SUM(AK15:AK$18)</f>
        <v>145</v>
      </c>
      <c r="AJ14" s="834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AF15" s="603">
        <v>12</v>
      </c>
      <c r="AG15" s="715">
        <f>SUM(AK16:AK$28)</f>
        <v>510</v>
      </c>
      <c r="AH15" s="715">
        <f>SUM(AL16:AL$28)</f>
        <v>120</v>
      </c>
      <c r="AI15" s="834">
        <f>SUM(AK16:AK$18)</f>
        <v>110</v>
      </c>
      <c r="AJ15" s="834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AF16" s="603">
        <v>13</v>
      </c>
      <c r="AG16" s="715">
        <f>SUM(AK17:AK$28)</f>
        <v>475</v>
      </c>
      <c r="AH16" s="715">
        <f>SUM(AL17:AL$28)</f>
        <v>115</v>
      </c>
      <c r="AI16" s="834">
        <f>SUM(AK17:AK$18)</f>
        <v>75</v>
      </c>
      <c r="AJ16" s="834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AF17" s="603">
        <v>14</v>
      </c>
      <c r="AG17" s="715">
        <f>SUM(AK18:AK$28)</f>
        <v>440</v>
      </c>
      <c r="AH17" s="715">
        <f>SUM(AL18:AL$28)</f>
        <v>110</v>
      </c>
      <c r="AI17" s="834">
        <f>SUM(AK18:AK$18)</f>
        <v>40</v>
      </c>
      <c r="AJ17" s="834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AF18" s="603">
        <v>15</v>
      </c>
      <c r="AG18" s="715">
        <f>SUM(AK19:AK$28)</f>
        <v>400</v>
      </c>
      <c r="AH18" s="715">
        <f>SUM(AL19:AL$28)</f>
        <v>100</v>
      </c>
      <c r="AI18" s="834">
        <f>SUM(AM19:AM$28)</f>
        <v>0</v>
      </c>
      <c r="AJ18" s="834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AF19" s="715">
        <v>16</v>
      </c>
      <c r="AG19" s="715">
        <f>SUM(AK20:AK$28)</f>
        <v>360</v>
      </c>
      <c r="AH19" s="715">
        <f>SUM(AL20:AL$28)</f>
        <v>90</v>
      </c>
      <c r="AI19" s="834">
        <f>SUM(AM20:AM$28)</f>
        <v>0</v>
      </c>
      <c r="AJ19" s="834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AF20" s="715">
        <v>17</v>
      </c>
      <c r="AG20" s="715">
        <f>SUM(AK21:AK$28)</f>
        <v>320</v>
      </c>
      <c r="AH20" s="715">
        <f>SUM(AL21:AL$28)</f>
        <v>80</v>
      </c>
      <c r="AI20" s="834">
        <f>SUM(AM21:AM$28)</f>
        <v>0</v>
      </c>
      <c r="AJ20" s="834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AF21" s="715">
        <v>18</v>
      </c>
      <c r="AG21" s="715">
        <f>SUM(AK22:AK$28)</f>
        <v>280</v>
      </c>
      <c r="AH21" s="715">
        <f>SUM(AL22:AL$28)</f>
        <v>70</v>
      </c>
      <c r="AI21" s="834">
        <f>SUM(AM22:AM$28)</f>
        <v>0</v>
      </c>
      <c r="AJ21" s="834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AF22" s="715">
        <v>19</v>
      </c>
      <c r="AG22" s="715">
        <f>SUM(AK23:AK$28)</f>
        <v>240</v>
      </c>
      <c r="AH22" s="715">
        <f>SUM(AL23:AL$28)</f>
        <v>60</v>
      </c>
      <c r="AI22" s="834">
        <f>SUM(AM23:AM$28)</f>
        <v>0</v>
      </c>
      <c r="AJ22" s="834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AF23" s="715">
        <v>20</v>
      </c>
      <c r="AG23" s="715">
        <f>SUM(AK24:AK$28)</f>
        <v>200</v>
      </c>
      <c r="AH23" s="715">
        <f>SUM(AL24:AL$28)</f>
        <v>50</v>
      </c>
      <c r="AI23" s="834">
        <f>SUM(AM24:AM$28)</f>
        <v>0</v>
      </c>
      <c r="AJ23" s="834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AF24" s="715">
        <v>21</v>
      </c>
      <c r="AG24" s="715">
        <f>SUM(AK25:AK$28)</f>
        <v>160</v>
      </c>
      <c r="AH24" s="715">
        <f>SUM(AL25:AL$28)</f>
        <v>40</v>
      </c>
      <c r="AI24" s="834">
        <f>SUM(AM25:AM$28)</f>
        <v>0</v>
      </c>
      <c r="AJ24" s="834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AF25" s="715">
        <v>22</v>
      </c>
      <c r="AG25" s="715">
        <f>SUM(AK26:AK$28)</f>
        <v>120</v>
      </c>
      <c r="AH25" s="715">
        <f>SUM(AL26:AL$28)</f>
        <v>30</v>
      </c>
      <c r="AI25" s="834">
        <f>SUM(AM26:AM$28)</f>
        <v>0</v>
      </c>
      <c r="AJ25" s="834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AF26" s="715">
        <v>23</v>
      </c>
      <c r="AG26" s="715">
        <f>SUM(AK27:AK$28)</f>
        <v>80</v>
      </c>
      <c r="AH26" s="715">
        <f>SUM(AL27:AL$28)</f>
        <v>20</v>
      </c>
      <c r="AI26" s="834">
        <f>SUM(AM27:AM$28)</f>
        <v>0</v>
      </c>
      <c r="AJ26" s="834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AF27" s="715">
        <v>24</v>
      </c>
      <c r="AG27" s="715">
        <f>SUM(AK28:AK$28)</f>
        <v>40</v>
      </c>
      <c r="AH27" s="715">
        <f>SUM(AL28:AL$28)</f>
        <v>10</v>
      </c>
      <c r="AI27" s="834">
        <f>SUM(AM28:AM$28)</f>
        <v>0</v>
      </c>
      <c r="AJ27" s="834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AF28" s="715">
        <v>25</v>
      </c>
      <c r="AG28" s="715">
        <v>0</v>
      </c>
      <c r="AH28" s="715">
        <v>0</v>
      </c>
      <c r="AI28" s="834">
        <v>0</v>
      </c>
      <c r="AJ28" s="834">
        <v>0</v>
      </c>
      <c r="AK28" s="715">
        <v>40</v>
      </c>
      <c r="AL28" s="715">
        <v>10</v>
      </c>
    </row>
    <row r="29" spans="1:43" x14ac:dyDescent="0.25"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AM29" s="602"/>
      <c r="AN29" s="602"/>
    </row>
    <row r="30" spans="1:43" x14ac:dyDescent="0.25"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AF30" s="602"/>
      <c r="AG30" s="602"/>
      <c r="AH30" s="602"/>
      <c r="AL30" s="602"/>
      <c r="AM30" s="602"/>
      <c r="AN30" s="602"/>
    </row>
    <row r="31" spans="1:43" x14ac:dyDescent="0.25"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AF31" s="602"/>
      <c r="AG31" s="602"/>
      <c r="AH31" s="602"/>
      <c r="AL31" s="602"/>
      <c r="AM31" s="602"/>
      <c r="AN31" s="602"/>
    </row>
    <row r="32" spans="1:43" x14ac:dyDescent="0.25"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AF32" s="602"/>
      <c r="AG32" s="602"/>
      <c r="AH32" s="602"/>
      <c r="AL32" s="602"/>
      <c r="AM32" s="602"/>
      <c r="AN32" s="602"/>
    </row>
    <row r="33" spans="2:40" x14ac:dyDescent="0.25"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AF33" s="602"/>
      <c r="AG33" s="602"/>
      <c r="AH33" s="602"/>
      <c r="AL33" s="602"/>
      <c r="AM33" s="602"/>
      <c r="AN33" s="602"/>
    </row>
    <row r="34" spans="2:40" x14ac:dyDescent="0.25"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AF34" s="602"/>
      <c r="AG34" s="602"/>
      <c r="AH34" s="602"/>
      <c r="AL34" s="602"/>
      <c r="AM34" s="602"/>
      <c r="AN34" s="602"/>
    </row>
    <row r="35" spans="2:40" x14ac:dyDescent="0.25"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AF35" s="602"/>
      <c r="AG35" s="602"/>
      <c r="AH35" s="602"/>
      <c r="AL35" s="602"/>
      <c r="AM35" s="602"/>
      <c r="AN35" s="602"/>
    </row>
    <row r="36" spans="2:40" x14ac:dyDescent="0.25"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AF36" s="602"/>
      <c r="AG36" s="602"/>
      <c r="AH36" s="602"/>
      <c r="AL36" s="602"/>
      <c r="AM36" s="602"/>
      <c r="AN36" s="602"/>
    </row>
    <row r="37" spans="2:40" x14ac:dyDescent="0.25"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AF37" s="602"/>
      <c r="AG37" s="602"/>
      <c r="AH37" s="602"/>
      <c r="AL37" s="602"/>
      <c r="AM37" s="602"/>
      <c r="AN37" s="602"/>
    </row>
    <row r="38" spans="2:40" x14ac:dyDescent="0.25"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AF38" s="602"/>
      <c r="AG38" s="602"/>
      <c r="AH38" s="602"/>
      <c r="AL38" s="602"/>
      <c r="AM38" s="602"/>
      <c r="AN38" s="602"/>
    </row>
    <row r="39" spans="2:40" x14ac:dyDescent="0.25"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AF39" s="602"/>
      <c r="AG39" s="602"/>
      <c r="AH39" s="602"/>
      <c r="AL39" s="602"/>
      <c r="AM39" s="602"/>
      <c r="AN39" s="602"/>
    </row>
    <row r="40" spans="2:40" x14ac:dyDescent="0.25"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AF40" s="602"/>
      <c r="AG40" s="602"/>
      <c r="AH40" s="602"/>
      <c r="AL40" s="602"/>
      <c r="AM40" s="602"/>
      <c r="AN40" s="602"/>
    </row>
    <row r="41" spans="2:40" x14ac:dyDescent="0.25"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AF41" s="602"/>
      <c r="AG41" s="602"/>
      <c r="AH41" s="602"/>
      <c r="AL41" s="602"/>
      <c r="AM41" s="602"/>
      <c r="AN41" s="602"/>
    </row>
    <row r="42" spans="2:40" x14ac:dyDescent="0.25"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AF42" s="602"/>
      <c r="AG42" s="602"/>
      <c r="AH42" s="602"/>
      <c r="AL42" s="602"/>
      <c r="AM42" s="602"/>
      <c r="AN42" s="602"/>
    </row>
    <row r="43" spans="2:40" x14ac:dyDescent="0.25"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AF43" s="602"/>
      <c r="AG43" s="602"/>
      <c r="AH43" s="602"/>
      <c r="AL43" s="602"/>
      <c r="AM43" s="602"/>
      <c r="AN43" s="602"/>
    </row>
    <row r="44" spans="2:40" x14ac:dyDescent="0.25"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AF44" s="602"/>
      <c r="AG44" s="602"/>
      <c r="AH44" s="602"/>
      <c r="AL44" s="602"/>
      <c r="AM44" s="602"/>
      <c r="AN44" s="602"/>
    </row>
    <row r="45" spans="2:40" x14ac:dyDescent="0.25"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AF45" s="602"/>
      <c r="AG45" s="602"/>
      <c r="AH45" s="602"/>
      <c r="AL45" s="602"/>
      <c r="AM45" s="602"/>
      <c r="AN45" s="602"/>
    </row>
    <row r="46" spans="2:40" x14ac:dyDescent="0.25"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AF46" s="602"/>
      <c r="AG46" s="602"/>
      <c r="AH46" s="602"/>
      <c r="AL46" s="602"/>
    </row>
    <row r="47" spans="2:40" x14ac:dyDescent="0.25"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2:40" x14ac:dyDescent="0.25"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7:21" x14ac:dyDescent="0.25"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7:21" x14ac:dyDescent="0.25"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7:21" x14ac:dyDescent="0.25"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7:21" x14ac:dyDescent="0.25"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7:21" x14ac:dyDescent="0.25"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7:21" x14ac:dyDescent="0.25"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7:21" x14ac:dyDescent="0.25"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7:21" x14ac:dyDescent="0.25"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7:21" x14ac:dyDescent="0.25"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7:21" x14ac:dyDescent="0.25"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7:21" x14ac:dyDescent="0.25"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7:21" x14ac:dyDescent="0.25"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7:21" x14ac:dyDescent="0.25"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7:21" x14ac:dyDescent="0.25"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7:21" x14ac:dyDescent="0.25"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7:21" x14ac:dyDescent="0.25"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7:21" x14ac:dyDescent="0.25"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7:21" x14ac:dyDescent="0.25"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7:21" x14ac:dyDescent="0.25"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7:21" x14ac:dyDescent="0.25"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7:21" x14ac:dyDescent="0.25"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7:21" x14ac:dyDescent="0.25"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7:21" x14ac:dyDescent="0.25"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7:21" x14ac:dyDescent="0.25"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7:21" x14ac:dyDescent="0.25"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7:21" x14ac:dyDescent="0.25"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7:21" x14ac:dyDescent="0.25"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7:21" x14ac:dyDescent="0.25"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7:21" x14ac:dyDescent="0.25"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7:21" x14ac:dyDescent="0.25"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7:21" x14ac:dyDescent="0.25"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7:21" x14ac:dyDescent="0.25"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7:21" x14ac:dyDescent="0.25"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7:21" x14ac:dyDescent="0.25"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7:21" x14ac:dyDescent="0.25"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7:21" x14ac:dyDescent="0.25"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7:21" x14ac:dyDescent="0.25"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7:21" x14ac:dyDescent="0.25"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7:21" x14ac:dyDescent="0.25"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7:21" x14ac:dyDescent="0.25"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7:21" x14ac:dyDescent="0.25"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7:21" x14ac:dyDescent="0.25"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7:21" x14ac:dyDescent="0.25"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7:21" x14ac:dyDescent="0.25"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7:21" x14ac:dyDescent="0.25"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7:21" x14ac:dyDescent="0.25"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7:21" x14ac:dyDescent="0.25"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7:21" x14ac:dyDescent="0.25"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T96" s="295">
        <v>3</v>
      </c>
      <c r="U96" s="295">
        <v>3</v>
      </c>
    </row>
    <row r="97" spans="7:21" x14ac:dyDescent="0.25"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T97" s="295">
        <v>3</v>
      </c>
      <c r="U97" s="295">
        <v>3</v>
      </c>
    </row>
    <row r="98" spans="7:21" x14ac:dyDescent="0.25"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T98" s="295">
        <v>2</v>
      </c>
      <c r="U98" s="295">
        <v>4</v>
      </c>
    </row>
    <row r="99" spans="7:21" x14ac:dyDescent="0.25"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T99" s="295">
        <v>2</v>
      </c>
      <c r="U99" s="295">
        <v>4</v>
      </c>
    </row>
    <row r="100" spans="7:21" x14ac:dyDescent="0.25"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T100" s="295">
        <v>2</v>
      </c>
      <c r="U100" s="295">
        <v>3</v>
      </c>
    </row>
    <row r="101" spans="7:21" x14ac:dyDescent="0.25"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7:21" x14ac:dyDescent="0.25"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7:21" x14ac:dyDescent="0.25"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7:21" x14ac:dyDescent="0.25"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7:21" x14ac:dyDescent="0.25"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7:21" x14ac:dyDescent="0.25"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7:21" x14ac:dyDescent="0.25"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7:21" x14ac:dyDescent="0.25"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7:21" x14ac:dyDescent="0.25"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7:21" x14ac:dyDescent="0.25"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7:21" x14ac:dyDescent="0.25"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7:21" x14ac:dyDescent="0.25"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7:21" x14ac:dyDescent="0.25"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7:21" x14ac:dyDescent="0.25"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7:21" x14ac:dyDescent="0.25"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7:21" x14ac:dyDescent="0.25"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7:21" x14ac:dyDescent="0.25"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7:21" x14ac:dyDescent="0.25"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7:21" x14ac:dyDescent="0.25"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7:21" x14ac:dyDescent="0.25"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7:21" x14ac:dyDescent="0.25"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7:21" x14ac:dyDescent="0.25"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7:21" x14ac:dyDescent="0.25"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</row>
    <row r="124" spans="7:21" x14ac:dyDescent="0.25"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</row>
    <row r="125" spans="7:21" x14ac:dyDescent="0.25"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</row>
    <row r="126" spans="7:21" x14ac:dyDescent="0.25"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</row>
    <row r="127" spans="7:21" x14ac:dyDescent="0.25"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</row>
    <row r="128" spans="7:21" x14ac:dyDescent="0.25"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8:21" x14ac:dyDescent="0.25"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8:21" x14ac:dyDescent="0.25"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8:21" x14ac:dyDescent="0.25"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8:21" x14ac:dyDescent="0.25"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8:21" x14ac:dyDescent="0.25"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8:21" x14ac:dyDescent="0.25"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8:21" x14ac:dyDescent="0.25"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8:21" x14ac:dyDescent="0.25"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8:21" x14ac:dyDescent="0.25"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8:21" x14ac:dyDescent="0.25"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8:21" x14ac:dyDescent="0.25"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8:21" x14ac:dyDescent="0.25"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8:21" x14ac:dyDescent="0.25"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8:21" x14ac:dyDescent="0.25"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8:21" x14ac:dyDescent="0.25"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8:21" x14ac:dyDescent="0.25"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8:21" x14ac:dyDescent="0.25"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8:21" x14ac:dyDescent="0.25"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8:21" x14ac:dyDescent="0.25"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8:21" x14ac:dyDescent="0.25"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8:21" x14ac:dyDescent="0.25"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8:21" x14ac:dyDescent="0.25"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8:21" x14ac:dyDescent="0.25"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8:21" x14ac:dyDescent="0.25"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8:21" x14ac:dyDescent="0.25"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8:21" x14ac:dyDescent="0.25"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8:21" x14ac:dyDescent="0.25"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8:21" x14ac:dyDescent="0.25"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8:21" x14ac:dyDescent="0.25"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8:21" x14ac:dyDescent="0.25"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8:21" x14ac:dyDescent="0.25"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8:21" x14ac:dyDescent="0.25"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8:21" x14ac:dyDescent="0.25"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8:21" x14ac:dyDescent="0.25"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8:21" x14ac:dyDescent="0.25"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8:21" x14ac:dyDescent="0.25"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8:21" x14ac:dyDescent="0.25"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8:21" x14ac:dyDescent="0.25"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8:21" x14ac:dyDescent="0.25"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8:21" x14ac:dyDescent="0.25"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8:21" x14ac:dyDescent="0.25"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8:21" x14ac:dyDescent="0.25"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8:21" x14ac:dyDescent="0.25"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8:21" x14ac:dyDescent="0.25"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8:21" x14ac:dyDescent="0.25"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8:21" x14ac:dyDescent="0.25"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8:21" x14ac:dyDescent="0.25"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8:21" x14ac:dyDescent="0.25"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8:21" x14ac:dyDescent="0.25"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8:21" x14ac:dyDescent="0.25"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8:21" x14ac:dyDescent="0.25"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8:21" x14ac:dyDescent="0.25"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8:21" x14ac:dyDescent="0.25"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8:21" x14ac:dyDescent="0.25"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8:21" x14ac:dyDescent="0.25"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8:21" x14ac:dyDescent="0.25"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8:21" x14ac:dyDescent="0.25"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8:21" x14ac:dyDescent="0.25"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8:21" x14ac:dyDescent="0.25"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8:21" x14ac:dyDescent="0.25"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8:21" x14ac:dyDescent="0.25"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8:21" x14ac:dyDescent="0.25"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8:21" x14ac:dyDescent="0.25"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8:21" x14ac:dyDescent="0.25"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8:21" x14ac:dyDescent="0.25"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8:21" x14ac:dyDescent="0.25"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8:21" x14ac:dyDescent="0.25"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8:21" x14ac:dyDescent="0.25"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8:21" x14ac:dyDescent="0.25"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8:21" x14ac:dyDescent="0.25"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8:21" x14ac:dyDescent="0.25"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8:21" x14ac:dyDescent="0.25"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8:21" x14ac:dyDescent="0.25"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8:21" x14ac:dyDescent="0.25"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8:21" x14ac:dyDescent="0.25"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8:21" x14ac:dyDescent="0.25"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8:21" x14ac:dyDescent="0.25"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8:21" x14ac:dyDescent="0.25"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8:21" x14ac:dyDescent="0.25"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8:21" x14ac:dyDescent="0.25"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8:21" x14ac:dyDescent="0.25"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8:21" x14ac:dyDescent="0.25"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8:21" x14ac:dyDescent="0.25"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8:21" x14ac:dyDescent="0.25"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8:21" x14ac:dyDescent="0.25"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8:21" x14ac:dyDescent="0.25"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8:21" x14ac:dyDescent="0.25"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8:21" x14ac:dyDescent="0.25"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8:21" x14ac:dyDescent="0.25"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8:21" x14ac:dyDescent="0.25"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8:21" x14ac:dyDescent="0.25"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8:21" x14ac:dyDescent="0.25"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8:21" x14ac:dyDescent="0.25"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8:21" x14ac:dyDescent="0.25"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8:21" x14ac:dyDescent="0.25"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8:21" x14ac:dyDescent="0.25"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8:21" x14ac:dyDescent="0.25"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8:21" x14ac:dyDescent="0.25"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8:21" x14ac:dyDescent="0.25"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8:21" x14ac:dyDescent="0.25"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8:21" x14ac:dyDescent="0.25"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8:21" x14ac:dyDescent="0.25"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8:21" x14ac:dyDescent="0.25"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8:21" x14ac:dyDescent="0.25"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8:21" x14ac:dyDescent="0.25"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8:21" x14ac:dyDescent="0.25"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8:21" x14ac:dyDescent="0.25"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8:21" x14ac:dyDescent="0.25"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8:21" x14ac:dyDescent="0.25"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8:21" x14ac:dyDescent="0.25"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8:21" x14ac:dyDescent="0.25"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8:21" x14ac:dyDescent="0.25"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8:21" x14ac:dyDescent="0.25"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8:21" x14ac:dyDescent="0.25"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8:21" x14ac:dyDescent="0.25"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8:21" x14ac:dyDescent="0.25"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8:21" x14ac:dyDescent="0.25"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8:21" x14ac:dyDescent="0.25"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8:21" x14ac:dyDescent="0.25"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8:21" x14ac:dyDescent="0.25"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8:21" x14ac:dyDescent="0.25"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8:21" x14ac:dyDescent="0.25"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8:21" x14ac:dyDescent="0.25"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8:21" x14ac:dyDescent="0.25"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8:21" x14ac:dyDescent="0.25"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8:21" x14ac:dyDescent="0.25"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8:21" x14ac:dyDescent="0.25"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8:21" x14ac:dyDescent="0.25"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8:21" x14ac:dyDescent="0.25"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8:21" x14ac:dyDescent="0.25"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8:21" x14ac:dyDescent="0.25"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8:21" x14ac:dyDescent="0.25"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8:21" x14ac:dyDescent="0.25"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8:21" x14ac:dyDescent="0.25"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8:21" x14ac:dyDescent="0.25"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8:21" x14ac:dyDescent="0.25"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8:21" x14ac:dyDescent="0.25"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8:21" x14ac:dyDescent="0.25"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8:21" x14ac:dyDescent="0.25"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8:21" x14ac:dyDescent="0.25"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8:21" x14ac:dyDescent="0.25"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8:21" x14ac:dyDescent="0.25"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8:21" x14ac:dyDescent="0.25"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8:21" x14ac:dyDescent="0.25"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8:21" x14ac:dyDescent="0.25"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8:21" x14ac:dyDescent="0.25"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8:21" x14ac:dyDescent="0.25"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8:21" x14ac:dyDescent="0.25"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8:21" x14ac:dyDescent="0.25"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8:21" x14ac:dyDescent="0.25"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8:21" x14ac:dyDescent="0.25"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8:21" x14ac:dyDescent="0.25"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8:21" x14ac:dyDescent="0.25"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8:21" x14ac:dyDescent="0.25"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8:21" x14ac:dyDescent="0.25"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8:21" x14ac:dyDescent="0.25"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8:21" x14ac:dyDescent="0.25"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8:21" x14ac:dyDescent="0.25"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8:21" x14ac:dyDescent="0.25"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8:21" x14ac:dyDescent="0.25"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8:21" x14ac:dyDescent="0.25"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8:21" x14ac:dyDescent="0.25"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8:21" x14ac:dyDescent="0.25"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8:21" x14ac:dyDescent="0.25"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8:21" x14ac:dyDescent="0.25"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8:21" x14ac:dyDescent="0.25"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8:21" x14ac:dyDescent="0.25"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8:21" x14ac:dyDescent="0.25"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8:21" x14ac:dyDescent="0.25"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8:21" x14ac:dyDescent="0.25"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8:21" x14ac:dyDescent="0.25"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8:21" x14ac:dyDescent="0.25"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8:21" x14ac:dyDescent="0.25"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8:21" x14ac:dyDescent="0.25"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8:21" x14ac:dyDescent="0.25"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8:21" x14ac:dyDescent="0.25"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8:21" x14ac:dyDescent="0.25"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8:21" x14ac:dyDescent="0.25"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8:21" x14ac:dyDescent="0.25"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8:21" x14ac:dyDescent="0.25"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8:21" x14ac:dyDescent="0.25"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8:21" x14ac:dyDescent="0.25"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8:21" x14ac:dyDescent="0.25"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8:21" x14ac:dyDescent="0.25"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8:21" x14ac:dyDescent="0.25"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8:21" x14ac:dyDescent="0.25"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8:21" x14ac:dyDescent="0.25"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8:21" x14ac:dyDescent="0.25"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8:21" x14ac:dyDescent="0.25"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8:21" x14ac:dyDescent="0.25"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8:21" x14ac:dyDescent="0.25"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8:21" x14ac:dyDescent="0.25"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8:21" x14ac:dyDescent="0.25"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8:21" x14ac:dyDescent="0.25"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8:21" x14ac:dyDescent="0.25"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8:21" x14ac:dyDescent="0.25"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8:21" x14ac:dyDescent="0.25"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8:21" x14ac:dyDescent="0.25"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8:21" x14ac:dyDescent="0.25"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8:21" x14ac:dyDescent="0.25"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8:21" x14ac:dyDescent="0.25"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8:21" x14ac:dyDescent="0.25"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8:21" x14ac:dyDescent="0.25"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8:21" x14ac:dyDescent="0.25"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8:21" x14ac:dyDescent="0.25"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8:21" x14ac:dyDescent="0.25"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8:21" x14ac:dyDescent="0.25"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8:21" x14ac:dyDescent="0.25"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8:21" x14ac:dyDescent="0.25"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8:21" x14ac:dyDescent="0.25"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8:21" x14ac:dyDescent="0.25"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8:21" x14ac:dyDescent="0.25"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8:21" x14ac:dyDescent="0.25"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8:21" x14ac:dyDescent="0.25"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8:21" x14ac:dyDescent="0.25"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8:21" x14ac:dyDescent="0.25"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8:21" x14ac:dyDescent="0.25"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8:21" x14ac:dyDescent="0.25"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8:21" x14ac:dyDescent="0.25"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8:21" x14ac:dyDescent="0.25"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8:21" x14ac:dyDescent="0.25"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8:21" x14ac:dyDescent="0.25"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8:21" x14ac:dyDescent="0.25"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8:21" x14ac:dyDescent="0.25"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8:21" x14ac:dyDescent="0.25"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8:21" x14ac:dyDescent="0.25"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8:21" x14ac:dyDescent="0.25"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8:21" x14ac:dyDescent="0.25"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8:21" x14ac:dyDescent="0.25"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8:21" x14ac:dyDescent="0.25"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8:21" x14ac:dyDescent="0.25"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8:21" x14ac:dyDescent="0.25"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8:21" x14ac:dyDescent="0.25"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8:21" x14ac:dyDescent="0.25"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8:21" x14ac:dyDescent="0.25"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8:21" x14ac:dyDescent="0.25"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8:21" x14ac:dyDescent="0.25"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8:21" x14ac:dyDescent="0.25"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8:21" x14ac:dyDescent="0.25"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8:21" x14ac:dyDescent="0.25"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8:21" x14ac:dyDescent="0.25"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8:21" x14ac:dyDescent="0.25"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8:21" x14ac:dyDescent="0.25"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8:21" x14ac:dyDescent="0.25"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8:21" x14ac:dyDescent="0.25"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8:21" x14ac:dyDescent="0.25"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8:21" x14ac:dyDescent="0.25"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8:21" x14ac:dyDescent="0.25"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8:21" x14ac:dyDescent="0.25"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8:21" x14ac:dyDescent="0.25"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8:21" x14ac:dyDescent="0.25"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8:21" x14ac:dyDescent="0.25"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8:21" x14ac:dyDescent="0.25"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8:21" x14ac:dyDescent="0.25"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8:21" x14ac:dyDescent="0.25"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8:21" x14ac:dyDescent="0.25"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8:21" x14ac:dyDescent="0.25"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8:21" x14ac:dyDescent="0.25"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8:21" x14ac:dyDescent="0.25"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8:21" x14ac:dyDescent="0.25"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8:21" x14ac:dyDescent="0.25"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8:21" x14ac:dyDescent="0.25"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8:21" x14ac:dyDescent="0.25"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8:21" x14ac:dyDescent="0.25"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8:21" x14ac:dyDescent="0.25"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8:21" x14ac:dyDescent="0.25"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8:21" x14ac:dyDescent="0.25"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8:21" x14ac:dyDescent="0.25"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8:21" x14ac:dyDescent="0.25"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8:21" x14ac:dyDescent="0.25"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8:21" x14ac:dyDescent="0.25"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8:21" x14ac:dyDescent="0.25"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13:21" x14ac:dyDescent="0.25"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13:21" x14ac:dyDescent="0.25"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13:21" x14ac:dyDescent="0.25"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13:21" x14ac:dyDescent="0.25"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13:21" x14ac:dyDescent="0.25"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13:21" x14ac:dyDescent="0.25"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13:21" x14ac:dyDescent="0.25"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13:21" x14ac:dyDescent="0.25"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13:21" x14ac:dyDescent="0.25"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13:21" x14ac:dyDescent="0.25"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13:21" x14ac:dyDescent="0.25"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13:21" x14ac:dyDescent="0.25"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13:21" x14ac:dyDescent="0.25"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13:21" x14ac:dyDescent="0.25"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13:21" x14ac:dyDescent="0.25"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13:21" x14ac:dyDescent="0.25"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13:21" x14ac:dyDescent="0.25"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13:21" x14ac:dyDescent="0.25"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13:21" x14ac:dyDescent="0.25"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13:21" x14ac:dyDescent="0.25"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13:21" x14ac:dyDescent="0.25"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13:21" x14ac:dyDescent="0.25"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13:21" x14ac:dyDescent="0.25"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13:21" x14ac:dyDescent="0.25"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13:21" x14ac:dyDescent="0.25"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13:21" x14ac:dyDescent="0.25"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13:21" x14ac:dyDescent="0.25"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13:21" x14ac:dyDescent="0.25"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13:21" x14ac:dyDescent="0.25"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13:21" x14ac:dyDescent="0.25"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13:21" x14ac:dyDescent="0.25"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13:21" x14ac:dyDescent="0.25"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13:21" x14ac:dyDescent="0.25"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13:21" x14ac:dyDescent="0.25"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13:21" x14ac:dyDescent="0.25"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13:21" x14ac:dyDescent="0.25"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13:21" x14ac:dyDescent="0.25"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13:21" x14ac:dyDescent="0.25"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13:21" x14ac:dyDescent="0.25"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13:21" x14ac:dyDescent="0.25"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13:21" x14ac:dyDescent="0.25"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13:21" x14ac:dyDescent="0.25"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13:21" x14ac:dyDescent="0.25"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13:21" x14ac:dyDescent="0.25"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13:21" x14ac:dyDescent="0.25"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13:21" x14ac:dyDescent="0.25"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13:21" x14ac:dyDescent="0.25"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13:21" x14ac:dyDescent="0.25"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13:21" x14ac:dyDescent="0.25"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13:21" x14ac:dyDescent="0.25"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13:21" x14ac:dyDescent="0.25"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13:21" x14ac:dyDescent="0.25"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13:21" x14ac:dyDescent="0.25"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13:21" x14ac:dyDescent="0.25"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13:21" x14ac:dyDescent="0.25"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13:21" x14ac:dyDescent="0.25"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13:21" x14ac:dyDescent="0.25"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13:21" x14ac:dyDescent="0.25"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13:21" x14ac:dyDescent="0.25"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13:21" x14ac:dyDescent="0.25"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13:21" x14ac:dyDescent="0.25"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13:21" x14ac:dyDescent="0.25"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13:21" x14ac:dyDescent="0.25"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13:21" x14ac:dyDescent="0.25"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13:21" x14ac:dyDescent="0.25"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13:21" x14ac:dyDescent="0.25"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13:21" x14ac:dyDescent="0.25"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13:21" x14ac:dyDescent="0.25"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13:21" x14ac:dyDescent="0.25"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13:21" x14ac:dyDescent="0.25"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13:21" x14ac:dyDescent="0.25"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13:21" x14ac:dyDescent="0.25"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13:21" x14ac:dyDescent="0.25"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13:21" x14ac:dyDescent="0.25"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13:21" x14ac:dyDescent="0.25"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13:21" x14ac:dyDescent="0.25"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13:21" x14ac:dyDescent="0.25"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13:21" x14ac:dyDescent="0.25"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13:21" x14ac:dyDescent="0.25"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13:21" x14ac:dyDescent="0.25"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14:21" x14ac:dyDescent="0.25">
      <c r="N481" s="47">
        <v>2</v>
      </c>
      <c r="O481" s="47">
        <v>3</v>
      </c>
      <c r="T481" s="295">
        <v>2</v>
      </c>
      <c r="U481" s="295">
        <v>3</v>
      </c>
    </row>
    <row r="482" spans="14:21" x14ac:dyDescent="0.25">
      <c r="N482" s="47">
        <v>2</v>
      </c>
      <c r="O482" s="47">
        <v>4</v>
      </c>
      <c r="T482" s="295">
        <v>3</v>
      </c>
      <c r="U482" s="295">
        <v>3</v>
      </c>
    </row>
    <row r="483" spans="14:21" x14ac:dyDescent="0.25">
      <c r="N483" s="47">
        <v>2</v>
      </c>
      <c r="O483" s="47">
        <v>4</v>
      </c>
      <c r="T483" s="295">
        <v>2</v>
      </c>
      <c r="U483" s="295">
        <v>4</v>
      </c>
    </row>
    <row r="484" spans="14:21" x14ac:dyDescent="0.25">
      <c r="N484" s="47">
        <v>3</v>
      </c>
      <c r="O484" s="47">
        <v>4</v>
      </c>
      <c r="T484" s="295">
        <v>3</v>
      </c>
      <c r="U484" s="295">
        <v>3</v>
      </c>
    </row>
    <row r="485" spans="14:21" x14ac:dyDescent="0.25">
      <c r="N485" s="47">
        <v>3</v>
      </c>
      <c r="O485" s="47">
        <v>3</v>
      </c>
      <c r="T485" s="295">
        <v>2</v>
      </c>
      <c r="U485" s="295">
        <v>4</v>
      </c>
    </row>
    <row r="486" spans="14:21" x14ac:dyDescent="0.25">
      <c r="N486" s="47">
        <v>2</v>
      </c>
      <c r="O486" s="47">
        <v>3</v>
      </c>
      <c r="T486" s="295">
        <v>2</v>
      </c>
      <c r="U486" s="295">
        <v>4</v>
      </c>
    </row>
    <row r="487" spans="14:21" x14ac:dyDescent="0.25">
      <c r="N487" s="47">
        <v>4</v>
      </c>
      <c r="O487" s="47">
        <v>3</v>
      </c>
      <c r="T487" s="295">
        <v>4</v>
      </c>
      <c r="U487" s="295">
        <v>5</v>
      </c>
    </row>
    <row r="488" spans="14:21" x14ac:dyDescent="0.25">
      <c r="N488" s="47">
        <v>4</v>
      </c>
      <c r="O488" s="47">
        <v>3</v>
      </c>
      <c r="T488" s="295">
        <v>3</v>
      </c>
      <c r="U488" s="295">
        <v>3</v>
      </c>
    </row>
    <row r="489" spans="14:21" x14ac:dyDescent="0.25">
      <c r="N489" s="47">
        <v>2</v>
      </c>
      <c r="O489" s="47">
        <v>4</v>
      </c>
      <c r="T489" s="295">
        <v>2</v>
      </c>
      <c r="U489" s="295">
        <v>3</v>
      </c>
    </row>
    <row r="490" spans="14:21" x14ac:dyDescent="0.25">
      <c r="N490" s="47">
        <v>2</v>
      </c>
      <c r="O490" s="47">
        <v>3</v>
      </c>
      <c r="T490" s="295">
        <v>2</v>
      </c>
      <c r="U490" s="295">
        <v>3</v>
      </c>
    </row>
    <row r="491" spans="14:21" x14ac:dyDescent="0.25">
      <c r="N491" s="47">
        <v>2</v>
      </c>
      <c r="O491" s="47">
        <v>3</v>
      </c>
      <c r="T491" s="295">
        <v>2</v>
      </c>
      <c r="U491" s="295">
        <v>3</v>
      </c>
    </row>
    <row r="492" spans="14:21" x14ac:dyDescent="0.25">
      <c r="N492" s="47">
        <v>3</v>
      </c>
      <c r="O492" s="47">
        <v>4</v>
      </c>
      <c r="T492" s="295">
        <v>2</v>
      </c>
      <c r="U492" s="295">
        <v>3</v>
      </c>
    </row>
    <row r="493" spans="14:21" x14ac:dyDescent="0.25">
      <c r="N493" s="47">
        <v>2</v>
      </c>
      <c r="O493" s="47">
        <v>4</v>
      </c>
      <c r="T493" s="295">
        <v>2</v>
      </c>
      <c r="U493" s="295">
        <v>3</v>
      </c>
    </row>
    <row r="494" spans="14:21" x14ac:dyDescent="0.25">
      <c r="N494" s="47">
        <v>3</v>
      </c>
      <c r="O494" s="47">
        <v>3</v>
      </c>
      <c r="T494" s="295">
        <v>3</v>
      </c>
      <c r="U494" s="295">
        <v>3</v>
      </c>
    </row>
    <row r="495" spans="14:21" x14ac:dyDescent="0.25">
      <c r="N495" s="47">
        <v>2</v>
      </c>
      <c r="O495" s="47">
        <v>3</v>
      </c>
      <c r="T495" s="295">
        <v>3</v>
      </c>
      <c r="U495" s="295">
        <v>3</v>
      </c>
    </row>
    <row r="496" spans="14:21" x14ac:dyDescent="0.25">
      <c r="N496" s="47">
        <v>3</v>
      </c>
      <c r="O496" s="47">
        <v>3</v>
      </c>
      <c r="T496" s="295">
        <v>3</v>
      </c>
      <c r="U496" s="295">
        <v>5</v>
      </c>
    </row>
    <row r="497" spans="14:21" x14ac:dyDescent="0.25">
      <c r="N497" s="47">
        <v>2</v>
      </c>
      <c r="O497" s="47">
        <v>4</v>
      </c>
      <c r="T497" s="295">
        <v>3</v>
      </c>
      <c r="U497" s="295">
        <v>4</v>
      </c>
    </row>
    <row r="498" spans="14:21" x14ac:dyDescent="0.25">
      <c r="N498" s="47">
        <v>2</v>
      </c>
      <c r="O498" s="47">
        <v>3</v>
      </c>
      <c r="T498" s="295">
        <v>3</v>
      </c>
      <c r="U498" s="295">
        <v>4</v>
      </c>
    </row>
    <row r="499" spans="14:21" x14ac:dyDescent="0.25">
      <c r="N499" s="47">
        <v>2</v>
      </c>
      <c r="O499" s="47">
        <v>4</v>
      </c>
      <c r="T499" s="295">
        <v>2</v>
      </c>
      <c r="U499" s="295">
        <v>3</v>
      </c>
    </row>
    <row r="500" spans="14:21" x14ac:dyDescent="0.25">
      <c r="N500" s="47">
        <v>3</v>
      </c>
      <c r="O500" s="47">
        <v>3</v>
      </c>
      <c r="T500" s="295">
        <v>3</v>
      </c>
      <c r="U500" s="295">
        <v>3</v>
      </c>
    </row>
    <row r="501" spans="14:21" x14ac:dyDescent="0.25">
      <c r="N501" s="47">
        <v>3</v>
      </c>
      <c r="O501" s="47">
        <v>5</v>
      </c>
      <c r="T501" s="295">
        <v>2</v>
      </c>
      <c r="U501" s="295">
        <v>3</v>
      </c>
    </row>
    <row r="502" spans="14:21" x14ac:dyDescent="0.25">
      <c r="N502" s="47">
        <v>4</v>
      </c>
      <c r="O502" s="47">
        <v>3</v>
      </c>
      <c r="T502" s="295">
        <v>3</v>
      </c>
      <c r="U502" s="295">
        <v>3</v>
      </c>
    </row>
    <row r="503" spans="14:21" x14ac:dyDescent="0.25">
      <c r="N503" s="47">
        <v>2</v>
      </c>
      <c r="O503" s="47">
        <v>3</v>
      </c>
      <c r="T503" s="295">
        <v>2</v>
      </c>
      <c r="U503" s="295">
        <v>3</v>
      </c>
    </row>
    <row r="504" spans="14:21" x14ac:dyDescent="0.25">
      <c r="N504" s="47">
        <v>2</v>
      </c>
      <c r="O504" s="47">
        <v>4</v>
      </c>
      <c r="T504" s="295">
        <v>3</v>
      </c>
      <c r="U504" s="295">
        <v>3</v>
      </c>
    </row>
    <row r="505" spans="14:21" x14ac:dyDescent="0.25">
      <c r="N505" s="47">
        <v>2</v>
      </c>
      <c r="O505" s="47">
        <v>3</v>
      </c>
      <c r="T505" s="295">
        <v>4</v>
      </c>
      <c r="U505" s="295">
        <v>3</v>
      </c>
    </row>
    <row r="506" spans="14:21" x14ac:dyDescent="0.25">
      <c r="N506" s="47">
        <v>2</v>
      </c>
      <c r="O506" s="47">
        <v>3</v>
      </c>
      <c r="T506" s="295">
        <v>3</v>
      </c>
      <c r="U506" s="295">
        <v>4</v>
      </c>
    </row>
    <row r="507" spans="14:21" x14ac:dyDescent="0.25">
      <c r="N507" s="47">
        <v>4</v>
      </c>
      <c r="O507" s="47">
        <v>3</v>
      </c>
      <c r="T507" s="295">
        <v>3</v>
      </c>
      <c r="U507" s="295">
        <v>4</v>
      </c>
    </row>
    <row r="508" spans="14:21" x14ac:dyDescent="0.25">
      <c r="N508" s="47">
        <v>2</v>
      </c>
      <c r="O508" s="47">
        <v>3</v>
      </c>
      <c r="T508" s="295">
        <v>2</v>
      </c>
      <c r="U508" s="295">
        <v>4</v>
      </c>
    </row>
    <row r="509" spans="14:21" x14ac:dyDescent="0.25">
      <c r="N509" s="47">
        <v>2</v>
      </c>
      <c r="O509" s="47">
        <v>3</v>
      </c>
      <c r="T509" s="295">
        <v>2</v>
      </c>
      <c r="U509" s="295">
        <v>3</v>
      </c>
    </row>
    <row r="510" spans="14:21" x14ac:dyDescent="0.25">
      <c r="N510" s="47">
        <v>3</v>
      </c>
      <c r="O510" s="47">
        <v>3</v>
      </c>
      <c r="T510" s="295">
        <v>2</v>
      </c>
      <c r="U510" s="295">
        <v>3</v>
      </c>
    </row>
    <row r="511" spans="14:21" x14ac:dyDescent="0.25">
      <c r="N511" s="47">
        <v>3</v>
      </c>
      <c r="O511" s="47">
        <v>3</v>
      </c>
      <c r="T511" s="295">
        <v>3</v>
      </c>
      <c r="U511" s="295">
        <v>4</v>
      </c>
    </row>
    <row r="512" spans="14:21" x14ac:dyDescent="0.25">
      <c r="N512" s="47">
        <v>3</v>
      </c>
      <c r="O512" s="47">
        <v>4</v>
      </c>
      <c r="T512" s="295">
        <v>3</v>
      </c>
      <c r="U512" s="295">
        <v>4</v>
      </c>
    </row>
    <row r="513" spans="14:21" x14ac:dyDescent="0.25">
      <c r="N513" s="47">
        <v>3</v>
      </c>
      <c r="O513" s="47">
        <v>3</v>
      </c>
      <c r="T513" s="295">
        <v>2</v>
      </c>
      <c r="U513" s="295">
        <v>3</v>
      </c>
    </row>
    <row r="514" spans="14:21" x14ac:dyDescent="0.25">
      <c r="N514" s="47">
        <v>2</v>
      </c>
      <c r="O514" s="47">
        <v>4</v>
      </c>
      <c r="T514" s="295">
        <v>4</v>
      </c>
      <c r="U514" s="295">
        <v>5</v>
      </c>
    </row>
    <row r="515" spans="14:21" x14ac:dyDescent="0.25">
      <c r="N515" s="47">
        <v>2</v>
      </c>
      <c r="O515" s="47">
        <v>4</v>
      </c>
      <c r="T515" s="295">
        <v>3</v>
      </c>
      <c r="U515" s="295">
        <v>5</v>
      </c>
    </row>
    <row r="516" spans="14:21" x14ac:dyDescent="0.25">
      <c r="N516" s="47">
        <v>3</v>
      </c>
      <c r="O516" s="47">
        <v>3</v>
      </c>
      <c r="T516" s="295">
        <v>3</v>
      </c>
      <c r="U516" s="295">
        <v>3</v>
      </c>
    </row>
    <row r="517" spans="14:21" x14ac:dyDescent="0.25">
      <c r="N517" s="47">
        <v>3</v>
      </c>
      <c r="O517" s="47">
        <v>4</v>
      </c>
      <c r="T517" s="295">
        <v>4</v>
      </c>
      <c r="U517" s="295">
        <v>3</v>
      </c>
    </row>
    <row r="518" spans="14:21" x14ac:dyDescent="0.25">
      <c r="N518" s="47">
        <v>2</v>
      </c>
      <c r="O518" s="47">
        <v>5</v>
      </c>
      <c r="T518" s="295">
        <v>3</v>
      </c>
      <c r="U518" s="295">
        <v>3</v>
      </c>
    </row>
    <row r="519" spans="14:21" x14ac:dyDescent="0.25">
      <c r="N519" s="47">
        <v>2</v>
      </c>
      <c r="O519" s="47">
        <v>4</v>
      </c>
      <c r="T519" s="295">
        <v>4</v>
      </c>
      <c r="U519" s="295">
        <v>3</v>
      </c>
    </row>
    <row r="520" spans="14:21" x14ac:dyDescent="0.25">
      <c r="N520" s="47">
        <v>3</v>
      </c>
      <c r="O520" s="47">
        <v>5</v>
      </c>
      <c r="T520" s="295">
        <v>2</v>
      </c>
      <c r="U520" s="295">
        <v>3</v>
      </c>
    </row>
    <row r="521" spans="14:21" x14ac:dyDescent="0.25">
      <c r="N521" s="47">
        <v>3</v>
      </c>
      <c r="O521" s="47">
        <v>3</v>
      </c>
      <c r="T521" s="295">
        <v>2</v>
      </c>
      <c r="U521" s="295">
        <v>3</v>
      </c>
    </row>
    <row r="522" spans="14:21" x14ac:dyDescent="0.25">
      <c r="N522" s="47">
        <v>3</v>
      </c>
      <c r="O522" s="47">
        <v>4</v>
      </c>
      <c r="T522" s="295">
        <v>2</v>
      </c>
      <c r="U522" s="295">
        <v>3</v>
      </c>
    </row>
    <row r="523" spans="14:21" x14ac:dyDescent="0.25">
      <c r="N523" s="47">
        <v>3</v>
      </c>
      <c r="O523" s="47">
        <v>3</v>
      </c>
      <c r="T523" s="295">
        <v>3</v>
      </c>
      <c r="U523" s="295">
        <v>4</v>
      </c>
    </row>
    <row r="524" spans="14:21" x14ac:dyDescent="0.25">
      <c r="N524" s="47">
        <v>4</v>
      </c>
      <c r="O524" s="47">
        <v>3</v>
      </c>
      <c r="T524" s="295">
        <v>3</v>
      </c>
      <c r="U524" s="295">
        <v>3</v>
      </c>
    </row>
    <row r="525" spans="14:21" x14ac:dyDescent="0.25">
      <c r="N525" s="47">
        <v>2</v>
      </c>
      <c r="O525" s="47">
        <v>3</v>
      </c>
      <c r="T525" s="295">
        <v>2</v>
      </c>
      <c r="U525" s="295">
        <v>4</v>
      </c>
    </row>
    <row r="526" spans="14:21" x14ac:dyDescent="0.25">
      <c r="N526" s="47">
        <v>2</v>
      </c>
      <c r="O526" s="47">
        <v>4</v>
      </c>
      <c r="T526" s="295">
        <v>4</v>
      </c>
      <c r="U526" s="295">
        <v>3</v>
      </c>
    </row>
    <row r="527" spans="14:21" x14ac:dyDescent="0.25">
      <c r="N527" s="47">
        <v>2</v>
      </c>
      <c r="O527" s="47">
        <v>4</v>
      </c>
      <c r="T527" s="295">
        <v>3</v>
      </c>
      <c r="U527" s="295">
        <v>4</v>
      </c>
    </row>
    <row r="528" spans="14:21" x14ac:dyDescent="0.25">
      <c r="N528" s="47">
        <v>3</v>
      </c>
      <c r="O528" s="47">
        <v>3</v>
      </c>
      <c r="T528" s="295">
        <v>2</v>
      </c>
      <c r="U528" s="295">
        <v>3</v>
      </c>
    </row>
    <row r="529" spans="14:21" x14ac:dyDescent="0.25">
      <c r="N529" s="47">
        <v>2</v>
      </c>
      <c r="O529" s="47">
        <v>3</v>
      </c>
      <c r="T529" s="295">
        <v>3</v>
      </c>
      <c r="U529" s="295">
        <v>3</v>
      </c>
    </row>
    <row r="530" spans="14:21" x14ac:dyDescent="0.25">
      <c r="N530" s="47">
        <v>2</v>
      </c>
      <c r="O530" s="47">
        <v>3</v>
      </c>
      <c r="T530" s="295">
        <v>3</v>
      </c>
      <c r="U530" s="295">
        <v>4</v>
      </c>
    </row>
    <row r="531" spans="14:21" x14ac:dyDescent="0.25">
      <c r="N531" s="47">
        <v>2</v>
      </c>
      <c r="O531" s="47">
        <v>3</v>
      </c>
      <c r="T531" s="295">
        <v>3</v>
      </c>
      <c r="U531" s="295">
        <v>3</v>
      </c>
    </row>
    <row r="532" spans="14:21" x14ac:dyDescent="0.25">
      <c r="N532" s="47">
        <v>2</v>
      </c>
      <c r="O532" s="47">
        <v>3</v>
      </c>
      <c r="T532" s="295">
        <v>2</v>
      </c>
      <c r="U532" s="295">
        <v>4</v>
      </c>
    </row>
    <row r="533" spans="14:21" x14ac:dyDescent="0.25">
      <c r="N533" s="47">
        <v>2</v>
      </c>
      <c r="O533" s="47">
        <v>3</v>
      </c>
      <c r="T533" s="295">
        <v>2</v>
      </c>
      <c r="U533" s="295">
        <v>3</v>
      </c>
    </row>
    <row r="534" spans="14:21" x14ac:dyDescent="0.25">
      <c r="N534" s="47">
        <v>3</v>
      </c>
      <c r="O534" s="47">
        <v>4</v>
      </c>
      <c r="T534" s="295">
        <v>2</v>
      </c>
      <c r="U534" s="295">
        <v>4</v>
      </c>
    </row>
    <row r="535" spans="14:21" x14ac:dyDescent="0.25">
      <c r="N535" s="47">
        <v>3</v>
      </c>
      <c r="O535" s="47">
        <v>3</v>
      </c>
      <c r="T535" s="295">
        <v>2</v>
      </c>
      <c r="U535" s="295">
        <v>5</v>
      </c>
    </row>
    <row r="536" spans="14:21" x14ac:dyDescent="0.25">
      <c r="N536" s="47">
        <v>2</v>
      </c>
      <c r="O536" s="47">
        <v>3</v>
      </c>
      <c r="T536" s="295">
        <v>2</v>
      </c>
      <c r="U536" s="295">
        <v>3</v>
      </c>
    </row>
    <row r="537" spans="14:21" x14ac:dyDescent="0.25">
      <c r="N537" s="47">
        <v>4</v>
      </c>
      <c r="O537" s="47">
        <v>3</v>
      </c>
      <c r="T537" s="295">
        <v>2</v>
      </c>
      <c r="U537" s="295">
        <v>4</v>
      </c>
    </row>
    <row r="538" spans="14:21" x14ac:dyDescent="0.25">
      <c r="N538" s="47">
        <v>2</v>
      </c>
      <c r="O538" s="47">
        <v>3</v>
      </c>
      <c r="T538" s="295">
        <v>2</v>
      </c>
      <c r="U538" s="295">
        <v>3</v>
      </c>
    </row>
    <row r="539" spans="14:21" x14ac:dyDescent="0.25">
      <c r="N539" s="47">
        <v>2</v>
      </c>
      <c r="O539" s="47">
        <v>5</v>
      </c>
      <c r="T539" s="295">
        <v>2</v>
      </c>
      <c r="U539" s="295">
        <v>3</v>
      </c>
    </row>
    <row r="540" spans="14:21" x14ac:dyDescent="0.25">
      <c r="N540" s="47">
        <v>2</v>
      </c>
      <c r="O540" s="47">
        <v>4</v>
      </c>
      <c r="T540" s="295">
        <v>2</v>
      </c>
      <c r="U540" s="295">
        <v>3</v>
      </c>
    </row>
    <row r="541" spans="14:21" x14ac:dyDescent="0.25">
      <c r="N541" s="47">
        <v>3</v>
      </c>
      <c r="O541" s="47">
        <v>4</v>
      </c>
      <c r="T541" s="295">
        <v>2</v>
      </c>
      <c r="U541" s="295">
        <v>3</v>
      </c>
    </row>
    <row r="542" spans="14:21" x14ac:dyDescent="0.25">
      <c r="N542" s="47">
        <v>4</v>
      </c>
      <c r="O542" s="47">
        <v>3</v>
      </c>
      <c r="T542" s="295">
        <v>3</v>
      </c>
      <c r="U542" s="295">
        <v>5</v>
      </c>
    </row>
    <row r="543" spans="14:21" x14ac:dyDescent="0.25">
      <c r="N543" s="47">
        <v>4</v>
      </c>
      <c r="O543" s="47">
        <v>4</v>
      </c>
      <c r="T543" s="295">
        <v>2</v>
      </c>
      <c r="U543" s="295">
        <v>3</v>
      </c>
    </row>
    <row r="544" spans="14:21" x14ac:dyDescent="0.25">
      <c r="N544" s="47">
        <v>2</v>
      </c>
      <c r="O544" s="47">
        <v>3</v>
      </c>
      <c r="T544" s="295">
        <v>2</v>
      </c>
      <c r="U544" s="295">
        <v>4</v>
      </c>
    </row>
    <row r="545" spans="14:21" x14ac:dyDescent="0.25">
      <c r="N545" s="47">
        <v>4</v>
      </c>
      <c r="O545" s="47">
        <v>4</v>
      </c>
      <c r="T545" s="295">
        <v>2</v>
      </c>
      <c r="U545" s="295">
        <v>3</v>
      </c>
    </row>
    <row r="546" spans="14:21" x14ac:dyDescent="0.25">
      <c r="N546" s="47">
        <v>3</v>
      </c>
      <c r="O546" s="47">
        <v>3</v>
      </c>
      <c r="T546" s="295">
        <v>3</v>
      </c>
      <c r="U546" s="295">
        <v>3</v>
      </c>
    </row>
    <row r="547" spans="14:21" x14ac:dyDescent="0.25">
      <c r="N547" s="47">
        <v>2</v>
      </c>
      <c r="O547" s="47">
        <v>3</v>
      </c>
      <c r="T547" s="295">
        <v>3</v>
      </c>
      <c r="U547" s="295">
        <v>5</v>
      </c>
    </row>
    <row r="548" spans="14:21" x14ac:dyDescent="0.25">
      <c r="N548" s="47">
        <v>2</v>
      </c>
      <c r="O548" s="47">
        <v>5</v>
      </c>
      <c r="T548" s="295">
        <v>2</v>
      </c>
      <c r="U548" s="295">
        <v>4</v>
      </c>
    </row>
    <row r="549" spans="14:21" x14ac:dyDescent="0.25">
      <c r="N549" s="47">
        <v>3</v>
      </c>
      <c r="O549" s="47">
        <v>4</v>
      </c>
      <c r="T549" s="295">
        <v>2</v>
      </c>
      <c r="U549" s="295">
        <v>3</v>
      </c>
    </row>
    <row r="550" spans="14:21" x14ac:dyDescent="0.25">
      <c r="N550" s="47">
        <v>3</v>
      </c>
      <c r="O550" s="47">
        <v>3</v>
      </c>
      <c r="T550" s="295">
        <v>3</v>
      </c>
      <c r="U550" s="295">
        <v>3</v>
      </c>
    </row>
    <row r="551" spans="14:21" x14ac:dyDescent="0.25">
      <c r="N551" s="47">
        <v>3</v>
      </c>
      <c r="O551" s="47">
        <v>3</v>
      </c>
      <c r="T551" s="295">
        <v>2</v>
      </c>
      <c r="U551" s="295">
        <v>4</v>
      </c>
    </row>
    <row r="552" spans="14:21" x14ac:dyDescent="0.25">
      <c r="N552" s="47">
        <v>3</v>
      </c>
      <c r="O552" s="47">
        <v>3</v>
      </c>
      <c r="T552" s="295">
        <v>2</v>
      </c>
      <c r="U552" s="295">
        <v>3</v>
      </c>
    </row>
    <row r="553" spans="14:21" x14ac:dyDescent="0.25">
      <c r="N553" s="47">
        <v>2</v>
      </c>
      <c r="O553" s="47">
        <v>4</v>
      </c>
      <c r="T553" s="295">
        <v>2</v>
      </c>
      <c r="U553" s="295">
        <v>3</v>
      </c>
    </row>
    <row r="554" spans="14:21" x14ac:dyDescent="0.25">
      <c r="N554" s="47">
        <v>3</v>
      </c>
      <c r="O554" s="47">
        <v>5</v>
      </c>
      <c r="T554" s="295">
        <v>3</v>
      </c>
      <c r="U554" s="295">
        <v>4</v>
      </c>
    </row>
    <row r="555" spans="14:21" x14ac:dyDescent="0.25">
      <c r="N555" s="47">
        <v>3</v>
      </c>
      <c r="O555" s="47">
        <v>4</v>
      </c>
      <c r="T555" s="295">
        <v>3</v>
      </c>
      <c r="U555" s="295">
        <v>5</v>
      </c>
    </row>
    <row r="556" spans="14:21" x14ac:dyDescent="0.25">
      <c r="N556" s="47">
        <v>2</v>
      </c>
      <c r="O556" s="47">
        <v>3</v>
      </c>
      <c r="T556" s="295">
        <v>3</v>
      </c>
      <c r="U556" s="295">
        <v>5</v>
      </c>
    </row>
    <row r="557" spans="14:21" x14ac:dyDescent="0.25">
      <c r="N557" s="47">
        <v>3</v>
      </c>
      <c r="O557" s="47">
        <v>3</v>
      </c>
      <c r="T557" s="295">
        <v>3</v>
      </c>
      <c r="U557" s="295">
        <v>3</v>
      </c>
    </row>
    <row r="558" spans="14:21" x14ac:dyDescent="0.25">
      <c r="N558" s="47">
        <v>3</v>
      </c>
      <c r="O558" s="47">
        <v>4</v>
      </c>
      <c r="T558" s="295">
        <v>3</v>
      </c>
      <c r="U558" s="295">
        <v>3</v>
      </c>
    </row>
    <row r="559" spans="14:21" x14ac:dyDescent="0.25">
      <c r="N559" s="47">
        <v>4</v>
      </c>
      <c r="O559" s="47">
        <v>3</v>
      </c>
      <c r="T559" s="295">
        <v>2</v>
      </c>
      <c r="U559" s="295">
        <v>4</v>
      </c>
    </row>
    <row r="560" spans="14:21" x14ac:dyDescent="0.25">
      <c r="N560" s="47">
        <v>3</v>
      </c>
      <c r="O560" s="47">
        <v>3</v>
      </c>
      <c r="T560" s="295">
        <v>3</v>
      </c>
      <c r="U560" s="295">
        <v>3</v>
      </c>
    </row>
    <row r="561" spans="14:21" x14ac:dyDescent="0.25">
      <c r="N561" s="47">
        <v>2</v>
      </c>
      <c r="O561" s="47">
        <v>3</v>
      </c>
      <c r="T561" s="295">
        <v>3</v>
      </c>
      <c r="U561" s="295">
        <v>3</v>
      </c>
    </row>
    <row r="562" spans="14:21" x14ac:dyDescent="0.25">
      <c r="N562" s="47">
        <v>2</v>
      </c>
      <c r="O562" s="47">
        <v>3</v>
      </c>
      <c r="T562" s="295">
        <v>2</v>
      </c>
      <c r="U562" s="295">
        <v>3</v>
      </c>
    </row>
    <row r="563" spans="14:21" x14ac:dyDescent="0.25">
      <c r="N563" s="47">
        <v>2</v>
      </c>
      <c r="O563" s="47">
        <v>4</v>
      </c>
      <c r="T563" s="295">
        <v>2</v>
      </c>
      <c r="U563" s="295">
        <v>3</v>
      </c>
    </row>
    <row r="564" spans="14:21" x14ac:dyDescent="0.25">
      <c r="N564" s="47">
        <v>2</v>
      </c>
      <c r="O564" s="47">
        <v>3</v>
      </c>
      <c r="T564" s="295">
        <v>2</v>
      </c>
      <c r="U564" s="295">
        <v>3</v>
      </c>
    </row>
    <row r="565" spans="14:21" x14ac:dyDescent="0.25">
      <c r="N565" s="47">
        <v>3</v>
      </c>
      <c r="O565" s="47">
        <v>5</v>
      </c>
      <c r="T565" s="295">
        <v>2</v>
      </c>
      <c r="U565" s="295">
        <v>4</v>
      </c>
    </row>
    <row r="566" spans="14:21" x14ac:dyDescent="0.25">
      <c r="N566" s="47">
        <v>3</v>
      </c>
      <c r="O566" s="47">
        <v>3</v>
      </c>
      <c r="T566" s="295">
        <v>2</v>
      </c>
      <c r="U566" s="295">
        <v>5</v>
      </c>
    </row>
    <row r="567" spans="14:21" x14ac:dyDescent="0.25">
      <c r="N567" s="47">
        <v>2</v>
      </c>
      <c r="O567" s="47">
        <v>4</v>
      </c>
      <c r="T567" s="295">
        <v>2</v>
      </c>
      <c r="U567" s="295">
        <v>5</v>
      </c>
    </row>
    <row r="568" spans="14:21" x14ac:dyDescent="0.25">
      <c r="N568" s="47">
        <v>2</v>
      </c>
      <c r="O568" s="47">
        <v>4</v>
      </c>
      <c r="T568" s="295">
        <v>2</v>
      </c>
      <c r="U568" s="295">
        <v>3</v>
      </c>
    </row>
    <row r="569" spans="14:21" x14ac:dyDescent="0.25">
      <c r="N569" s="47">
        <v>2</v>
      </c>
      <c r="O569" s="47">
        <v>3</v>
      </c>
      <c r="T569" s="295">
        <v>2</v>
      </c>
      <c r="U569" s="295">
        <v>4</v>
      </c>
    </row>
    <row r="570" spans="14:21" x14ac:dyDescent="0.25">
      <c r="N570" s="47">
        <v>4</v>
      </c>
      <c r="O570" s="47">
        <v>3</v>
      </c>
      <c r="T570" s="295">
        <v>3</v>
      </c>
      <c r="U570" s="295">
        <v>3</v>
      </c>
    </row>
    <row r="571" spans="14:21" x14ac:dyDescent="0.25">
      <c r="N571" s="47">
        <v>4</v>
      </c>
      <c r="O571" s="47">
        <v>3</v>
      </c>
      <c r="T571" s="295">
        <v>2</v>
      </c>
      <c r="U571" s="295">
        <v>3</v>
      </c>
    </row>
    <row r="572" spans="14:21" x14ac:dyDescent="0.25">
      <c r="N572" s="47">
        <v>2</v>
      </c>
      <c r="O572" s="47">
        <v>3</v>
      </c>
      <c r="T572" s="295">
        <v>2</v>
      </c>
      <c r="U572" s="295">
        <v>3</v>
      </c>
    </row>
    <row r="573" spans="14:21" x14ac:dyDescent="0.25">
      <c r="N573" s="47">
        <v>2</v>
      </c>
      <c r="O573" s="47">
        <v>5</v>
      </c>
      <c r="T573" s="295">
        <v>2</v>
      </c>
      <c r="U573" s="295">
        <v>3</v>
      </c>
    </row>
    <row r="574" spans="14:21" x14ac:dyDescent="0.25">
      <c r="N574" s="47">
        <v>2</v>
      </c>
      <c r="O574" s="47">
        <v>4</v>
      </c>
      <c r="T574" s="295">
        <v>2</v>
      </c>
      <c r="U574" s="295">
        <v>3</v>
      </c>
    </row>
    <row r="575" spans="14:21" x14ac:dyDescent="0.25">
      <c r="N575" s="47">
        <v>4</v>
      </c>
      <c r="O575" s="47">
        <v>3</v>
      </c>
      <c r="T575" s="295">
        <v>4</v>
      </c>
      <c r="U575" s="295">
        <v>4</v>
      </c>
    </row>
    <row r="576" spans="14:21" x14ac:dyDescent="0.25">
      <c r="N576" s="47">
        <v>3</v>
      </c>
      <c r="O576" s="47">
        <v>4</v>
      </c>
      <c r="T576" s="295">
        <v>3</v>
      </c>
      <c r="U576" s="295">
        <v>3</v>
      </c>
    </row>
    <row r="577" spans="14:21" x14ac:dyDescent="0.25">
      <c r="N577" s="47">
        <v>2</v>
      </c>
      <c r="O577" s="47">
        <v>3</v>
      </c>
      <c r="T577" s="295">
        <v>2</v>
      </c>
      <c r="U577" s="295">
        <v>5</v>
      </c>
    </row>
    <row r="578" spans="14:21" x14ac:dyDescent="0.25">
      <c r="N578" s="47">
        <v>2</v>
      </c>
      <c r="O578" s="47">
        <v>3</v>
      </c>
      <c r="T578" s="295">
        <v>3</v>
      </c>
      <c r="U578" s="295">
        <v>3</v>
      </c>
    </row>
    <row r="579" spans="14:21" x14ac:dyDescent="0.25">
      <c r="N579" s="47">
        <v>3</v>
      </c>
      <c r="O579" s="47">
        <v>5</v>
      </c>
      <c r="T579" s="295">
        <v>2</v>
      </c>
      <c r="U579" s="295">
        <v>3</v>
      </c>
    </row>
    <row r="580" spans="14:21" x14ac:dyDescent="0.25">
      <c r="N580" s="47">
        <v>3</v>
      </c>
      <c r="O580" s="47">
        <v>4</v>
      </c>
      <c r="T580" s="295">
        <v>2</v>
      </c>
      <c r="U580" s="295">
        <v>3</v>
      </c>
    </row>
    <row r="581" spans="14:21" x14ac:dyDescent="0.25">
      <c r="N581" s="47">
        <v>2</v>
      </c>
      <c r="O581" s="47">
        <v>3</v>
      </c>
      <c r="T581" s="295">
        <v>4</v>
      </c>
      <c r="U581" s="295">
        <v>3</v>
      </c>
    </row>
    <row r="582" spans="14:21" x14ac:dyDescent="0.25">
      <c r="N582" s="47">
        <v>3</v>
      </c>
      <c r="O582" s="47">
        <v>4</v>
      </c>
      <c r="T582" s="295">
        <v>3</v>
      </c>
      <c r="U582" s="295">
        <v>3</v>
      </c>
    </row>
    <row r="583" spans="14:21" x14ac:dyDescent="0.25">
      <c r="N583" s="47">
        <v>2</v>
      </c>
      <c r="O583" s="47">
        <v>3</v>
      </c>
      <c r="T583" s="295">
        <v>4</v>
      </c>
      <c r="U583" s="295">
        <v>5</v>
      </c>
    </row>
    <row r="584" spans="14:21" x14ac:dyDescent="0.25">
      <c r="N584" s="47">
        <v>3</v>
      </c>
      <c r="O584" s="47">
        <v>3</v>
      </c>
      <c r="T584" s="295">
        <v>3</v>
      </c>
      <c r="U584" s="295">
        <v>4</v>
      </c>
    </row>
    <row r="585" spans="14:21" x14ac:dyDescent="0.25">
      <c r="N585" s="47">
        <v>3</v>
      </c>
      <c r="O585" s="47">
        <v>3</v>
      </c>
      <c r="T585" s="295">
        <v>3</v>
      </c>
      <c r="U585" s="295">
        <v>4</v>
      </c>
    </row>
    <row r="586" spans="14:21" x14ac:dyDescent="0.25">
      <c r="N586" s="47">
        <v>3</v>
      </c>
      <c r="O586" s="47">
        <v>4</v>
      </c>
      <c r="T586" s="295">
        <v>2</v>
      </c>
      <c r="U586" s="295">
        <v>3</v>
      </c>
    </row>
    <row r="587" spans="14:21" x14ac:dyDescent="0.25">
      <c r="N587" s="47">
        <v>2</v>
      </c>
      <c r="O587" s="47">
        <v>3</v>
      </c>
      <c r="T587" s="295">
        <v>3</v>
      </c>
      <c r="U587" s="295">
        <v>4</v>
      </c>
    </row>
    <row r="588" spans="14:21" x14ac:dyDescent="0.25">
      <c r="N588" s="47">
        <v>3</v>
      </c>
      <c r="O588" s="47">
        <v>5</v>
      </c>
      <c r="T588" s="295">
        <v>3</v>
      </c>
      <c r="U588" s="295">
        <v>3</v>
      </c>
    </row>
    <row r="589" spans="14:21" x14ac:dyDescent="0.25">
      <c r="N589" s="47">
        <v>3</v>
      </c>
      <c r="O589" s="47">
        <v>3</v>
      </c>
      <c r="T589" s="295">
        <v>3</v>
      </c>
      <c r="U589" s="295">
        <v>3</v>
      </c>
    </row>
    <row r="590" spans="14:21" x14ac:dyDescent="0.25">
      <c r="N590" s="47">
        <v>4</v>
      </c>
      <c r="O590" s="47">
        <v>3</v>
      </c>
      <c r="T590" s="295">
        <v>2</v>
      </c>
      <c r="U590" s="295">
        <v>3</v>
      </c>
    </row>
    <row r="591" spans="14:21" x14ac:dyDescent="0.25">
      <c r="N591" s="47">
        <v>3</v>
      </c>
      <c r="O591" s="47">
        <v>3</v>
      </c>
      <c r="T591" s="295">
        <v>2</v>
      </c>
      <c r="U591" s="295">
        <v>3</v>
      </c>
    </row>
    <row r="592" spans="14:21" x14ac:dyDescent="0.25">
      <c r="N592" s="47">
        <v>2</v>
      </c>
      <c r="O592" s="47">
        <v>5</v>
      </c>
      <c r="T592" s="295">
        <v>2</v>
      </c>
      <c r="U592" s="295">
        <v>3</v>
      </c>
    </row>
    <row r="593" spans="14:21" x14ac:dyDescent="0.25">
      <c r="N593" s="47">
        <v>2</v>
      </c>
      <c r="O593" s="47">
        <v>3</v>
      </c>
      <c r="T593" s="295">
        <v>2</v>
      </c>
      <c r="U593" s="295">
        <v>4</v>
      </c>
    </row>
    <row r="594" spans="14:21" x14ac:dyDescent="0.25">
      <c r="N594" s="47">
        <v>3</v>
      </c>
      <c r="O594" s="47">
        <v>3</v>
      </c>
      <c r="T594" s="295">
        <v>3</v>
      </c>
      <c r="U594" s="295">
        <v>4</v>
      </c>
    </row>
    <row r="595" spans="14:21" x14ac:dyDescent="0.25">
      <c r="N595" s="47">
        <v>2</v>
      </c>
      <c r="O595" s="47">
        <v>3</v>
      </c>
      <c r="T595" s="295">
        <v>3</v>
      </c>
      <c r="U595" s="295">
        <v>4</v>
      </c>
    </row>
    <row r="596" spans="14:21" x14ac:dyDescent="0.25">
      <c r="N596" s="47">
        <v>3</v>
      </c>
      <c r="O596" s="47">
        <v>3</v>
      </c>
      <c r="T596" s="295">
        <v>2</v>
      </c>
      <c r="U596" s="295">
        <v>3</v>
      </c>
    </row>
    <row r="597" spans="14:21" x14ac:dyDescent="0.25">
      <c r="N597" s="47">
        <v>2</v>
      </c>
      <c r="O597" s="47">
        <v>3</v>
      </c>
      <c r="T597" s="295">
        <v>2</v>
      </c>
      <c r="U597" s="295">
        <v>5</v>
      </c>
    </row>
    <row r="598" spans="14:21" x14ac:dyDescent="0.25">
      <c r="N598" s="47">
        <v>3</v>
      </c>
      <c r="O598" s="47">
        <v>3</v>
      </c>
      <c r="T598" s="295">
        <v>3</v>
      </c>
      <c r="U598" s="295">
        <v>3</v>
      </c>
    </row>
    <row r="599" spans="14:21" x14ac:dyDescent="0.25">
      <c r="N599" s="47">
        <v>4</v>
      </c>
      <c r="O599" s="47">
        <v>3</v>
      </c>
      <c r="T599" s="295">
        <v>3</v>
      </c>
      <c r="U599" s="295">
        <v>3</v>
      </c>
    </row>
    <row r="600" spans="14:21" x14ac:dyDescent="0.25">
      <c r="N600" s="47">
        <v>3</v>
      </c>
      <c r="O600" s="47">
        <v>3</v>
      </c>
      <c r="T600" s="295">
        <v>4</v>
      </c>
      <c r="U600" s="295">
        <v>3</v>
      </c>
    </row>
    <row r="601" spans="14:21" x14ac:dyDescent="0.25">
      <c r="N601" s="47">
        <v>2</v>
      </c>
      <c r="O601" s="47">
        <v>4</v>
      </c>
      <c r="T601" s="295">
        <v>3</v>
      </c>
      <c r="U601" s="295">
        <v>5</v>
      </c>
    </row>
    <row r="602" spans="14:21" x14ac:dyDescent="0.25">
      <c r="N602" s="47">
        <v>2</v>
      </c>
      <c r="O602" s="47">
        <v>3</v>
      </c>
      <c r="T602" s="295">
        <v>3</v>
      </c>
      <c r="U602" s="295">
        <v>3</v>
      </c>
    </row>
    <row r="603" spans="14:21" x14ac:dyDescent="0.25">
      <c r="N603" s="47">
        <v>2</v>
      </c>
      <c r="O603" s="47">
        <v>5</v>
      </c>
      <c r="T603" s="295">
        <v>2</v>
      </c>
      <c r="U603" s="295">
        <v>3</v>
      </c>
    </row>
    <row r="604" spans="14:21" x14ac:dyDescent="0.25">
      <c r="N604" s="47">
        <v>2</v>
      </c>
      <c r="O604" s="47">
        <v>3</v>
      </c>
      <c r="T604" s="295">
        <v>3</v>
      </c>
      <c r="U604" s="295">
        <v>3</v>
      </c>
    </row>
    <row r="605" spans="14:21" x14ac:dyDescent="0.25">
      <c r="N605" s="47">
        <v>3</v>
      </c>
      <c r="O605" s="47">
        <v>3</v>
      </c>
      <c r="T605" s="295">
        <v>3</v>
      </c>
      <c r="U605" s="295">
        <v>3</v>
      </c>
    </row>
    <row r="606" spans="14:21" x14ac:dyDescent="0.25">
      <c r="N606" s="47">
        <v>4</v>
      </c>
      <c r="O606" s="47">
        <v>4</v>
      </c>
      <c r="T606" s="295">
        <v>3</v>
      </c>
      <c r="U606" s="295">
        <v>3</v>
      </c>
    </row>
    <row r="607" spans="14:21" x14ac:dyDescent="0.25">
      <c r="N607" s="47">
        <v>2</v>
      </c>
      <c r="O607" s="47">
        <v>4</v>
      </c>
      <c r="T607" s="295">
        <v>2</v>
      </c>
      <c r="U607" s="295">
        <v>4</v>
      </c>
    </row>
    <row r="608" spans="14:21" x14ac:dyDescent="0.25">
      <c r="N608" s="47">
        <v>4</v>
      </c>
      <c r="O608" s="47">
        <v>4</v>
      </c>
      <c r="T608" s="295">
        <v>3</v>
      </c>
      <c r="U608" s="295">
        <v>3</v>
      </c>
    </row>
    <row r="609" spans="14:21" x14ac:dyDescent="0.25">
      <c r="N609" s="47">
        <v>2</v>
      </c>
      <c r="O609" s="47">
        <v>3</v>
      </c>
      <c r="T609" s="295">
        <v>2</v>
      </c>
      <c r="U609" s="295">
        <v>3</v>
      </c>
    </row>
    <row r="610" spans="14:21" x14ac:dyDescent="0.25">
      <c r="N610" s="47">
        <v>2</v>
      </c>
      <c r="O610" s="47">
        <v>4</v>
      </c>
      <c r="T610" s="295">
        <v>3</v>
      </c>
      <c r="U610" s="295">
        <v>4</v>
      </c>
    </row>
    <row r="611" spans="14:21" x14ac:dyDescent="0.25">
      <c r="N611" s="47">
        <v>2</v>
      </c>
      <c r="O611" s="47">
        <v>4</v>
      </c>
      <c r="T611" s="295">
        <v>2</v>
      </c>
      <c r="U611" s="295">
        <v>3</v>
      </c>
    </row>
    <row r="612" spans="14:21" x14ac:dyDescent="0.25">
      <c r="N612" s="47">
        <v>3</v>
      </c>
      <c r="O612" s="47">
        <v>4</v>
      </c>
      <c r="T612" s="295">
        <v>2</v>
      </c>
      <c r="U612" s="295">
        <v>4</v>
      </c>
    </row>
    <row r="613" spans="14:21" x14ac:dyDescent="0.25">
      <c r="N613" s="47">
        <v>3</v>
      </c>
      <c r="O613" s="47">
        <v>3</v>
      </c>
      <c r="T613" s="295">
        <v>2</v>
      </c>
      <c r="U613" s="295">
        <v>3</v>
      </c>
    </row>
    <row r="614" spans="14:21" x14ac:dyDescent="0.25">
      <c r="N614" s="47">
        <v>3</v>
      </c>
      <c r="O614" s="47">
        <v>4</v>
      </c>
      <c r="T614" s="295">
        <v>2</v>
      </c>
      <c r="U614" s="295">
        <v>3</v>
      </c>
    </row>
    <row r="615" spans="14:21" x14ac:dyDescent="0.25">
      <c r="N615" s="47">
        <v>2</v>
      </c>
      <c r="O615" s="47">
        <v>3</v>
      </c>
      <c r="T615" s="295">
        <v>3</v>
      </c>
      <c r="U615" s="295">
        <v>4</v>
      </c>
    </row>
    <row r="616" spans="14:21" x14ac:dyDescent="0.25">
      <c r="N616" s="47">
        <v>4</v>
      </c>
      <c r="O616" s="47">
        <v>3</v>
      </c>
      <c r="T616" s="295">
        <v>2</v>
      </c>
      <c r="U616" s="295">
        <v>4</v>
      </c>
    </row>
    <row r="617" spans="14:21" x14ac:dyDescent="0.25">
      <c r="N617" s="47">
        <v>2</v>
      </c>
      <c r="O617" s="47">
        <v>3</v>
      </c>
      <c r="T617" s="295">
        <v>2</v>
      </c>
      <c r="U617" s="295">
        <v>3</v>
      </c>
    </row>
    <row r="618" spans="14:21" x14ac:dyDescent="0.25">
      <c r="N618" s="47">
        <v>2</v>
      </c>
      <c r="O618" s="47">
        <v>4</v>
      </c>
      <c r="T618" s="295">
        <v>4</v>
      </c>
      <c r="U618" s="295">
        <v>4</v>
      </c>
    </row>
    <row r="619" spans="14:21" x14ac:dyDescent="0.25">
      <c r="N619" s="47">
        <v>2</v>
      </c>
      <c r="O619" s="47">
        <v>3</v>
      </c>
      <c r="T619" s="295">
        <v>3</v>
      </c>
      <c r="U619" s="295">
        <v>4</v>
      </c>
    </row>
    <row r="620" spans="14:21" x14ac:dyDescent="0.25">
      <c r="N620" s="47">
        <v>2</v>
      </c>
      <c r="O620" s="47">
        <v>4</v>
      </c>
      <c r="T620" s="295">
        <v>2</v>
      </c>
      <c r="U620" s="295">
        <v>3</v>
      </c>
    </row>
    <row r="621" spans="14:21" x14ac:dyDescent="0.25">
      <c r="N621" s="47">
        <v>2</v>
      </c>
      <c r="O621" s="47">
        <v>3</v>
      </c>
      <c r="T621" s="295">
        <v>2</v>
      </c>
      <c r="U621" s="295">
        <v>4</v>
      </c>
    </row>
    <row r="622" spans="14:21" x14ac:dyDescent="0.25">
      <c r="N622" s="47">
        <v>2</v>
      </c>
      <c r="O622" s="47">
        <v>3</v>
      </c>
      <c r="T622" s="295">
        <v>2</v>
      </c>
      <c r="U622" s="295">
        <v>3</v>
      </c>
    </row>
    <row r="623" spans="14:21" x14ac:dyDescent="0.25">
      <c r="N623" s="47">
        <v>3</v>
      </c>
      <c r="O623" s="47">
        <v>3</v>
      </c>
      <c r="T623" s="295">
        <v>2</v>
      </c>
      <c r="U623" s="295">
        <v>4</v>
      </c>
    </row>
    <row r="624" spans="14:21" x14ac:dyDescent="0.25">
      <c r="N624" s="47">
        <v>2</v>
      </c>
      <c r="O624" s="47">
        <v>3</v>
      </c>
      <c r="T624" s="295">
        <v>3</v>
      </c>
      <c r="U624" s="295">
        <v>3</v>
      </c>
    </row>
    <row r="625" spans="14:21" x14ac:dyDescent="0.25">
      <c r="N625" s="47">
        <v>3</v>
      </c>
      <c r="O625" s="47">
        <v>3</v>
      </c>
      <c r="T625" s="295">
        <v>3</v>
      </c>
      <c r="U625" s="295">
        <v>3</v>
      </c>
    </row>
    <row r="626" spans="14:21" x14ac:dyDescent="0.25">
      <c r="N626" s="47">
        <v>3</v>
      </c>
      <c r="O626" s="47">
        <v>3</v>
      </c>
      <c r="T626" s="295">
        <v>2</v>
      </c>
      <c r="U626" s="295">
        <v>3</v>
      </c>
    </row>
    <row r="627" spans="14:21" x14ac:dyDescent="0.25">
      <c r="N627" s="47">
        <v>2</v>
      </c>
      <c r="O627" s="47">
        <v>3</v>
      </c>
      <c r="T627" s="295">
        <v>4</v>
      </c>
      <c r="U627" s="295">
        <v>3</v>
      </c>
    </row>
    <row r="628" spans="14:21" x14ac:dyDescent="0.25">
      <c r="N628" s="47">
        <v>4</v>
      </c>
      <c r="O628" s="47">
        <v>3</v>
      </c>
      <c r="T628" s="295">
        <v>3</v>
      </c>
      <c r="U628" s="295">
        <v>3</v>
      </c>
    </row>
    <row r="629" spans="14:21" x14ac:dyDescent="0.25">
      <c r="N629" s="47">
        <v>3</v>
      </c>
      <c r="O629" s="47">
        <v>4</v>
      </c>
      <c r="T629" s="295">
        <v>3</v>
      </c>
      <c r="U629" s="295">
        <v>4</v>
      </c>
    </row>
    <row r="630" spans="14:21" x14ac:dyDescent="0.25">
      <c r="N630" s="47">
        <v>3</v>
      </c>
      <c r="O630" s="47">
        <v>3</v>
      </c>
      <c r="T630" s="295">
        <v>3</v>
      </c>
      <c r="U630" s="295">
        <v>3</v>
      </c>
    </row>
    <row r="631" spans="14:21" x14ac:dyDescent="0.25">
      <c r="N631" s="47">
        <v>2</v>
      </c>
      <c r="O631" s="47">
        <v>3</v>
      </c>
      <c r="T631" s="295">
        <v>3</v>
      </c>
      <c r="U631" s="295">
        <v>4</v>
      </c>
    </row>
    <row r="632" spans="14:21" x14ac:dyDescent="0.25">
      <c r="N632" s="47">
        <v>4</v>
      </c>
      <c r="O632" s="47">
        <v>3</v>
      </c>
      <c r="T632" s="295">
        <v>4</v>
      </c>
      <c r="U632" s="295">
        <v>4</v>
      </c>
    </row>
    <row r="633" spans="14:21" x14ac:dyDescent="0.25">
      <c r="N633" s="47">
        <v>2</v>
      </c>
      <c r="O633" s="47">
        <v>4</v>
      </c>
      <c r="T633" s="295">
        <v>3</v>
      </c>
      <c r="U633" s="295">
        <v>3</v>
      </c>
    </row>
    <row r="634" spans="14:21" x14ac:dyDescent="0.25">
      <c r="N634" s="47">
        <v>3</v>
      </c>
      <c r="O634" s="47">
        <v>3</v>
      </c>
      <c r="T634" s="295">
        <v>2</v>
      </c>
      <c r="U634" s="295">
        <v>3</v>
      </c>
    </row>
    <row r="635" spans="14:21" x14ac:dyDescent="0.25">
      <c r="N635" s="47">
        <v>3</v>
      </c>
      <c r="O635" s="47">
        <v>4</v>
      </c>
      <c r="T635" s="295">
        <v>3</v>
      </c>
      <c r="U635" s="295">
        <v>3</v>
      </c>
    </row>
    <row r="636" spans="14:21" x14ac:dyDescent="0.25">
      <c r="N636" s="47">
        <v>2</v>
      </c>
      <c r="O636" s="47">
        <v>4</v>
      </c>
      <c r="T636" s="295">
        <v>3</v>
      </c>
      <c r="U636" s="295">
        <v>3</v>
      </c>
    </row>
    <row r="637" spans="14:21" x14ac:dyDescent="0.25">
      <c r="N637" s="47">
        <v>3</v>
      </c>
      <c r="O637" s="47">
        <v>4</v>
      </c>
      <c r="T637" s="295">
        <v>2</v>
      </c>
      <c r="U637" s="295">
        <v>4</v>
      </c>
    </row>
    <row r="638" spans="14:21" x14ac:dyDescent="0.25">
      <c r="N638" s="47">
        <v>3</v>
      </c>
      <c r="O638" s="47">
        <v>3</v>
      </c>
      <c r="T638" s="295">
        <v>3</v>
      </c>
      <c r="U638" s="295">
        <v>4</v>
      </c>
    </row>
    <row r="639" spans="14:21" x14ac:dyDescent="0.25">
      <c r="N639" s="47">
        <v>3</v>
      </c>
      <c r="O639" s="47">
        <v>5</v>
      </c>
      <c r="T639" s="295">
        <v>4</v>
      </c>
      <c r="U639" s="295">
        <v>4</v>
      </c>
    </row>
    <row r="640" spans="14:21" x14ac:dyDescent="0.25">
      <c r="N640" s="47">
        <v>3</v>
      </c>
      <c r="O640" s="47">
        <v>3</v>
      </c>
      <c r="T640" s="295">
        <v>3</v>
      </c>
      <c r="U640" s="295">
        <v>3</v>
      </c>
    </row>
    <row r="641" spans="14:21" x14ac:dyDescent="0.25">
      <c r="N641" s="47">
        <v>2</v>
      </c>
      <c r="O641" s="47">
        <v>4</v>
      </c>
      <c r="T641" s="295">
        <v>2</v>
      </c>
      <c r="U641" s="295">
        <v>4</v>
      </c>
    </row>
    <row r="642" spans="14:21" x14ac:dyDescent="0.25">
      <c r="N642" s="47">
        <v>1</v>
      </c>
      <c r="O642" s="47">
        <v>3</v>
      </c>
      <c r="T642" s="295">
        <v>3</v>
      </c>
      <c r="U642" s="295">
        <v>5</v>
      </c>
    </row>
    <row r="643" spans="14:21" x14ac:dyDescent="0.25">
      <c r="N643" s="47">
        <v>2</v>
      </c>
      <c r="O643" s="47">
        <v>3</v>
      </c>
      <c r="T643" s="295">
        <v>3</v>
      </c>
      <c r="U643" s="295">
        <v>3</v>
      </c>
    </row>
    <row r="644" spans="14:21" x14ac:dyDescent="0.25">
      <c r="N644" s="47">
        <v>3</v>
      </c>
      <c r="O644" s="47">
        <v>3</v>
      </c>
      <c r="T644" s="295">
        <v>2</v>
      </c>
      <c r="U644" s="295">
        <v>4</v>
      </c>
    </row>
    <row r="645" spans="14:21" x14ac:dyDescent="0.25">
      <c r="N645" s="47">
        <v>2</v>
      </c>
      <c r="O645" s="47">
        <v>3</v>
      </c>
      <c r="T645" s="295">
        <v>3</v>
      </c>
      <c r="U645" s="295">
        <v>3</v>
      </c>
    </row>
    <row r="646" spans="14:21" x14ac:dyDescent="0.25">
      <c r="N646" s="47">
        <v>3</v>
      </c>
      <c r="O646" s="47">
        <v>3</v>
      </c>
      <c r="T646" s="295">
        <v>2</v>
      </c>
      <c r="U646" s="295">
        <v>3</v>
      </c>
    </row>
    <row r="647" spans="14:21" x14ac:dyDescent="0.25">
      <c r="N647" s="47">
        <v>2</v>
      </c>
      <c r="O647" s="47">
        <v>5</v>
      </c>
      <c r="T647" s="295">
        <v>3</v>
      </c>
      <c r="U647" s="295">
        <v>3</v>
      </c>
    </row>
    <row r="648" spans="14:21" x14ac:dyDescent="0.25">
      <c r="N648" s="47">
        <v>2</v>
      </c>
      <c r="O648" s="47">
        <v>3</v>
      </c>
      <c r="T648" s="295">
        <v>3</v>
      </c>
      <c r="U648" s="295">
        <v>4</v>
      </c>
    </row>
    <row r="649" spans="14:21" x14ac:dyDescent="0.25">
      <c r="N649" s="47">
        <v>3</v>
      </c>
      <c r="O649" s="47">
        <v>3</v>
      </c>
      <c r="T649" s="295">
        <v>3</v>
      </c>
      <c r="U649" s="295">
        <v>4</v>
      </c>
    </row>
    <row r="650" spans="14:21" x14ac:dyDescent="0.25">
      <c r="N650" s="47">
        <v>4</v>
      </c>
      <c r="O650" s="47">
        <v>4</v>
      </c>
      <c r="T650" s="295">
        <v>4</v>
      </c>
      <c r="U650" s="295">
        <v>3</v>
      </c>
    </row>
    <row r="651" spans="14:21" x14ac:dyDescent="0.25">
      <c r="N651" s="47">
        <v>2</v>
      </c>
      <c r="O651" s="47">
        <v>3</v>
      </c>
      <c r="T651" s="295">
        <v>2</v>
      </c>
      <c r="U651" s="295">
        <v>3</v>
      </c>
    </row>
    <row r="652" spans="14:21" x14ac:dyDescent="0.25">
      <c r="N652" s="47">
        <v>3</v>
      </c>
      <c r="O652" s="47">
        <v>3</v>
      </c>
      <c r="T652" s="295">
        <v>2</v>
      </c>
      <c r="U652" s="295">
        <v>3</v>
      </c>
    </row>
    <row r="653" spans="14:21" x14ac:dyDescent="0.25">
      <c r="N653" s="47">
        <v>3</v>
      </c>
      <c r="O653" s="47">
        <v>3</v>
      </c>
      <c r="T653" s="295">
        <v>4</v>
      </c>
      <c r="U653" s="295">
        <v>3</v>
      </c>
    </row>
    <row r="654" spans="14:21" x14ac:dyDescent="0.25">
      <c r="N654" s="47">
        <v>2</v>
      </c>
      <c r="O654" s="47">
        <v>4</v>
      </c>
      <c r="T654" s="295">
        <v>3</v>
      </c>
      <c r="U654" s="295">
        <v>3</v>
      </c>
    </row>
    <row r="655" spans="14:21" x14ac:dyDescent="0.25">
      <c r="N655" s="47">
        <v>4</v>
      </c>
      <c r="O655" s="47">
        <v>3</v>
      </c>
      <c r="T655" s="295">
        <v>3</v>
      </c>
      <c r="U655" s="295">
        <v>3</v>
      </c>
    </row>
    <row r="656" spans="14:21" x14ac:dyDescent="0.25">
      <c r="N656" s="47">
        <v>3</v>
      </c>
      <c r="O656" s="47">
        <v>3</v>
      </c>
      <c r="T656" s="295">
        <v>2</v>
      </c>
      <c r="U656" s="295">
        <v>3</v>
      </c>
    </row>
    <row r="657" spans="14:21" x14ac:dyDescent="0.25">
      <c r="N657" s="47">
        <v>3</v>
      </c>
      <c r="O657" s="47">
        <v>3</v>
      </c>
      <c r="T657" s="295">
        <v>2</v>
      </c>
      <c r="U657" s="295">
        <v>3</v>
      </c>
    </row>
    <row r="658" spans="14:21" x14ac:dyDescent="0.25">
      <c r="N658" s="47">
        <v>2</v>
      </c>
      <c r="O658" s="47">
        <v>3</v>
      </c>
      <c r="T658" s="295">
        <v>2</v>
      </c>
      <c r="U658" s="295">
        <v>3</v>
      </c>
    </row>
    <row r="659" spans="14:21" x14ac:dyDescent="0.25">
      <c r="N659" s="47">
        <v>3</v>
      </c>
      <c r="O659" s="47">
        <v>3</v>
      </c>
      <c r="T659" s="295">
        <v>2</v>
      </c>
      <c r="U659" s="295">
        <v>5</v>
      </c>
    </row>
    <row r="660" spans="14:21" x14ac:dyDescent="0.25">
      <c r="N660" s="47">
        <v>4</v>
      </c>
      <c r="O660" s="47">
        <v>4</v>
      </c>
      <c r="T660" s="295">
        <v>3</v>
      </c>
      <c r="U660" s="295">
        <v>3</v>
      </c>
    </row>
    <row r="661" spans="14:21" x14ac:dyDescent="0.25">
      <c r="N661" s="47">
        <v>2</v>
      </c>
      <c r="O661" s="47">
        <v>3</v>
      </c>
      <c r="T661" s="295">
        <v>3</v>
      </c>
      <c r="U661" s="295">
        <v>4</v>
      </c>
    </row>
    <row r="662" spans="14:21" x14ac:dyDescent="0.25">
      <c r="N662" s="47">
        <v>2</v>
      </c>
      <c r="O662" s="47">
        <v>3</v>
      </c>
      <c r="T662" s="295">
        <v>2</v>
      </c>
      <c r="U662" s="295">
        <v>3</v>
      </c>
    </row>
    <row r="663" spans="14:21" x14ac:dyDescent="0.25">
      <c r="N663" s="47">
        <v>3</v>
      </c>
      <c r="O663" s="47">
        <v>3</v>
      </c>
      <c r="T663" s="295">
        <v>4</v>
      </c>
      <c r="U663" s="295">
        <v>3</v>
      </c>
    </row>
    <row r="664" spans="14:21" x14ac:dyDescent="0.25">
      <c r="N664" s="47">
        <v>3</v>
      </c>
      <c r="O664" s="47">
        <v>5</v>
      </c>
      <c r="T664" s="295">
        <v>2</v>
      </c>
      <c r="U664" s="295">
        <v>5</v>
      </c>
    </row>
    <row r="665" spans="14:21" x14ac:dyDescent="0.25">
      <c r="N665" s="47">
        <v>4</v>
      </c>
      <c r="O665" s="47">
        <v>3</v>
      </c>
      <c r="T665" s="295">
        <v>3</v>
      </c>
      <c r="U665" s="295">
        <v>3</v>
      </c>
    </row>
    <row r="666" spans="14:21" x14ac:dyDescent="0.25">
      <c r="N666" s="47">
        <v>2</v>
      </c>
      <c r="O666" s="47">
        <v>4</v>
      </c>
      <c r="T666" s="295">
        <v>2</v>
      </c>
      <c r="U666" s="295">
        <v>4</v>
      </c>
    </row>
    <row r="667" spans="14:21" x14ac:dyDescent="0.25">
      <c r="N667" s="47">
        <v>2</v>
      </c>
      <c r="O667" s="47">
        <v>5</v>
      </c>
      <c r="T667" s="295">
        <v>2</v>
      </c>
      <c r="U667" s="295">
        <v>4</v>
      </c>
    </row>
    <row r="668" spans="14:21" x14ac:dyDescent="0.25">
      <c r="N668" s="47">
        <v>2</v>
      </c>
      <c r="O668" s="47">
        <v>3</v>
      </c>
      <c r="T668" s="295">
        <v>3</v>
      </c>
      <c r="U668" s="295">
        <v>3</v>
      </c>
    </row>
    <row r="669" spans="14:21" x14ac:dyDescent="0.25">
      <c r="N669" s="47">
        <v>2</v>
      </c>
      <c r="O669" s="47">
        <v>4</v>
      </c>
      <c r="T669" s="295">
        <v>2</v>
      </c>
      <c r="U669" s="295">
        <v>3</v>
      </c>
    </row>
    <row r="670" spans="14:21" x14ac:dyDescent="0.25">
      <c r="N670" s="47">
        <v>2</v>
      </c>
      <c r="O670" s="47">
        <v>5</v>
      </c>
      <c r="T670" s="295">
        <v>3</v>
      </c>
      <c r="U670" s="295">
        <v>3</v>
      </c>
    </row>
    <row r="671" spans="14:21" x14ac:dyDescent="0.25">
      <c r="N671" s="47">
        <v>2</v>
      </c>
      <c r="O671" s="47">
        <v>4</v>
      </c>
      <c r="T671" s="295">
        <v>3</v>
      </c>
      <c r="U671" s="295">
        <v>4</v>
      </c>
    </row>
    <row r="672" spans="14:21" x14ac:dyDescent="0.25">
      <c r="N672" s="47">
        <v>2</v>
      </c>
      <c r="O672" s="47">
        <v>3</v>
      </c>
      <c r="T672" s="295">
        <v>2</v>
      </c>
      <c r="U672" s="295">
        <v>4</v>
      </c>
    </row>
    <row r="673" spans="14:21" x14ac:dyDescent="0.25">
      <c r="N673" s="47">
        <v>2</v>
      </c>
      <c r="O673" s="47">
        <v>3</v>
      </c>
      <c r="T673" s="295">
        <v>4</v>
      </c>
      <c r="U673" s="295">
        <v>3</v>
      </c>
    </row>
    <row r="674" spans="14:21" x14ac:dyDescent="0.25">
      <c r="N674" s="47">
        <v>3</v>
      </c>
      <c r="O674" s="47">
        <v>5</v>
      </c>
      <c r="T674" s="295">
        <v>2</v>
      </c>
      <c r="U674" s="295">
        <v>3</v>
      </c>
    </row>
    <row r="675" spans="14:21" x14ac:dyDescent="0.25">
      <c r="N675" s="47">
        <v>2</v>
      </c>
      <c r="O675" s="47">
        <v>4</v>
      </c>
      <c r="T675" s="295">
        <v>2</v>
      </c>
      <c r="U675" s="295">
        <v>3</v>
      </c>
    </row>
    <row r="676" spans="14:21" x14ac:dyDescent="0.25">
      <c r="N676" s="47">
        <v>4</v>
      </c>
      <c r="O676" s="47">
        <v>3</v>
      </c>
      <c r="T676" s="295">
        <v>2</v>
      </c>
      <c r="U676" s="295">
        <v>4</v>
      </c>
    </row>
    <row r="677" spans="14:21" x14ac:dyDescent="0.25">
      <c r="N677" s="47">
        <v>4</v>
      </c>
      <c r="O677" s="47">
        <v>3</v>
      </c>
      <c r="T677" s="295">
        <v>2</v>
      </c>
      <c r="U677" s="295">
        <v>4</v>
      </c>
    </row>
    <row r="678" spans="14:21" x14ac:dyDescent="0.25">
      <c r="N678" s="47">
        <v>2</v>
      </c>
      <c r="O678" s="47">
        <v>4</v>
      </c>
      <c r="T678" s="295">
        <v>3</v>
      </c>
      <c r="U678" s="295">
        <v>4</v>
      </c>
    </row>
    <row r="679" spans="14:21" x14ac:dyDescent="0.25">
      <c r="N679" s="47">
        <v>4</v>
      </c>
      <c r="O679" s="47">
        <v>3</v>
      </c>
      <c r="T679" s="295">
        <v>3</v>
      </c>
      <c r="U679" s="295">
        <v>3</v>
      </c>
    </row>
    <row r="680" spans="14:21" x14ac:dyDescent="0.25">
      <c r="N680" s="47">
        <v>2</v>
      </c>
      <c r="O680" s="47">
        <v>3</v>
      </c>
      <c r="T680" s="295">
        <v>4</v>
      </c>
      <c r="U680" s="295">
        <v>3</v>
      </c>
    </row>
    <row r="681" spans="14:21" x14ac:dyDescent="0.25">
      <c r="N681" s="47">
        <v>3</v>
      </c>
      <c r="O681" s="47">
        <v>3</v>
      </c>
      <c r="T681" s="295">
        <v>3</v>
      </c>
      <c r="U681" s="295">
        <v>4</v>
      </c>
    </row>
    <row r="682" spans="14:21" x14ac:dyDescent="0.25">
      <c r="N682" s="47">
        <v>2</v>
      </c>
      <c r="O682" s="47">
        <v>5</v>
      </c>
      <c r="T682" s="295">
        <v>2</v>
      </c>
      <c r="U682" s="295">
        <v>3</v>
      </c>
    </row>
    <row r="683" spans="14:21" x14ac:dyDescent="0.25">
      <c r="N683" s="47">
        <v>2</v>
      </c>
      <c r="O683" s="47">
        <v>3</v>
      </c>
      <c r="T683" s="295">
        <v>2</v>
      </c>
      <c r="U683" s="295">
        <v>3</v>
      </c>
    </row>
    <row r="684" spans="14:21" x14ac:dyDescent="0.25">
      <c r="N684" s="47">
        <v>2</v>
      </c>
      <c r="O684" s="47">
        <v>3</v>
      </c>
      <c r="T684" s="295">
        <v>3</v>
      </c>
      <c r="U684" s="295">
        <v>3</v>
      </c>
    </row>
    <row r="685" spans="14:21" x14ac:dyDescent="0.25">
      <c r="N685" s="47">
        <v>3</v>
      </c>
      <c r="O685" s="47">
        <v>5</v>
      </c>
      <c r="T685" s="295">
        <v>2</v>
      </c>
      <c r="U685" s="295">
        <v>3</v>
      </c>
    </row>
    <row r="686" spans="14:21" x14ac:dyDescent="0.25">
      <c r="N686" s="47">
        <v>2</v>
      </c>
      <c r="O686" s="47">
        <v>3</v>
      </c>
      <c r="T686" s="295">
        <v>3</v>
      </c>
      <c r="U686" s="295">
        <v>4</v>
      </c>
    </row>
    <row r="687" spans="14:21" x14ac:dyDescent="0.25">
      <c r="N687" s="47">
        <v>2</v>
      </c>
      <c r="O687" s="47">
        <v>3</v>
      </c>
      <c r="T687" s="295">
        <v>2</v>
      </c>
      <c r="U687" s="295">
        <v>4</v>
      </c>
    </row>
    <row r="688" spans="14:21" x14ac:dyDescent="0.25">
      <c r="N688" s="47">
        <v>2</v>
      </c>
      <c r="O688" s="47">
        <v>3</v>
      </c>
      <c r="T688" s="295">
        <v>2</v>
      </c>
      <c r="U688" s="295">
        <v>4</v>
      </c>
    </row>
    <row r="689" spans="14:21" x14ac:dyDescent="0.25">
      <c r="N689" s="47">
        <v>3</v>
      </c>
      <c r="O689" s="47">
        <v>3</v>
      </c>
      <c r="T689" s="295">
        <v>2</v>
      </c>
      <c r="U689" s="295">
        <v>4</v>
      </c>
    </row>
    <row r="690" spans="14:21" x14ac:dyDescent="0.25">
      <c r="N690" s="47">
        <v>3</v>
      </c>
      <c r="O690" s="47">
        <v>4</v>
      </c>
      <c r="T690" s="295">
        <v>3</v>
      </c>
      <c r="U690" s="295">
        <v>3</v>
      </c>
    </row>
    <row r="691" spans="14:21" x14ac:dyDescent="0.25">
      <c r="N691" s="47">
        <v>2</v>
      </c>
      <c r="O691" s="47">
        <v>3</v>
      </c>
      <c r="T691" s="295">
        <v>2</v>
      </c>
      <c r="U691" s="295">
        <v>4</v>
      </c>
    </row>
    <row r="692" spans="14:21" x14ac:dyDescent="0.25">
      <c r="N692" s="47">
        <v>2</v>
      </c>
      <c r="O692" s="47">
        <v>5</v>
      </c>
      <c r="T692" s="295">
        <v>4</v>
      </c>
      <c r="U692" s="295">
        <v>3</v>
      </c>
    </row>
    <row r="693" spans="14:21" x14ac:dyDescent="0.25">
      <c r="N693" s="47">
        <v>2</v>
      </c>
      <c r="O693" s="47">
        <v>3</v>
      </c>
      <c r="T693" s="295">
        <v>3</v>
      </c>
      <c r="U693" s="295">
        <v>3</v>
      </c>
    </row>
    <row r="694" spans="14:21" x14ac:dyDescent="0.25">
      <c r="N694" s="47">
        <v>2</v>
      </c>
      <c r="O694" s="47">
        <v>3</v>
      </c>
      <c r="T694" s="295">
        <v>2</v>
      </c>
      <c r="U694" s="295">
        <v>4</v>
      </c>
    </row>
    <row r="695" spans="14:21" x14ac:dyDescent="0.25">
      <c r="N695" s="47">
        <v>3</v>
      </c>
      <c r="O695" s="47">
        <v>3</v>
      </c>
      <c r="T695" s="295">
        <v>2</v>
      </c>
      <c r="U695" s="295">
        <v>3</v>
      </c>
    </row>
    <row r="696" spans="14:21" x14ac:dyDescent="0.25">
      <c r="N696" s="47">
        <v>2</v>
      </c>
      <c r="O696" s="47">
        <v>3</v>
      </c>
      <c r="T696" s="295">
        <v>3</v>
      </c>
      <c r="U696" s="295">
        <v>3</v>
      </c>
    </row>
    <row r="697" spans="14:21" x14ac:dyDescent="0.25">
      <c r="N697" s="47">
        <v>2</v>
      </c>
      <c r="O697" s="47">
        <v>3</v>
      </c>
      <c r="T697" s="295">
        <v>2</v>
      </c>
      <c r="U697" s="295">
        <v>5</v>
      </c>
    </row>
    <row r="698" spans="14:21" x14ac:dyDescent="0.25">
      <c r="N698" s="47">
        <v>3</v>
      </c>
      <c r="O698" s="47">
        <v>3</v>
      </c>
      <c r="T698" s="295">
        <v>3</v>
      </c>
      <c r="U698" s="295">
        <v>3</v>
      </c>
    </row>
    <row r="699" spans="14:21" x14ac:dyDescent="0.25">
      <c r="N699" s="47">
        <v>2</v>
      </c>
      <c r="O699" s="47">
        <v>4</v>
      </c>
      <c r="T699" s="295">
        <v>3</v>
      </c>
      <c r="U699" s="295">
        <v>3</v>
      </c>
    </row>
    <row r="700" spans="14:21" x14ac:dyDescent="0.25">
      <c r="N700" s="47">
        <v>2</v>
      </c>
      <c r="O700" s="47">
        <v>3</v>
      </c>
      <c r="T700" s="295">
        <v>4</v>
      </c>
      <c r="U700" s="295">
        <v>3</v>
      </c>
    </row>
    <row r="701" spans="14:21" x14ac:dyDescent="0.25">
      <c r="N701" s="47">
        <v>3</v>
      </c>
      <c r="O701" s="47">
        <v>3</v>
      </c>
      <c r="T701" s="295">
        <v>2</v>
      </c>
      <c r="U701" s="295">
        <v>3</v>
      </c>
    </row>
    <row r="702" spans="14:21" x14ac:dyDescent="0.25">
      <c r="N702" s="47">
        <v>2</v>
      </c>
      <c r="O702" s="47">
        <v>3</v>
      </c>
      <c r="T702" s="295">
        <v>3</v>
      </c>
      <c r="U702" s="295">
        <v>3</v>
      </c>
    </row>
    <row r="703" spans="14:21" x14ac:dyDescent="0.25">
      <c r="N703" s="47">
        <v>2</v>
      </c>
      <c r="O703" s="47">
        <v>3</v>
      </c>
      <c r="T703" s="295">
        <v>3</v>
      </c>
      <c r="U703" s="295">
        <v>5</v>
      </c>
    </row>
    <row r="704" spans="14:21" x14ac:dyDescent="0.25">
      <c r="N704" s="47">
        <v>3</v>
      </c>
      <c r="O704" s="47">
        <v>3</v>
      </c>
      <c r="T704" s="295">
        <v>3</v>
      </c>
      <c r="U704" s="295">
        <v>3</v>
      </c>
    </row>
    <row r="705" spans="14:21" x14ac:dyDescent="0.25">
      <c r="N705" s="47">
        <v>3</v>
      </c>
      <c r="O705" s="47">
        <v>4</v>
      </c>
      <c r="T705" s="295">
        <v>2</v>
      </c>
      <c r="U705" s="295">
        <v>4</v>
      </c>
    </row>
    <row r="706" spans="14:21" x14ac:dyDescent="0.25">
      <c r="N706" s="47">
        <v>3</v>
      </c>
      <c r="O706" s="47">
        <v>3</v>
      </c>
      <c r="T706" s="295">
        <v>2</v>
      </c>
      <c r="U706" s="295">
        <v>3</v>
      </c>
    </row>
    <row r="707" spans="14:21" x14ac:dyDescent="0.25">
      <c r="N707" s="47">
        <v>2</v>
      </c>
      <c r="O707" s="47">
        <v>3</v>
      </c>
      <c r="T707" s="295">
        <v>3</v>
      </c>
      <c r="U707" s="295">
        <v>3</v>
      </c>
    </row>
    <row r="708" spans="14:21" x14ac:dyDescent="0.25">
      <c r="N708" s="47">
        <v>2</v>
      </c>
      <c r="O708" s="47">
        <v>4</v>
      </c>
      <c r="T708" s="295">
        <v>2</v>
      </c>
      <c r="U708" s="295">
        <v>4</v>
      </c>
    </row>
    <row r="709" spans="14:21" x14ac:dyDescent="0.25">
      <c r="N709" s="47">
        <v>3</v>
      </c>
      <c r="O709" s="47">
        <v>3</v>
      </c>
      <c r="T709" s="295">
        <v>4</v>
      </c>
      <c r="U709" s="295">
        <v>4</v>
      </c>
    </row>
    <row r="710" spans="14:21" x14ac:dyDescent="0.25">
      <c r="N710" s="47">
        <v>3</v>
      </c>
      <c r="O710" s="47">
        <v>4</v>
      </c>
      <c r="T710" s="295">
        <v>2</v>
      </c>
      <c r="U710" s="295">
        <v>3</v>
      </c>
    </row>
    <row r="711" spans="14:21" x14ac:dyDescent="0.25">
      <c r="N711" s="47">
        <v>2</v>
      </c>
      <c r="O711" s="47">
        <v>3</v>
      </c>
      <c r="T711" s="295">
        <v>2</v>
      </c>
      <c r="U711" s="295">
        <v>3</v>
      </c>
    </row>
    <row r="712" spans="14:21" x14ac:dyDescent="0.25">
      <c r="N712" s="47">
        <v>2</v>
      </c>
      <c r="O712" s="47">
        <v>4</v>
      </c>
      <c r="T712" s="295">
        <v>3</v>
      </c>
      <c r="U712" s="295">
        <v>5</v>
      </c>
    </row>
    <row r="713" spans="14:21" x14ac:dyDescent="0.25">
      <c r="N713" s="47">
        <v>2</v>
      </c>
      <c r="O713" s="47">
        <v>3</v>
      </c>
      <c r="T713" s="295">
        <v>3</v>
      </c>
      <c r="U713" s="295">
        <v>3</v>
      </c>
    </row>
    <row r="714" spans="14:21" x14ac:dyDescent="0.25">
      <c r="N714" s="47">
        <v>4</v>
      </c>
      <c r="O714" s="47">
        <v>3</v>
      </c>
      <c r="T714" s="295">
        <v>4</v>
      </c>
      <c r="U714" s="295">
        <v>3</v>
      </c>
    </row>
    <row r="715" spans="14:21" x14ac:dyDescent="0.25">
      <c r="N715" s="47">
        <v>4</v>
      </c>
      <c r="O715" s="47">
        <v>3</v>
      </c>
      <c r="T715" s="295">
        <v>3</v>
      </c>
      <c r="U715" s="295">
        <v>3</v>
      </c>
    </row>
    <row r="716" spans="14:21" x14ac:dyDescent="0.25">
      <c r="N716" s="47">
        <v>4</v>
      </c>
      <c r="O716" s="47">
        <v>3</v>
      </c>
      <c r="T716" s="295">
        <v>2</v>
      </c>
      <c r="U716" s="295">
        <v>5</v>
      </c>
    </row>
    <row r="717" spans="14:21" x14ac:dyDescent="0.25">
      <c r="N717" s="47">
        <v>2</v>
      </c>
      <c r="O717" s="47">
        <v>4</v>
      </c>
      <c r="T717" s="295">
        <v>2</v>
      </c>
      <c r="U717" s="295">
        <v>3</v>
      </c>
    </row>
    <row r="718" spans="14:21" x14ac:dyDescent="0.25">
      <c r="N718" s="47">
        <v>2</v>
      </c>
      <c r="O718" s="47">
        <v>3</v>
      </c>
      <c r="T718" s="295">
        <v>3</v>
      </c>
      <c r="U718" s="295">
        <v>3</v>
      </c>
    </row>
    <row r="719" spans="14:21" x14ac:dyDescent="0.25">
      <c r="N719" s="47">
        <v>2</v>
      </c>
      <c r="O719" s="47">
        <v>3</v>
      </c>
      <c r="T719" s="295">
        <v>3</v>
      </c>
      <c r="U719" s="295">
        <v>3</v>
      </c>
    </row>
    <row r="720" spans="14:21" x14ac:dyDescent="0.25">
      <c r="N720" s="47">
        <v>3</v>
      </c>
      <c r="O720" s="47">
        <v>3</v>
      </c>
      <c r="T720" s="295">
        <v>2</v>
      </c>
      <c r="U720" s="295">
        <v>3</v>
      </c>
    </row>
    <row r="721" spans="14:21" x14ac:dyDescent="0.25">
      <c r="N721" s="47">
        <v>2</v>
      </c>
      <c r="O721" s="47">
        <v>4</v>
      </c>
      <c r="T721" s="295">
        <v>2</v>
      </c>
      <c r="U721" s="295">
        <v>3</v>
      </c>
    </row>
    <row r="722" spans="14:21" x14ac:dyDescent="0.25">
      <c r="N722" s="47">
        <v>3</v>
      </c>
      <c r="O722" s="47">
        <v>3</v>
      </c>
      <c r="T722" s="295">
        <v>2</v>
      </c>
      <c r="U722" s="295">
        <v>3</v>
      </c>
    </row>
    <row r="723" spans="14:21" x14ac:dyDescent="0.25">
      <c r="N723" s="47">
        <v>3</v>
      </c>
      <c r="O723" s="47">
        <v>3</v>
      </c>
      <c r="T723" s="295">
        <v>2</v>
      </c>
      <c r="U723" s="295">
        <v>5</v>
      </c>
    </row>
    <row r="724" spans="14:21" x14ac:dyDescent="0.25">
      <c r="N724" s="47">
        <v>3</v>
      </c>
      <c r="O724" s="47">
        <v>3</v>
      </c>
      <c r="T724" s="295">
        <v>2</v>
      </c>
      <c r="U724" s="295">
        <v>3</v>
      </c>
    </row>
    <row r="725" spans="14:21" x14ac:dyDescent="0.25">
      <c r="N725" s="47">
        <v>2</v>
      </c>
      <c r="O725" s="47">
        <v>3</v>
      </c>
      <c r="T725" s="295">
        <v>2</v>
      </c>
      <c r="U725" s="295">
        <v>3</v>
      </c>
    </row>
    <row r="726" spans="14:21" x14ac:dyDescent="0.25">
      <c r="N726" s="47">
        <v>3</v>
      </c>
      <c r="O726" s="47">
        <v>3</v>
      </c>
      <c r="T726" s="295">
        <v>3</v>
      </c>
      <c r="U726" s="295">
        <v>3</v>
      </c>
    </row>
    <row r="727" spans="14:21" x14ac:dyDescent="0.25">
      <c r="N727" s="47">
        <v>3</v>
      </c>
      <c r="O727" s="47">
        <v>3</v>
      </c>
      <c r="T727" s="295">
        <v>3</v>
      </c>
      <c r="U727" s="295">
        <v>3</v>
      </c>
    </row>
    <row r="728" spans="14:21" x14ac:dyDescent="0.25">
      <c r="N728" s="47">
        <v>2</v>
      </c>
      <c r="O728" s="47">
        <v>3</v>
      </c>
      <c r="T728" s="295">
        <v>2</v>
      </c>
      <c r="U728" s="295">
        <v>4</v>
      </c>
    </row>
    <row r="729" spans="14:21" x14ac:dyDescent="0.25">
      <c r="N729" s="47">
        <v>3</v>
      </c>
      <c r="O729" s="47">
        <v>3</v>
      </c>
      <c r="T729" s="295">
        <v>3</v>
      </c>
      <c r="U729" s="295">
        <v>3</v>
      </c>
    </row>
    <row r="730" spans="14:21" x14ac:dyDescent="0.25">
      <c r="N730" s="47">
        <v>2</v>
      </c>
      <c r="O730" s="47">
        <v>4</v>
      </c>
      <c r="T730" s="295">
        <v>2</v>
      </c>
      <c r="U730" s="295">
        <v>3</v>
      </c>
    </row>
    <row r="731" spans="14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14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14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14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14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14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</row>
    <row r="934" spans="14:21" x14ac:dyDescent="0.25">
      <c r="N934" s="47">
        <v>2</v>
      </c>
      <c r="O934" s="47">
        <v>3</v>
      </c>
    </row>
    <row r="935" spans="14:21" x14ac:dyDescent="0.25">
      <c r="N935" s="47">
        <v>3</v>
      </c>
      <c r="O935" s="47">
        <v>3</v>
      </c>
    </row>
    <row r="936" spans="14:21" x14ac:dyDescent="0.25">
      <c r="N936" s="47">
        <v>4</v>
      </c>
      <c r="O936" s="47">
        <v>3</v>
      </c>
    </row>
    <row r="937" spans="14:21" x14ac:dyDescent="0.25">
      <c r="N937" s="47">
        <v>2</v>
      </c>
      <c r="O937" s="47">
        <v>5</v>
      </c>
    </row>
    <row r="938" spans="14:21" x14ac:dyDescent="0.25">
      <c r="N938" s="47">
        <v>3</v>
      </c>
      <c r="O938" s="47">
        <v>3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96"/>
  <sheetViews>
    <sheetView topLeftCell="A91" workbookViewId="0">
      <selection activeCell="H103" sqref="H103"/>
    </sheetView>
  </sheetViews>
  <sheetFormatPr defaultColWidth="9.140625" defaultRowHeight="15" x14ac:dyDescent="0.25"/>
  <cols>
    <col min="1" max="1" width="16.5703125" style="691" customWidth="1"/>
    <col min="2" max="2" width="27.140625" style="832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31"/>
      <c r="C1" s="703"/>
      <c r="D1" s="703"/>
      <c r="E1" s="1143" t="s">
        <v>443</v>
      </c>
      <c r="F1" s="1143"/>
      <c r="G1" s="1143"/>
      <c r="H1" s="1143"/>
      <c r="I1" s="1143"/>
      <c r="J1" s="1143"/>
      <c r="L1" s="1137" t="s">
        <v>444</v>
      </c>
      <c r="M1" s="1137"/>
    </row>
    <row r="2" spans="1:13" s="693" customFormat="1" ht="15" customHeight="1" x14ac:dyDescent="0.25">
      <c r="A2" s="703"/>
      <c r="B2" s="831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31"/>
      <c r="C3" s="702"/>
      <c r="D3" s="702"/>
      <c r="E3" s="706" cm="1">
        <f t="array" ref="E3">SUMIF($F6:$F99999,"&gt;0") / SCOUT_DAYS_FROM_EARLIEST * 30</f>
        <v>22522.119672301698</v>
      </c>
      <c r="F3" s="706" cm="1">
        <f t="array" ref="F3">SUMIF($H6:$H99999,"&gt;0") / SCOUT_DAYS_FROM_EARLIEST * 30</f>
        <v>56884.703930313517</v>
      </c>
      <c r="G3" s="706"/>
      <c r="H3" s="706" cm="1">
        <f t="array" ref="H3">(SUMIF($F6:$F99999,"&gt;0") + SUMIF($H6:$H99999,"&gt;0")) / SCOUT_DAYS_FROM_EARLIEST * 30</f>
        <v>79406.823602615215</v>
      </c>
      <c r="I3" s="706" cm="1">
        <f t="array" ref="I3">(SUMIF($F6:$F99999,"&lt;0") + SUMIF($H6:$H99999,"&lt;0")) / SCOUT_DAYS_FROM_EARLIEST * 30</f>
        <v>-82303.847350411612</v>
      </c>
      <c r="J3" s="706">
        <f>H3+I3</f>
        <v>-2897.0237477963965</v>
      </c>
      <c r="L3" s="95" cm="1">
        <f t="array" ref="L3">SUM(L6:L99999) / SCOUT_DAYS_FROM_EARLIEST * 30</f>
        <v>69553.95623768706</v>
      </c>
      <c r="M3" s="709" cm="1">
        <f t="array" ref="M3">SUM(M6:M99999) / SCOUT_DAYS_FROM_EARLIEST * 30</f>
        <v>1293.2075080369491</v>
      </c>
    </row>
    <row r="4" spans="1:13" s="694" customFormat="1" ht="15" customHeight="1" x14ac:dyDescent="0.25">
      <c r="A4" s="1144" t="s">
        <v>388</v>
      </c>
      <c r="B4" s="1108" t="s">
        <v>395</v>
      </c>
      <c r="C4" s="1108" t="s">
        <v>82</v>
      </c>
      <c r="D4" s="1108"/>
      <c r="E4" s="1108"/>
      <c r="F4" s="1108" t="s">
        <v>94</v>
      </c>
      <c r="G4" s="1108"/>
      <c r="H4" s="1108"/>
      <c r="I4" s="1108"/>
      <c r="J4" s="1108"/>
      <c r="K4" s="795" t="s">
        <v>443</v>
      </c>
      <c r="L4" s="1108" t="s">
        <v>405</v>
      </c>
      <c r="M4" s="1108"/>
    </row>
    <row r="5" spans="1:13" s="687" customFormat="1" ht="15" customHeight="1" x14ac:dyDescent="0.25">
      <c r="A5" s="1145"/>
      <c r="B5" s="942"/>
      <c r="C5" s="687" t="s">
        <v>389</v>
      </c>
      <c r="D5" s="687" t="s">
        <v>390</v>
      </c>
      <c r="E5" s="687" t="s">
        <v>392</v>
      </c>
      <c r="F5" s="689" t="s">
        <v>389</v>
      </c>
      <c r="G5" s="797" t="s">
        <v>483</v>
      </c>
      <c r="H5" s="689" t="s">
        <v>390</v>
      </c>
      <c r="I5" s="689" t="s">
        <v>392</v>
      </c>
      <c r="J5" s="221" t="s">
        <v>404</v>
      </c>
      <c r="K5" s="796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32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32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32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32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32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32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32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32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32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32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33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32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33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32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32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32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32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32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32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32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32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32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32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32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32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32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32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32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32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32" t="s">
        <v>479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32" t="s">
        <v>480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32" t="s">
        <v>481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33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32" t="s">
        <v>484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32" t="s">
        <v>503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L19"/>
  <sheetViews>
    <sheetView workbookViewId="0">
      <selection activeCell="H16" sqref="H16"/>
    </sheetView>
  </sheetViews>
  <sheetFormatPr defaultColWidth="9.140625" defaultRowHeight="15" x14ac:dyDescent="0.25"/>
  <cols>
    <col min="1" max="2" width="11.5703125" style="783" customWidth="1"/>
    <col min="3" max="3" width="25.85546875" style="781" customWidth="1"/>
    <col min="4" max="4" width="8.42578125" style="781" customWidth="1"/>
    <col min="5" max="5" width="9.140625" style="599"/>
    <col min="6" max="16384" width="9.140625" style="781"/>
  </cols>
  <sheetData>
    <row r="1" spans="1:12" s="785" customFormat="1" x14ac:dyDescent="0.25">
      <c r="A1" s="798"/>
      <c r="B1" s="798"/>
      <c r="C1" s="798"/>
      <c r="D1" s="787" t="s">
        <v>475</v>
      </c>
      <c r="E1" s="784" t="s">
        <v>474</v>
      </c>
      <c r="G1" s="857" t="s">
        <v>44</v>
      </c>
      <c r="H1" s="787" t="s">
        <v>133</v>
      </c>
      <c r="I1" s="787" t="s">
        <v>476</v>
      </c>
      <c r="J1" s="787" t="s">
        <v>389</v>
      </c>
      <c r="K1" s="787" t="s">
        <v>478</v>
      </c>
      <c r="L1" s="790" t="s">
        <v>477</v>
      </c>
    </row>
    <row r="2" spans="1:12" s="785" customFormat="1" x14ac:dyDescent="0.25">
      <c r="A2" s="799"/>
      <c r="B2" s="799"/>
      <c r="C2" s="799"/>
      <c r="D2" s="785">
        <f>SUM(D4:D1048576)</f>
        <v>4973</v>
      </c>
      <c r="E2" s="599">
        <f ca="1">D2/(NOW()-$A$4)</f>
        <v>32.013720663287678</v>
      </c>
      <c r="G2" s="857"/>
      <c r="H2" s="785">
        <v>36</v>
      </c>
      <c r="I2" s="785">
        <v>1</v>
      </c>
      <c r="J2" s="785">
        <v>11315</v>
      </c>
      <c r="K2" s="785">
        <v>103814</v>
      </c>
      <c r="L2" s="785">
        <v>0</v>
      </c>
    </row>
    <row r="3" spans="1:12" s="782" customFormat="1" ht="15" customHeight="1" x14ac:dyDescent="0.25">
      <c r="A3" s="788" t="s">
        <v>457</v>
      </c>
      <c r="B3" s="788" t="s">
        <v>459</v>
      </c>
      <c r="C3" s="786" t="s">
        <v>456</v>
      </c>
      <c r="D3" s="786" t="s">
        <v>458</v>
      </c>
      <c r="E3" s="789" t="s">
        <v>474</v>
      </c>
      <c r="G3" s="1137" t="s">
        <v>45</v>
      </c>
      <c r="H3" s="787" t="s">
        <v>133</v>
      </c>
      <c r="I3" s="787" t="s">
        <v>476</v>
      </c>
      <c r="J3" s="787" t="s">
        <v>389</v>
      </c>
      <c r="K3" s="790" t="s">
        <v>478</v>
      </c>
    </row>
    <row r="4" spans="1:12" x14ac:dyDescent="0.25">
      <c r="A4" s="783">
        <v>43853</v>
      </c>
      <c r="B4" s="783">
        <v>43859</v>
      </c>
      <c r="C4" s="781" t="s">
        <v>460</v>
      </c>
      <c r="D4" s="781">
        <v>762</v>
      </c>
      <c r="E4" s="599">
        <f>D4/(B4-A4)</f>
        <v>127</v>
      </c>
      <c r="G4" s="1137"/>
      <c r="H4" s="781">
        <v>0</v>
      </c>
      <c r="I4" s="781">
        <v>0</v>
      </c>
      <c r="J4" s="781">
        <v>515</v>
      </c>
      <c r="K4" s="781">
        <v>99014</v>
      </c>
    </row>
    <row r="5" spans="1:12" x14ac:dyDescent="0.25">
      <c r="A5" s="783">
        <v>43859</v>
      </c>
      <c r="B5" s="783">
        <v>43878</v>
      </c>
      <c r="C5" s="781" t="s">
        <v>461</v>
      </c>
      <c r="D5" s="781">
        <v>217</v>
      </c>
      <c r="E5" s="599">
        <f t="shared" ref="E5:E19" si="0">D5/(B5-A5)</f>
        <v>11.421052631578947</v>
      </c>
      <c r="J5" s="781" t="s">
        <v>475</v>
      </c>
      <c r="K5" s="781">
        <f>-((H4-H2) + (I4-I2) * 10 + (J4-J2) / 120 + (K4-K2) / 120 + L2)</f>
        <v>176</v>
      </c>
    </row>
    <row r="6" spans="1:12" x14ac:dyDescent="0.25">
      <c r="A6" s="783">
        <v>43865</v>
      </c>
      <c r="B6" s="783">
        <v>43878</v>
      </c>
      <c r="C6" s="781" t="s">
        <v>462</v>
      </c>
      <c r="D6" s="781">
        <v>224</v>
      </c>
      <c r="E6" s="599">
        <f t="shared" si="0"/>
        <v>17.23076923076923</v>
      </c>
    </row>
    <row r="7" spans="1:12" x14ac:dyDescent="0.25">
      <c r="A7" s="783">
        <v>43875</v>
      </c>
      <c r="B7" s="783">
        <v>43889</v>
      </c>
      <c r="C7" s="781" t="s">
        <v>463</v>
      </c>
      <c r="D7" s="781">
        <v>250</v>
      </c>
      <c r="E7" s="599">
        <f t="shared" si="0"/>
        <v>17.857142857142858</v>
      </c>
    </row>
    <row r="8" spans="1:12" x14ac:dyDescent="0.25">
      <c r="A8" s="783">
        <v>43889</v>
      </c>
      <c r="B8" s="783">
        <v>43902</v>
      </c>
      <c r="C8" s="781" t="s">
        <v>464</v>
      </c>
      <c r="D8" s="781">
        <v>785</v>
      </c>
      <c r="E8" s="599">
        <f t="shared" si="0"/>
        <v>60.384615384615387</v>
      </c>
    </row>
    <row r="9" spans="1:12" x14ac:dyDescent="0.25">
      <c r="A9" s="783">
        <v>43893</v>
      </c>
      <c r="B9" s="783">
        <v>43902</v>
      </c>
      <c r="C9" s="781" t="s">
        <v>465</v>
      </c>
      <c r="D9" s="781">
        <v>6</v>
      </c>
      <c r="E9" s="599">
        <f t="shared" si="0"/>
        <v>0.66666666666666663</v>
      </c>
    </row>
    <row r="10" spans="1:12" x14ac:dyDescent="0.25">
      <c r="A10" s="783">
        <v>43902</v>
      </c>
      <c r="B10" s="783">
        <v>43917</v>
      </c>
      <c r="C10" s="781" t="s">
        <v>408</v>
      </c>
      <c r="D10" s="781">
        <v>334</v>
      </c>
      <c r="E10" s="599">
        <f t="shared" si="0"/>
        <v>22.266666666666666</v>
      </c>
    </row>
    <row r="11" spans="1:12" x14ac:dyDescent="0.25">
      <c r="A11" s="783">
        <v>43917</v>
      </c>
      <c r="B11" s="783">
        <v>43923</v>
      </c>
      <c r="C11" s="781" t="s">
        <v>466</v>
      </c>
      <c r="D11" s="781">
        <v>359</v>
      </c>
      <c r="E11" s="599">
        <f t="shared" si="0"/>
        <v>59.833333333333336</v>
      </c>
    </row>
    <row r="12" spans="1:12" x14ac:dyDescent="0.25">
      <c r="A12" s="783">
        <v>43923</v>
      </c>
      <c r="B12" s="783">
        <v>43934</v>
      </c>
      <c r="C12" s="781" t="s">
        <v>467</v>
      </c>
      <c r="D12" s="781">
        <v>20</v>
      </c>
      <c r="E12" s="599">
        <f t="shared" si="0"/>
        <v>1.8181818181818181</v>
      </c>
    </row>
    <row r="13" spans="1:12" x14ac:dyDescent="0.25">
      <c r="A13" s="783">
        <v>43927</v>
      </c>
      <c r="B13" s="783">
        <v>43934</v>
      </c>
      <c r="C13" s="781" t="s">
        <v>468</v>
      </c>
      <c r="D13" s="781">
        <v>429</v>
      </c>
      <c r="E13" s="599">
        <f t="shared" si="0"/>
        <v>61.285714285714285</v>
      </c>
    </row>
    <row r="14" spans="1:12" x14ac:dyDescent="0.25">
      <c r="A14" s="783">
        <v>43934</v>
      </c>
      <c r="B14" s="783">
        <v>43941</v>
      </c>
      <c r="C14" s="781" t="s">
        <v>469</v>
      </c>
      <c r="D14" s="781">
        <v>60</v>
      </c>
      <c r="E14" s="599">
        <f t="shared" si="0"/>
        <v>8.5714285714285712</v>
      </c>
    </row>
    <row r="15" spans="1:12" x14ac:dyDescent="0.25">
      <c r="A15" s="783">
        <v>43945</v>
      </c>
      <c r="B15" s="783">
        <v>43951</v>
      </c>
      <c r="C15" s="781" t="s">
        <v>470</v>
      </c>
      <c r="D15" s="781">
        <v>226</v>
      </c>
      <c r="E15" s="599">
        <f t="shared" si="0"/>
        <v>37.666666666666664</v>
      </c>
    </row>
    <row r="16" spans="1:12" x14ac:dyDescent="0.25">
      <c r="A16" s="783">
        <v>43951</v>
      </c>
      <c r="B16" s="783">
        <v>43963</v>
      </c>
      <c r="C16" s="781" t="s">
        <v>473</v>
      </c>
      <c r="D16" s="781">
        <v>292</v>
      </c>
      <c r="E16" s="599">
        <f t="shared" si="0"/>
        <v>24.333333333333332</v>
      </c>
    </row>
    <row r="17" spans="1:5" x14ac:dyDescent="0.25">
      <c r="A17" s="783">
        <v>43963</v>
      </c>
      <c r="B17" s="783">
        <v>43980</v>
      </c>
      <c r="C17" s="781" t="s">
        <v>471</v>
      </c>
      <c r="D17" s="781">
        <v>595</v>
      </c>
      <c r="E17" s="599">
        <f t="shared" si="0"/>
        <v>35</v>
      </c>
    </row>
    <row r="18" spans="1:5" x14ac:dyDescent="0.25">
      <c r="A18" s="783">
        <v>43980</v>
      </c>
      <c r="B18" s="783">
        <v>43985</v>
      </c>
      <c r="C18" s="781" t="s">
        <v>472</v>
      </c>
      <c r="D18" s="781">
        <v>238</v>
      </c>
      <c r="E18" s="599">
        <f t="shared" si="0"/>
        <v>47.6</v>
      </c>
    </row>
    <row r="19" spans="1:5" x14ac:dyDescent="0.25">
      <c r="A19" s="783">
        <v>43994</v>
      </c>
      <c r="B19" s="783">
        <v>44004</v>
      </c>
      <c r="C19" s="794" t="s">
        <v>482</v>
      </c>
      <c r="D19" s="781">
        <v>176</v>
      </c>
      <c r="E19" s="599">
        <f t="shared" si="0"/>
        <v>17.600000000000001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A2" sqref="A1:G14"/>
    </sheetView>
  </sheetViews>
  <sheetFormatPr defaultRowHeight="15" customHeight="1" x14ac:dyDescent="0.25"/>
  <cols>
    <col min="1" max="1" width="5.140625" style="800" customWidth="1"/>
    <col min="2" max="4" width="7.7109375" style="800" customWidth="1"/>
    <col min="5" max="5" width="7.7109375" style="805" customWidth="1"/>
    <col min="6" max="7" width="7.28515625" style="800" customWidth="1"/>
    <col min="8" max="16384" width="9.140625" style="800"/>
  </cols>
  <sheetData>
    <row r="1" spans="1:7" ht="43.5" customHeight="1" x14ac:dyDescent="0.25">
      <c r="A1" s="1149" t="s">
        <v>502</v>
      </c>
      <c r="B1" s="1150"/>
      <c r="C1" s="1150"/>
      <c r="D1" s="1150"/>
      <c r="E1" s="1150"/>
      <c r="F1" s="1150"/>
      <c r="G1" s="1151"/>
    </row>
    <row r="2" spans="1:7" s="812" customFormat="1" ht="17.25" customHeight="1" x14ac:dyDescent="0.25">
      <c r="A2" s="1107" t="s">
        <v>493</v>
      </c>
      <c r="B2" s="1108"/>
      <c r="C2" s="1108"/>
      <c r="D2" s="1108"/>
      <c r="E2" s="1109"/>
      <c r="F2" s="1108" t="s">
        <v>498</v>
      </c>
      <c r="G2" s="1109"/>
    </row>
    <row r="3" spans="1:7" s="804" customFormat="1" ht="15" customHeight="1" x14ac:dyDescent="0.25">
      <c r="A3" s="808" t="s">
        <v>486</v>
      </c>
      <c r="B3" s="809" t="s">
        <v>488</v>
      </c>
      <c r="C3" s="809" t="s">
        <v>489</v>
      </c>
      <c r="D3" s="809" t="s">
        <v>490</v>
      </c>
      <c r="E3" s="810" t="s">
        <v>499</v>
      </c>
      <c r="F3" s="809" t="s">
        <v>491</v>
      </c>
      <c r="G3" s="803" t="s">
        <v>492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15" t="s">
        <v>12</v>
      </c>
      <c r="B5" s="823">
        <f>SUM(D虛空!B:B) / SUM(D虛空!A:A)</f>
        <v>13.080597014925374</v>
      </c>
      <c r="C5" s="823">
        <f>SUM(D虛空!D:D) / SUM(D虛空!C:C)</f>
        <v>4.5104477611940297</v>
      </c>
      <c r="D5" s="828">
        <f>SUM(D虛空!F:F) / SUM(D虛空!E:E)</f>
        <v>0.52054794520547942</v>
      </c>
      <c r="E5" s="830">
        <f>SUM(D虛空!H:H) / SUM(D虛空!G:G)</f>
        <v>0.97777777777777775</v>
      </c>
      <c r="F5" s="829">
        <f>MAX(75*SUBSTITUTE(F3,"把","")/$B5,20*SUBSTITUTE(F3,"把","")/$C5,3*SUBSTITUTE(F3,"把","")/$D5)</f>
        <v>5.7631578947368425</v>
      </c>
      <c r="G5" s="825">
        <f>MAX(75*SUBSTITUTE(G3,"把","")/$B5,20*SUBSTITUTE(G3,"把","")/$C5,3*SUBSTITUTE(G3,"把","")/$D5)</f>
        <v>46.10526315789474</v>
      </c>
    </row>
    <row r="6" spans="1:7" ht="15" customHeight="1" x14ac:dyDescent="0.25">
      <c r="A6" s="811" t="s">
        <v>11</v>
      </c>
      <c r="B6" s="824"/>
      <c r="C6" s="824"/>
      <c r="D6" s="47"/>
      <c r="E6" s="820"/>
      <c r="F6" s="239"/>
      <c r="G6" s="578"/>
    </row>
    <row r="7" spans="1:7" ht="15" customHeight="1" x14ac:dyDescent="0.25">
      <c r="A7" s="826" t="s">
        <v>9</v>
      </c>
      <c r="B7" s="262"/>
      <c r="C7" s="262"/>
      <c r="D7" s="262"/>
      <c r="E7" s="821"/>
      <c r="F7" s="239"/>
      <c r="G7" s="578"/>
    </row>
    <row r="8" spans="1:7" ht="15" customHeight="1" x14ac:dyDescent="0.25">
      <c r="A8" s="806" t="s">
        <v>8</v>
      </c>
      <c r="B8" s="168"/>
      <c r="C8" s="168"/>
      <c r="D8" s="168"/>
      <c r="E8" s="822"/>
      <c r="F8" s="807"/>
      <c r="G8" s="580"/>
    </row>
    <row r="9" spans="1:7" ht="15" customHeight="1" x14ac:dyDescent="0.25">
      <c r="A9" s="1152" t="s">
        <v>494</v>
      </c>
      <c r="B9" s="1153"/>
      <c r="C9" s="1153"/>
      <c r="D9" s="1153"/>
      <c r="E9" s="1153"/>
      <c r="F9" s="1153"/>
      <c r="G9" s="1154"/>
    </row>
    <row r="10" spans="1:7" ht="15" customHeight="1" x14ac:dyDescent="0.25">
      <c r="A10" s="1159" t="s">
        <v>501</v>
      </c>
      <c r="B10" s="1160"/>
      <c r="C10" s="1160"/>
      <c r="D10" s="1160"/>
      <c r="E10" s="1160"/>
      <c r="F10" s="1160"/>
      <c r="G10" s="1161"/>
    </row>
    <row r="11" spans="1:7" s="805" customFormat="1" ht="7.5" customHeight="1" x14ac:dyDescent="0.25">
      <c r="A11" s="1158" t="s">
        <v>500</v>
      </c>
      <c r="B11" s="1156"/>
      <c r="C11" s="1156"/>
      <c r="D11" s="1156"/>
      <c r="E11" s="1156"/>
      <c r="F11" s="1156"/>
      <c r="G11" s="1157"/>
    </row>
    <row r="12" spans="1:7" s="805" customFormat="1" ht="15" customHeight="1" x14ac:dyDescent="0.25">
      <c r="A12" s="1155" t="s">
        <v>497</v>
      </c>
      <c r="B12" s="1156"/>
      <c r="C12" s="1156"/>
      <c r="D12" s="1156"/>
      <c r="E12" s="1156"/>
      <c r="F12" s="1156"/>
      <c r="G12" s="1157"/>
    </row>
    <row r="13" spans="1:7" s="805" customFormat="1" ht="7.5" customHeight="1" x14ac:dyDescent="0.25">
      <c r="A13" s="1158" t="s">
        <v>500</v>
      </c>
      <c r="B13" s="1156"/>
      <c r="C13" s="1156"/>
      <c r="D13" s="1156"/>
      <c r="E13" s="1156"/>
      <c r="F13" s="1156"/>
      <c r="G13" s="1157"/>
    </row>
    <row r="14" spans="1:7" ht="15" customHeight="1" x14ac:dyDescent="0.25">
      <c r="A14" s="1148" t="s">
        <v>496</v>
      </c>
      <c r="B14" s="1146"/>
      <c r="C14" s="1146"/>
      <c r="D14" s="1146"/>
      <c r="E14" s="827"/>
      <c r="F14" s="1146" t="s">
        <v>495</v>
      </c>
      <c r="G14" s="1147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H10"/>
  <sheetViews>
    <sheetView workbookViewId="0">
      <selection activeCell="T14" sqref="T14"/>
    </sheetView>
  </sheetViews>
  <sheetFormatPr defaultRowHeight="15" customHeight="1" x14ac:dyDescent="0.25"/>
  <cols>
    <col min="1" max="1" width="5.140625" style="816" customWidth="1"/>
    <col min="2" max="7" width="5.140625" style="265" customWidth="1"/>
    <col min="8" max="8" width="5.140625" style="817" customWidth="1"/>
    <col min="9" max="16384" width="9.140625" style="800"/>
  </cols>
  <sheetData>
    <row r="1" spans="1:8" s="802" customFormat="1" ht="15" customHeight="1" x14ac:dyDescent="0.25">
      <c r="A1" s="1162" t="s">
        <v>487</v>
      </c>
      <c r="B1" s="1163"/>
      <c r="C1" s="1163"/>
      <c r="D1" s="1163"/>
      <c r="E1" s="1163"/>
      <c r="F1" s="1163"/>
      <c r="G1" s="813"/>
      <c r="H1" s="814"/>
    </row>
    <row r="2" spans="1:8" s="801" customFormat="1" ht="15" customHeight="1" x14ac:dyDescent="0.25">
      <c r="A2" s="818" t="s">
        <v>25</v>
      </c>
      <c r="B2" s="144" t="s">
        <v>78</v>
      </c>
      <c r="C2" s="144" t="s">
        <v>25</v>
      </c>
      <c r="D2" s="144" t="s">
        <v>485</v>
      </c>
      <c r="E2" s="144" t="s">
        <v>25</v>
      </c>
      <c r="F2" s="144" t="s">
        <v>218</v>
      </c>
      <c r="G2" s="144" t="s">
        <v>25</v>
      </c>
      <c r="H2" s="819" t="s">
        <v>213</v>
      </c>
    </row>
    <row r="3" spans="1:8" ht="15" customHeight="1" x14ac:dyDescent="0.25">
      <c r="A3" s="816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7">
        <v>84</v>
      </c>
    </row>
    <row r="4" spans="1:8" ht="15" customHeight="1" x14ac:dyDescent="0.25">
      <c r="A4" s="816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7">
        <v>90</v>
      </c>
    </row>
    <row r="5" spans="1:8" ht="15" customHeight="1" x14ac:dyDescent="0.25">
      <c r="A5" s="816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7">
        <v>98</v>
      </c>
    </row>
    <row r="6" spans="1:8" ht="15" customHeight="1" x14ac:dyDescent="0.25">
      <c r="A6" s="816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7">
        <v>36</v>
      </c>
    </row>
    <row r="7" spans="1:8" ht="15" customHeight="1" x14ac:dyDescent="0.25">
      <c r="A7" s="816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8" ht="15" customHeight="1" x14ac:dyDescent="0.25">
      <c r="E8" s="265">
        <v>99</v>
      </c>
      <c r="F8" s="265">
        <v>45</v>
      </c>
    </row>
    <row r="9" spans="1:8" ht="15" customHeight="1" x14ac:dyDescent="0.25">
      <c r="E9" s="265">
        <v>99</v>
      </c>
      <c r="F9" s="265">
        <v>46</v>
      </c>
    </row>
    <row r="10" spans="1:8" ht="15" customHeight="1" x14ac:dyDescent="0.25">
      <c r="E10" s="265">
        <v>37</v>
      </c>
      <c r="F10" s="265">
        <v>18</v>
      </c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64" t="str">
        <f>B1&amp; "日"</f>
        <v>1日</v>
      </c>
      <c r="G1" s="1165"/>
      <c r="H1" s="1165"/>
      <c r="I1" s="1164" t="str">
        <f>C1 &amp; "日"</f>
        <v>7日</v>
      </c>
      <c r="J1" s="1165"/>
      <c r="K1" s="1165"/>
      <c r="L1" s="1164" t="s">
        <v>147</v>
      </c>
      <c r="M1" s="1165"/>
      <c r="N1" s="1165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-259 D 03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-261 D 19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-270 D 13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-276 D 01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-262 D 14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-056 D 23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-154 D 23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-207 D 17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-223 D 23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-243 D 12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-255 D 13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-280 D 03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-259 D 05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-264 D 21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-269 D 06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-276 D 02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-277 D 23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-272 D 18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-247 D 00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-235 D 23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-252 D 05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-251 D 06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-262 D 03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-253 D 20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-257 D 19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-258 D 05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-253 D 14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-254 D 22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-266 D 13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-254 D 04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-255 D 11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-265 D 21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-256 D 09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-255 D 15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-265 D 10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-256 D 12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-255 D 22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-245 D 22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-256 D 19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-256 D 12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-244 D 17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-257 D 13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-253 D 20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-251 D 15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-257 D 21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-256 D 09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-258 D 19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-258 D 05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-257 D 05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-265 D 09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-258 D 12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-257 D 14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-270 D 08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-258 D 23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-258 D 15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-261 D 05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-257 D 21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-255 D 17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-261 D 21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-256 D 19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-256 D 10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-247 D 16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-256 D 13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-257 D 16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-246 D 17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-255 D 20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-254 D 23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-243 D 19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-254 D 19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-255 D 04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-232 D 06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-254 D 17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-255 D 10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-235 D 16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-254 D 08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-255 D 15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-241 D 13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-254 D 12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-256 D 04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-247 D 18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-254 D 15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-256 D 17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-240 D 03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-256 D 00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-254 D 20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-256 D 15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-256 D 01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-255 D 18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-256 D 16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-256 D 03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-256 D 03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-241 D 08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-255 D 12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-254 D 19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-249 D 19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-256 D 01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-256 D 00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-267 D 07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-257 D 05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-258 D 03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-266 D 16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-257 D 10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-257 D 05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-270 D 19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-258 D 05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-258 D 02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-275 D 20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-258 D 22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-259 D 14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-278 D 12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-260 D 06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-260 D 12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-279 D 18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-261 D 06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-260 D 17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-287 D 00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-262 D 17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-261 D 05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-287 D 03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-263 D 18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-261 D 18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-287 D 09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-264 D 18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-262 D 00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-288 D 04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-265 D 13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-262 D 13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-288 D 13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-266 D 14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-262 D 20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-287 D 04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-267 D 03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-262 D 21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-287 D 07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-268 D 02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-263 D 05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-287 D 12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-268 D 14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-263 D 10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-282 D 11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-268 D 16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-262 D 17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-280 D 02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-268 D 23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-262 D 23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-279 D 09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-269 D 07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-263 D 07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-273 D 20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-270 D 04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-263 D 20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-276 D 15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-270 D 15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-264 D 09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-278 D 17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-271 D 06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-265 D 00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-281 D 16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-272 D 03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-265 D 11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-287 D 20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-273 D 18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-266 D 00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-291 D 08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-275 D 10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-267 D 07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-290 D 23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-276 D 13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-267 D 17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-289 D 15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-277 D 01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-267 D 23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-289 D 12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-277 D 12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-268 D 05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-289 D 09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-278 D 12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-268 D 08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-289 D 10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-278 D 21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-268 D 12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-286 D 03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-279 D 02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-268 D 14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-279 D 17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-281 D 02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-269 D 01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-279 D 12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-281 D 20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-269 D 05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-279 D 02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-281 D 23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-269 D 06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-279 D 12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-282 D 17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-269 D 11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-277 D 07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-284 D 05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-269 D 11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-277 D 10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-284 D 04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-270 D 02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-278 D 22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-284 D 00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-270 D 09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-280 D 00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-284 D 10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-270 D 18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-284 D 17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-284 D 11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-271 D 09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-284 D 22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-284 D 10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-271 D 12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-275 D 06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-283 D 22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-270 D 15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-273 D 05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-283 D 16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-270 D 19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-271 D 14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-283 D 14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-271 D 11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-283 D 13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-283 D 13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-272 D 13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-285 D 23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-283 D 12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-272 D 17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-289 D 08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-283 D 10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-273 D 07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-288 D 18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-283 D 10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-273 D 11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-288 D 13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-283 D 12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-273 D 13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-288 D 17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-283 D 15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-273 D 20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-288 D 20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-283 D 17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-273 D 22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-275 D 10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-282 D 18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-272 D 18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-252 D 03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-282 D 01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-272 D 21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-255 D 16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-281 D 20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-273 D 04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-260 D 14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-281 D 18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-273 D 07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-269 D 16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-281 D 12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-273 D 11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-283 D 17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-281 D 09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-273 D 17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-284 D 06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-281 D 09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-273 D 20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-284 D 15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-281 D 08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-273 D 22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-286 D 00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-281 D 11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-274 D 06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-286 D 13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-281 D 15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-274 D 10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-282 D 15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-281 D 07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-273 D 22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-276 D 03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-281 D 06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-273 D 23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-272 D 22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-281 D 02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-273 D 22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-272 D 23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-281 D 00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-274 D 00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-236 D 09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-279 D 18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-272 D 16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-257 D 21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-279 D 13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-273 D 13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-289 D 23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-279 D 13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-275 D 04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-221 D 21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-274 D 19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-273 D 04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-230 D 14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-272 D 22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-272 D 16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-236 D 02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-272 D 05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-272 D 18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-268 D 20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-271 D 19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-272 D 19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-278 D 15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-271 D 05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-273 D 07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-274 D 02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-270 D 03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-272 D 22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-272 D 06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-270 D 21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-273 D 08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-274 D 18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-271 D 13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-273 D 10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-277 D 09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-271 D 23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-273 D 06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-276 D 22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-273 D 01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-273 D 16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-277 D 09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-272 D 12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-273 D 12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-278 D 04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-273 D 04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-273 D 19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-274 D 08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-273 D 11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-273 D 15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-277 D 01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-273 D 23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-273 D 21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-278 D 04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-276 D 23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-274 D 10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-277 D 19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-277 D 00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-274 D 10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-276 D 22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-276 D 22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-274 D 08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-275 D 12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-276 D 15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-274 D 12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-274 D 16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-275 D 23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-274 D 08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-274 D 20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-275 D 22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-274 D 11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-275 D 13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-275 D 20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-274 D 14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-276 D 07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-275 D 21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-274 D 15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-269 D 19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-275 D 08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-274 D 05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-269 D 15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-274 D 21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-274 D 07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-269 D 18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-274 D 16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-274 D 05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-271 D 06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-274 D 15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-274 D 07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-274 D 23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-274 D 15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-274 D 08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-275 D 11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-274 D 16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-274 D 10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-276 D 04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-274 D 18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-274 D 11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-273 D 18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-274 D 10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-274 D 04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-278 D 19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-274 D 11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-274 D 14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-278 D 05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-274 D 13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-274 D 13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-276 D 06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-274 D 10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-274 D 09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-276 D 00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-274 D 12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-274 D 11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-274 D 15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-274 D 19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-274 D 16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-277 D 20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-275 D 02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-274 D 20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-278 D 14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-275 D 06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-274 D 21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-277 D 12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-275 D 05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-274 D 17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-278 D 04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-275 D 07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-274 D 18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-276 D 21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-275 D 09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-274 D 20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-275 D 23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-275 D 12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-274 D 22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-276 D 13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-275 D 19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-275 D 01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-278 D 07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-275 D 23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-275 D 02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-275 D 07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-275 D 23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-274 D 23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-275 D 10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-276 D 01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-275 D 01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-276 D 05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-276 D 08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-275 D 06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-276 D 12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-276 D 11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-275 D 05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-277 D 16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-276 D 13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-275 D 06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-277 D 01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-276 D 18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-275 D 07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-276 D 08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-276 D 20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-275 D 08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-274 D 23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-276 D 21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-275 D 07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-275 D 09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-276 D 21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-275 D 09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-275 D 15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-276 D 23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-275 D 10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-275 D 15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-276 D 22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-275 D 09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-276 D 00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-276 D 23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-275 D 12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-276 D 04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-276 D 23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-275 D 12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-276 D 05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-276 D 22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-275 D 11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-275 D 01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-276 D 18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-275 D 09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-276 D 06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-276 D 21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-275 D 15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-277 D 20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-277 D 00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-275 D 18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-277 D 13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-276 D 22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-275 D 17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-277 D 15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-276 D 23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-275 D 18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-278 D 16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-277 D 01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-275 D 21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-278 D 20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-277 D 02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-275 D 23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-278 D 22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-277 D 06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-276 D 03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-279 D 09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-277 D 08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-276 D 04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-276 D 08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-277 D 01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-275 D 19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-273 D 03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-277 D 00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-275 D 21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-272 D 23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-277 D 01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-275 D 23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-273 D 17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-277 D 01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-275 D 23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-274 D 09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-277 D 02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-276 D 00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-273 D 13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-276 D 19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-275 D 18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-274 D 23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-276 D 19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-275 D 19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-272 D 08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-276 D 15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-275 D 17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-273 D 03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-276 D 14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-275 D 18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-273 D 21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-276 D 14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-275 D 19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-274 D 12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-276 D 14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-275 D 20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-274 D 23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-276 D 14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-275 D 21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-275 D 17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-276 D 15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-275 D 23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-277 D 12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-276 D 16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-276 D 00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-276 D 06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-276 D 09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-275 D 17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-275 D 23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-276 D 09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-275 D 18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-276 D 19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-276 D 15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-276 D 03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-277 D 06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-276 D 14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-276 D 01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-277 D 10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-276 D 15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-276 D 03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-278 D 08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-276 D 17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-276 D 05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-278 D 08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-276 D 19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-276 D 07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-278 D 12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-276 D 21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-276 D 09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-278 D 19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-277 D 01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-276 D 12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-278 D 23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-277 D 04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-276 D 15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-279 D 11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-277 D 08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-276 D 19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-279 D 12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-277 D 10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-276 D 21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-279 D 13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-277 D 12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-276 D 22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-280 D 00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-277 D 20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-277 D 05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-279 D 22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-277 D 22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-277 D 06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-280 D 14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-278 D 15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-278 D 02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-280 D 17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-278 D 20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-278 D 06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-280 D 18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-279 D 01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-278 D 09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-280 D 19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-279 D 04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-278 D 12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-280 D 19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-279 D 10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-278 D 18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-280 D 19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-279 D 11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-278 D 18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-280 D 07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-279 D 17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-279 D 03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70">
        <v>43677.583333333336</v>
      </c>
      <c r="C1" s="1170"/>
      <c r="D1" s="233" t="s">
        <v>124</v>
      </c>
      <c r="E1" s="231" t="s">
        <v>77</v>
      </c>
      <c r="F1" s="231" t="s">
        <v>69</v>
      </c>
      <c r="G1" s="1137" t="s">
        <v>70</v>
      </c>
      <c r="H1" s="1137"/>
      <c r="I1" s="1137"/>
      <c r="J1" s="1137"/>
      <c r="K1" s="25"/>
      <c r="L1" s="230" t="s">
        <v>72</v>
      </c>
      <c r="M1" s="230"/>
      <c r="N1" s="857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70">
        <v>43688.583333333336</v>
      </c>
      <c r="C2" s="1170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69" t="str">
        <f ca="1">IF(NOW() &gt; $B$2,"",(NOW()-$B$1)/($B$2-$B$1))</f>
        <v/>
      </c>
      <c r="H2" s="1169"/>
      <c r="I2" s="1169"/>
      <c r="J2" s="1169"/>
      <c r="K2" s="25" t="s">
        <v>74</v>
      </c>
      <c r="L2" s="123">
        <v>100000</v>
      </c>
      <c r="N2" s="857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57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57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66" t="s">
        <v>71</v>
      </c>
      <c r="C5" s="1166"/>
      <c r="D5" s="1167" t="s">
        <v>128</v>
      </c>
      <c r="E5" s="1167"/>
      <c r="F5" s="1167" t="s">
        <v>73</v>
      </c>
      <c r="G5" s="1167"/>
      <c r="H5" s="1167" t="s">
        <v>76</v>
      </c>
      <c r="I5" s="1167"/>
      <c r="J5" s="1137" t="s">
        <v>126</v>
      </c>
      <c r="K5" s="1137"/>
      <c r="L5" s="1168" t="s">
        <v>127</v>
      </c>
      <c r="M5" s="1168"/>
      <c r="N5" s="1137" t="s">
        <v>125</v>
      </c>
      <c r="O5" s="1137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190" t="s">
        <v>204</v>
      </c>
      <c r="C2" s="1190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191" t="s">
        <v>17</v>
      </c>
      <c r="U3" s="1191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196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20.758620689655171</v>
      </c>
      <c r="P4" s="360">
        <f>SUM(D迎擊!C:C)</f>
        <v>29</v>
      </c>
      <c r="R4" s="1210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171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197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8.9655172413793096</v>
      </c>
      <c r="P5" s="361">
        <f>SUM(D迎擊!F:F)</f>
        <v>29</v>
      </c>
      <c r="R5" s="1210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171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02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21.111111111111111</v>
      </c>
      <c r="P6" s="362">
        <f>SUM(D迎擊!I:I)</f>
        <v>18</v>
      </c>
      <c r="R6" s="1209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192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03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9.1111111111111107</v>
      </c>
      <c r="P7" s="363">
        <f>SUM(D迎擊!L:L)</f>
        <v>18</v>
      </c>
      <c r="R7" s="1209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192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198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21.191435768261965</v>
      </c>
      <c r="P8" s="364">
        <f>SUM(D迎擊!O:O)</f>
        <v>794</v>
      </c>
      <c r="R8" s="1208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193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199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9.1234256926952142</v>
      </c>
      <c r="P9" s="365">
        <f>SUM(D迎擊!R:R)</f>
        <v>794</v>
      </c>
      <c r="R9" s="1208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193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04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21.058823529411764</v>
      </c>
      <c r="P10" s="366">
        <f>SUM(D迎擊!U:U)</f>
        <v>204</v>
      </c>
      <c r="R10" s="1207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06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05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9.0294117647058822</v>
      </c>
      <c r="P11" s="367">
        <f>SUM(D迎擊!X:X)</f>
        <v>204</v>
      </c>
      <c r="R11" s="1207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06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00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01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181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184">
        <f ca="1">SUM(MAX(L4,L5),MAX(L6,L7),MAX(L8,L9),MAX(L10,L11),MAX(L12,L13))</f>
        <v>0</v>
      </c>
      <c r="M14" s="1184">
        <f ca="1">SUM(MAX(M4,M5),MAX(M6,M7),MAX(M8,M9),MAX(M10,M11),MAX(M12,M13))</f>
        <v>0</v>
      </c>
      <c r="N14" s="1194">
        <f ca="1">MAX(SUM(N4,N6,N8,N10,N12),SUM(N5,N7,N9,N11,N13),N16,N17,N18)</f>
        <v>0</v>
      </c>
      <c r="O14" s="336">
        <f>IF(P$14=0,0,(O4*P4+O6*P6+O8*P8+O10*P10+O12*P12) / P$14)</f>
        <v>21.152153110047848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182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185"/>
      <c r="M15" s="1185"/>
      <c r="N15" s="1195"/>
      <c r="O15" s="371">
        <f>IF(P$15=0,0,(O5*P5+O7*P7+O9*P9+O11*P11+O13*P13) / P$15)</f>
        <v>9.1004784688995208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182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172">
        <f ca="1">IFERROR(ROUND(J16/(O16*INPUT_IO_DROP_RATE),0),NA())</f>
        <v>0</v>
      </c>
      <c r="M16" s="1172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25.196172248803826</v>
      </c>
      <c r="P16" s="1183">
        <f>SUM(D迎擊!AK:AK)</f>
        <v>1045</v>
      </c>
      <c r="AD16" s="49"/>
    </row>
    <row r="17" spans="2:27" x14ac:dyDescent="0.25">
      <c r="B17" s="1182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172">
        <f ca="1">IFERROR(ROUND(J17/O17,0),NA())</f>
        <v>0</v>
      </c>
      <c r="M17" s="1172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3.7779904306220096</v>
      </c>
      <c r="P17" s="1183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82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172">
        <f ca="1">IFERROR(ROUND(J18/O18,0),NA())</f>
        <v>0</v>
      </c>
      <c r="M18" s="1172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7.1157894736842104</v>
      </c>
      <c r="P18" s="1183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186" t="s">
        <v>132</v>
      </c>
      <c r="C20" s="1187"/>
      <c r="D20" s="1187"/>
      <c r="E20" s="1187"/>
      <c r="F20" s="1187"/>
      <c r="G20" s="1187"/>
      <c r="H20" s="1187"/>
      <c r="I20" s="1173">
        <v>2</v>
      </c>
      <c r="J20" s="1177" t="s">
        <v>164</v>
      </c>
      <c r="K20" s="1178"/>
      <c r="L20" s="1173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73"/>
      <c r="N20" s="1173"/>
      <c r="O20" s="1173"/>
      <c r="P20" s="1174"/>
    </row>
    <row r="21" spans="2:27" ht="22.5" customHeight="1" thickBot="1" x14ac:dyDescent="0.3">
      <c r="B21" s="1188"/>
      <c r="C21" s="1189"/>
      <c r="D21" s="1189"/>
      <c r="E21" s="1189"/>
      <c r="F21" s="1189"/>
      <c r="G21" s="1189"/>
      <c r="H21" s="1189"/>
      <c r="I21" s="1175"/>
      <c r="J21" s="1179"/>
      <c r="K21" s="1180"/>
      <c r="L21" s="1175"/>
      <c r="M21" s="1175"/>
      <c r="N21" s="1175"/>
      <c r="O21" s="1175"/>
      <c r="P21" s="1176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18" t="s">
        <v>80</v>
      </c>
      <c r="B1" s="1218"/>
      <c r="C1" s="1213" t="s">
        <v>26</v>
      </c>
      <c r="D1" s="1213" t="s">
        <v>79</v>
      </c>
      <c r="E1" s="1213"/>
      <c r="F1" s="1213" t="s">
        <v>26</v>
      </c>
      <c r="G1" s="1225" t="s">
        <v>80</v>
      </c>
      <c r="H1" s="1225"/>
      <c r="I1" s="1212" t="s">
        <v>26</v>
      </c>
      <c r="J1" s="1212" t="s">
        <v>79</v>
      </c>
      <c r="K1" s="1212"/>
      <c r="L1" s="1212" t="s">
        <v>26</v>
      </c>
      <c r="M1" s="1224" t="s">
        <v>80</v>
      </c>
      <c r="N1" s="1224"/>
      <c r="O1" s="1223" t="s">
        <v>26</v>
      </c>
      <c r="P1" s="1223" t="s">
        <v>79</v>
      </c>
      <c r="Q1" s="1223"/>
      <c r="R1" s="1223" t="s">
        <v>26</v>
      </c>
      <c r="S1" s="1217" t="s">
        <v>80</v>
      </c>
      <c r="T1" s="1217"/>
      <c r="U1" s="1216" t="s">
        <v>26</v>
      </c>
      <c r="V1" s="1216" t="s">
        <v>79</v>
      </c>
      <c r="W1" s="1216"/>
      <c r="X1" s="1216" t="s">
        <v>26</v>
      </c>
      <c r="Y1" s="1215" t="s">
        <v>80</v>
      </c>
      <c r="Z1" s="1215"/>
      <c r="AA1" s="1214" t="s">
        <v>26</v>
      </c>
      <c r="AB1" s="1214" t="s">
        <v>79</v>
      </c>
      <c r="AC1" s="1214"/>
      <c r="AD1" s="1214" t="s">
        <v>26</v>
      </c>
      <c r="AE1" s="1221" t="s">
        <v>88</v>
      </c>
      <c r="AF1" s="1221"/>
      <c r="AG1" s="1222" t="s">
        <v>89</v>
      </c>
      <c r="AH1" s="1222"/>
      <c r="AI1" s="1219" t="s">
        <v>90</v>
      </c>
      <c r="AJ1" s="1219"/>
      <c r="AK1" s="1220" t="s">
        <v>26</v>
      </c>
      <c r="AM1" s="1020" t="s">
        <v>129</v>
      </c>
      <c r="AN1" s="1211"/>
      <c r="AO1" s="1211"/>
      <c r="AP1" s="1211"/>
      <c r="AQ1" s="1211"/>
      <c r="AR1" s="1211"/>
      <c r="AS1" s="1211"/>
      <c r="AT1" s="1211"/>
      <c r="AU1" s="1021"/>
      <c r="AV1" s="239"/>
      <c r="AW1" s="1020" t="s">
        <v>58</v>
      </c>
      <c r="AX1" s="1211"/>
      <c r="AY1" s="1211"/>
      <c r="AZ1" s="1211"/>
      <c r="BA1" s="1211"/>
      <c r="BB1" s="1211"/>
      <c r="BC1" s="1211"/>
      <c r="BD1" s="1211"/>
      <c r="BE1" s="1021"/>
    </row>
    <row r="2" spans="1:57" x14ac:dyDescent="0.25">
      <c r="A2" s="260" t="s">
        <v>28</v>
      </c>
      <c r="B2" s="106" t="s">
        <v>87</v>
      </c>
      <c r="C2" s="1213"/>
      <c r="D2" s="104" t="s">
        <v>28</v>
      </c>
      <c r="E2" s="106" t="s">
        <v>87</v>
      </c>
      <c r="F2" s="1213"/>
      <c r="G2" s="256" t="s">
        <v>28</v>
      </c>
      <c r="H2" s="107" t="s">
        <v>87</v>
      </c>
      <c r="I2" s="1212"/>
      <c r="J2" s="258" t="s">
        <v>28</v>
      </c>
      <c r="K2" s="102" t="s">
        <v>87</v>
      </c>
      <c r="L2" s="1212"/>
      <c r="M2" s="254" t="s">
        <v>28</v>
      </c>
      <c r="N2" s="100" t="s">
        <v>87</v>
      </c>
      <c r="O2" s="1223"/>
      <c r="P2" s="254" t="s">
        <v>28</v>
      </c>
      <c r="Q2" s="100" t="s">
        <v>87</v>
      </c>
      <c r="R2" s="1223"/>
      <c r="S2" s="249" t="s">
        <v>28</v>
      </c>
      <c r="T2" s="98" t="s">
        <v>87</v>
      </c>
      <c r="U2" s="1216"/>
      <c r="V2" s="249" t="s">
        <v>28</v>
      </c>
      <c r="W2" s="98" t="s">
        <v>87</v>
      </c>
      <c r="X2" s="1216"/>
      <c r="Y2" s="251" t="s">
        <v>28</v>
      </c>
      <c r="Z2" s="109" t="s">
        <v>87</v>
      </c>
      <c r="AA2" s="1214"/>
      <c r="AB2" s="251" t="s">
        <v>28</v>
      </c>
      <c r="AC2" s="109" t="s">
        <v>87</v>
      </c>
      <c r="AD2" s="1214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20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32" t="s">
        <v>158</v>
      </c>
      <c r="B1" s="1234" t="s">
        <v>161</v>
      </c>
      <c r="C1" s="1234"/>
      <c r="D1" s="1234"/>
      <c r="E1" s="1234"/>
      <c r="F1" s="1234"/>
      <c r="G1" s="1234"/>
      <c r="H1" s="1234"/>
      <c r="I1" s="328"/>
      <c r="J1" s="1234" t="s">
        <v>159</v>
      </c>
      <c r="K1" s="1234"/>
      <c r="L1" s="1234"/>
      <c r="M1" s="1234"/>
      <c r="N1" s="1234"/>
      <c r="O1" s="423" t="s">
        <v>200</v>
      </c>
      <c r="P1" s="328"/>
      <c r="Q1" s="1235" t="s">
        <v>160</v>
      </c>
      <c r="R1" s="1235"/>
      <c r="S1" s="1235"/>
      <c r="T1" s="1235"/>
      <c r="U1" s="1235"/>
      <c r="V1" s="1235"/>
      <c r="W1" s="1235"/>
    </row>
    <row r="2" spans="1:23" ht="25.5" customHeight="1" x14ac:dyDescent="0.25">
      <c r="A2" s="1232"/>
      <c r="B2" s="1227" t="s">
        <v>51</v>
      </c>
      <c r="C2" s="1227"/>
      <c r="D2" s="1228" t="s">
        <v>53</v>
      </c>
      <c r="E2" s="1228"/>
      <c r="F2" s="1238" t="s">
        <v>55</v>
      </c>
      <c r="G2" s="1238"/>
      <c r="H2" s="1238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32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26">
        <f>FLOOR(C7/MAX(DATA_DRAG_ACCU_EXP),1)</f>
        <v>60</v>
      </c>
      <c r="H3" s="1226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32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26">
        <f>MATCH(C10,DATA_DRAG_ACCU_EXP,0)</f>
        <v>97</v>
      </c>
      <c r="H4" s="1226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32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26">
        <f>INDEX(DATA_DRAG_LV_EXP,G4)-(C9-C10)</f>
        <v>23760</v>
      </c>
      <c r="H5" s="1226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32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36" t="str">
        <f>IF(R7&gt;0,R6/R7,"")</f>
        <v/>
      </c>
      <c r="V6" s="1236"/>
      <c r="W6" s="1236"/>
    </row>
    <row r="7" spans="1:23" ht="25.5" customHeight="1" x14ac:dyDescent="0.25">
      <c r="A7" s="1232"/>
      <c r="B7" s="118" t="s">
        <v>85</v>
      </c>
      <c r="C7" s="119">
        <f>C6-C8</f>
        <v>75540600</v>
      </c>
      <c r="D7" s="82" t="s">
        <v>54</v>
      </c>
      <c r="E7" s="83"/>
      <c r="F7" s="1137" t="s">
        <v>66</v>
      </c>
      <c r="G7" s="1137"/>
      <c r="H7" s="1137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32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37" t="s">
        <v>50</v>
      </c>
      <c r="G8" s="1237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32"/>
      <c r="B9" s="90" t="s">
        <v>82</v>
      </c>
      <c r="C9" s="90">
        <f>MOD(C7,DRAG_EXP_100)</f>
        <v>1139400</v>
      </c>
      <c r="F9" s="1137"/>
      <c r="G9" s="1237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32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32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32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31" t="s">
        <v>162</v>
      </c>
      <c r="B13" s="1233" t="s">
        <v>163</v>
      </c>
      <c r="C13" s="1233"/>
      <c r="D13" s="1233"/>
      <c r="E13" s="1233"/>
      <c r="F13" s="1233"/>
      <c r="G13" s="1233"/>
      <c r="H13" s="1233"/>
      <c r="O13" s="422"/>
    </row>
    <row r="14" spans="1:23" s="239" customFormat="1" ht="25.5" customHeight="1" x14ac:dyDescent="0.25">
      <c r="A14" s="1232"/>
      <c r="B14" s="1227" t="s">
        <v>51</v>
      </c>
      <c r="C14" s="1227"/>
      <c r="D14" s="1228" t="s">
        <v>53</v>
      </c>
      <c r="E14" s="1228"/>
      <c r="F14" s="1229" t="s">
        <v>55</v>
      </c>
      <c r="G14" s="1229"/>
      <c r="H14" s="1229"/>
    </row>
    <row r="15" spans="1:23" ht="25.5" customHeight="1" x14ac:dyDescent="0.25">
      <c r="A15" s="1232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30">
        <f>FLOOR(C19/MAX(DATA_WYRM_ACCU_EXP),1)</f>
        <v>133</v>
      </c>
      <c r="H15" s="1230"/>
    </row>
    <row r="16" spans="1:23" ht="25.5" customHeight="1" x14ac:dyDescent="0.25">
      <c r="A16" s="1232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26">
        <f>MATCH(C22,DATA_WYRM_ACCU_EXP,0)</f>
        <v>48</v>
      </c>
      <c r="H16" s="1226"/>
    </row>
    <row r="17" spans="1:8" ht="25.5" customHeight="1" x14ac:dyDescent="0.25">
      <c r="A17" s="1232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26">
        <f>INDEX(DATA_WYRM_LV_EXP,G16)-(C21-C22)</f>
        <v>530</v>
      </c>
      <c r="H17" s="1226"/>
    </row>
    <row r="18" spans="1:8" ht="25.5" customHeight="1" x14ac:dyDescent="0.25">
      <c r="A18" s="1232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32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23" t="s">
        <v>96</v>
      </c>
      <c r="B1" s="1223"/>
      <c r="C1" s="1223"/>
      <c r="D1" s="209"/>
      <c r="E1" s="1240" t="s">
        <v>97</v>
      </c>
      <c r="F1" s="1240"/>
      <c r="G1" s="1240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39">
        <v>67</v>
      </c>
      <c r="C8" s="1239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42" t="s">
        <v>41</v>
      </c>
      <c r="J24" s="1242"/>
      <c r="K24" s="1241">
        <f>K14+K22</f>
        <v>0</v>
      </c>
      <c r="L24" s="1241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57" t="s">
        <v>96</v>
      </c>
      <c r="B1" s="857"/>
      <c r="C1" s="857"/>
      <c r="D1" s="857"/>
      <c r="E1" s="857"/>
      <c r="F1" s="857"/>
      <c r="G1" s="857" t="s">
        <v>97</v>
      </c>
      <c r="H1" s="857"/>
      <c r="I1" s="857"/>
      <c r="J1" s="857"/>
      <c r="K1" s="857"/>
      <c r="L1" s="857"/>
      <c r="N1" s="857" t="s">
        <v>104</v>
      </c>
      <c r="O1" s="857"/>
    </row>
    <row r="2" spans="1:15" x14ac:dyDescent="0.25">
      <c r="A2" s="1243" t="s">
        <v>102</v>
      </c>
      <c r="B2" s="1243"/>
      <c r="C2" s="1245" t="s">
        <v>95</v>
      </c>
      <c r="D2" s="1245"/>
      <c r="E2" s="1244" t="s">
        <v>103</v>
      </c>
      <c r="F2" s="1244"/>
      <c r="G2" s="1247" t="s">
        <v>99</v>
      </c>
      <c r="H2" s="1247"/>
      <c r="I2" s="1244" t="s">
        <v>100</v>
      </c>
      <c r="J2" s="1244"/>
      <c r="K2" s="1246" t="s">
        <v>101</v>
      </c>
      <c r="L2" s="1246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50" t="s">
        <v>155</v>
      </c>
      <c r="D1" s="1249">
        <f>INDEX(DATA_EVTBLD,B1,3)-B3</f>
        <v>2428</v>
      </c>
      <c r="E1" s="1248" t="s">
        <v>24</v>
      </c>
      <c r="F1" s="1251">
        <f>1-(INDEX(DATA_EVTBLD,B1,3)-B3)/DATA_EVTBLD_MAX</f>
        <v>0.68935516888433979</v>
      </c>
      <c r="G1" s="1251"/>
      <c r="H1" s="1251"/>
      <c r="I1" s="1251"/>
      <c r="J1" s="1251"/>
      <c r="K1" s="1251"/>
      <c r="L1" s="1251"/>
    </row>
    <row r="2" spans="1:12" ht="14.65" customHeight="1" x14ac:dyDescent="0.25">
      <c r="A2" s="312" t="s">
        <v>374</v>
      </c>
      <c r="B2" s="318">
        <v>30</v>
      </c>
      <c r="C2" s="1250"/>
      <c r="D2" s="1249"/>
      <c r="E2" s="1248"/>
      <c r="F2" s="1251"/>
      <c r="G2" s="1251"/>
      <c r="H2" s="1251"/>
      <c r="I2" s="1251"/>
      <c r="J2" s="1251"/>
      <c r="K2" s="1251"/>
      <c r="L2" s="1251"/>
    </row>
    <row r="3" spans="1:12" ht="14.65" customHeight="1" x14ac:dyDescent="0.25">
      <c r="A3" s="312" t="s">
        <v>154</v>
      </c>
      <c r="B3" s="318">
        <v>2122</v>
      </c>
      <c r="C3" s="1250"/>
      <c r="D3" s="1249"/>
      <c r="E3" s="1248"/>
      <c r="F3" s="1251"/>
      <c r="G3" s="1251"/>
      <c r="H3" s="1251"/>
      <c r="I3" s="1251"/>
      <c r="J3" s="1251"/>
      <c r="K3" s="1251"/>
      <c r="L3" s="1251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27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1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抽抽</vt:lpstr>
      <vt:lpstr>虛空</vt:lpstr>
      <vt:lpstr>D虛空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2020-06-26T13:09:20Z</dcterms:modified>
</cp:coreProperties>
</file>