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8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7A6184A2-16F2-4418-BA38-E217DCFDF9FA}" xr6:coauthVersionLast="46" xr6:coauthVersionMax="46" xr10:uidLastSave="{00000000-0000-0000-0000-000000000000}"/>
  <bookViews>
    <workbookView xWindow="35475" yWindow="315" windowWidth="23205" windowHeight="13545" firstSheet="9" activeTab="18" xr2:uid="{9BA7C230-9D3D-4ABA-A56F-F69410A9C073}"/>
  </bookViews>
  <sheets>
    <sheet name="真龍" sheetId="41" state="hidden" r:id="rId1"/>
    <sheet name="D真龍" sheetId="9" state="hidden" r:id="rId2"/>
    <sheet name="咢牙" sheetId="44" state="hidden" r:id="rId3"/>
    <sheet name="D咢牙" sheetId="14" state="hidden" r:id="rId4"/>
    <sheet name="奇美拉" sheetId="42" state="hidden" r:id="rId5"/>
    <sheet name="升70" sheetId="15" state="hidden" r:id="rId6"/>
    <sheet name="D奇美拉" sheetId="20" state="hidden" r:id="rId7"/>
    <sheet name="厄魔" sheetId="48" state="hidden" r:id="rId8"/>
    <sheet name="D厄魔" sheetId="49" state="hidden" r:id="rId9"/>
    <sheet name="鑽量" sheetId="16" r:id="rId10"/>
    <sheet name="C鑽量" sheetId="39" state="hidden" r:id="rId11"/>
    <sheet name="抽卷" sheetId="40" r:id="rId12"/>
    <sheet name="月送抽" sheetId="46" r:id="rId13"/>
    <sheet name="C月送抽" sheetId="47" r:id="rId14"/>
    <sheet name="抽抽" sheetId="18" r:id="rId15"/>
    <sheet name="進度預估" sheetId="13" state="hidden" r:id="rId16"/>
    <sheet name="EXP (OLD)" sheetId="51" state="hidden" r:id="rId17"/>
    <sheet name="EXP" sheetId="25" r:id="rId18"/>
    <sheet name="D-EXP" sheetId="26" r:id="rId19"/>
    <sheet name="E速度" sheetId="27" state="hidden" r:id="rId20"/>
    <sheet name="Raid" sheetId="28" state="hidden" r:id="rId21"/>
    <sheet name="R速度" sheetId="29" state="hidden" r:id="rId22"/>
    <sheet name="R預估差" sheetId="30" state="hidden" r:id="rId23"/>
    <sheet name="活動建築" sheetId="37" state="hidden" r:id="rId24"/>
  </sheets>
  <definedNames>
    <definedName name="_xlnm._FilterDatabase" localSheetId="8" hidden="1">D厄魔!$A$1:$K$1</definedName>
    <definedName name="_xlnm._FilterDatabase" localSheetId="17" hidden="1">EXP!$A$1:$N$114</definedName>
    <definedName name="_xlnm._FilterDatabase" localSheetId="16" hidden="1">'EXP (OLD)'!$A$1:$N$115</definedName>
    <definedName name="AGITO_WEAPON_MUB_614_GOLD" localSheetId="16">VLOOKUP(614,DATA_AGITO_WEAPON,3,FALSE)</definedName>
    <definedName name="AGITO_WEAPON_MUB_614_GOLD" localSheetId="7">VLOOKUP(614,DATA_AGITO_WEAPON,3,FALSE)</definedName>
    <definedName name="AGITO_WEAPON_MUB_614_GOLD">VLOOKUP(614,DATA_AGITO_WEAPON,3,FALSE)</definedName>
    <definedName name="AGITO_WEAPON_MUB_614_POT" localSheetId="16">VLOOKUP(614,DATA_AGITO_WEAPON,4,FALSE)</definedName>
    <definedName name="AGITO_WEAPON_MUB_614_POT" localSheetId="7">VLOOKUP(614,DATA_AGITO_WEAPON,4,FALSE)</definedName>
    <definedName name="AGITO_WEAPON_MUB_614_POT">VLOOKUP(614,DATA_AGITO_WEAPON,4,FALSE)</definedName>
    <definedName name="AGITO_WEAPON_MUB_614_SILVER" localSheetId="16">VLOOKUP(614,DATA_AGITO_WEAPON,2,FALSE)</definedName>
    <definedName name="AGITO_WEAPON_MUB_614_SILVER" localSheetId="7">VLOOKUP(614,DATA_AGITO_WEAPON,2,FALSE)</definedName>
    <definedName name="AGITO_WEAPON_MUB_614_SILVER">VLOOKUP(614,DATA_AGITO_WEAPON,2,FALSE)</definedName>
    <definedName name="AGITO_WEAPON_MUB_624_GOLD" localSheetId="16">VLOOKUP(624,DATA_AGITO_WEAPON,3,FALSE)</definedName>
    <definedName name="AGITO_WEAPON_MUB_624_GOLD" localSheetId="7">VLOOKUP(624,DATA_AGITO_WEAPON,3,FALSE)</definedName>
    <definedName name="AGITO_WEAPON_MUB_624_GOLD">VLOOKUP(624,DATA_AGITO_WEAPON,3,FALSE)</definedName>
    <definedName name="AGITO_WEAPON_MUB_624_POT" localSheetId="16">VLOOKUP(624,DATA_AGITO_WEAPON,4,FALSE)</definedName>
    <definedName name="AGITO_WEAPON_MUB_624_POT" localSheetId="7">VLOOKUP(624,DATA_AGITO_WEAPON,4,FALSE)</definedName>
    <definedName name="AGITO_WEAPON_MUB_624_POT">VLOOKUP(624,DATA_AGITO_WEAPON,4,FALSE)</definedName>
    <definedName name="AGITO_WEAPON_MUB_624_SILVER" localSheetId="16">VLOOKUP(624,DATA_AGITO_WEAPON,2,FALSE)</definedName>
    <definedName name="AGITO_WEAPON_MUB_624_SILVER" localSheetId="7">VLOOKUP(624,DATA_AGITO_WEAPON,2,FALSE)</definedName>
    <definedName name="AGITO_WEAPON_MUB_624_SILVER">VLOOKUP(624,DATA_AGITO_WEAPON,2,FALSE)</definedName>
    <definedName name="AGITO_WIND_EXP_GOLD">D咢牙!#REF!</definedName>
    <definedName name="AGITO_WIND_EXP_SILVER">D咢牙!#REF!</definedName>
    <definedName name="AGITO_WIND_MST_GOLD">D咢牙!$K:$K</definedName>
    <definedName name="AGITO_WIND_MST_ORIHAL">D咢牙!$M:$M</definedName>
    <definedName name="AGITO_WIND_MST_POT">D咢牙!$L:$L</definedName>
    <definedName name="AGITO_WIND_STD_SILVER">D咢牙!$A:$A</definedName>
    <definedName name="DATA_AGITO_BUILDING_15">D咢牙!$R$5:$S$20</definedName>
    <definedName name="DATA_AGITO_BUILDING_25">D咢牙!$R$5:$S$30</definedName>
    <definedName name="DATA_EVTBLD">活動建築!$A$6:$C$40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PLAYER_EXP">'D-EXP'!$A$2:$C$251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16">IF('EXP (OLD)'!HDRAG_HAS_REC_HBRUN,AVERAGE(DATA_HDRAG_HBRUN_EXP_ORB),NA())</definedName>
    <definedName name="HDRAG_AVG_HBRUN_EXP_ORB" localSheetId="7">IF(厄魔!HDRAG_HAS_REC_HBRUN,AVERAGE(DATA_HDRAG_HBRUN_EXP_ORB),NA())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16">IF('EXP (OLD)'!HDRAG_HAS_REC_HBRUN,AVERAGE(DATA_HDRAG_HBRUN_EXP_ORIHAL),NA())</definedName>
    <definedName name="HDRAG_AVG_HBRUN_EXP_ORIHAL" localSheetId="7">IF(厄魔!HDRAG_HAS_REC_HBRUN,AVERAGE(DATA_HDRAG_HBRUN_EXP_ORIHAL),NA())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16">IF('EXP (OLD)'!HDRAG_HAS_REC_HBRUN,AVERAGE(DATA_HDRAG_HBRUN_EXP_TAIL),NA())</definedName>
    <definedName name="HDRAG_AVG_HBRUN_EXP_TAIL" localSheetId="7">IF(厄魔!HDRAG_HAS_REC_HBRUN,AVERAGE(DATA_HDRAG_HBRUN_EXP_TAIL),NA())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16">IF('EXP (OLD)'!HDRAG_HAS_REC_HBRUN,AVERAGE(DATA_HDRAG_HBRUN_MED_ORB),NA())</definedName>
    <definedName name="HDRAG_AVG_HBRUN_MED_ORB" localSheetId="7">IF(厄魔!HDRAG_HAS_REC_HBRUN,AVERAGE(DATA_HDRAG_HBRUN_MED_ORB),NA())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16">IF('EXP (OLD)'!HDRAG_HAS_REC_HBRUN,AVERAGE(DATA_HDRAG_HBRUN_MST_HORN),NA())</definedName>
    <definedName name="HDRAG_AVG_HBRUN_MST_HORN" localSheetId="7">IF(厄魔!HDRAG_HAS_REC_HBRUN,AVERAGE(DATA_HDRAG_HBRUN_MST_HORN),NA())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16">IF('EXP (OLD)'!HDRAG_HAS_REC_HBRUN,AVERAGE(DATA_HDRAG_HBRUN_MST_ORB),NA())</definedName>
    <definedName name="HDRAG_AVG_HBRUN_MST_ORB" localSheetId="7">IF(厄魔!HDRAG_HAS_REC_HBRUN,AVERAGE(DATA_HDRAG_HBRUN_MST_ORB),NA())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16">IF('EXP (OLD)'!HDRAG_HAS_REC_HBRUN,AVERAGE(DATA_HDRAG_HBRUN_MST_ORIHAL),NA())</definedName>
    <definedName name="HDRAG_AVG_HBRUN_MST_ORIHAL" localSheetId="7">IF(厄魔!HDRAG_HAS_REC_HBRUN,AVERAGE(DATA_HDRAG_HBRUN_MST_ORIHAL),NA())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16">IF('EXP (OLD)'!HDRAG_HAS_REC_HBRUN,AVERAGE(DATA_HDRAG_HBRUN_MST_TAIL),NA())</definedName>
    <definedName name="HDRAG_AVG_HBRUN_MST_TAIL" localSheetId="7">IF(厄魔!HDRAG_HAS_REC_HBRUN,AVERAGE(DATA_HDRAG_HBRUN_MST_TAIL),NA())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16">IF('EXP (OLD)'!HDRAG_HAS_REC_HJUP,AVERAGE(DATA_HDRAG_HJUP_EXP_ORB),NA())</definedName>
    <definedName name="HDRAG_AVG_HJUP_EXP_ORB" localSheetId="7">IF(厄魔!HDRAG_HAS_REC_HJUP,AVERAGE(DATA_HDRAG_HJUP_EXP_ORB),NA())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16">IF('EXP (OLD)'!HDRAG_HAS_REC_HJUP,AVERAGE([0]!DATA_HDRAG_HJUP_EXP_ORIHAL),NA())</definedName>
    <definedName name="HDRAG_AVG_HJUP_EXP_ORIHAL" localSheetId="7">IF(厄魔!HDRAG_HAS_REC_HJUP,AVERAGE([0]!DATA_HDRAG_HJUP_EXP_ORIHAL),NA())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16">IF('EXP (OLD)'!HDRAG_HAS_REC_HJUP,AVERAGE([0]!DATA_HDRAG_HJUP_EXP_TAIL),NA())</definedName>
    <definedName name="HDRAG_AVG_HJUP_EXP_TAIL" localSheetId="7">IF(厄魔!HDRAG_HAS_REC_HJUP,AVERAGE([0]!DATA_HDRAG_HJUP_EXP_TAIL),NA())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16">IF('EXP (OLD)'!HDRAG_HAS_REC_HJUP,AVERAGE(DATA_HDRAG_HJUP_MED_ORB),NA())</definedName>
    <definedName name="HDRAG_AVG_HJUP_MED_ORB" localSheetId="7">IF(厄魔!HDRAG_HAS_REC_HJUP,AVERAGE(DATA_HDRAG_HJUP_MED_ORB),NA())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16">IF('EXP (OLD)'!HDRAG_HAS_REC_HJUP,AVERAGE([0]!DATA_HDRAG_HJUP_MST_HORN),NA())</definedName>
    <definedName name="HDRAG_AVG_HJUP_MST_HORN" localSheetId="7">IF(厄魔!HDRAG_HAS_REC_HJUP,AVERAGE([0]!DATA_HDRAG_HJUP_MST_HORN),NA())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16">IF('EXP (OLD)'!HDRAG_HAS_REC_HJUP,AVERAGE(DATA_HDRAG_HJUP_MST_ORB),NA())</definedName>
    <definedName name="HDRAG_AVG_HJUP_MST_ORB" localSheetId="7">IF(厄魔!HDRAG_HAS_REC_HJUP,AVERAGE(DATA_HDRAG_HJUP_MST_ORB),NA())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16">IF('EXP (OLD)'!HDRAG_HAS_REC_HJUP,AVERAGE([0]!DATA_HDRAG_HJUP_MST_ORIHAL),NA())</definedName>
    <definedName name="HDRAG_AVG_HJUP_MST_ORIHAL" localSheetId="7">IF(厄魔!HDRAG_HAS_REC_HJUP,AVERAGE([0]!DATA_HDRAG_HJUP_MST_ORIHAL),NA())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16">IF('EXP (OLD)'!HDRAG_HAS_REC_HJUP,AVERAGE([0]!DATA_HDRAG_HJUP_MST_TAIL),NA())</definedName>
    <definedName name="HDRAG_AVG_HJUP_MST_TAIL" localSheetId="7">IF(厄魔!HDRAG_HAS_REC_HJUP,AVERAGE([0]!DATA_HDRAG_HJUP_MST_TAIL),NA())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16">IF('EXP (OLD)'!HDRAG_HAS_REC_HMERC,AVERAGE(DATA_HDRAG_HMERC_EXP_ORB),NA())</definedName>
    <definedName name="HDRAG_AVG_HMERC_EXP_ORB" localSheetId="7">IF(厄魔!HDRAG_HAS_REC_HMERC,AVERAGE(DATA_HDRAG_HMERC_EXP_ORB),NA())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16">IF('EXP (OLD)'!HDRAG_HAS_REC_HMERC,AVERAGE(DATA_HDRAG_HMERC_EXP_ORIHAL),NA())</definedName>
    <definedName name="HDRAG_AVG_HMERC_EXP_ORIHAL" localSheetId="7">IF(厄魔!HDRAG_HAS_REC_HMERC,AVERAGE(DATA_HDRAG_HMERC_EXP_ORIHAL),NA())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16">IF('EXP (OLD)'!HDRAG_HAS_REC_HMERC,AVERAGE(DATA_HDRAG_HMERC_EXP_TAIL),NA())</definedName>
    <definedName name="HDRAG_AVG_HMERC_EXP_TAIL" localSheetId="7">IF(厄魔!HDRAG_HAS_REC_HMERC,AVERAGE(DATA_HDRAG_HMERC_EXP_TAIL),NA())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16">IF('EXP (OLD)'!HDRAG_HAS_REC_HMERC,AVERAGE(DATA_HDRAG_HMERC_MED_ORB),NA())</definedName>
    <definedName name="HDRAG_AVG_HMERC_MED_ORB" localSheetId="7">IF(厄魔!HDRAG_HAS_REC_HMERC,AVERAGE(DATA_HDRAG_HMERC_MED_ORB),NA())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16">IF('EXP (OLD)'!HDRAG_HAS_REC_HMERC,AVERAGE(DATA_HDRAG_HMERC_MST_HORN),NA())</definedName>
    <definedName name="HDRAG_AVG_HMERC_MST_HORN" localSheetId="7">IF(厄魔!HDRAG_HAS_REC_HMERC,AVERAGE(DATA_HDRAG_HMERC_MST_HORN),NA())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16">IF('EXP (OLD)'!HDRAG_HAS_REC_HMERC,AVERAGE(DATA_HDRAG_HMERC_MST_ORB),NA())</definedName>
    <definedName name="HDRAG_AVG_HMERC_MST_ORB" localSheetId="7">IF(厄魔!HDRAG_HAS_REC_HMERC,AVERAGE(DATA_HDRAG_HMERC_MST_ORB),NA())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16">IF('EXP (OLD)'!HDRAG_HAS_REC_HMERC,AVERAGE(DATA_HDRAG_HMERC_MST_ORIHAL),NA())</definedName>
    <definedName name="HDRAG_AVG_HMERC_MST_ORIHAL" localSheetId="7">IF(厄魔!HDRAG_HAS_REC_HMERC,AVERAGE(DATA_HDRAG_HMERC_MST_ORIHAL),NA())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16">IF('EXP (OLD)'!HDRAG_HAS_REC_HMERC,AVERAGE(DATA_HDRAG_HMERC_MST_TAIL),NA())</definedName>
    <definedName name="HDRAG_AVG_HMERC_MST_TAIL" localSheetId="7">IF(厄魔!HDRAG_HAS_REC_HMERC,AVERAGE(DATA_HDRAG_HMERC_MST_TAIL),NA())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16">IF('EXP (OLD)'!HDRAG_HAS_REC_HMID,AVERAGE(DATA_HDRAG_HMID_EXP_ORB),NA())</definedName>
    <definedName name="HDRAG_AVG_HMID_EXP_ORB" localSheetId="7">IF(厄魔!HDRAG_HAS_REC_HMID,AVERAGE(DATA_HDRAG_HMID_EXP_ORB),NA())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16">IF('EXP (OLD)'!HDRAG_HAS_REC_HMID,AVERAGE(DATA_HDRAG_HMID_EXP_ORIHAL),NA())</definedName>
    <definedName name="HDRAG_AVG_HMID_EXP_ORIHAL" localSheetId="7">IF(厄魔!HDRAG_HAS_REC_HMID,AVERAGE(DATA_HDRAG_HMID_EXP_ORIHAL),NA())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16">IF('EXP (OLD)'!HDRAG_HAS_REC_HMID,AVERAGE(DATA_HDRAG_HMID_EXP_TAIL),NA())</definedName>
    <definedName name="HDRAG_AVG_HMID_EXP_TAIL" localSheetId="7">IF(厄魔!HDRAG_HAS_REC_HMID,AVERAGE(DATA_HDRAG_HMID_EXP_TAIL),NA())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16">IF('EXP (OLD)'!HDRAG_HAS_REC_HMID,AVERAGE(DATA_HDRAG_HMID_MED_ORB),NA())</definedName>
    <definedName name="HDRAG_AVG_HMID_MED_ORB" localSheetId="7">IF(厄魔!HDRAG_HAS_REC_HMID,AVERAGE(DATA_HDRAG_HMID_MED_ORB),NA())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16">IF('EXP (OLD)'!HDRAG_HAS_REC_HMID,AVERAGE(DATA_HDRAG_HMID_MST_HORN),NA())</definedName>
    <definedName name="HDRAG_AVG_HMID_MST_HORN" localSheetId="7">IF(厄魔!HDRAG_HAS_REC_HMID,AVERAGE(DATA_HDRAG_HMID_MST_HORN),NA())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16">IF('EXP (OLD)'!HDRAG_HAS_REC_HMID,AVERAGE(DATA_HDRAG_HMID_MST_ORB),NA())</definedName>
    <definedName name="HDRAG_AVG_HMID_MST_ORB" localSheetId="7">IF(厄魔!HDRAG_HAS_REC_HMID,AVERAGE(DATA_HDRAG_HMID_MST_ORB),NA())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16">IF('EXP (OLD)'!HDRAG_HAS_REC_HMID,AVERAGE(DATA_HDRAG_HMID_MST_ORIHAL),NA())</definedName>
    <definedName name="HDRAG_AVG_HMID_MST_ORIHAL" localSheetId="7">IF(厄魔!HDRAG_HAS_REC_HMID,AVERAGE(DATA_HDRAG_HMID_MST_ORIHAL),NA())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16">IF('EXP (OLD)'!HDRAG_HAS_REC_HMID,AVERAGE(DATA_HDRAG_HMID_MST_TAIL),NA())</definedName>
    <definedName name="HDRAG_AVG_HMID_MST_TAIL" localSheetId="7">IF(厄魔!HDRAG_HAS_REC_HMID,AVERAGE(DATA_HDRAG_HMID_MST_TAIL),NA())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16">IF('EXP (OLD)'!HDRAG_HAS_REC_HZOD,AVERAGE(DATA_HDRAG_HZOD_EXP_ORB),NA())</definedName>
    <definedName name="HDRAG_AVG_HZOD_EXP_ORB" localSheetId="7">IF(厄魔!HDRAG_HAS_REC_HZOD,AVERAGE(DATA_HDRAG_HZOD_EXP_ORB),NA())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16">IF('EXP (OLD)'!HDRAG_HAS_REC_HZOD,AVERAGE(DATA_HDRAG_HZOD_EXP_ORIHAL),NA())</definedName>
    <definedName name="HDRAG_AVG_HZOD_EXP_ORIHAL" localSheetId="7">IF(厄魔!HDRAG_HAS_REC_HZOD,AVERAGE(DATA_HDRAG_HZOD_EXP_ORIHAL),NA())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16">IF('EXP (OLD)'!HDRAG_HAS_REC_HZOD,AVERAGE(DATA_HDRAG_HZOD_EXP_TAIL),NA())</definedName>
    <definedName name="HDRAG_AVG_HZOD_EXP_TAIL" localSheetId="7">IF(厄魔!HDRAG_HAS_REC_HZOD,AVERAGE(DATA_HDRAG_HZOD_EXP_TAIL),NA())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16">IF('EXP (OLD)'!HDRAG_HAS_REC_HZOD,AVERAGE(DATA_HDRAG_HZOD_MED_ORB),NA())</definedName>
    <definedName name="HDRAG_AVG_HZOD_MED_ORB" localSheetId="7">IF(厄魔!HDRAG_HAS_REC_HZOD,AVERAGE(DATA_HDRAG_HZOD_MED_ORB),NA())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16">IF('EXP (OLD)'!HDRAG_HAS_REC_HZOD,AVERAGE(DATA_HDRAG_HZOD_MST_HORN),NA())</definedName>
    <definedName name="HDRAG_AVG_HZOD_MST_HORN" localSheetId="7">IF(厄魔!HDRAG_HAS_REC_HZOD,AVERAGE(DATA_HDRAG_HZOD_MST_HORN),NA())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16">IF('EXP (OLD)'!HDRAG_HAS_REC_HZOD,AVERAGE(DATA_HDRAG_HZOD_MST_ORB),NA())</definedName>
    <definedName name="HDRAG_AVG_HZOD_MST_ORB" localSheetId="7">IF(厄魔!HDRAG_HAS_REC_HZOD,AVERAGE(DATA_HDRAG_HZOD_MST_ORB),NA())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16">IF('EXP (OLD)'!HDRAG_HAS_REC_HZOD,AVERAGE(DATA_HDRAG_HZOD_MST_ORIHAL),NA())</definedName>
    <definedName name="HDRAG_AVG_HZOD_MST_ORIHAL" localSheetId="7">IF(厄魔!HDRAG_HAS_REC_HZOD,AVERAGE(DATA_HDRAG_HZOD_MST_ORIHAL),NA())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16">IF('EXP (OLD)'!HDRAG_HAS_REC_HZOD,AVERAGE(DATA_HDRAG_HZOD_MST_TAIL),NA())</definedName>
    <definedName name="HDRAG_AVG_HZOD_MST_TAIL" localSheetId="7">IF(厄魔!HDRAG_HAS_REC_HZOD,AVERAGE(DATA_HDRAG_HZOD_MST_TAIL),NA())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16">IF('EXP (OLD)'!HDRAG_HAS_REC_HBRUN,COUNTA(DATA_HDRAG_HBRUN_EXP_ORB),0)</definedName>
    <definedName name="HDRAG_GAMES_HBRUN_EXP" localSheetId="7">IF(厄魔!HDRAG_HAS_REC_HBRUN,COUNTA(DATA_HDRAG_HBRUN_EXP_ORB),0)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16">IF('EXP (OLD)'!HDRAG_HAS_REC_HBRUN,COUNTA(DATA_HDRAG_HBRUN_MED_ORB),0)</definedName>
    <definedName name="HDRAG_GAMES_HBRUN_MED" localSheetId="7">IF(厄魔!HDRAG_HAS_REC_HBRUN,COUNTA(DATA_HDRAG_HBRUN_MED_ORB),0)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16">IF('EXP (OLD)'!HDRAG_HAS_REC_HBRUN,COUNTA(DATA_HDRAG_HBRUN_MST_ORB),0)</definedName>
    <definedName name="HDRAG_GAMES_HBRUN_MST" localSheetId="7">IF(厄魔!HDRAG_HAS_REC_HBRUN,COUNTA(DATA_HDRAG_HBRUN_MST_ORB),0)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16">IF('EXP (OLD)'!HDRAG_HAS_REC_HJUP,COUNTA(DATA_HDRAG_HJUP_EXP_ORB),0)</definedName>
    <definedName name="HDRAG_GAMES_HJUP_EXP" localSheetId="7">IF(厄魔!HDRAG_HAS_REC_HJUP,COUNTA(DATA_HDRAG_HJUP_EXP_ORB),0)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16">IF('EXP (OLD)'!HDRAG_HAS_REC_HJUP,COUNTA(DATA_HDRAG_HJUP_MED_ORB),0)</definedName>
    <definedName name="HDRAG_GAMES_HJUP_MED" localSheetId="7">IF(厄魔!HDRAG_HAS_REC_HJUP,COUNTA(DATA_HDRAG_HJUP_MED_ORB),0)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16">IF('EXP (OLD)'!HDRAG_HAS_REC_HJUP,COUNTA(DATA_HDRAG_HJUP_MST_ORB),0)</definedName>
    <definedName name="HDRAG_GAMES_HJUP_MST" localSheetId="7">IF(厄魔!HDRAG_HAS_REC_HJUP,COUNTA(DATA_HDRAG_HJUP_MST_ORB),0)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16">IF('EXP (OLD)'!HDRAG_HAS_REC_HMERC,COUNTA(DATA_HDRAG_HMERC_EXP_ORB),0)</definedName>
    <definedName name="HDRAG_GAMES_HMERC_EXP" localSheetId="7">IF(厄魔!HDRAG_HAS_REC_HMERC,COUNTA(DATA_HDRAG_HMERC_EXP_ORB),0)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16">IF('EXP (OLD)'!HDRAG_HAS_REC_HMERC,COUNTA(DATA_HDRAG_HMERC_MED_ORB),0)</definedName>
    <definedName name="HDRAG_GAMES_HMERC_MED" localSheetId="7">IF(厄魔!HDRAG_HAS_REC_HMERC,COUNTA(DATA_HDRAG_HMERC_MED_ORB),0)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16">IF('EXP (OLD)'!HDRAG_HAS_REC_HMERC,COUNTA(DATA_HDRAG_HMERC_MST_ORB),0)</definedName>
    <definedName name="HDRAG_GAMES_HMERC_MST" localSheetId="7">IF(厄魔!HDRAG_HAS_REC_HMERC,COUNTA(DATA_HDRAG_HMERC_MST_ORB),0)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16">IF('EXP (OLD)'!HDRAG_HAS_REC_HMID,COUNTA(DATA_HDRAG_HMID_EXP_ORB),0)</definedName>
    <definedName name="HDRAG_GAMES_HMID_EXP" localSheetId="7">IF(厄魔!HDRAG_HAS_REC_HMID,COUNTA(DATA_HDRAG_HMID_EXP_ORB),0)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16">IF('EXP (OLD)'!HDRAG_HAS_REC_HMID,COUNTA(DATA_HDRAG_HMID_MED_ORB),0)</definedName>
    <definedName name="HDRAG_GAMES_HMID_MED" localSheetId="7">IF(厄魔!HDRAG_HAS_REC_HMID,COUNTA(DATA_HDRAG_HMID_MED_ORB),0)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16">IF('EXP (OLD)'!HDRAG_HAS_REC_HMID,COUNTA(DATA_HDRAG_HMID_MST_ORB),0)</definedName>
    <definedName name="HDRAG_GAMES_HMID_MST" localSheetId="7">IF(厄魔!HDRAG_HAS_REC_HMID,COUNTA(DATA_HDRAG_HMID_MST_ORB),0)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16">IF('EXP (OLD)'!HDRAG_HAS_REC_HZOD,COUNTA(DATA_HDRAG_HZOD_EXP_ORB),0)</definedName>
    <definedName name="HDRAG_GAMES_HZOD_EXP" localSheetId="7">IF(厄魔!HDRAG_HAS_REC_HZOD,COUNTA(DATA_HDRAG_HZOD_EXP_ORB),0)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16">IF('EXP (OLD)'!HDRAG_HAS_REC_HZOD,COUNTA(DATA_HDRAG_HZOD_MED_ORB),0)</definedName>
    <definedName name="HDRAG_GAMES_HZOD_MED" localSheetId="7">IF(厄魔!HDRAG_HAS_REC_HZOD,COUNTA(DATA_HDRAG_HZOD_MED_ORB),0)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16">IF('EXP (OLD)'!HDRAG_HAS_REC_HZOD,COUNTA(DATA_HDRAG_HZOD_MST_ORB),0)</definedName>
    <definedName name="HDRAG_GAMES_HZOD_MST" localSheetId="7">IF(厄魔!HDRAG_HAS_REC_HZOD,COUNTA(DATA_HDRAG_HZOD_MST_ORB),0)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16">COUNTA(DATA_HDRAG_HBRUN_MED_ORB) &gt; 0</definedName>
    <definedName name="HDRAG_HAS_REC_HBRUN" comment="Has the record of High Brunhilda or not." localSheetId="7">COUNTA(DATA_HDRAG_HBRUN_MED_ORB) &gt; 0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16">COUNTA(DATA_HDRAG_HJUP_MED_ORB) &gt; 0</definedName>
    <definedName name="HDRAG_HAS_REC_HJUP" comment="Has the record of High Jupiter or not." localSheetId="7">COUNTA(DATA_HDRAG_HJUP_MED_ORB)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16">COUNTA(DATA_HDRAG_HMERC_MED_ORB) &gt; 0</definedName>
    <definedName name="HDRAG_HAS_REC_HMERC" comment="Has the record of High Mercury or not." localSheetId="7">COUNTA(DATA_HDRAG_HMERC_MED_ORB)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16">COUNTA(DATA_HDRAG_HMID_MED_ORB) &gt; 0</definedName>
    <definedName name="HDRAG_HAS_REC_HMID" comment="Has the record of High Midgarsormr or not." localSheetId="7">COUNTA(DATA_HDRAG_HMID_MED_ORB)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16">COUNTA(DATA_HDRAG_HZOD_MED_ORB) &gt; 0</definedName>
    <definedName name="HDRAG_HAS_REC_HZOD" comment="Has the record of High Zodiac or not." localSheetId="7">COUNTA(DATA_HDRAG_HZOD_MED_ORB)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16">'EXP (OLD)'!HDRAG_MAX_BUILDING + 'EXP (OLD)'!HDRAG_MAX_DRAGON</definedName>
    <definedName name="HDRAG_MAX_ALL" comment="Value of required orbs for maxing all high dragons related objects." localSheetId="7">厄魔!HDRAG_MAX_BUILDING + 厄魔!HDRAG_MAX_DRAGON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16">MAX(DATA_HDRAGS_BUILDING)-INDEX(DATA_HDRAGS_BUILDING,17)</definedName>
    <definedName name="HDRAG_MAX_BLD16" localSheetId="7">MAX(DATA_HDRAGS_BUILDING)-INDEX(DATA_HDRAGS_BUILDING,17)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16">MAX(DATA_HDRAGS_BUILDING)</definedName>
    <definedName name="HDRAG_MAX_BUILDING" comment="Value of orbs required for maxing the building of the high dragons." localSheetId="7">MAX(DATA_HDRAGS_BUILDING)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16">MAX(DATA_HDRAGS_DRAGON)</definedName>
    <definedName name="HDRAG_MAX_DRAGON" comment="Value of orbs required for maxing the limit break of the high dragons." localSheetId="7">MAX(DATA_HDRAGS_DRAGON)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16">MAX(DATA_HDRAGS_DRAGON)+'EXP (OLD)'!HDRAG_MAX_BLD16</definedName>
    <definedName name="HDRAG_MAX_DRAGON_BLD_16" comment="Value of required orbs for max limit break the dragon and upgrade the building to Lv.16." localSheetId="7">MAX(DATA_HDRAGS_DRAGON)+厄魔!HDRAG_MAX_BLD16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16">MAX(DATA_HDRAGS_TALON)</definedName>
    <definedName name="HDRAG_MAX_TALON" localSheetId="7">MAX(DATA_HDRAGS_TALON)</definedName>
    <definedName name="HDRAG_MAX_TALON" localSheetId="2">MAX(DATA_HDRAGS_TALON)</definedName>
    <definedName name="HDRAG_MAX_TALON">MAX(DATA_HDRAGS_TALON)</definedName>
    <definedName name="HDRAG_WEAPON_D520_HORN" localSheetId="16">VLOOKUP("D520",DATA_HDRAG_WEAPON,2,FALSE)</definedName>
    <definedName name="HDRAG_WEAPON_D520_HORN" localSheetId="7">VLOOKUP("D520",DATA_HDRAG_WEAPON,2,FALSE)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16">VLOOKUP("D520",DATA_HDRAG_WEAPON,3,FALSE)</definedName>
    <definedName name="HDRAG_WEAPON_D520_TAIL" localSheetId="7">VLOOKUP("D520",DATA_HDRAG_WEAPON,3,FALSE)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 localSheetId="16">'EXP (OLD)'!$A:$C</definedName>
    <definedName name="INPUT_EXP_DATA">EXP!$A:$C</definedName>
    <definedName name="INPUT_EXP_PERIODS" localSheetId="16">'EXP (OLD)'!$B$1:$C$1</definedName>
    <definedName name="INPUT_EXP_PERIODS">EXP!$B$1:$C$1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WINGS_CONSUME_DRAGON" comment="Count of wings needed for a Dragon's Trial (Master).">2</definedName>
    <definedName name="WINGS_CONSUME_HDRAGS">5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15" hidden="1">進度預估!$E:$F</definedName>
    <definedName name="Z_08C637BE_E872_40BC_8927_2CE89A71D70E_.wvu.Cols" localSheetId="9" hidden="1">鑽量!$G:$G</definedName>
    <definedName name="Z_08C637BE_E872_40BC_8927_2CE89A71D70E_.wvu.FilterData" localSheetId="17" hidden="1">EXP!$A$1:$N$114</definedName>
    <definedName name="Z_08C637BE_E872_40BC_8927_2CE89A71D70E_.wvu.FilterData" localSheetId="16" hidden="1">'EXP (OLD)'!$A$1:$N$115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86" i="16" l="1"/>
  <c r="G486" i="16"/>
  <c r="K486" i="16" s="1"/>
  <c r="F486" i="16"/>
  <c r="I486" i="16" s="1"/>
  <c r="J486" i="16" s="1"/>
  <c r="E486" i="16"/>
  <c r="N230" i="40"/>
  <c r="O230" i="40" s="1"/>
  <c r="L230" i="40"/>
  <c r="M230" i="40" s="1"/>
  <c r="J230" i="40"/>
  <c r="K230" i="40" s="1"/>
  <c r="I230" i="40"/>
  <c r="H230" i="40"/>
  <c r="G230" i="40"/>
  <c r="F230" i="40"/>
  <c r="H485" i="16"/>
  <c r="G485" i="16"/>
  <c r="K485" i="16" s="1"/>
  <c r="F485" i="16"/>
  <c r="I485" i="16" s="1"/>
  <c r="J485" i="16" s="1"/>
  <c r="E485" i="16"/>
  <c r="L229" i="40"/>
  <c r="M229" i="40" s="1"/>
  <c r="H229" i="40"/>
  <c r="G229" i="40"/>
  <c r="F229" i="40"/>
  <c r="I229" i="40" s="1"/>
  <c r="J229" i="40" s="1"/>
  <c r="K229" i="40" s="1"/>
  <c r="H484" i="16"/>
  <c r="G484" i="16"/>
  <c r="K484" i="16" s="1"/>
  <c r="F484" i="16"/>
  <c r="I484" i="16" s="1"/>
  <c r="J484" i="16" s="1"/>
  <c r="E484" i="16"/>
  <c r="H483" i="16"/>
  <c r="G483" i="16"/>
  <c r="K483" i="16" s="1"/>
  <c r="F483" i="16"/>
  <c r="I483" i="16" s="1"/>
  <c r="J483" i="16" s="1"/>
  <c r="E483" i="16"/>
  <c r="H482" i="16"/>
  <c r="G482" i="16"/>
  <c r="K482" i="16" s="1"/>
  <c r="F482" i="16"/>
  <c r="I482" i="16" s="1"/>
  <c r="J482" i="16" s="1"/>
  <c r="H481" i="16"/>
  <c r="G481" i="16"/>
  <c r="K481" i="16" s="1"/>
  <c r="F481" i="16"/>
  <c r="I481" i="16" s="1"/>
  <c r="J481" i="16" s="1"/>
  <c r="E482" i="16"/>
  <c r="E481" i="16"/>
  <c r="N229" i="40" l="1"/>
  <c r="O229" i="40" s="1"/>
  <c r="N200" i="25" l="1"/>
  <c r="M200" i="25"/>
  <c r="L200" i="25"/>
  <c r="K200" i="25"/>
  <c r="J200" i="25"/>
  <c r="I200" i="25"/>
  <c r="H200" i="25"/>
  <c r="G200" i="25"/>
  <c r="F200" i="25"/>
  <c r="E200" i="25"/>
  <c r="D200" i="25"/>
  <c r="N199" i="25"/>
  <c r="M199" i="25"/>
  <c r="L199" i="25"/>
  <c r="K199" i="25"/>
  <c r="J199" i="25"/>
  <c r="I199" i="25"/>
  <c r="H199" i="25"/>
  <c r="G199" i="25"/>
  <c r="F199" i="25"/>
  <c r="E199" i="25"/>
  <c r="D199" i="25"/>
  <c r="N198" i="25"/>
  <c r="M198" i="25"/>
  <c r="L198" i="25"/>
  <c r="K198" i="25"/>
  <c r="J198" i="25"/>
  <c r="I198" i="25"/>
  <c r="H198" i="25"/>
  <c r="G198" i="25"/>
  <c r="F198" i="25"/>
  <c r="E198" i="25"/>
  <c r="D198" i="25"/>
  <c r="N197" i="25"/>
  <c r="M197" i="25"/>
  <c r="L197" i="25"/>
  <c r="K197" i="25"/>
  <c r="J197" i="25"/>
  <c r="I197" i="25"/>
  <c r="H197" i="25"/>
  <c r="G197" i="25"/>
  <c r="F197" i="25"/>
  <c r="E197" i="25"/>
  <c r="D197" i="25"/>
  <c r="N196" i="25"/>
  <c r="M196" i="25"/>
  <c r="L196" i="25"/>
  <c r="K196" i="25"/>
  <c r="J196" i="25"/>
  <c r="I196" i="25"/>
  <c r="H196" i="25"/>
  <c r="G196" i="25"/>
  <c r="F196" i="25"/>
  <c r="E196" i="25"/>
  <c r="D196" i="25"/>
  <c r="N195" i="25"/>
  <c r="M195" i="25"/>
  <c r="L195" i="25"/>
  <c r="K195" i="25"/>
  <c r="J195" i="25"/>
  <c r="I195" i="25"/>
  <c r="H195" i="25"/>
  <c r="G195" i="25"/>
  <c r="F195" i="25"/>
  <c r="E195" i="25"/>
  <c r="D195" i="25"/>
  <c r="N194" i="25"/>
  <c r="M194" i="25"/>
  <c r="L194" i="25"/>
  <c r="K194" i="25"/>
  <c r="J194" i="25"/>
  <c r="I194" i="25"/>
  <c r="H194" i="25"/>
  <c r="G194" i="25"/>
  <c r="F194" i="25"/>
  <c r="E194" i="25"/>
  <c r="D194" i="25"/>
  <c r="N193" i="25"/>
  <c r="M193" i="25"/>
  <c r="L193" i="25"/>
  <c r="K193" i="25"/>
  <c r="J193" i="25"/>
  <c r="I193" i="25"/>
  <c r="H193" i="25"/>
  <c r="G193" i="25"/>
  <c r="F193" i="25"/>
  <c r="E193" i="25"/>
  <c r="D193" i="25"/>
  <c r="N192" i="25"/>
  <c r="M192" i="25"/>
  <c r="L192" i="25"/>
  <c r="K192" i="25"/>
  <c r="J192" i="25"/>
  <c r="I192" i="25"/>
  <c r="H192" i="25"/>
  <c r="G192" i="25"/>
  <c r="F192" i="25"/>
  <c r="E192" i="25"/>
  <c r="D192" i="25"/>
  <c r="N191" i="25"/>
  <c r="M191" i="25"/>
  <c r="L191" i="25"/>
  <c r="K191" i="25"/>
  <c r="J191" i="25"/>
  <c r="I191" i="25"/>
  <c r="H191" i="25"/>
  <c r="G191" i="25"/>
  <c r="F191" i="25"/>
  <c r="E191" i="25"/>
  <c r="D191" i="25"/>
  <c r="N190" i="25"/>
  <c r="M190" i="25"/>
  <c r="L190" i="25"/>
  <c r="K190" i="25"/>
  <c r="J190" i="25"/>
  <c r="I190" i="25"/>
  <c r="H190" i="25"/>
  <c r="G190" i="25"/>
  <c r="F190" i="25"/>
  <c r="E190" i="25"/>
  <c r="D190" i="25"/>
  <c r="N189" i="25"/>
  <c r="M189" i="25"/>
  <c r="L189" i="25"/>
  <c r="K189" i="25"/>
  <c r="J189" i="25"/>
  <c r="I189" i="25"/>
  <c r="H189" i="25"/>
  <c r="G189" i="25"/>
  <c r="F189" i="25"/>
  <c r="E189" i="25"/>
  <c r="D189" i="25"/>
  <c r="N188" i="25"/>
  <c r="M188" i="25"/>
  <c r="L188" i="25"/>
  <c r="K188" i="25"/>
  <c r="J188" i="25"/>
  <c r="I188" i="25"/>
  <c r="H188" i="25"/>
  <c r="G188" i="25"/>
  <c r="F188" i="25"/>
  <c r="E188" i="25"/>
  <c r="D188" i="25"/>
  <c r="N187" i="25"/>
  <c r="M187" i="25"/>
  <c r="L187" i="25"/>
  <c r="K187" i="25"/>
  <c r="J187" i="25"/>
  <c r="I187" i="25"/>
  <c r="H187" i="25"/>
  <c r="G187" i="25"/>
  <c r="F187" i="25"/>
  <c r="E187" i="25"/>
  <c r="D187" i="25"/>
  <c r="N186" i="25"/>
  <c r="M186" i="25"/>
  <c r="L186" i="25"/>
  <c r="K186" i="25"/>
  <c r="J186" i="25"/>
  <c r="I186" i="25"/>
  <c r="H186" i="25"/>
  <c r="G186" i="25"/>
  <c r="F186" i="25"/>
  <c r="E186" i="25"/>
  <c r="D186" i="25"/>
  <c r="N185" i="25"/>
  <c r="M185" i="25"/>
  <c r="L185" i="25"/>
  <c r="K185" i="25"/>
  <c r="J185" i="25"/>
  <c r="I185" i="25"/>
  <c r="H185" i="25"/>
  <c r="G185" i="25"/>
  <c r="F185" i="25"/>
  <c r="E185" i="25"/>
  <c r="D185" i="25"/>
  <c r="N184" i="25"/>
  <c r="M184" i="25"/>
  <c r="L184" i="25"/>
  <c r="K184" i="25"/>
  <c r="J184" i="25"/>
  <c r="I184" i="25"/>
  <c r="H184" i="25"/>
  <c r="G184" i="25"/>
  <c r="F184" i="25"/>
  <c r="E184" i="25"/>
  <c r="D184" i="25"/>
  <c r="N183" i="25"/>
  <c r="M183" i="25"/>
  <c r="L183" i="25"/>
  <c r="K183" i="25"/>
  <c r="J183" i="25"/>
  <c r="I183" i="25"/>
  <c r="H183" i="25"/>
  <c r="G183" i="25"/>
  <c r="F183" i="25"/>
  <c r="E183" i="25"/>
  <c r="D183" i="25"/>
  <c r="N182" i="25"/>
  <c r="M182" i="25"/>
  <c r="L182" i="25"/>
  <c r="K182" i="25"/>
  <c r="J182" i="25"/>
  <c r="I182" i="25"/>
  <c r="H182" i="25"/>
  <c r="G182" i="25"/>
  <c r="F182" i="25"/>
  <c r="E182" i="25"/>
  <c r="D182" i="25"/>
  <c r="N181" i="25"/>
  <c r="M181" i="25"/>
  <c r="L181" i="25"/>
  <c r="K181" i="25"/>
  <c r="J181" i="25"/>
  <c r="I181" i="25"/>
  <c r="H181" i="25"/>
  <c r="G181" i="25"/>
  <c r="F181" i="25"/>
  <c r="E181" i="25"/>
  <c r="D181" i="25"/>
  <c r="N180" i="25"/>
  <c r="M180" i="25"/>
  <c r="L180" i="25"/>
  <c r="K180" i="25"/>
  <c r="J180" i="25"/>
  <c r="I180" i="25"/>
  <c r="H180" i="25"/>
  <c r="G180" i="25"/>
  <c r="F180" i="25"/>
  <c r="E180" i="25"/>
  <c r="D180" i="25"/>
  <c r="N179" i="25"/>
  <c r="M179" i="25"/>
  <c r="L179" i="25"/>
  <c r="K179" i="25"/>
  <c r="J179" i="25"/>
  <c r="I179" i="25"/>
  <c r="H179" i="25"/>
  <c r="G179" i="25"/>
  <c r="F179" i="25"/>
  <c r="E179" i="25"/>
  <c r="D179" i="25"/>
  <c r="N178" i="25"/>
  <c r="M178" i="25"/>
  <c r="L178" i="25"/>
  <c r="K178" i="25"/>
  <c r="J178" i="25"/>
  <c r="I178" i="25"/>
  <c r="H178" i="25"/>
  <c r="G178" i="25"/>
  <c r="F178" i="25"/>
  <c r="E178" i="25"/>
  <c r="D178" i="25"/>
  <c r="N177" i="25"/>
  <c r="M177" i="25"/>
  <c r="L177" i="25"/>
  <c r="K177" i="25"/>
  <c r="J177" i="25"/>
  <c r="I177" i="25"/>
  <c r="H177" i="25"/>
  <c r="G177" i="25"/>
  <c r="F177" i="25"/>
  <c r="E177" i="25"/>
  <c r="D177" i="25"/>
  <c r="N176" i="25"/>
  <c r="M176" i="25"/>
  <c r="L176" i="25"/>
  <c r="K176" i="25"/>
  <c r="J176" i="25"/>
  <c r="I176" i="25"/>
  <c r="H176" i="25"/>
  <c r="G176" i="25"/>
  <c r="F176" i="25"/>
  <c r="E176" i="25"/>
  <c r="D176" i="25"/>
  <c r="N175" i="25"/>
  <c r="M175" i="25"/>
  <c r="L175" i="25"/>
  <c r="K175" i="25"/>
  <c r="J175" i="25"/>
  <c r="I175" i="25"/>
  <c r="H175" i="25"/>
  <c r="G175" i="25"/>
  <c r="F175" i="25"/>
  <c r="E175" i="25"/>
  <c r="D175" i="25"/>
  <c r="N174" i="25"/>
  <c r="M174" i="25"/>
  <c r="L174" i="25"/>
  <c r="K174" i="25"/>
  <c r="J174" i="25"/>
  <c r="I174" i="25"/>
  <c r="H174" i="25"/>
  <c r="G174" i="25"/>
  <c r="F174" i="25"/>
  <c r="E174" i="25"/>
  <c r="D174" i="25"/>
  <c r="N173" i="25"/>
  <c r="M173" i="25"/>
  <c r="L173" i="25"/>
  <c r="K173" i="25"/>
  <c r="J173" i="25"/>
  <c r="I173" i="25"/>
  <c r="H173" i="25"/>
  <c r="G173" i="25"/>
  <c r="F173" i="25"/>
  <c r="E173" i="25"/>
  <c r="D173" i="25"/>
  <c r="N172" i="25"/>
  <c r="M172" i="25"/>
  <c r="L172" i="25"/>
  <c r="K172" i="25"/>
  <c r="J172" i="25"/>
  <c r="I172" i="25"/>
  <c r="H172" i="25"/>
  <c r="G172" i="25"/>
  <c r="F172" i="25"/>
  <c r="E172" i="25"/>
  <c r="D172" i="25"/>
  <c r="N171" i="25"/>
  <c r="M171" i="25"/>
  <c r="L171" i="25"/>
  <c r="K171" i="25"/>
  <c r="J171" i="25"/>
  <c r="I171" i="25"/>
  <c r="H171" i="25"/>
  <c r="G171" i="25"/>
  <c r="F171" i="25"/>
  <c r="E171" i="25"/>
  <c r="D171" i="25"/>
  <c r="N170" i="25"/>
  <c r="M170" i="25"/>
  <c r="L170" i="25"/>
  <c r="K170" i="25"/>
  <c r="J170" i="25"/>
  <c r="I170" i="25"/>
  <c r="H170" i="25"/>
  <c r="G170" i="25"/>
  <c r="F170" i="25"/>
  <c r="E170" i="25"/>
  <c r="D170" i="25"/>
  <c r="N169" i="25"/>
  <c r="M169" i="25"/>
  <c r="L169" i="25"/>
  <c r="K169" i="25"/>
  <c r="J169" i="25"/>
  <c r="I169" i="25"/>
  <c r="H169" i="25"/>
  <c r="G169" i="25"/>
  <c r="F169" i="25"/>
  <c r="E169" i="25"/>
  <c r="D169" i="25"/>
  <c r="N168" i="25"/>
  <c r="M168" i="25"/>
  <c r="L168" i="25"/>
  <c r="K168" i="25"/>
  <c r="J168" i="25"/>
  <c r="I168" i="25"/>
  <c r="H168" i="25"/>
  <c r="G168" i="25"/>
  <c r="F168" i="25"/>
  <c r="E168" i="25"/>
  <c r="D168" i="25"/>
  <c r="N167" i="25"/>
  <c r="M167" i="25"/>
  <c r="L167" i="25"/>
  <c r="K167" i="25"/>
  <c r="J167" i="25"/>
  <c r="I167" i="25"/>
  <c r="H167" i="25"/>
  <c r="G167" i="25"/>
  <c r="F167" i="25"/>
  <c r="E167" i="25"/>
  <c r="D167" i="25"/>
  <c r="N166" i="25"/>
  <c r="M166" i="25"/>
  <c r="L166" i="25"/>
  <c r="K166" i="25"/>
  <c r="J166" i="25"/>
  <c r="I166" i="25"/>
  <c r="H166" i="25"/>
  <c r="G166" i="25"/>
  <c r="F166" i="25"/>
  <c r="E166" i="25"/>
  <c r="D166" i="25"/>
  <c r="N165" i="25"/>
  <c r="M165" i="25"/>
  <c r="L165" i="25"/>
  <c r="K165" i="25"/>
  <c r="J165" i="25"/>
  <c r="I165" i="25"/>
  <c r="H165" i="25"/>
  <c r="G165" i="25"/>
  <c r="F165" i="25"/>
  <c r="E165" i="25"/>
  <c r="D165" i="25"/>
  <c r="N164" i="25"/>
  <c r="M164" i="25"/>
  <c r="L164" i="25"/>
  <c r="K164" i="25"/>
  <c r="J164" i="25"/>
  <c r="I164" i="25"/>
  <c r="H164" i="25"/>
  <c r="G164" i="25"/>
  <c r="F164" i="25"/>
  <c r="E164" i="25"/>
  <c r="D164" i="25"/>
  <c r="N163" i="25"/>
  <c r="M163" i="25"/>
  <c r="L163" i="25"/>
  <c r="K163" i="25"/>
  <c r="J163" i="25"/>
  <c r="I163" i="25"/>
  <c r="H163" i="25"/>
  <c r="G163" i="25"/>
  <c r="F163" i="25"/>
  <c r="E163" i="25"/>
  <c r="D163" i="25"/>
  <c r="N162" i="25"/>
  <c r="M162" i="25"/>
  <c r="L162" i="25"/>
  <c r="K162" i="25"/>
  <c r="J162" i="25"/>
  <c r="I162" i="25"/>
  <c r="H162" i="25"/>
  <c r="G162" i="25"/>
  <c r="F162" i="25"/>
  <c r="E162" i="25"/>
  <c r="D162" i="25"/>
  <c r="N161" i="25"/>
  <c r="M161" i="25"/>
  <c r="L161" i="25"/>
  <c r="K161" i="25"/>
  <c r="J161" i="25"/>
  <c r="I161" i="25"/>
  <c r="H161" i="25"/>
  <c r="G161" i="25"/>
  <c r="F161" i="25"/>
  <c r="E161" i="25"/>
  <c r="D161" i="25"/>
  <c r="N160" i="25"/>
  <c r="M160" i="25"/>
  <c r="L160" i="25"/>
  <c r="K160" i="25"/>
  <c r="J160" i="25"/>
  <c r="I160" i="25"/>
  <c r="H160" i="25"/>
  <c r="G160" i="25"/>
  <c r="F160" i="25"/>
  <c r="E160" i="25"/>
  <c r="D160" i="25"/>
  <c r="N159" i="25"/>
  <c r="M159" i="25"/>
  <c r="L159" i="25"/>
  <c r="K159" i="25"/>
  <c r="J159" i="25"/>
  <c r="I159" i="25"/>
  <c r="H159" i="25"/>
  <c r="G159" i="25"/>
  <c r="F159" i="25"/>
  <c r="E159" i="25"/>
  <c r="D159" i="25"/>
  <c r="N158" i="25"/>
  <c r="M158" i="25"/>
  <c r="L158" i="25"/>
  <c r="K158" i="25"/>
  <c r="J158" i="25"/>
  <c r="I158" i="25"/>
  <c r="H158" i="25"/>
  <c r="G158" i="25"/>
  <c r="F158" i="25"/>
  <c r="E158" i="25"/>
  <c r="D158" i="25"/>
  <c r="N157" i="25"/>
  <c r="M157" i="25"/>
  <c r="L157" i="25"/>
  <c r="K157" i="25"/>
  <c r="J157" i="25"/>
  <c r="I157" i="25"/>
  <c r="H157" i="25"/>
  <c r="G157" i="25"/>
  <c r="F157" i="25"/>
  <c r="E157" i="25"/>
  <c r="D157" i="25"/>
  <c r="N156" i="25"/>
  <c r="M156" i="25"/>
  <c r="L156" i="25"/>
  <c r="K156" i="25"/>
  <c r="J156" i="25"/>
  <c r="I156" i="25"/>
  <c r="H156" i="25"/>
  <c r="G156" i="25"/>
  <c r="F156" i="25"/>
  <c r="E156" i="25"/>
  <c r="D156" i="25"/>
  <c r="N155" i="25"/>
  <c r="M155" i="25"/>
  <c r="L155" i="25"/>
  <c r="K155" i="25"/>
  <c r="J155" i="25"/>
  <c r="I155" i="25"/>
  <c r="H155" i="25"/>
  <c r="G155" i="25"/>
  <c r="F155" i="25"/>
  <c r="E155" i="25"/>
  <c r="D155" i="25"/>
  <c r="N154" i="25"/>
  <c r="M154" i="25"/>
  <c r="L154" i="25"/>
  <c r="K154" i="25"/>
  <c r="J154" i="25"/>
  <c r="I154" i="25"/>
  <c r="H154" i="25"/>
  <c r="G154" i="25"/>
  <c r="F154" i="25"/>
  <c r="E154" i="25"/>
  <c r="D154" i="25"/>
  <c r="N153" i="25"/>
  <c r="M153" i="25"/>
  <c r="L153" i="25"/>
  <c r="K153" i="25"/>
  <c r="J153" i="25"/>
  <c r="I153" i="25"/>
  <c r="H153" i="25"/>
  <c r="G153" i="25"/>
  <c r="F153" i="25"/>
  <c r="E153" i="25"/>
  <c r="D153" i="25"/>
  <c r="N152" i="25"/>
  <c r="M152" i="25"/>
  <c r="L152" i="25"/>
  <c r="K152" i="25"/>
  <c r="J152" i="25"/>
  <c r="I152" i="25"/>
  <c r="H152" i="25"/>
  <c r="G152" i="25"/>
  <c r="F152" i="25"/>
  <c r="E152" i="25"/>
  <c r="D152" i="25"/>
  <c r="N151" i="25"/>
  <c r="M151" i="25"/>
  <c r="L151" i="25"/>
  <c r="K151" i="25"/>
  <c r="J151" i="25"/>
  <c r="I151" i="25"/>
  <c r="H151" i="25"/>
  <c r="G151" i="25"/>
  <c r="F151" i="25"/>
  <c r="E151" i="25"/>
  <c r="D151" i="25"/>
  <c r="N150" i="25"/>
  <c r="M150" i="25"/>
  <c r="L150" i="25"/>
  <c r="K150" i="25"/>
  <c r="J150" i="25"/>
  <c r="I150" i="25"/>
  <c r="H150" i="25"/>
  <c r="G150" i="25"/>
  <c r="F150" i="25"/>
  <c r="E150" i="25"/>
  <c r="D150" i="25"/>
  <c r="N149" i="25"/>
  <c r="M149" i="25"/>
  <c r="L149" i="25"/>
  <c r="K149" i="25"/>
  <c r="J149" i="25"/>
  <c r="I149" i="25"/>
  <c r="H149" i="25"/>
  <c r="G149" i="25"/>
  <c r="F149" i="25"/>
  <c r="E149" i="25"/>
  <c r="D149" i="25"/>
  <c r="N148" i="25"/>
  <c r="M148" i="25"/>
  <c r="L148" i="25"/>
  <c r="K148" i="25"/>
  <c r="J148" i="25"/>
  <c r="I148" i="25"/>
  <c r="H148" i="25"/>
  <c r="G148" i="25"/>
  <c r="F148" i="25"/>
  <c r="E148" i="25"/>
  <c r="D148" i="25"/>
  <c r="N147" i="25"/>
  <c r="M147" i="25"/>
  <c r="L147" i="25"/>
  <c r="K147" i="25"/>
  <c r="J147" i="25"/>
  <c r="I147" i="25"/>
  <c r="H147" i="25"/>
  <c r="G147" i="25"/>
  <c r="F147" i="25"/>
  <c r="E147" i="25"/>
  <c r="D147" i="25"/>
  <c r="N146" i="25"/>
  <c r="M146" i="25"/>
  <c r="L146" i="25"/>
  <c r="K146" i="25"/>
  <c r="J146" i="25"/>
  <c r="I146" i="25"/>
  <c r="H146" i="25"/>
  <c r="G146" i="25"/>
  <c r="F146" i="25"/>
  <c r="E146" i="25"/>
  <c r="D146" i="25"/>
  <c r="N145" i="25"/>
  <c r="M145" i="25"/>
  <c r="L145" i="25"/>
  <c r="K145" i="25"/>
  <c r="J145" i="25"/>
  <c r="I145" i="25"/>
  <c r="H145" i="25"/>
  <c r="G145" i="25"/>
  <c r="F145" i="25"/>
  <c r="E145" i="25"/>
  <c r="D145" i="25"/>
  <c r="N144" i="25"/>
  <c r="M144" i="25"/>
  <c r="L144" i="25"/>
  <c r="K144" i="25"/>
  <c r="J144" i="25"/>
  <c r="I144" i="25"/>
  <c r="H144" i="25"/>
  <c r="G144" i="25"/>
  <c r="F144" i="25"/>
  <c r="E144" i="25"/>
  <c r="D144" i="25"/>
  <c r="N143" i="25"/>
  <c r="M143" i="25"/>
  <c r="L143" i="25"/>
  <c r="K143" i="25"/>
  <c r="J143" i="25"/>
  <c r="I143" i="25"/>
  <c r="H143" i="25"/>
  <c r="G143" i="25"/>
  <c r="F143" i="25"/>
  <c r="E143" i="25"/>
  <c r="D143" i="25"/>
  <c r="N142" i="25"/>
  <c r="M142" i="25"/>
  <c r="L142" i="25"/>
  <c r="K142" i="25"/>
  <c r="J142" i="25"/>
  <c r="I142" i="25"/>
  <c r="H142" i="25"/>
  <c r="G142" i="25"/>
  <c r="F142" i="25"/>
  <c r="E142" i="25"/>
  <c r="D142" i="25"/>
  <c r="N141" i="25"/>
  <c r="M141" i="25"/>
  <c r="L141" i="25"/>
  <c r="K141" i="25"/>
  <c r="J141" i="25"/>
  <c r="I141" i="25"/>
  <c r="H141" i="25"/>
  <c r="G141" i="25"/>
  <c r="F141" i="25"/>
  <c r="E141" i="25"/>
  <c r="D141" i="25"/>
  <c r="N140" i="25"/>
  <c r="M140" i="25"/>
  <c r="L140" i="25"/>
  <c r="K140" i="25"/>
  <c r="J140" i="25"/>
  <c r="I140" i="25"/>
  <c r="H140" i="25"/>
  <c r="G140" i="25"/>
  <c r="F140" i="25"/>
  <c r="E140" i="25"/>
  <c r="D140" i="25"/>
  <c r="D139" i="25"/>
  <c r="D138" i="25"/>
  <c r="D137" i="25"/>
  <c r="D136" i="25"/>
  <c r="D135" i="25"/>
  <c r="D134" i="25"/>
  <c r="D133" i="25"/>
  <c r="D132" i="25"/>
  <c r="E132" i="25" s="1"/>
  <c r="D131" i="25"/>
  <c r="E131" i="25" s="1"/>
  <c r="D130" i="25"/>
  <c r="D129" i="25"/>
  <c r="E129" i="25" s="1"/>
  <c r="D128" i="25"/>
  <c r="D127" i="25"/>
  <c r="E127" i="25" s="1"/>
  <c r="I139" i="25"/>
  <c r="F139" i="25"/>
  <c r="I138" i="25"/>
  <c r="F138" i="25"/>
  <c r="I137" i="25"/>
  <c r="F137" i="25"/>
  <c r="I136" i="25"/>
  <c r="F136" i="25"/>
  <c r="I135" i="25"/>
  <c r="F135" i="25"/>
  <c r="I134" i="25"/>
  <c r="F134" i="25"/>
  <c r="F133" i="25"/>
  <c r="I133" i="25"/>
  <c r="F132" i="25"/>
  <c r="F131" i="25"/>
  <c r="F130" i="25"/>
  <c r="F129" i="25"/>
  <c r="J139" i="25" l="1"/>
  <c r="K139" i="25" s="1"/>
  <c r="E139" i="25"/>
  <c r="G139" i="25"/>
  <c r="H139" i="25" s="1"/>
  <c r="J138" i="25"/>
  <c r="K138" i="25" s="1"/>
  <c r="E138" i="25"/>
  <c r="G138" i="25"/>
  <c r="H138" i="25" s="1"/>
  <c r="J137" i="25"/>
  <c r="K137" i="25" s="1"/>
  <c r="E137" i="25"/>
  <c r="G137" i="25"/>
  <c r="H137" i="25" s="1"/>
  <c r="J136" i="25"/>
  <c r="K136" i="25" s="1"/>
  <c r="E136" i="25"/>
  <c r="G136" i="25"/>
  <c r="H136" i="25" s="1"/>
  <c r="G135" i="25"/>
  <c r="H135" i="25" s="1"/>
  <c r="J135" i="25"/>
  <c r="K135" i="25" s="1"/>
  <c r="E135" i="25"/>
  <c r="G134" i="25"/>
  <c r="H134" i="25" s="1"/>
  <c r="J134" i="25"/>
  <c r="K134" i="25" s="1"/>
  <c r="E134" i="25"/>
  <c r="J133" i="25"/>
  <c r="K133" i="25" s="1"/>
  <c r="G133" i="25"/>
  <c r="H133" i="25" s="1"/>
  <c r="E133" i="25"/>
  <c r="G132" i="25"/>
  <c r="H132" i="25" s="1"/>
  <c r="G131" i="25"/>
  <c r="H131" i="25" s="1"/>
  <c r="G130" i="25"/>
  <c r="H130" i="25" s="1"/>
  <c r="E130" i="25"/>
  <c r="G129" i="25"/>
  <c r="H129" i="25" s="1"/>
  <c r="E128" i="25"/>
  <c r="D126" i="25" l="1"/>
  <c r="I132" i="25"/>
  <c r="J132" i="25" l="1"/>
  <c r="K132" i="25" s="1"/>
  <c r="E126" i="25"/>
  <c r="L15" i="25"/>
  <c r="L14" i="25"/>
  <c r="L13" i="25"/>
  <c r="L12" i="25"/>
  <c r="L11" i="25"/>
  <c r="L10" i="25"/>
  <c r="L9" i="25"/>
  <c r="L8" i="25"/>
  <c r="L7" i="25"/>
  <c r="L6" i="25"/>
  <c r="L5" i="25"/>
  <c r="L4" i="25"/>
  <c r="L3" i="25"/>
  <c r="M2" i="25" l="1"/>
  <c r="L2" i="25"/>
  <c r="L1" i="25"/>
  <c r="I10" i="25"/>
  <c r="I9" i="25"/>
  <c r="I8" i="25"/>
  <c r="I7" i="25"/>
  <c r="I6" i="25"/>
  <c r="I5" i="25"/>
  <c r="I4" i="25"/>
  <c r="I3" i="25"/>
  <c r="J2" i="25" l="1"/>
  <c r="I2" i="25"/>
  <c r="I1" i="25"/>
  <c r="F4" i="25"/>
  <c r="F3" i="25"/>
  <c r="F1" i="25" l="1"/>
  <c r="G2" i="25"/>
  <c r="F2" i="25"/>
  <c r="L228" i="40" l="1"/>
  <c r="M228" i="40" s="1"/>
  <c r="H228" i="40"/>
  <c r="G228" i="40"/>
  <c r="F228" i="40"/>
  <c r="N228" i="40" s="1"/>
  <c r="O228" i="40" s="1"/>
  <c r="H480" i="16"/>
  <c r="G480" i="16"/>
  <c r="K480" i="16" s="1"/>
  <c r="F480" i="16"/>
  <c r="I480" i="16" s="1"/>
  <c r="J480" i="16" s="1"/>
  <c r="E480" i="16"/>
  <c r="I479" i="16"/>
  <c r="J479" i="16" s="1"/>
  <c r="H479" i="16"/>
  <c r="G479" i="16"/>
  <c r="K479" i="16" s="1"/>
  <c r="F479" i="16"/>
  <c r="E479" i="16"/>
  <c r="I478" i="16"/>
  <c r="J478" i="16" s="1"/>
  <c r="H478" i="16"/>
  <c r="G478" i="16"/>
  <c r="K478" i="16" s="1"/>
  <c r="F478" i="16"/>
  <c r="E478" i="16"/>
  <c r="I228" i="40" l="1"/>
  <c r="J228" i="40" s="1"/>
  <c r="K228" i="40" s="1"/>
  <c r="L477" i="16" l="1"/>
  <c r="H477" i="16" l="1"/>
  <c r="I477" i="16" s="1"/>
  <c r="J477" i="16" s="1"/>
  <c r="G477" i="16"/>
  <c r="K477" i="16" s="1"/>
  <c r="F477" i="16"/>
  <c r="E477" i="16"/>
  <c r="I476" i="16"/>
  <c r="J476" i="16" s="1"/>
  <c r="H476" i="16"/>
  <c r="G476" i="16"/>
  <c r="K476" i="16" s="1"/>
  <c r="F476" i="16"/>
  <c r="E476" i="16"/>
  <c r="D110" i="25"/>
  <c r="L227" i="40" l="1"/>
  <c r="M227" i="40" s="1"/>
  <c r="H227" i="40"/>
  <c r="G227" i="40"/>
  <c r="F227" i="40"/>
  <c r="N227" i="40" s="1"/>
  <c r="O227" i="40" s="1"/>
  <c r="H475" i="16"/>
  <c r="G475" i="16"/>
  <c r="K475" i="16" s="1"/>
  <c r="F475" i="16"/>
  <c r="I475" i="16" s="1"/>
  <c r="J475" i="16" s="1"/>
  <c r="E475" i="16"/>
  <c r="H474" i="16"/>
  <c r="G474" i="16"/>
  <c r="K474" i="16" s="1"/>
  <c r="F474" i="16"/>
  <c r="I474" i="16" s="1"/>
  <c r="J474" i="16" s="1"/>
  <c r="E474" i="16"/>
  <c r="H473" i="16"/>
  <c r="G473" i="16"/>
  <c r="K473" i="16" s="1"/>
  <c r="F473" i="16"/>
  <c r="I473" i="16" s="1"/>
  <c r="J473" i="16" s="1"/>
  <c r="E473" i="16"/>
  <c r="I227" i="40" l="1"/>
  <c r="J227" i="40" s="1"/>
  <c r="K227" i="40" s="1"/>
  <c r="H472" i="16" l="1"/>
  <c r="G472" i="16"/>
  <c r="K472" i="16" s="1"/>
  <c r="F472" i="16"/>
  <c r="I472" i="16" s="1"/>
  <c r="J472" i="16" s="1"/>
  <c r="E472" i="16"/>
  <c r="L226" i="40" l="1"/>
  <c r="M226" i="40" s="1"/>
  <c r="H226" i="40"/>
  <c r="G226" i="40"/>
  <c r="F226" i="40"/>
  <c r="N226" i="40" s="1"/>
  <c r="O226" i="40" s="1"/>
  <c r="H471" i="16"/>
  <c r="G471" i="16"/>
  <c r="K471" i="16" s="1"/>
  <c r="F471" i="16"/>
  <c r="I471" i="16" s="1"/>
  <c r="J471" i="16" s="1"/>
  <c r="E471" i="16"/>
  <c r="H470" i="16"/>
  <c r="G470" i="16"/>
  <c r="K470" i="16" s="1"/>
  <c r="F470" i="16"/>
  <c r="I470" i="16" s="1"/>
  <c r="J470" i="16" s="1"/>
  <c r="E470" i="16"/>
  <c r="I226" i="40" l="1"/>
  <c r="J226" i="40" s="1"/>
  <c r="K226" i="40" s="1"/>
  <c r="I469" i="16" l="1"/>
  <c r="J469" i="16" s="1"/>
  <c r="H469" i="16"/>
  <c r="G469" i="16"/>
  <c r="K469" i="16" s="1"/>
  <c r="F469" i="16"/>
  <c r="E469" i="16"/>
  <c r="I468" i="16"/>
  <c r="J468" i="16" s="1"/>
  <c r="H468" i="16"/>
  <c r="G468" i="16"/>
  <c r="K468" i="16" s="1"/>
  <c r="F468" i="16"/>
  <c r="E468" i="16"/>
  <c r="L225" i="40"/>
  <c r="M225" i="40" s="1"/>
  <c r="H225" i="40"/>
  <c r="G225" i="40"/>
  <c r="F225" i="40"/>
  <c r="N225" i="40" s="1"/>
  <c r="O225" i="40" s="1"/>
  <c r="I467" i="16"/>
  <c r="J467" i="16" s="1"/>
  <c r="H467" i="16"/>
  <c r="G467" i="16"/>
  <c r="K467" i="16" s="1"/>
  <c r="F467" i="16"/>
  <c r="E467" i="16"/>
  <c r="I466" i="16"/>
  <c r="J466" i="16" s="1"/>
  <c r="H466" i="16"/>
  <c r="G466" i="16"/>
  <c r="K466" i="16" s="1"/>
  <c r="F466" i="16"/>
  <c r="E466" i="16"/>
  <c r="I225" i="40" l="1"/>
  <c r="J225" i="40" s="1"/>
  <c r="K225" i="40" s="1"/>
  <c r="H465" i="16" l="1"/>
  <c r="G465" i="16"/>
  <c r="K465" i="16" s="1"/>
  <c r="F465" i="16"/>
  <c r="I465" i="16" s="1"/>
  <c r="J465" i="16" s="1"/>
  <c r="E465" i="16"/>
  <c r="L224" i="40"/>
  <c r="M224" i="40" s="1"/>
  <c r="H224" i="40"/>
  <c r="G224" i="40"/>
  <c r="F224" i="40"/>
  <c r="N224" i="40" s="1"/>
  <c r="O224" i="40" s="1"/>
  <c r="H464" i="16"/>
  <c r="G464" i="16"/>
  <c r="K464" i="16" s="1"/>
  <c r="F464" i="16"/>
  <c r="I464" i="16" s="1"/>
  <c r="J464" i="16" s="1"/>
  <c r="E464" i="16"/>
  <c r="I224" i="40" l="1"/>
  <c r="J224" i="40" s="1"/>
  <c r="K224" i="40" s="1"/>
  <c r="H463" i="16"/>
  <c r="G463" i="16"/>
  <c r="K463" i="16" s="1"/>
  <c r="F463" i="16"/>
  <c r="I463" i="16" s="1"/>
  <c r="J463" i="16" s="1"/>
  <c r="E463" i="16"/>
  <c r="N223" i="40"/>
  <c r="O223" i="40" s="1"/>
  <c r="L223" i="40"/>
  <c r="M223" i="40" s="1"/>
  <c r="H223" i="40"/>
  <c r="G223" i="40"/>
  <c r="F223" i="40"/>
  <c r="I223" i="40" s="1"/>
  <c r="J223" i="40" s="1"/>
  <c r="K223" i="40" s="1"/>
  <c r="H462" i="16"/>
  <c r="G462" i="16"/>
  <c r="K462" i="16" s="1"/>
  <c r="F462" i="16"/>
  <c r="I462" i="16" s="1"/>
  <c r="J462" i="16" s="1"/>
  <c r="E462" i="16"/>
  <c r="L222" i="40" l="1"/>
  <c r="M222" i="40" s="1"/>
  <c r="H222" i="40"/>
  <c r="G222" i="40"/>
  <c r="F222" i="40"/>
  <c r="N222" i="40" s="1"/>
  <c r="O222" i="40" s="1"/>
  <c r="H461" i="16"/>
  <c r="G461" i="16"/>
  <c r="K461" i="16" s="1"/>
  <c r="F461" i="16"/>
  <c r="I461" i="16" s="1"/>
  <c r="J461" i="16" s="1"/>
  <c r="E461" i="16"/>
  <c r="H460" i="16"/>
  <c r="G460" i="16"/>
  <c r="K460" i="16" s="1"/>
  <c r="F460" i="16"/>
  <c r="I460" i="16" s="1"/>
  <c r="J460" i="16" s="1"/>
  <c r="E460" i="16"/>
  <c r="L221" i="40"/>
  <c r="M221" i="40" s="1"/>
  <c r="H221" i="40"/>
  <c r="G221" i="40"/>
  <c r="F221" i="40"/>
  <c r="N221" i="40" s="1"/>
  <c r="O221" i="40" s="1"/>
  <c r="H459" i="16"/>
  <c r="G459" i="16"/>
  <c r="K459" i="16" s="1"/>
  <c r="F459" i="16"/>
  <c r="I459" i="16" s="1"/>
  <c r="J459" i="16" s="1"/>
  <c r="E459" i="16"/>
  <c r="H458" i="16"/>
  <c r="G458" i="16"/>
  <c r="K458" i="16" s="1"/>
  <c r="F458" i="16"/>
  <c r="I458" i="16" s="1"/>
  <c r="J458" i="16" s="1"/>
  <c r="E458" i="16"/>
  <c r="K42" i="18"/>
  <c r="P48" i="18"/>
  <c r="M48" i="18"/>
  <c r="I48" i="18"/>
  <c r="J48" i="18"/>
  <c r="K48" i="18" s="1"/>
  <c r="I457" i="16"/>
  <c r="J457" i="16" s="1"/>
  <c r="H457" i="16"/>
  <c r="G457" i="16"/>
  <c r="K457" i="16" s="1"/>
  <c r="F457" i="16"/>
  <c r="E457" i="16"/>
  <c r="H456" i="16"/>
  <c r="G456" i="16"/>
  <c r="K456" i="16" s="1"/>
  <c r="F456" i="16"/>
  <c r="I456" i="16" s="1"/>
  <c r="J456" i="16" s="1"/>
  <c r="E456" i="16"/>
  <c r="O220" i="40"/>
  <c r="N220" i="40"/>
  <c r="L220" i="40"/>
  <c r="M220" i="40" s="1"/>
  <c r="J220" i="40"/>
  <c r="K220" i="40" s="1"/>
  <c r="I220" i="40"/>
  <c r="H220" i="40"/>
  <c r="G220" i="40"/>
  <c r="F220" i="40"/>
  <c r="I222" i="40" l="1"/>
  <c r="J222" i="40" s="1"/>
  <c r="K222" i="40" s="1"/>
  <c r="I221" i="40"/>
  <c r="J221" i="40" s="1"/>
  <c r="K221" i="40" s="1"/>
  <c r="H455" i="16"/>
  <c r="G455" i="16"/>
  <c r="K455" i="16" s="1"/>
  <c r="F455" i="16"/>
  <c r="I455" i="16" s="1"/>
  <c r="J455" i="16" s="1"/>
  <c r="F454" i="16"/>
  <c r="E455" i="16"/>
  <c r="H454" i="16" l="1"/>
  <c r="I454" i="16" s="1"/>
  <c r="J454" i="16" s="1"/>
  <c r="G454" i="16"/>
  <c r="K454" i="16" s="1"/>
  <c r="E454" i="16"/>
  <c r="L219" i="40"/>
  <c r="M219" i="40" s="1"/>
  <c r="H219" i="40"/>
  <c r="G219" i="40"/>
  <c r="F219" i="40"/>
  <c r="I219" i="40" s="1"/>
  <c r="J219" i="40" s="1"/>
  <c r="K219" i="40" s="1"/>
  <c r="H453" i="16"/>
  <c r="G453" i="16"/>
  <c r="K453" i="16" s="1"/>
  <c r="F453" i="16"/>
  <c r="I453" i="16" s="1"/>
  <c r="J453" i="16" s="1"/>
  <c r="E453" i="16"/>
  <c r="N219" i="40" l="1"/>
  <c r="O219" i="40" s="1"/>
  <c r="I452" i="16"/>
  <c r="J452" i="16" s="1"/>
  <c r="H452" i="16"/>
  <c r="G452" i="16"/>
  <c r="K452" i="16" s="1"/>
  <c r="F452" i="16"/>
  <c r="E452" i="16"/>
  <c r="N218" i="40"/>
  <c r="O218" i="40" s="1"/>
  <c r="L218" i="40"/>
  <c r="M218" i="40" s="1"/>
  <c r="J218" i="40"/>
  <c r="K218" i="40" s="1"/>
  <c r="I218" i="40"/>
  <c r="H218" i="40"/>
  <c r="G218" i="40"/>
  <c r="F218" i="40"/>
  <c r="I451" i="16"/>
  <c r="J451" i="16" s="1"/>
  <c r="H451" i="16"/>
  <c r="G451" i="16"/>
  <c r="K451" i="16" s="1"/>
  <c r="F451" i="16"/>
  <c r="E451" i="16"/>
  <c r="I450" i="16"/>
  <c r="J450" i="16" s="1"/>
  <c r="H450" i="16"/>
  <c r="G450" i="16"/>
  <c r="K450" i="16" s="1"/>
  <c r="F450" i="16"/>
  <c r="E450" i="16"/>
  <c r="L217" i="40"/>
  <c r="M217" i="40" s="1"/>
  <c r="H217" i="40"/>
  <c r="G217" i="40"/>
  <c r="F217" i="40"/>
  <c r="N217" i="40" s="1"/>
  <c r="O217" i="40" s="1"/>
  <c r="H449" i="16"/>
  <c r="G449" i="16"/>
  <c r="K449" i="16" s="1"/>
  <c r="F449" i="16"/>
  <c r="I449" i="16" s="1"/>
  <c r="J449" i="16" s="1"/>
  <c r="E449" i="16"/>
  <c r="H448" i="16"/>
  <c r="G448" i="16"/>
  <c r="K448" i="16" s="1"/>
  <c r="F448" i="16"/>
  <c r="I448" i="16" s="1"/>
  <c r="J448" i="16" s="1"/>
  <c r="E448" i="16"/>
  <c r="L216" i="40"/>
  <c r="M216" i="40" s="1"/>
  <c r="H216" i="40"/>
  <c r="G216" i="40"/>
  <c r="F216" i="40"/>
  <c r="N216" i="40" s="1"/>
  <c r="O216" i="40" s="1"/>
  <c r="H447" i="16"/>
  <c r="G447" i="16"/>
  <c r="K447" i="16" s="1"/>
  <c r="F447" i="16"/>
  <c r="I447" i="16" s="1"/>
  <c r="J447" i="16" s="1"/>
  <c r="E447" i="16"/>
  <c r="L215" i="40"/>
  <c r="M215" i="40" s="1"/>
  <c r="H215" i="40"/>
  <c r="G215" i="40"/>
  <c r="F215" i="40"/>
  <c r="N215" i="40" s="1"/>
  <c r="O215" i="40" s="1"/>
  <c r="I446" i="16"/>
  <c r="J446" i="16" s="1"/>
  <c r="H446" i="16"/>
  <c r="G446" i="16"/>
  <c r="K446" i="16" s="1"/>
  <c r="F446" i="16"/>
  <c r="E446" i="16"/>
  <c r="H445" i="16"/>
  <c r="G445" i="16"/>
  <c r="K445" i="16" s="1"/>
  <c r="F445" i="16"/>
  <c r="E445" i="16"/>
  <c r="L214" i="40"/>
  <c r="M214" i="40" s="1"/>
  <c r="H214" i="40"/>
  <c r="G214" i="40"/>
  <c r="F214" i="40"/>
  <c r="I214" i="40" s="1"/>
  <c r="J214" i="40" s="1"/>
  <c r="K214" i="40" s="1"/>
  <c r="I217" i="40" l="1"/>
  <c r="J217" i="40" s="1"/>
  <c r="K217" i="40" s="1"/>
  <c r="I216" i="40"/>
  <c r="J216" i="40" s="1"/>
  <c r="K216" i="40" s="1"/>
  <c r="I215" i="40"/>
  <c r="J215" i="40" s="1"/>
  <c r="K215" i="40" s="1"/>
  <c r="N214" i="40"/>
  <c r="O214" i="40" s="1"/>
  <c r="I445" i="16"/>
  <c r="J445" i="16" s="1"/>
  <c r="L213" i="40" l="1"/>
  <c r="M213" i="40" s="1"/>
  <c r="H213" i="40"/>
  <c r="G213" i="40"/>
  <c r="F213" i="40"/>
  <c r="N213" i="40" s="1"/>
  <c r="O213" i="40" s="1"/>
  <c r="I444" i="16"/>
  <c r="J444" i="16" s="1"/>
  <c r="H444" i="16"/>
  <c r="G444" i="16"/>
  <c r="K444" i="16" s="1"/>
  <c r="F444" i="16"/>
  <c r="E444" i="16"/>
  <c r="H443" i="16"/>
  <c r="I443" i="16" s="1"/>
  <c r="J443" i="16" s="1"/>
  <c r="G443" i="16"/>
  <c r="K443" i="16" s="1"/>
  <c r="F443" i="16"/>
  <c r="E443" i="16"/>
  <c r="D63" i="25"/>
  <c r="I213" i="40" l="1"/>
  <c r="J213" i="40" s="1"/>
  <c r="K213" i="40" s="1"/>
  <c r="N212" i="40"/>
  <c r="O212" i="40" s="1"/>
  <c r="L212" i="40"/>
  <c r="M212" i="40" s="1"/>
  <c r="J212" i="40"/>
  <c r="K212" i="40" s="1"/>
  <c r="I212" i="40"/>
  <c r="H212" i="40"/>
  <c r="G212" i="40"/>
  <c r="F212" i="40"/>
  <c r="H442" i="16"/>
  <c r="G442" i="16"/>
  <c r="K442" i="16" s="1"/>
  <c r="F442" i="16"/>
  <c r="I442" i="16" s="1"/>
  <c r="J442" i="16" s="1"/>
  <c r="E442" i="16"/>
  <c r="H441" i="16"/>
  <c r="G441" i="16"/>
  <c r="K441" i="16" s="1"/>
  <c r="F441" i="16"/>
  <c r="I441" i="16" s="1"/>
  <c r="J441" i="16" s="1"/>
  <c r="E441" i="16"/>
  <c r="N211" i="40" l="1"/>
  <c r="O211" i="40" s="1"/>
  <c r="L211" i="40"/>
  <c r="M211" i="40" s="1"/>
  <c r="J211" i="40"/>
  <c r="K211" i="40" s="1"/>
  <c r="I211" i="40"/>
  <c r="H211" i="40"/>
  <c r="G211" i="40"/>
  <c r="F211" i="40"/>
  <c r="I440" i="16"/>
  <c r="J440" i="16" s="1"/>
  <c r="H440" i="16"/>
  <c r="G440" i="16"/>
  <c r="K440" i="16" s="1"/>
  <c r="F440" i="16"/>
  <c r="E440" i="16"/>
  <c r="H439" i="16" l="1"/>
  <c r="G439" i="16"/>
  <c r="K439" i="16" s="1"/>
  <c r="F439" i="16"/>
  <c r="I439" i="16" s="1"/>
  <c r="J439" i="16" s="1"/>
  <c r="E439" i="16"/>
  <c r="L210" i="40"/>
  <c r="M210" i="40" s="1"/>
  <c r="H210" i="40"/>
  <c r="G210" i="40"/>
  <c r="F210" i="40"/>
  <c r="I210" i="40" s="1"/>
  <c r="J210" i="40" s="1"/>
  <c r="K210" i="40" s="1"/>
  <c r="H438" i="16"/>
  <c r="G438" i="16"/>
  <c r="K438" i="16" s="1"/>
  <c r="F438" i="16"/>
  <c r="I438" i="16" s="1"/>
  <c r="J438" i="16" s="1"/>
  <c r="E438" i="16"/>
  <c r="I437" i="16"/>
  <c r="J437" i="16" s="1"/>
  <c r="H437" i="16"/>
  <c r="G437" i="16"/>
  <c r="K437" i="16" s="1"/>
  <c r="F437" i="16"/>
  <c r="E437" i="16"/>
  <c r="N210" i="40" l="1"/>
  <c r="O210" i="40" s="1"/>
  <c r="M47" i="18"/>
  <c r="P47" i="18"/>
  <c r="I47" i="18"/>
  <c r="J47" i="18"/>
  <c r="K47" i="18"/>
  <c r="N209" i="40"/>
  <c r="O209" i="40" s="1"/>
  <c r="L209" i="40"/>
  <c r="M209" i="40" s="1"/>
  <c r="J209" i="40"/>
  <c r="K209" i="40" s="1"/>
  <c r="I209" i="40"/>
  <c r="H209" i="40"/>
  <c r="G209" i="40"/>
  <c r="F209" i="40"/>
  <c r="H436" i="16"/>
  <c r="G436" i="16"/>
  <c r="K436" i="16" s="1"/>
  <c r="F436" i="16"/>
  <c r="I436" i="16" s="1"/>
  <c r="J436" i="16" s="1"/>
  <c r="E436" i="16"/>
  <c r="I435" i="16"/>
  <c r="J435" i="16" s="1"/>
  <c r="H435" i="16"/>
  <c r="G435" i="16"/>
  <c r="K435" i="16" s="1"/>
  <c r="F435" i="16"/>
  <c r="E435" i="16"/>
  <c r="H434" i="16"/>
  <c r="G434" i="16"/>
  <c r="K434" i="16" s="1"/>
  <c r="F434" i="16"/>
  <c r="I434" i="16" s="1"/>
  <c r="J434" i="16" s="1"/>
  <c r="E434" i="16"/>
  <c r="N208" i="40"/>
  <c r="O208" i="40" s="1"/>
  <c r="L208" i="40"/>
  <c r="M208" i="40" s="1"/>
  <c r="J208" i="40"/>
  <c r="K208" i="40" s="1"/>
  <c r="I208" i="40"/>
  <c r="H208" i="40"/>
  <c r="G208" i="40"/>
  <c r="F208" i="40"/>
  <c r="H433" i="16"/>
  <c r="G433" i="16"/>
  <c r="K433" i="16" s="1"/>
  <c r="F433" i="16"/>
  <c r="I433" i="16" s="1"/>
  <c r="J433" i="16" s="1"/>
  <c r="E433" i="16"/>
  <c r="I432" i="16"/>
  <c r="J432" i="16" s="1"/>
  <c r="H432" i="16"/>
  <c r="G432" i="16"/>
  <c r="K432" i="16" s="1"/>
  <c r="F432" i="16"/>
  <c r="E432" i="16"/>
  <c r="L207" i="40"/>
  <c r="M207" i="40" s="1"/>
  <c r="H207" i="40"/>
  <c r="G207" i="40"/>
  <c r="F207" i="40"/>
  <c r="N207" i="40" s="1"/>
  <c r="O207" i="40" s="1"/>
  <c r="I207" i="40" l="1"/>
  <c r="J207" i="40" s="1"/>
  <c r="K207" i="40" s="1"/>
  <c r="I431" i="16"/>
  <c r="J431" i="16" s="1"/>
  <c r="H431" i="16"/>
  <c r="G431" i="16"/>
  <c r="K431" i="16" s="1"/>
  <c r="F431" i="16"/>
  <c r="E431" i="16"/>
  <c r="H430" i="16"/>
  <c r="G430" i="16"/>
  <c r="K430" i="16" s="1"/>
  <c r="F430" i="16"/>
  <c r="I430" i="16" s="1"/>
  <c r="J430" i="16" s="1"/>
  <c r="E430" i="16"/>
  <c r="E429" i="16" l="1"/>
  <c r="H429" i="16"/>
  <c r="G429" i="16"/>
  <c r="K429" i="16" s="1"/>
  <c r="F429" i="16"/>
  <c r="I429" i="16" s="1"/>
  <c r="J429" i="16" s="1"/>
  <c r="I428" i="16"/>
  <c r="J428" i="16" s="1"/>
  <c r="H428" i="16"/>
  <c r="G428" i="16"/>
  <c r="K428" i="16" s="1"/>
  <c r="F428" i="16"/>
  <c r="E428" i="16"/>
  <c r="L206" i="40"/>
  <c r="M206" i="40" s="1"/>
  <c r="H206" i="40"/>
  <c r="G206" i="40"/>
  <c r="F206" i="40"/>
  <c r="N206" i="40" s="1"/>
  <c r="O206" i="40" s="1"/>
  <c r="L205" i="40"/>
  <c r="M205" i="40" s="1"/>
  <c r="H205" i="40"/>
  <c r="G205" i="40"/>
  <c r="F205" i="40"/>
  <c r="N205" i="40" s="1"/>
  <c r="O205" i="40" s="1"/>
  <c r="H427" i="16"/>
  <c r="G427" i="16"/>
  <c r="K427" i="16" s="1"/>
  <c r="F427" i="16"/>
  <c r="I427" i="16" s="1"/>
  <c r="J427" i="16" s="1"/>
  <c r="E427" i="16"/>
  <c r="N204" i="40"/>
  <c r="O204" i="40" s="1"/>
  <c r="L204" i="40"/>
  <c r="M204" i="40" s="1"/>
  <c r="J204" i="40"/>
  <c r="K204" i="40" s="1"/>
  <c r="I204" i="40"/>
  <c r="H204" i="40"/>
  <c r="G204" i="40"/>
  <c r="F204" i="40"/>
  <c r="H426" i="16"/>
  <c r="G426" i="16"/>
  <c r="K426" i="16" s="1"/>
  <c r="F426" i="16"/>
  <c r="I426" i="16" s="1"/>
  <c r="J426" i="16" s="1"/>
  <c r="E426" i="16"/>
  <c r="O203" i="40"/>
  <c r="L203" i="40"/>
  <c r="M203" i="40" s="1"/>
  <c r="J203" i="40"/>
  <c r="K203" i="40" s="1"/>
  <c r="I203" i="40"/>
  <c r="H203" i="40"/>
  <c r="G203" i="40"/>
  <c r="F203" i="40"/>
  <c r="N203" i="40" s="1"/>
  <c r="H425" i="16"/>
  <c r="G425" i="16"/>
  <c r="K425" i="16" s="1"/>
  <c r="F425" i="16"/>
  <c r="I425" i="16" s="1"/>
  <c r="J425" i="16" s="1"/>
  <c r="E425" i="16"/>
  <c r="I424" i="16"/>
  <c r="J424" i="16" s="1"/>
  <c r="H424" i="16"/>
  <c r="G424" i="16"/>
  <c r="K424" i="16" s="1"/>
  <c r="F424" i="16"/>
  <c r="E424" i="16"/>
  <c r="H423" i="16"/>
  <c r="G423" i="16"/>
  <c r="K423" i="16" s="1"/>
  <c r="F423" i="16"/>
  <c r="I423" i="16" s="1"/>
  <c r="J423" i="16" s="1"/>
  <c r="E423" i="16"/>
  <c r="N202" i="40"/>
  <c r="O202" i="40" s="1"/>
  <c r="L202" i="40"/>
  <c r="M202" i="40" s="1"/>
  <c r="J202" i="40"/>
  <c r="K202" i="40" s="1"/>
  <c r="I202" i="40"/>
  <c r="H202" i="40"/>
  <c r="G202" i="40"/>
  <c r="F202" i="40"/>
  <c r="H422" i="16"/>
  <c r="G422" i="16"/>
  <c r="K422" i="16" s="1"/>
  <c r="F422" i="16"/>
  <c r="I422" i="16" s="1"/>
  <c r="J422" i="16" s="1"/>
  <c r="E422" i="16"/>
  <c r="L201" i="40"/>
  <c r="M201" i="40" s="1"/>
  <c r="H201" i="40"/>
  <c r="G201" i="40"/>
  <c r="F201" i="40"/>
  <c r="I201" i="40" s="1"/>
  <c r="J201" i="40" s="1"/>
  <c r="K201" i="40" s="1"/>
  <c r="H421" i="16"/>
  <c r="G421" i="16"/>
  <c r="K421" i="16" s="1"/>
  <c r="F421" i="16"/>
  <c r="I421" i="16" s="1"/>
  <c r="J421" i="16" s="1"/>
  <c r="E421" i="16"/>
  <c r="H420" i="16"/>
  <c r="G420" i="16"/>
  <c r="K420" i="16" s="1"/>
  <c r="F420" i="16"/>
  <c r="I420" i="16" s="1"/>
  <c r="J420" i="16" s="1"/>
  <c r="E420" i="16"/>
  <c r="H419" i="16"/>
  <c r="G419" i="16"/>
  <c r="K419" i="16" s="1"/>
  <c r="F419" i="16"/>
  <c r="I419" i="16" s="1"/>
  <c r="J419" i="16" s="1"/>
  <c r="E419" i="16"/>
  <c r="H418" i="16"/>
  <c r="G418" i="16"/>
  <c r="K418" i="16" s="1"/>
  <c r="F418" i="16"/>
  <c r="I418" i="16" s="1"/>
  <c r="J418" i="16" s="1"/>
  <c r="E418" i="16"/>
  <c r="N200" i="40"/>
  <c r="O200" i="40" s="1"/>
  <c r="L200" i="40"/>
  <c r="M200" i="40" s="1"/>
  <c r="J200" i="40"/>
  <c r="K200" i="40" s="1"/>
  <c r="I200" i="40"/>
  <c r="H200" i="40"/>
  <c r="G200" i="40"/>
  <c r="F200" i="40"/>
  <c r="I417" i="16"/>
  <c r="J417" i="16" s="1"/>
  <c r="H417" i="16"/>
  <c r="G417" i="16"/>
  <c r="K417" i="16" s="1"/>
  <c r="F417" i="16"/>
  <c r="E417" i="16"/>
  <c r="X18" i="14"/>
  <c r="I206" i="40" l="1"/>
  <c r="J206" i="40" s="1"/>
  <c r="K206" i="40" s="1"/>
  <c r="I205" i="40"/>
  <c r="J205" i="40" s="1"/>
  <c r="K205" i="40" s="1"/>
  <c r="N201" i="40"/>
  <c r="O201" i="40" s="1"/>
  <c r="H416" i="16"/>
  <c r="G416" i="16"/>
  <c r="K416" i="16" s="1"/>
  <c r="F416" i="16"/>
  <c r="I416" i="16" s="1"/>
  <c r="J416" i="16" s="1"/>
  <c r="E416" i="16"/>
  <c r="O199" i="40"/>
  <c r="L199" i="40"/>
  <c r="M199" i="40" s="1"/>
  <c r="J199" i="40"/>
  <c r="K199" i="40" s="1"/>
  <c r="I199" i="40"/>
  <c r="H199" i="40"/>
  <c r="G199" i="40"/>
  <c r="F199" i="40"/>
  <c r="N199" i="40" s="1"/>
  <c r="H415" i="16" l="1"/>
  <c r="G415" i="16"/>
  <c r="K415" i="16" s="1"/>
  <c r="F415" i="16"/>
  <c r="I415" i="16" s="1"/>
  <c r="J415" i="16" s="1"/>
  <c r="E415" i="16"/>
  <c r="O198" i="40"/>
  <c r="L198" i="40"/>
  <c r="M198" i="40" s="1"/>
  <c r="J198" i="40"/>
  <c r="K198" i="40" s="1"/>
  <c r="I198" i="40"/>
  <c r="H198" i="40"/>
  <c r="G198" i="40"/>
  <c r="F198" i="40"/>
  <c r="N198" i="40" s="1"/>
  <c r="H414" i="16"/>
  <c r="G414" i="16"/>
  <c r="K414" i="16" s="1"/>
  <c r="F414" i="16"/>
  <c r="I414" i="16" s="1"/>
  <c r="J414" i="16" s="1"/>
  <c r="E414" i="16"/>
  <c r="H413" i="16"/>
  <c r="G413" i="16"/>
  <c r="K413" i="16" s="1"/>
  <c r="F413" i="16"/>
  <c r="I413" i="16" s="1"/>
  <c r="J413" i="16" s="1"/>
  <c r="E413" i="16"/>
  <c r="N197" i="40"/>
  <c r="O197" i="40" s="1"/>
  <c r="L197" i="40"/>
  <c r="M197" i="40" s="1"/>
  <c r="J197" i="40"/>
  <c r="K197" i="40" s="1"/>
  <c r="I197" i="40"/>
  <c r="H197" i="40"/>
  <c r="G197" i="40"/>
  <c r="F197" i="40"/>
  <c r="H412" i="16"/>
  <c r="G412" i="16"/>
  <c r="K412" i="16" s="1"/>
  <c r="F412" i="16"/>
  <c r="I412" i="16" s="1"/>
  <c r="J412" i="16" s="1"/>
  <c r="E412" i="16"/>
  <c r="I411" i="16"/>
  <c r="J411" i="16" s="1"/>
  <c r="H411" i="16"/>
  <c r="G411" i="16"/>
  <c r="K411" i="16" s="1"/>
  <c r="F411" i="16"/>
  <c r="E411" i="16"/>
  <c r="H410" i="16" l="1"/>
  <c r="F410" i="16"/>
  <c r="I410" i="16" s="1"/>
  <c r="J410" i="16" s="1"/>
  <c r="E410" i="16"/>
  <c r="N196" i="40" l="1"/>
  <c r="O196" i="40" s="1"/>
  <c r="L196" i="40"/>
  <c r="M196" i="40" s="1"/>
  <c r="J196" i="40"/>
  <c r="K196" i="40" s="1"/>
  <c r="I196" i="40"/>
  <c r="H196" i="40"/>
  <c r="G196" i="40"/>
  <c r="F196" i="40"/>
  <c r="H409" i="16"/>
  <c r="G409" i="16"/>
  <c r="K409" i="16" s="1"/>
  <c r="F409" i="16"/>
  <c r="G410" i="16" s="1"/>
  <c r="K410" i="16" s="1"/>
  <c r="E409" i="16"/>
  <c r="O195" i="40"/>
  <c r="L195" i="40"/>
  <c r="M195" i="40" s="1"/>
  <c r="J195" i="40"/>
  <c r="K195" i="40" s="1"/>
  <c r="I195" i="40"/>
  <c r="H195" i="40"/>
  <c r="G195" i="40"/>
  <c r="F195" i="40"/>
  <c r="N195" i="40" s="1"/>
  <c r="H408" i="16"/>
  <c r="G408" i="16"/>
  <c r="K408" i="16" s="1"/>
  <c r="F408" i="16"/>
  <c r="I408" i="16" s="1"/>
  <c r="J408" i="16" s="1"/>
  <c r="E408" i="16"/>
  <c r="P46" i="18"/>
  <c r="I46" i="18"/>
  <c r="J46" i="18"/>
  <c r="K46" i="18" s="1"/>
  <c r="M46" i="18"/>
  <c r="I407" i="16"/>
  <c r="J407" i="16" s="1"/>
  <c r="H407" i="16"/>
  <c r="G407" i="16"/>
  <c r="K407" i="16" s="1"/>
  <c r="F407" i="16"/>
  <c r="E407" i="16"/>
  <c r="I409" i="16" l="1"/>
  <c r="J409" i="16" s="1"/>
  <c r="N194" i="40"/>
  <c r="O194" i="40" s="1"/>
  <c r="L194" i="40"/>
  <c r="M194" i="40" s="1"/>
  <c r="H194" i="40"/>
  <c r="G194" i="40"/>
  <c r="F194" i="40"/>
  <c r="I194" i="40" s="1"/>
  <c r="J194" i="40" s="1"/>
  <c r="K194" i="40" s="1"/>
  <c r="H406" i="16"/>
  <c r="G406" i="16"/>
  <c r="K406" i="16" s="1"/>
  <c r="F406" i="16"/>
  <c r="I406" i="16" s="1"/>
  <c r="J406" i="16" s="1"/>
  <c r="E406" i="16"/>
  <c r="H405" i="16"/>
  <c r="G405" i="16"/>
  <c r="K405" i="16" s="1"/>
  <c r="F405" i="16"/>
  <c r="I405" i="16" s="1"/>
  <c r="J405" i="16" s="1"/>
  <c r="E405" i="16"/>
  <c r="L193" i="40" l="1"/>
  <c r="M193" i="40" s="1"/>
  <c r="H193" i="40"/>
  <c r="G193" i="40"/>
  <c r="F193" i="40"/>
  <c r="N193" i="40" s="1"/>
  <c r="O193" i="40" s="1"/>
  <c r="H404" i="16"/>
  <c r="I404" i="16" s="1"/>
  <c r="J404" i="16" s="1"/>
  <c r="G404" i="16"/>
  <c r="K404" i="16" s="1"/>
  <c r="F404" i="16"/>
  <c r="E404" i="16"/>
  <c r="H403" i="16"/>
  <c r="G403" i="16"/>
  <c r="K403" i="16" s="1"/>
  <c r="F403" i="16"/>
  <c r="I403" i="16" s="1"/>
  <c r="J403" i="16" s="1"/>
  <c r="E403" i="16"/>
  <c r="D3" i="51"/>
  <c r="E3" i="51" s="1"/>
  <c r="L3" i="51"/>
  <c r="M700" i="51"/>
  <c r="L700" i="51"/>
  <c r="K700" i="51"/>
  <c r="J700" i="51"/>
  <c r="I700" i="51"/>
  <c r="H700" i="51"/>
  <c r="G700" i="51"/>
  <c r="F700" i="51"/>
  <c r="E700" i="51"/>
  <c r="D700" i="51"/>
  <c r="M699" i="51"/>
  <c r="L699" i="51"/>
  <c r="K699" i="51"/>
  <c r="J699" i="51"/>
  <c r="I699" i="51"/>
  <c r="H699" i="51"/>
  <c r="G699" i="51"/>
  <c r="F699" i="51"/>
  <c r="E699" i="51"/>
  <c r="D699" i="51"/>
  <c r="M698" i="51"/>
  <c r="L698" i="51"/>
  <c r="K698" i="51"/>
  <c r="J698" i="51"/>
  <c r="I698" i="51"/>
  <c r="H698" i="51"/>
  <c r="G698" i="51"/>
  <c r="F698" i="51"/>
  <c r="E698" i="51"/>
  <c r="D698" i="51"/>
  <c r="M697" i="51"/>
  <c r="L697" i="51"/>
  <c r="K697" i="51"/>
  <c r="J697" i="51"/>
  <c r="I697" i="51"/>
  <c r="H697" i="51"/>
  <c r="G697" i="51"/>
  <c r="F697" i="51"/>
  <c r="E697" i="51"/>
  <c r="D697" i="51"/>
  <c r="M696" i="51"/>
  <c r="L696" i="51"/>
  <c r="K696" i="51"/>
  <c r="J696" i="51"/>
  <c r="I696" i="51"/>
  <c r="H696" i="51"/>
  <c r="G696" i="51"/>
  <c r="F696" i="51"/>
  <c r="E696" i="51"/>
  <c r="D696" i="51"/>
  <c r="M695" i="51"/>
  <c r="L695" i="51"/>
  <c r="K695" i="51"/>
  <c r="J695" i="51"/>
  <c r="I695" i="51"/>
  <c r="H695" i="51"/>
  <c r="G695" i="51"/>
  <c r="F695" i="51"/>
  <c r="E695" i="51"/>
  <c r="D695" i="51"/>
  <c r="M694" i="51"/>
  <c r="L694" i="51"/>
  <c r="K694" i="51"/>
  <c r="J694" i="51"/>
  <c r="I694" i="51"/>
  <c r="H694" i="51"/>
  <c r="G694" i="51"/>
  <c r="F694" i="51"/>
  <c r="E694" i="51"/>
  <c r="D694" i="51"/>
  <c r="N694" i="51" s="1"/>
  <c r="M693" i="51"/>
  <c r="L693" i="51"/>
  <c r="K693" i="51"/>
  <c r="J693" i="51"/>
  <c r="I693" i="51"/>
  <c r="H693" i="51"/>
  <c r="G693" i="51"/>
  <c r="F693" i="51"/>
  <c r="E693" i="51"/>
  <c r="D693" i="51"/>
  <c r="M692" i="51"/>
  <c r="L692" i="51"/>
  <c r="K692" i="51"/>
  <c r="J692" i="51"/>
  <c r="I692" i="51"/>
  <c r="H692" i="51"/>
  <c r="G692" i="51"/>
  <c r="F692" i="51"/>
  <c r="E692" i="51"/>
  <c r="D692" i="51"/>
  <c r="M691" i="51"/>
  <c r="L691" i="51"/>
  <c r="K691" i="51"/>
  <c r="J691" i="51"/>
  <c r="I691" i="51"/>
  <c r="H691" i="51"/>
  <c r="G691" i="51"/>
  <c r="F691" i="51"/>
  <c r="E691" i="51"/>
  <c r="D691" i="51"/>
  <c r="M690" i="51"/>
  <c r="L690" i="51"/>
  <c r="K690" i="51"/>
  <c r="J690" i="51"/>
  <c r="I690" i="51"/>
  <c r="H690" i="51"/>
  <c r="G690" i="51"/>
  <c r="F690" i="51"/>
  <c r="E690" i="51"/>
  <c r="D690" i="51"/>
  <c r="M689" i="51"/>
  <c r="L689" i="51"/>
  <c r="K689" i="51"/>
  <c r="J689" i="51"/>
  <c r="I689" i="51"/>
  <c r="H689" i="51"/>
  <c r="G689" i="51"/>
  <c r="F689" i="51"/>
  <c r="E689" i="51"/>
  <c r="D689" i="51"/>
  <c r="M688" i="51"/>
  <c r="L688" i="51"/>
  <c r="K688" i="51"/>
  <c r="J688" i="51"/>
  <c r="I688" i="51"/>
  <c r="H688" i="51"/>
  <c r="G688" i="51"/>
  <c r="F688" i="51"/>
  <c r="E688" i="51"/>
  <c r="D688" i="51"/>
  <c r="N688" i="51" s="1"/>
  <c r="M687" i="51"/>
  <c r="L687" i="51"/>
  <c r="K687" i="51"/>
  <c r="J687" i="51"/>
  <c r="I687" i="51"/>
  <c r="H687" i="51"/>
  <c r="G687" i="51"/>
  <c r="F687" i="51"/>
  <c r="E687" i="51"/>
  <c r="D687" i="51"/>
  <c r="M686" i="51"/>
  <c r="L686" i="51"/>
  <c r="K686" i="51"/>
  <c r="J686" i="51"/>
  <c r="I686" i="51"/>
  <c r="H686" i="51"/>
  <c r="G686" i="51"/>
  <c r="F686" i="51"/>
  <c r="E686" i="51"/>
  <c r="D686" i="51"/>
  <c r="M685" i="51"/>
  <c r="L685" i="51"/>
  <c r="K685" i="51"/>
  <c r="J685" i="51"/>
  <c r="I685" i="51"/>
  <c r="H685" i="51"/>
  <c r="G685" i="51"/>
  <c r="F685" i="51"/>
  <c r="E685" i="51"/>
  <c r="D685" i="51"/>
  <c r="M684" i="51"/>
  <c r="L684" i="51"/>
  <c r="K684" i="51"/>
  <c r="J684" i="51"/>
  <c r="I684" i="51"/>
  <c r="H684" i="51"/>
  <c r="G684" i="51"/>
  <c r="F684" i="51"/>
  <c r="E684" i="51"/>
  <c r="D684" i="51"/>
  <c r="M683" i="51"/>
  <c r="L683" i="51"/>
  <c r="K683" i="51"/>
  <c r="J683" i="51"/>
  <c r="I683" i="51"/>
  <c r="H683" i="51"/>
  <c r="G683" i="51"/>
  <c r="F683" i="51"/>
  <c r="E683" i="51"/>
  <c r="D683" i="51"/>
  <c r="M682" i="51"/>
  <c r="L682" i="51"/>
  <c r="K682" i="51"/>
  <c r="J682" i="51"/>
  <c r="I682" i="51"/>
  <c r="H682" i="51"/>
  <c r="G682" i="51"/>
  <c r="F682" i="51"/>
  <c r="E682" i="51"/>
  <c r="D682" i="51"/>
  <c r="M681" i="51"/>
  <c r="L681" i="51"/>
  <c r="K681" i="51"/>
  <c r="J681" i="51"/>
  <c r="I681" i="51"/>
  <c r="H681" i="51"/>
  <c r="G681" i="51"/>
  <c r="F681" i="51"/>
  <c r="E681" i="51"/>
  <c r="D681" i="51"/>
  <c r="M680" i="51"/>
  <c r="L680" i="51"/>
  <c r="K680" i="51"/>
  <c r="J680" i="51"/>
  <c r="I680" i="51"/>
  <c r="H680" i="51"/>
  <c r="G680" i="51"/>
  <c r="F680" i="51"/>
  <c r="E680" i="51"/>
  <c r="D680" i="51"/>
  <c r="M679" i="51"/>
  <c r="L679" i="51"/>
  <c r="K679" i="51"/>
  <c r="J679" i="51"/>
  <c r="I679" i="51"/>
  <c r="H679" i="51"/>
  <c r="G679" i="51"/>
  <c r="F679" i="51"/>
  <c r="E679" i="51"/>
  <c r="D679" i="51"/>
  <c r="M678" i="51"/>
  <c r="L678" i="51"/>
  <c r="K678" i="51"/>
  <c r="J678" i="51"/>
  <c r="I678" i="51"/>
  <c r="H678" i="51"/>
  <c r="G678" i="51"/>
  <c r="F678" i="51"/>
  <c r="E678" i="51"/>
  <c r="D678" i="51"/>
  <c r="M677" i="51"/>
  <c r="L677" i="51"/>
  <c r="K677" i="51"/>
  <c r="J677" i="51"/>
  <c r="I677" i="51"/>
  <c r="H677" i="51"/>
  <c r="G677" i="51"/>
  <c r="F677" i="51"/>
  <c r="E677" i="51"/>
  <c r="D677" i="51"/>
  <c r="M676" i="51"/>
  <c r="L676" i="51"/>
  <c r="K676" i="51"/>
  <c r="J676" i="51"/>
  <c r="I676" i="51"/>
  <c r="H676" i="51"/>
  <c r="G676" i="51"/>
  <c r="F676" i="51"/>
  <c r="E676" i="51"/>
  <c r="D676" i="51"/>
  <c r="M675" i="51"/>
  <c r="L675" i="51"/>
  <c r="K675" i="51"/>
  <c r="J675" i="51"/>
  <c r="I675" i="51"/>
  <c r="H675" i="51"/>
  <c r="G675" i="51"/>
  <c r="F675" i="51"/>
  <c r="E675" i="51"/>
  <c r="D675" i="51"/>
  <c r="M674" i="51"/>
  <c r="L674" i="51"/>
  <c r="K674" i="51"/>
  <c r="J674" i="51"/>
  <c r="I674" i="51"/>
  <c r="H674" i="51"/>
  <c r="G674" i="51"/>
  <c r="F674" i="51"/>
  <c r="E674" i="51"/>
  <c r="D674" i="51"/>
  <c r="M673" i="51"/>
  <c r="L673" i="51"/>
  <c r="K673" i="51"/>
  <c r="J673" i="51"/>
  <c r="I673" i="51"/>
  <c r="H673" i="51"/>
  <c r="G673" i="51"/>
  <c r="F673" i="51"/>
  <c r="E673" i="51"/>
  <c r="D673" i="51"/>
  <c r="M672" i="51"/>
  <c r="L672" i="51"/>
  <c r="K672" i="51"/>
  <c r="J672" i="51"/>
  <c r="I672" i="51"/>
  <c r="H672" i="51"/>
  <c r="G672" i="51"/>
  <c r="F672" i="51"/>
  <c r="E672" i="51"/>
  <c r="D672" i="51"/>
  <c r="M671" i="51"/>
  <c r="L671" i="51"/>
  <c r="K671" i="51"/>
  <c r="J671" i="51"/>
  <c r="I671" i="51"/>
  <c r="H671" i="51"/>
  <c r="G671" i="51"/>
  <c r="F671" i="51"/>
  <c r="E671" i="51"/>
  <c r="D671" i="51"/>
  <c r="M670" i="51"/>
  <c r="L670" i="51"/>
  <c r="K670" i="51"/>
  <c r="J670" i="51"/>
  <c r="I670" i="51"/>
  <c r="H670" i="51"/>
  <c r="G670" i="51"/>
  <c r="F670" i="51"/>
  <c r="E670" i="51"/>
  <c r="D670" i="51"/>
  <c r="M669" i="51"/>
  <c r="L669" i="51"/>
  <c r="K669" i="51"/>
  <c r="J669" i="51"/>
  <c r="I669" i="51"/>
  <c r="H669" i="51"/>
  <c r="G669" i="51"/>
  <c r="F669" i="51"/>
  <c r="E669" i="51"/>
  <c r="D669" i="51"/>
  <c r="M668" i="51"/>
  <c r="L668" i="51"/>
  <c r="K668" i="51"/>
  <c r="J668" i="51"/>
  <c r="I668" i="51"/>
  <c r="H668" i="51"/>
  <c r="G668" i="51"/>
  <c r="F668" i="51"/>
  <c r="E668" i="51"/>
  <c r="D668" i="51"/>
  <c r="M667" i="51"/>
  <c r="L667" i="51"/>
  <c r="K667" i="51"/>
  <c r="J667" i="51"/>
  <c r="I667" i="51"/>
  <c r="H667" i="51"/>
  <c r="G667" i="51"/>
  <c r="F667" i="51"/>
  <c r="E667" i="51"/>
  <c r="D667" i="51"/>
  <c r="M666" i="51"/>
  <c r="L666" i="51"/>
  <c r="K666" i="51"/>
  <c r="J666" i="51"/>
  <c r="I666" i="51"/>
  <c r="H666" i="51"/>
  <c r="G666" i="51"/>
  <c r="F666" i="51"/>
  <c r="E666" i="51"/>
  <c r="D666" i="51"/>
  <c r="M665" i="51"/>
  <c r="L665" i="51"/>
  <c r="K665" i="51"/>
  <c r="J665" i="51"/>
  <c r="I665" i="51"/>
  <c r="H665" i="51"/>
  <c r="G665" i="51"/>
  <c r="F665" i="51"/>
  <c r="E665" i="51"/>
  <c r="D665" i="51"/>
  <c r="M664" i="51"/>
  <c r="L664" i="51"/>
  <c r="K664" i="51"/>
  <c r="J664" i="51"/>
  <c r="I664" i="51"/>
  <c r="H664" i="51"/>
  <c r="G664" i="51"/>
  <c r="F664" i="51"/>
  <c r="E664" i="51"/>
  <c r="D664" i="51"/>
  <c r="M663" i="51"/>
  <c r="L663" i="51"/>
  <c r="K663" i="51"/>
  <c r="J663" i="51"/>
  <c r="I663" i="51"/>
  <c r="H663" i="51"/>
  <c r="G663" i="51"/>
  <c r="F663" i="51"/>
  <c r="E663" i="51"/>
  <c r="D663" i="51"/>
  <c r="M662" i="51"/>
  <c r="L662" i="51"/>
  <c r="K662" i="51"/>
  <c r="J662" i="51"/>
  <c r="I662" i="51"/>
  <c r="H662" i="51"/>
  <c r="G662" i="51"/>
  <c r="F662" i="51"/>
  <c r="E662" i="51"/>
  <c r="D662" i="51"/>
  <c r="M661" i="51"/>
  <c r="L661" i="51"/>
  <c r="K661" i="51"/>
  <c r="J661" i="51"/>
  <c r="I661" i="51"/>
  <c r="H661" i="51"/>
  <c r="G661" i="51"/>
  <c r="F661" i="51"/>
  <c r="E661" i="51"/>
  <c r="D661" i="51"/>
  <c r="M660" i="51"/>
  <c r="L660" i="51"/>
  <c r="K660" i="51"/>
  <c r="J660" i="51"/>
  <c r="I660" i="51"/>
  <c r="H660" i="51"/>
  <c r="G660" i="51"/>
  <c r="F660" i="51"/>
  <c r="E660" i="51"/>
  <c r="D660" i="51"/>
  <c r="M659" i="51"/>
  <c r="L659" i="51"/>
  <c r="K659" i="51"/>
  <c r="J659" i="51"/>
  <c r="I659" i="51"/>
  <c r="H659" i="51"/>
  <c r="G659" i="51"/>
  <c r="F659" i="51"/>
  <c r="E659" i="51"/>
  <c r="D659" i="51"/>
  <c r="M658" i="51"/>
  <c r="L658" i="51"/>
  <c r="K658" i="51"/>
  <c r="J658" i="51"/>
  <c r="I658" i="51"/>
  <c r="H658" i="51"/>
  <c r="G658" i="51"/>
  <c r="F658" i="51"/>
  <c r="E658" i="51"/>
  <c r="D658" i="51"/>
  <c r="M657" i="51"/>
  <c r="L657" i="51"/>
  <c r="K657" i="51"/>
  <c r="J657" i="51"/>
  <c r="I657" i="51"/>
  <c r="H657" i="51"/>
  <c r="G657" i="51"/>
  <c r="F657" i="51"/>
  <c r="E657" i="51"/>
  <c r="D657" i="51"/>
  <c r="M656" i="51"/>
  <c r="L656" i="51"/>
  <c r="K656" i="51"/>
  <c r="J656" i="51"/>
  <c r="I656" i="51"/>
  <c r="H656" i="51"/>
  <c r="G656" i="51"/>
  <c r="F656" i="51"/>
  <c r="E656" i="51"/>
  <c r="D656" i="51"/>
  <c r="M655" i="51"/>
  <c r="L655" i="51"/>
  <c r="K655" i="51"/>
  <c r="J655" i="51"/>
  <c r="I655" i="51"/>
  <c r="H655" i="51"/>
  <c r="G655" i="51"/>
  <c r="F655" i="51"/>
  <c r="E655" i="51"/>
  <c r="D655" i="51"/>
  <c r="M654" i="51"/>
  <c r="L654" i="51"/>
  <c r="K654" i="51"/>
  <c r="J654" i="51"/>
  <c r="I654" i="51"/>
  <c r="H654" i="51"/>
  <c r="G654" i="51"/>
  <c r="F654" i="51"/>
  <c r="E654" i="51"/>
  <c r="D654" i="51"/>
  <c r="M653" i="51"/>
  <c r="L653" i="51"/>
  <c r="K653" i="51"/>
  <c r="J653" i="51"/>
  <c r="I653" i="51"/>
  <c r="H653" i="51"/>
  <c r="G653" i="51"/>
  <c r="F653" i="51"/>
  <c r="E653" i="51"/>
  <c r="D653" i="51"/>
  <c r="M652" i="51"/>
  <c r="L652" i="51"/>
  <c r="K652" i="51"/>
  <c r="J652" i="51"/>
  <c r="I652" i="51"/>
  <c r="H652" i="51"/>
  <c r="G652" i="51"/>
  <c r="F652" i="51"/>
  <c r="E652" i="51"/>
  <c r="D652" i="51"/>
  <c r="M651" i="51"/>
  <c r="L651" i="51"/>
  <c r="K651" i="51"/>
  <c r="J651" i="51"/>
  <c r="I651" i="51"/>
  <c r="H651" i="51"/>
  <c r="G651" i="51"/>
  <c r="F651" i="51"/>
  <c r="E651" i="51"/>
  <c r="D651" i="51"/>
  <c r="M650" i="51"/>
  <c r="L650" i="51"/>
  <c r="K650" i="51"/>
  <c r="J650" i="51"/>
  <c r="I650" i="51"/>
  <c r="H650" i="51"/>
  <c r="G650" i="51"/>
  <c r="F650" i="51"/>
  <c r="E650" i="51"/>
  <c r="D650" i="51"/>
  <c r="M649" i="51"/>
  <c r="L649" i="51"/>
  <c r="K649" i="51"/>
  <c r="J649" i="51"/>
  <c r="I649" i="51"/>
  <c r="H649" i="51"/>
  <c r="G649" i="51"/>
  <c r="F649" i="51"/>
  <c r="E649" i="51"/>
  <c r="D649" i="51"/>
  <c r="M648" i="51"/>
  <c r="L648" i="51"/>
  <c r="K648" i="51"/>
  <c r="J648" i="51"/>
  <c r="I648" i="51"/>
  <c r="H648" i="51"/>
  <c r="G648" i="51"/>
  <c r="F648" i="51"/>
  <c r="E648" i="51"/>
  <c r="D648" i="51"/>
  <c r="M647" i="51"/>
  <c r="L647" i="51"/>
  <c r="K647" i="51"/>
  <c r="J647" i="51"/>
  <c r="I647" i="51"/>
  <c r="H647" i="51"/>
  <c r="G647" i="51"/>
  <c r="F647" i="51"/>
  <c r="E647" i="51"/>
  <c r="D647" i="51"/>
  <c r="M646" i="51"/>
  <c r="L646" i="51"/>
  <c r="K646" i="51"/>
  <c r="J646" i="51"/>
  <c r="I646" i="51"/>
  <c r="H646" i="51"/>
  <c r="G646" i="51"/>
  <c r="F646" i="51"/>
  <c r="E646" i="51"/>
  <c r="D646" i="51"/>
  <c r="M645" i="51"/>
  <c r="L645" i="51"/>
  <c r="K645" i="51"/>
  <c r="J645" i="51"/>
  <c r="I645" i="51"/>
  <c r="H645" i="51"/>
  <c r="G645" i="51"/>
  <c r="F645" i="51"/>
  <c r="E645" i="51"/>
  <c r="D645" i="51"/>
  <c r="M644" i="51"/>
  <c r="L644" i="51"/>
  <c r="K644" i="51"/>
  <c r="J644" i="51"/>
  <c r="I644" i="51"/>
  <c r="H644" i="51"/>
  <c r="G644" i="51"/>
  <c r="F644" i="51"/>
  <c r="E644" i="51"/>
  <c r="D644" i="51"/>
  <c r="M643" i="51"/>
  <c r="L643" i="51"/>
  <c r="K643" i="51"/>
  <c r="J643" i="51"/>
  <c r="I643" i="51"/>
  <c r="H643" i="51"/>
  <c r="G643" i="51"/>
  <c r="F643" i="51"/>
  <c r="E643" i="51"/>
  <c r="D643" i="51"/>
  <c r="M642" i="51"/>
  <c r="L642" i="51"/>
  <c r="K642" i="51"/>
  <c r="J642" i="51"/>
  <c r="I642" i="51"/>
  <c r="H642" i="51"/>
  <c r="G642" i="51"/>
  <c r="F642" i="51"/>
  <c r="E642" i="51"/>
  <c r="D642" i="51"/>
  <c r="M641" i="51"/>
  <c r="L641" i="51"/>
  <c r="K641" i="51"/>
  <c r="J641" i="51"/>
  <c r="I641" i="51"/>
  <c r="H641" i="51"/>
  <c r="G641" i="51"/>
  <c r="F641" i="51"/>
  <c r="E641" i="51"/>
  <c r="D641" i="51"/>
  <c r="M640" i="51"/>
  <c r="L640" i="51"/>
  <c r="K640" i="51"/>
  <c r="J640" i="51"/>
  <c r="I640" i="51"/>
  <c r="H640" i="51"/>
  <c r="G640" i="51"/>
  <c r="F640" i="51"/>
  <c r="E640" i="51"/>
  <c r="D640" i="51"/>
  <c r="M639" i="51"/>
  <c r="L639" i="51"/>
  <c r="K639" i="51"/>
  <c r="J639" i="51"/>
  <c r="I639" i="51"/>
  <c r="H639" i="51"/>
  <c r="G639" i="51"/>
  <c r="F639" i="51"/>
  <c r="E639" i="51"/>
  <c r="D639" i="51"/>
  <c r="M638" i="51"/>
  <c r="L638" i="51"/>
  <c r="K638" i="51"/>
  <c r="J638" i="51"/>
  <c r="I638" i="51"/>
  <c r="H638" i="51"/>
  <c r="G638" i="51"/>
  <c r="F638" i="51"/>
  <c r="E638" i="51"/>
  <c r="D638" i="51"/>
  <c r="M637" i="51"/>
  <c r="L637" i="51"/>
  <c r="K637" i="51"/>
  <c r="J637" i="51"/>
  <c r="I637" i="51"/>
  <c r="H637" i="51"/>
  <c r="G637" i="51"/>
  <c r="F637" i="51"/>
  <c r="E637" i="51"/>
  <c r="D637" i="51"/>
  <c r="M636" i="51"/>
  <c r="L636" i="51"/>
  <c r="K636" i="51"/>
  <c r="J636" i="51"/>
  <c r="I636" i="51"/>
  <c r="H636" i="51"/>
  <c r="G636" i="51"/>
  <c r="F636" i="51"/>
  <c r="E636" i="51"/>
  <c r="D636" i="51"/>
  <c r="M635" i="51"/>
  <c r="L635" i="51"/>
  <c r="K635" i="51"/>
  <c r="J635" i="51"/>
  <c r="I635" i="51"/>
  <c r="H635" i="51"/>
  <c r="G635" i="51"/>
  <c r="F635" i="51"/>
  <c r="E635" i="51"/>
  <c r="D635" i="51"/>
  <c r="M634" i="51"/>
  <c r="L634" i="51"/>
  <c r="K634" i="51"/>
  <c r="J634" i="51"/>
  <c r="I634" i="51"/>
  <c r="H634" i="51"/>
  <c r="G634" i="51"/>
  <c r="F634" i="51"/>
  <c r="E634" i="51"/>
  <c r="D634" i="51"/>
  <c r="M633" i="51"/>
  <c r="L633" i="51"/>
  <c r="K633" i="51"/>
  <c r="J633" i="51"/>
  <c r="I633" i="51"/>
  <c r="H633" i="51"/>
  <c r="G633" i="51"/>
  <c r="F633" i="51"/>
  <c r="E633" i="51"/>
  <c r="D633" i="51"/>
  <c r="M632" i="51"/>
  <c r="L632" i="51"/>
  <c r="K632" i="51"/>
  <c r="J632" i="51"/>
  <c r="I632" i="51"/>
  <c r="H632" i="51"/>
  <c r="G632" i="51"/>
  <c r="F632" i="51"/>
  <c r="E632" i="51"/>
  <c r="D632" i="51"/>
  <c r="M631" i="51"/>
  <c r="L631" i="51"/>
  <c r="K631" i="51"/>
  <c r="J631" i="51"/>
  <c r="I631" i="51"/>
  <c r="H631" i="51"/>
  <c r="G631" i="51"/>
  <c r="F631" i="51"/>
  <c r="E631" i="51"/>
  <c r="D631" i="51"/>
  <c r="M630" i="51"/>
  <c r="L630" i="51"/>
  <c r="K630" i="51"/>
  <c r="J630" i="51"/>
  <c r="I630" i="51"/>
  <c r="H630" i="51"/>
  <c r="G630" i="51"/>
  <c r="F630" i="51"/>
  <c r="E630" i="51"/>
  <c r="D630" i="51"/>
  <c r="M629" i="51"/>
  <c r="L629" i="51"/>
  <c r="K629" i="51"/>
  <c r="J629" i="51"/>
  <c r="I629" i="51"/>
  <c r="H629" i="51"/>
  <c r="G629" i="51"/>
  <c r="F629" i="51"/>
  <c r="E629" i="51"/>
  <c r="D629" i="51"/>
  <c r="M628" i="51"/>
  <c r="L628" i="51"/>
  <c r="K628" i="51"/>
  <c r="J628" i="51"/>
  <c r="I628" i="51"/>
  <c r="H628" i="51"/>
  <c r="G628" i="51"/>
  <c r="F628" i="51"/>
  <c r="E628" i="51"/>
  <c r="D628" i="51"/>
  <c r="M627" i="51"/>
  <c r="L627" i="51"/>
  <c r="K627" i="51"/>
  <c r="J627" i="51"/>
  <c r="I627" i="51"/>
  <c r="H627" i="51"/>
  <c r="G627" i="51"/>
  <c r="F627" i="51"/>
  <c r="E627" i="51"/>
  <c r="D627" i="51"/>
  <c r="M626" i="51"/>
  <c r="L626" i="51"/>
  <c r="K626" i="51"/>
  <c r="J626" i="51"/>
  <c r="I626" i="51"/>
  <c r="H626" i="51"/>
  <c r="G626" i="51"/>
  <c r="F626" i="51"/>
  <c r="E626" i="51"/>
  <c r="D626" i="51"/>
  <c r="M625" i="51"/>
  <c r="L625" i="51"/>
  <c r="K625" i="51"/>
  <c r="J625" i="51"/>
  <c r="I625" i="51"/>
  <c r="H625" i="51"/>
  <c r="G625" i="51"/>
  <c r="F625" i="51"/>
  <c r="E625" i="51"/>
  <c r="D625" i="51"/>
  <c r="M624" i="51"/>
  <c r="L624" i="51"/>
  <c r="K624" i="51"/>
  <c r="J624" i="51"/>
  <c r="I624" i="51"/>
  <c r="H624" i="51"/>
  <c r="G624" i="51"/>
  <c r="F624" i="51"/>
  <c r="E624" i="51"/>
  <c r="D624" i="51"/>
  <c r="M623" i="51"/>
  <c r="L623" i="51"/>
  <c r="K623" i="51"/>
  <c r="J623" i="51"/>
  <c r="I623" i="51"/>
  <c r="H623" i="51"/>
  <c r="G623" i="51"/>
  <c r="F623" i="51"/>
  <c r="E623" i="51"/>
  <c r="D623" i="51"/>
  <c r="M622" i="51"/>
  <c r="L622" i="51"/>
  <c r="K622" i="51"/>
  <c r="J622" i="51"/>
  <c r="I622" i="51"/>
  <c r="H622" i="51"/>
  <c r="G622" i="51"/>
  <c r="F622" i="51"/>
  <c r="E622" i="51"/>
  <c r="D622" i="51"/>
  <c r="M621" i="51"/>
  <c r="L621" i="51"/>
  <c r="K621" i="51"/>
  <c r="J621" i="51"/>
  <c r="I621" i="51"/>
  <c r="H621" i="51"/>
  <c r="G621" i="51"/>
  <c r="F621" i="51"/>
  <c r="E621" i="51"/>
  <c r="D621" i="51"/>
  <c r="M620" i="51"/>
  <c r="L620" i="51"/>
  <c r="K620" i="51"/>
  <c r="J620" i="51"/>
  <c r="I620" i="51"/>
  <c r="H620" i="51"/>
  <c r="G620" i="51"/>
  <c r="F620" i="51"/>
  <c r="E620" i="51"/>
  <c r="D620" i="51"/>
  <c r="M619" i="51"/>
  <c r="L619" i="51"/>
  <c r="K619" i="51"/>
  <c r="J619" i="51"/>
  <c r="I619" i="51"/>
  <c r="H619" i="51"/>
  <c r="G619" i="51"/>
  <c r="F619" i="51"/>
  <c r="E619" i="51"/>
  <c r="D619" i="51"/>
  <c r="M618" i="51"/>
  <c r="L618" i="51"/>
  <c r="K618" i="51"/>
  <c r="J618" i="51"/>
  <c r="I618" i="51"/>
  <c r="H618" i="51"/>
  <c r="G618" i="51"/>
  <c r="F618" i="51"/>
  <c r="E618" i="51"/>
  <c r="D618" i="51"/>
  <c r="M617" i="51"/>
  <c r="L617" i="51"/>
  <c r="K617" i="51"/>
  <c r="J617" i="51"/>
  <c r="I617" i="51"/>
  <c r="H617" i="51"/>
  <c r="G617" i="51"/>
  <c r="F617" i="51"/>
  <c r="E617" i="51"/>
  <c r="D617" i="51"/>
  <c r="M616" i="51"/>
  <c r="L616" i="51"/>
  <c r="K616" i="51"/>
  <c r="J616" i="51"/>
  <c r="I616" i="51"/>
  <c r="H616" i="51"/>
  <c r="G616" i="51"/>
  <c r="F616" i="51"/>
  <c r="E616" i="51"/>
  <c r="D616" i="51"/>
  <c r="M615" i="51"/>
  <c r="L615" i="51"/>
  <c r="K615" i="51"/>
  <c r="J615" i="51"/>
  <c r="I615" i="51"/>
  <c r="H615" i="51"/>
  <c r="G615" i="51"/>
  <c r="F615" i="51"/>
  <c r="E615" i="51"/>
  <c r="D615" i="51"/>
  <c r="M614" i="51"/>
  <c r="L614" i="51"/>
  <c r="K614" i="51"/>
  <c r="J614" i="51"/>
  <c r="I614" i="51"/>
  <c r="H614" i="51"/>
  <c r="G614" i="51"/>
  <c r="F614" i="51"/>
  <c r="E614" i="51"/>
  <c r="D614" i="51"/>
  <c r="M613" i="51"/>
  <c r="L613" i="51"/>
  <c r="K613" i="51"/>
  <c r="J613" i="51"/>
  <c r="I613" i="51"/>
  <c r="H613" i="51"/>
  <c r="G613" i="51"/>
  <c r="F613" i="51"/>
  <c r="E613" i="51"/>
  <c r="D613" i="51"/>
  <c r="M612" i="51"/>
  <c r="L612" i="51"/>
  <c r="K612" i="51"/>
  <c r="J612" i="51"/>
  <c r="I612" i="51"/>
  <c r="H612" i="51"/>
  <c r="G612" i="51"/>
  <c r="F612" i="51"/>
  <c r="E612" i="51"/>
  <c r="D612" i="51"/>
  <c r="M611" i="51"/>
  <c r="L611" i="51"/>
  <c r="K611" i="51"/>
  <c r="J611" i="51"/>
  <c r="I611" i="51"/>
  <c r="H611" i="51"/>
  <c r="G611" i="51"/>
  <c r="F611" i="51"/>
  <c r="E611" i="51"/>
  <c r="D611" i="51"/>
  <c r="M610" i="51"/>
  <c r="L610" i="51"/>
  <c r="K610" i="51"/>
  <c r="J610" i="51"/>
  <c r="I610" i="51"/>
  <c r="H610" i="51"/>
  <c r="G610" i="51"/>
  <c r="F610" i="51"/>
  <c r="E610" i="51"/>
  <c r="D610" i="51"/>
  <c r="M609" i="51"/>
  <c r="L609" i="51"/>
  <c r="K609" i="51"/>
  <c r="J609" i="51"/>
  <c r="I609" i="51"/>
  <c r="H609" i="51"/>
  <c r="G609" i="51"/>
  <c r="F609" i="51"/>
  <c r="E609" i="51"/>
  <c r="D609" i="51"/>
  <c r="M608" i="51"/>
  <c r="L608" i="51"/>
  <c r="K608" i="51"/>
  <c r="J608" i="51"/>
  <c r="I608" i="51"/>
  <c r="H608" i="51"/>
  <c r="G608" i="51"/>
  <c r="F608" i="51"/>
  <c r="E608" i="51"/>
  <c r="D608" i="51"/>
  <c r="M607" i="51"/>
  <c r="L607" i="51"/>
  <c r="K607" i="51"/>
  <c r="J607" i="51"/>
  <c r="I607" i="51"/>
  <c r="H607" i="51"/>
  <c r="G607" i="51"/>
  <c r="F607" i="51"/>
  <c r="E607" i="51"/>
  <c r="D607" i="51"/>
  <c r="M606" i="51"/>
  <c r="L606" i="51"/>
  <c r="K606" i="51"/>
  <c r="J606" i="51"/>
  <c r="I606" i="51"/>
  <c r="H606" i="51"/>
  <c r="G606" i="51"/>
  <c r="F606" i="51"/>
  <c r="E606" i="51"/>
  <c r="D606" i="51"/>
  <c r="M605" i="51"/>
  <c r="L605" i="51"/>
  <c r="K605" i="51"/>
  <c r="J605" i="51"/>
  <c r="I605" i="51"/>
  <c r="H605" i="51"/>
  <c r="G605" i="51"/>
  <c r="F605" i="51"/>
  <c r="E605" i="51"/>
  <c r="D605" i="51"/>
  <c r="M604" i="51"/>
  <c r="L604" i="51"/>
  <c r="K604" i="51"/>
  <c r="J604" i="51"/>
  <c r="I604" i="51"/>
  <c r="H604" i="51"/>
  <c r="G604" i="51"/>
  <c r="F604" i="51"/>
  <c r="E604" i="51"/>
  <c r="D604" i="51"/>
  <c r="M603" i="51"/>
  <c r="L603" i="51"/>
  <c r="K603" i="51"/>
  <c r="J603" i="51"/>
  <c r="I603" i="51"/>
  <c r="H603" i="51"/>
  <c r="G603" i="51"/>
  <c r="F603" i="51"/>
  <c r="E603" i="51"/>
  <c r="D603" i="51"/>
  <c r="M602" i="51"/>
  <c r="L602" i="51"/>
  <c r="K602" i="51"/>
  <c r="J602" i="51"/>
  <c r="I602" i="51"/>
  <c r="H602" i="51"/>
  <c r="G602" i="51"/>
  <c r="F602" i="51"/>
  <c r="E602" i="51"/>
  <c r="D602" i="51"/>
  <c r="M601" i="51"/>
  <c r="L601" i="51"/>
  <c r="K601" i="51"/>
  <c r="J601" i="51"/>
  <c r="I601" i="51"/>
  <c r="H601" i="51"/>
  <c r="G601" i="51"/>
  <c r="F601" i="51"/>
  <c r="E601" i="51"/>
  <c r="D601" i="51"/>
  <c r="M600" i="51"/>
  <c r="L600" i="51"/>
  <c r="K600" i="51"/>
  <c r="J600" i="51"/>
  <c r="I600" i="51"/>
  <c r="H600" i="51"/>
  <c r="G600" i="51"/>
  <c r="F600" i="51"/>
  <c r="E600" i="51"/>
  <c r="D600" i="51"/>
  <c r="M599" i="51"/>
  <c r="L599" i="51"/>
  <c r="K599" i="51"/>
  <c r="J599" i="51"/>
  <c r="I599" i="51"/>
  <c r="H599" i="51"/>
  <c r="G599" i="51"/>
  <c r="F599" i="51"/>
  <c r="E599" i="51"/>
  <c r="D599" i="51"/>
  <c r="M598" i="51"/>
  <c r="L598" i="51"/>
  <c r="K598" i="51"/>
  <c r="J598" i="51"/>
  <c r="I598" i="51"/>
  <c r="H598" i="51"/>
  <c r="G598" i="51"/>
  <c r="F598" i="51"/>
  <c r="E598" i="51"/>
  <c r="D598" i="51"/>
  <c r="M597" i="51"/>
  <c r="L597" i="51"/>
  <c r="K597" i="51"/>
  <c r="J597" i="51"/>
  <c r="I597" i="51"/>
  <c r="H597" i="51"/>
  <c r="G597" i="51"/>
  <c r="F597" i="51"/>
  <c r="E597" i="51"/>
  <c r="D597" i="51"/>
  <c r="M596" i="51"/>
  <c r="L596" i="51"/>
  <c r="K596" i="51"/>
  <c r="J596" i="51"/>
  <c r="I596" i="51"/>
  <c r="H596" i="51"/>
  <c r="G596" i="51"/>
  <c r="F596" i="51"/>
  <c r="E596" i="51"/>
  <c r="D596" i="51"/>
  <c r="M595" i="51"/>
  <c r="L595" i="51"/>
  <c r="K595" i="51"/>
  <c r="J595" i="51"/>
  <c r="I595" i="51"/>
  <c r="H595" i="51"/>
  <c r="G595" i="51"/>
  <c r="F595" i="51"/>
  <c r="E595" i="51"/>
  <c r="D595" i="51"/>
  <c r="M594" i="51"/>
  <c r="L594" i="51"/>
  <c r="K594" i="51"/>
  <c r="J594" i="51"/>
  <c r="I594" i="51"/>
  <c r="H594" i="51"/>
  <c r="G594" i="51"/>
  <c r="F594" i="51"/>
  <c r="E594" i="51"/>
  <c r="D594" i="51"/>
  <c r="M593" i="51"/>
  <c r="L593" i="51"/>
  <c r="K593" i="51"/>
  <c r="J593" i="51"/>
  <c r="I593" i="51"/>
  <c r="H593" i="51"/>
  <c r="G593" i="51"/>
  <c r="F593" i="51"/>
  <c r="E593" i="51"/>
  <c r="D593" i="51"/>
  <c r="M592" i="51"/>
  <c r="L592" i="51"/>
  <c r="K592" i="51"/>
  <c r="J592" i="51"/>
  <c r="I592" i="51"/>
  <c r="H592" i="51"/>
  <c r="G592" i="51"/>
  <c r="F592" i="51"/>
  <c r="E592" i="51"/>
  <c r="D592" i="51"/>
  <c r="M591" i="51"/>
  <c r="L591" i="51"/>
  <c r="K591" i="51"/>
  <c r="J591" i="51"/>
  <c r="I591" i="51"/>
  <c r="H591" i="51"/>
  <c r="G591" i="51"/>
  <c r="F591" i="51"/>
  <c r="E591" i="51"/>
  <c r="D591" i="51"/>
  <c r="M590" i="51"/>
  <c r="L590" i="51"/>
  <c r="K590" i="51"/>
  <c r="J590" i="51"/>
  <c r="I590" i="51"/>
  <c r="H590" i="51"/>
  <c r="G590" i="51"/>
  <c r="F590" i="51"/>
  <c r="E590" i="51"/>
  <c r="D590" i="51"/>
  <c r="M589" i="51"/>
  <c r="L589" i="51"/>
  <c r="K589" i="51"/>
  <c r="J589" i="51"/>
  <c r="I589" i="51"/>
  <c r="H589" i="51"/>
  <c r="G589" i="51"/>
  <c r="F589" i="51"/>
  <c r="E589" i="51"/>
  <c r="D589" i="51"/>
  <c r="M588" i="51"/>
  <c r="L588" i="51"/>
  <c r="K588" i="51"/>
  <c r="J588" i="51"/>
  <c r="I588" i="51"/>
  <c r="H588" i="51"/>
  <c r="G588" i="51"/>
  <c r="F588" i="51"/>
  <c r="E588" i="51"/>
  <c r="D588" i="51"/>
  <c r="M587" i="51"/>
  <c r="L587" i="51"/>
  <c r="K587" i="51"/>
  <c r="J587" i="51"/>
  <c r="I587" i="51"/>
  <c r="H587" i="51"/>
  <c r="G587" i="51"/>
  <c r="F587" i="51"/>
  <c r="E587" i="51"/>
  <c r="D587" i="51"/>
  <c r="M586" i="51"/>
  <c r="L586" i="51"/>
  <c r="K586" i="51"/>
  <c r="J586" i="51"/>
  <c r="I586" i="51"/>
  <c r="H586" i="51"/>
  <c r="G586" i="51"/>
  <c r="F586" i="51"/>
  <c r="E586" i="51"/>
  <c r="D586" i="51"/>
  <c r="M585" i="51"/>
  <c r="L585" i="51"/>
  <c r="K585" i="51"/>
  <c r="J585" i="51"/>
  <c r="I585" i="51"/>
  <c r="H585" i="51"/>
  <c r="G585" i="51"/>
  <c r="F585" i="51"/>
  <c r="E585" i="51"/>
  <c r="D585" i="51"/>
  <c r="M584" i="51"/>
  <c r="L584" i="51"/>
  <c r="K584" i="51"/>
  <c r="J584" i="51"/>
  <c r="I584" i="51"/>
  <c r="H584" i="51"/>
  <c r="G584" i="51"/>
  <c r="F584" i="51"/>
  <c r="E584" i="51"/>
  <c r="D584" i="51"/>
  <c r="M583" i="51"/>
  <c r="L583" i="51"/>
  <c r="K583" i="51"/>
  <c r="J583" i="51"/>
  <c r="I583" i="51"/>
  <c r="H583" i="51"/>
  <c r="G583" i="51"/>
  <c r="F583" i="51"/>
  <c r="E583" i="51"/>
  <c r="D583" i="51"/>
  <c r="M582" i="51"/>
  <c r="L582" i="51"/>
  <c r="K582" i="51"/>
  <c r="J582" i="51"/>
  <c r="I582" i="51"/>
  <c r="H582" i="51"/>
  <c r="G582" i="51"/>
  <c r="F582" i="51"/>
  <c r="E582" i="51"/>
  <c r="D582" i="51"/>
  <c r="M581" i="51"/>
  <c r="L581" i="51"/>
  <c r="K581" i="51"/>
  <c r="J581" i="51"/>
  <c r="I581" i="51"/>
  <c r="H581" i="51"/>
  <c r="G581" i="51"/>
  <c r="F581" i="51"/>
  <c r="E581" i="51"/>
  <c r="D581" i="51"/>
  <c r="M580" i="51"/>
  <c r="L580" i="51"/>
  <c r="K580" i="51"/>
  <c r="J580" i="51"/>
  <c r="I580" i="51"/>
  <c r="H580" i="51"/>
  <c r="G580" i="51"/>
  <c r="F580" i="51"/>
  <c r="E580" i="51"/>
  <c r="D580" i="51"/>
  <c r="M579" i="51"/>
  <c r="L579" i="51"/>
  <c r="K579" i="51"/>
  <c r="J579" i="51"/>
  <c r="I579" i="51"/>
  <c r="H579" i="51"/>
  <c r="G579" i="51"/>
  <c r="F579" i="51"/>
  <c r="E579" i="51"/>
  <c r="D579" i="51"/>
  <c r="M578" i="51"/>
  <c r="L578" i="51"/>
  <c r="K578" i="51"/>
  <c r="J578" i="51"/>
  <c r="I578" i="51"/>
  <c r="H578" i="51"/>
  <c r="G578" i="51"/>
  <c r="F578" i="51"/>
  <c r="E578" i="51"/>
  <c r="D578" i="51"/>
  <c r="M577" i="51"/>
  <c r="L577" i="51"/>
  <c r="K577" i="51"/>
  <c r="J577" i="51"/>
  <c r="I577" i="51"/>
  <c r="H577" i="51"/>
  <c r="G577" i="51"/>
  <c r="F577" i="51"/>
  <c r="E577" i="51"/>
  <c r="D577" i="51"/>
  <c r="M576" i="51"/>
  <c r="L576" i="51"/>
  <c r="K576" i="51"/>
  <c r="J576" i="51"/>
  <c r="I576" i="51"/>
  <c r="H576" i="51"/>
  <c r="G576" i="51"/>
  <c r="F576" i="51"/>
  <c r="E576" i="51"/>
  <c r="D576" i="51"/>
  <c r="M575" i="51"/>
  <c r="L575" i="51"/>
  <c r="K575" i="51"/>
  <c r="J575" i="51"/>
  <c r="I575" i="51"/>
  <c r="H575" i="51"/>
  <c r="G575" i="51"/>
  <c r="F575" i="51"/>
  <c r="E575" i="51"/>
  <c r="D575" i="51"/>
  <c r="M574" i="51"/>
  <c r="L574" i="51"/>
  <c r="K574" i="51"/>
  <c r="J574" i="51"/>
  <c r="I574" i="51"/>
  <c r="H574" i="51"/>
  <c r="G574" i="51"/>
  <c r="F574" i="51"/>
  <c r="E574" i="51"/>
  <c r="D574" i="51"/>
  <c r="M573" i="51"/>
  <c r="L573" i="51"/>
  <c r="K573" i="51"/>
  <c r="J573" i="51"/>
  <c r="I573" i="51"/>
  <c r="H573" i="51"/>
  <c r="G573" i="51"/>
  <c r="F573" i="51"/>
  <c r="E573" i="51"/>
  <c r="D573" i="51"/>
  <c r="M572" i="51"/>
  <c r="L572" i="51"/>
  <c r="K572" i="51"/>
  <c r="J572" i="51"/>
  <c r="I572" i="51"/>
  <c r="H572" i="51"/>
  <c r="G572" i="51"/>
  <c r="F572" i="51"/>
  <c r="E572" i="51"/>
  <c r="D572" i="51"/>
  <c r="M571" i="51"/>
  <c r="L571" i="51"/>
  <c r="K571" i="51"/>
  <c r="J571" i="51"/>
  <c r="I571" i="51"/>
  <c r="H571" i="51"/>
  <c r="G571" i="51"/>
  <c r="F571" i="51"/>
  <c r="E571" i="51"/>
  <c r="D571" i="51"/>
  <c r="M570" i="51"/>
  <c r="L570" i="51"/>
  <c r="K570" i="51"/>
  <c r="J570" i="51"/>
  <c r="I570" i="51"/>
  <c r="H570" i="51"/>
  <c r="G570" i="51"/>
  <c r="F570" i="51"/>
  <c r="E570" i="51"/>
  <c r="D570" i="51"/>
  <c r="M569" i="51"/>
  <c r="L569" i="51"/>
  <c r="K569" i="51"/>
  <c r="J569" i="51"/>
  <c r="I569" i="51"/>
  <c r="H569" i="51"/>
  <c r="G569" i="51"/>
  <c r="F569" i="51"/>
  <c r="E569" i="51"/>
  <c r="D569" i="51"/>
  <c r="M568" i="51"/>
  <c r="L568" i="51"/>
  <c r="K568" i="51"/>
  <c r="J568" i="51"/>
  <c r="I568" i="51"/>
  <c r="H568" i="51"/>
  <c r="G568" i="51"/>
  <c r="F568" i="51"/>
  <c r="E568" i="51"/>
  <c r="D568" i="51"/>
  <c r="M567" i="51"/>
  <c r="L567" i="51"/>
  <c r="K567" i="51"/>
  <c r="J567" i="51"/>
  <c r="I567" i="51"/>
  <c r="H567" i="51"/>
  <c r="G567" i="51"/>
  <c r="F567" i="51"/>
  <c r="E567" i="51"/>
  <c r="D567" i="51"/>
  <c r="M566" i="51"/>
  <c r="L566" i="51"/>
  <c r="K566" i="51"/>
  <c r="J566" i="51"/>
  <c r="I566" i="51"/>
  <c r="H566" i="51"/>
  <c r="G566" i="51"/>
  <c r="F566" i="51"/>
  <c r="E566" i="51"/>
  <c r="D566" i="51"/>
  <c r="M565" i="51"/>
  <c r="L565" i="51"/>
  <c r="K565" i="51"/>
  <c r="J565" i="51"/>
  <c r="I565" i="51"/>
  <c r="H565" i="51"/>
  <c r="G565" i="51"/>
  <c r="F565" i="51"/>
  <c r="E565" i="51"/>
  <c r="D565" i="51"/>
  <c r="M564" i="51"/>
  <c r="L564" i="51"/>
  <c r="K564" i="51"/>
  <c r="J564" i="51"/>
  <c r="I564" i="51"/>
  <c r="H564" i="51"/>
  <c r="G564" i="51"/>
  <c r="F564" i="51"/>
  <c r="E564" i="51"/>
  <c r="D564" i="51"/>
  <c r="M563" i="51"/>
  <c r="L563" i="51"/>
  <c r="K563" i="51"/>
  <c r="J563" i="51"/>
  <c r="I563" i="51"/>
  <c r="H563" i="51"/>
  <c r="G563" i="51"/>
  <c r="F563" i="51"/>
  <c r="E563" i="51"/>
  <c r="D563" i="51"/>
  <c r="M562" i="51"/>
  <c r="L562" i="51"/>
  <c r="K562" i="51"/>
  <c r="J562" i="51"/>
  <c r="I562" i="51"/>
  <c r="H562" i="51"/>
  <c r="G562" i="51"/>
  <c r="F562" i="51"/>
  <c r="E562" i="51"/>
  <c r="D562" i="51"/>
  <c r="M561" i="51"/>
  <c r="L561" i="51"/>
  <c r="K561" i="51"/>
  <c r="J561" i="51"/>
  <c r="I561" i="51"/>
  <c r="H561" i="51"/>
  <c r="G561" i="51"/>
  <c r="F561" i="51"/>
  <c r="E561" i="51"/>
  <c r="D561" i="51"/>
  <c r="M560" i="51"/>
  <c r="L560" i="51"/>
  <c r="K560" i="51"/>
  <c r="J560" i="51"/>
  <c r="I560" i="51"/>
  <c r="H560" i="51"/>
  <c r="G560" i="51"/>
  <c r="F560" i="51"/>
  <c r="E560" i="51"/>
  <c r="D560" i="51"/>
  <c r="M559" i="51"/>
  <c r="L559" i="51"/>
  <c r="K559" i="51"/>
  <c r="J559" i="51"/>
  <c r="I559" i="51"/>
  <c r="H559" i="51"/>
  <c r="G559" i="51"/>
  <c r="F559" i="51"/>
  <c r="E559" i="51"/>
  <c r="D559" i="51"/>
  <c r="M558" i="51"/>
  <c r="L558" i="51"/>
  <c r="K558" i="51"/>
  <c r="J558" i="51"/>
  <c r="I558" i="51"/>
  <c r="H558" i="51"/>
  <c r="G558" i="51"/>
  <c r="F558" i="51"/>
  <c r="E558" i="51"/>
  <c r="D558" i="51"/>
  <c r="M557" i="51"/>
  <c r="L557" i="51"/>
  <c r="K557" i="51"/>
  <c r="J557" i="51"/>
  <c r="I557" i="51"/>
  <c r="H557" i="51"/>
  <c r="G557" i="51"/>
  <c r="F557" i="51"/>
  <c r="E557" i="51"/>
  <c r="D557" i="51"/>
  <c r="M556" i="51"/>
  <c r="L556" i="51"/>
  <c r="K556" i="51"/>
  <c r="J556" i="51"/>
  <c r="I556" i="51"/>
  <c r="H556" i="51"/>
  <c r="G556" i="51"/>
  <c r="F556" i="51"/>
  <c r="E556" i="51"/>
  <c r="D556" i="51"/>
  <c r="M555" i="51"/>
  <c r="L555" i="51"/>
  <c r="K555" i="51"/>
  <c r="J555" i="51"/>
  <c r="I555" i="51"/>
  <c r="H555" i="51"/>
  <c r="G555" i="51"/>
  <c r="F555" i="51"/>
  <c r="E555" i="51"/>
  <c r="D555" i="51"/>
  <c r="M554" i="51"/>
  <c r="L554" i="51"/>
  <c r="K554" i="51"/>
  <c r="J554" i="51"/>
  <c r="I554" i="51"/>
  <c r="H554" i="51"/>
  <c r="G554" i="51"/>
  <c r="F554" i="51"/>
  <c r="E554" i="51"/>
  <c r="D554" i="51"/>
  <c r="M553" i="51"/>
  <c r="L553" i="51"/>
  <c r="K553" i="51"/>
  <c r="J553" i="51"/>
  <c r="I553" i="51"/>
  <c r="H553" i="51"/>
  <c r="G553" i="51"/>
  <c r="F553" i="51"/>
  <c r="E553" i="51"/>
  <c r="D553" i="51"/>
  <c r="M552" i="51"/>
  <c r="L552" i="51"/>
  <c r="K552" i="51"/>
  <c r="J552" i="51"/>
  <c r="I552" i="51"/>
  <c r="H552" i="51"/>
  <c r="G552" i="51"/>
  <c r="F552" i="51"/>
  <c r="E552" i="51"/>
  <c r="D552" i="51"/>
  <c r="M551" i="51"/>
  <c r="L551" i="51"/>
  <c r="K551" i="51"/>
  <c r="J551" i="51"/>
  <c r="I551" i="51"/>
  <c r="H551" i="51"/>
  <c r="G551" i="51"/>
  <c r="F551" i="51"/>
  <c r="E551" i="51"/>
  <c r="D551" i="51"/>
  <c r="M550" i="51"/>
  <c r="L550" i="51"/>
  <c r="K550" i="51"/>
  <c r="J550" i="51"/>
  <c r="I550" i="51"/>
  <c r="H550" i="51"/>
  <c r="G550" i="51"/>
  <c r="F550" i="51"/>
  <c r="E550" i="51"/>
  <c r="D550" i="51"/>
  <c r="M549" i="51"/>
  <c r="L549" i="51"/>
  <c r="K549" i="51"/>
  <c r="J549" i="51"/>
  <c r="I549" i="51"/>
  <c r="H549" i="51"/>
  <c r="G549" i="51"/>
  <c r="F549" i="51"/>
  <c r="E549" i="51"/>
  <c r="D549" i="51"/>
  <c r="M548" i="51"/>
  <c r="L548" i="51"/>
  <c r="K548" i="51"/>
  <c r="J548" i="51"/>
  <c r="I548" i="51"/>
  <c r="H548" i="51"/>
  <c r="G548" i="51"/>
  <c r="F548" i="51"/>
  <c r="E548" i="51"/>
  <c r="D548" i="51"/>
  <c r="M547" i="51"/>
  <c r="L547" i="51"/>
  <c r="K547" i="51"/>
  <c r="J547" i="51"/>
  <c r="I547" i="51"/>
  <c r="H547" i="51"/>
  <c r="G547" i="51"/>
  <c r="F547" i="51"/>
  <c r="E547" i="51"/>
  <c r="D547" i="51"/>
  <c r="M546" i="51"/>
  <c r="L546" i="51"/>
  <c r="K546" i="51"/>
  <c r="J546" i="51"/>
  <c r="I546" i="51"/>
  <c r="H546" i="51"/>
  <c r="G546" i="51"/>
  <c r="F546" i="51"/>
  <c r="E546" i="51"/>
  <c r="D546" i="51"/>
  <c r="M545" i="51"/>
  <c r="L545" i="51"/>
  <c r="K545" i="51"/>
  <c r="J545" i="51"/>
  <c r="I545" i="51"/>
  <c r="H545" i="51"/>
  <c r="G545" i="51"/>
  <c r="F545" i="51"/>
  <c r="E545" i="51"/>
  <c r="D545" i="51"/>
  <c r="M544" i="51"/>
  <c r="L544" i="51"/>
  <c r="K544" i="51"/>
  <c r="J544" i="51"/>
  <c r="I544" i="51"/>
  <c r="H544" i="51"/>
  <c r="G544" i="51"/>
  <c r="F544" i="51"/>
  <c r="E544" i="51"/>
  <c r="D544" i="51"/>
  <c r="M543" i="51"/>
  <c r="L543" i="51"/>
  <c r="K543" i="51"/>
  <c r="J543" i="51"/>
  <c r="I543" i="51"/>
  <c r="H543" i="51"/>
  <c r="G543" i="51"/>
  <c r="F543" i="51"/>
  <c r="E543" i="51"/>
  <c r="D543" i="51"/>
  <c r="M542" i="51"/>
  <c r="L542" i="51"/>
  <c r="K542" i="51"/>
  <c r="J542" i="51"/>
  <c r="I542" i="51"/>
  <c r="H542" i="51"/>
  <c r="G542" i="51"/>
  <c r="F542" i="51"/>
  <c r="E542" i="51"/>
  <c r="D542" i="51"/>
  <c r="M541" i="51"/>
  <c r="L541" i="51"/>
  <c r="K541" i="51"/>
  <c r="J541" i="51"/>
  <c r="I541" i="51"/>
  <c r="H541" i="51"/>
  <c r="G541" i="51"/>
  <c r="F541" i="51"/>
  <c r="E541" i="51"/>
  <c r="D541" i="51"/>
  <c r="M540" i="51"/>
  <c r="L540" i="51"/>
  <c r="K540" i="51"/>
  <c r="J540" i="51"/>
  <c r="I540" i="51"/>
  <c r="H540" i="51"/>
  <c r="G540" i="51"/>
  <c r="F540" i="51"/>
  <c r="E540" i="51"/>
  <c r="D540" i="51"/>
  <c r="M539" i="51"/>
  <c r="L539" i="51"/>
  <c r="K539" i="51"/>
  <c r="J539" i="51"/>
  <c r="I539" i="51"/>
  <c r="H539" i="51"/>
  <c r="G539" i="51"/>
  <c r="F539" i="51"/>
  <c r="E539" i="51"/>
  <c r="D539" i="51"/>
  <c r="M538" i="51"/>
  <c r="L538" i="51"/>
  <c r="K538" i="51"/>
  <c r="J538" i="51"/>
  <c r="I538" i="51"/>
  <c r="H538" i="51"/>
  <c r="G538" i="51"/>
  <c r="F538" i="51"/>
  <c r="E538" i="51"/>
  <c r="D538" i="51"/>
  <c r="M537" i="51"/>
  <c r="L537" i="51"/>
  <c r="K537" i="51"/>
  <c r="J537" i="51"/>
  <c r="I537" i="51"/>
  <c r="H537" i="51"/>
  <c r="G537" i="51"/>
  <c r="F537" i="51"/>
  <c r="E537" i="51"/>
  <c r="D537" i="51"/>
  <c r="M536" i="51"/>
  <c r="L536" i="51"/>
  <c r="K536" i="51"/>
  <c r="J536" i="51"/>
  <c r="I536" i="51"/>
  <c r="H536" i="51"/>
  <c r="G536" i="51"/>
  <c r="F536" i="51"/>
  <c r="E536" i="51"/>
  <c r="D536" i="51"/>
  <c r="M535" i="51"/>
  <c r="L535" i="51"/>
  <c r="K535" i="51"/>
  <c r="J535" i="51"/>
  <c r="I535" i="51"/>
  <c r="H535" i="51"/>
  <c r="G535" i="51"/>
  <c r="F535" i="51"/>
  <c r="E535" i="51"/>
  <c r="D535" i="51"/>
  <c r="M534" i="51"/>
  <c r="L534" i="51"/>
  <c r="K534" i="51"/>
  <c r="J534" i="51"/>
  <c r="I534" i="51"/>
  <c r="H534" i="51"/>
  <c r="G534" i="51"/>
  <c r="F534" i="51"/>
  <c r="E534" i="51"/>
  <c r="D534" i="51"/>
  <c r="M533" i="51"/>
  <c r="L533" i="51"/>
  <c r="K533" i="51"/>
  <c r="J533" i="51"/>
  <c r="I533" i="51"/>
  <c r="H533" i="51"/>
  <c r="G533" i="51"/>
  <c r="F533" i="51"/>
  <c r="E533" i="51"/>
  <c r="D533" i="51"/>
  <c r="M532" i="51"/>
  <c r="L532" i="51"/>
  <c r="K532" i="51"/>
  <c r="J532" i="51"/>
  <c r="I532" i="51"/>
  <c r="H532" i="51"/>
  <c r="G532" i="51"/>
  <c r="F532" i="51"/>
  <c r="E532" i="51"/>
  <c r="D532" i="51"/>
  <c r="M531" i="51"/>
  <c r="L531" i="51"/>
  <c r="K531" i="51"/>
  <c r="J531" i="51"/>
  <c r="I531" i="51"/>
  <c r="H531" i="51"/>
  <c r="G531" i="51"/>
  <c r="F531" i="51"/>
  <c r="E531" i="51"/>
  <c r="D531" i="51"/>
  <c r="M530" i="51"/>
  <c r="L530" i="51"/>
  <c r="K530" i="51"/>
  <c r="J530" i="51"/>
  <c r="I530" i="51"/>
  <c r="H530" i="51"/>
  <c r="G530" i="51"/>
  <c r="F530" i="51"/>
  <c r="E530" i="51"/>
  <c r="D530" i="51"/>
  <c r="M529" i="51"/>
  <c r="L529" i="51"/>
  <c r="K529" i="51"/>
  <c r="J529" i="51"/>
  <c r="I529" i="51"/>
  <c r="H529" i="51"/>
  <c r="G529" i="51"/>
  <c r="F529" i="51"/>
  <c r="E529" i="51"/>
  <c r="D529" i="51"/>
  <c r="M528" i="51"/>
  <c r="L528" i="51"/>
  <c r="K528" i="51"/>
  <c r="J528" i="51"/>
  <c r="I528" i="51"/>
  <c r="H528" i="51"/>
  <c r="G528" i="51"/>
  <c r="F528" i="51"/>
  <c r="E528" i="51"/>
  <c r="D528" i="51"/>
  <c r="M527" i="51"/>
  <c r="L527" i="51"/>
  <c r="K527" i="51"/>
  <c r="J527" i="51"/>
  <c r="I527" i="51"/>
  <c r="H527" i="51"/>
  <c r="G527" i="51"/>
  <c r="F527" i="51"/>
  <c r="E527" i="51"/>
  <c r="D527" i="51"/>
  <c r="M526" i="51"/>
  <c r="L526" i="51"/>
  <c r="K526" i="51"/>
  <c r="J526" i="51"/>
  <c r="I526" i="51"/>
  <c r="H526" i="51"/>
  <c r="G526" i="51"/>
  <c r="F526" i="51"/>
  <c r="E526" i="51"/>
  <c r="D526" i="51"/>
  <c r="M525" i="51"/>
  <c r="L525" i="51"/>
  <c r="K525" i="51"/>
  <c r="J525" i="51"/>
  <c r="I525" i="51"/>
  <c r="H525" i="51"/>
  <c r="G525" i="51"/>
  <c r="F525" i="51"/>
  <c r="E525" i="51"/>
  <c r="D525" i="51"/>
  <c r="M524" i="51"/>
  <c r="L524" i="51"/>
  <c r="K524" i="51"/>
  <c r="J524" i="51"/>
  <c r="I524" i="51"/>
  <c r="H524" i="51"/>
  <c r="G524" i="51"/>
  <c r="F524" i="51"/>
  <c r="E524" i="51"/>
  <c r="D524" i="51"/>
  <c r="M523" i="51"/>
  <c r="L523" i="51"/>
  <c r="K523" i="51"/>
  <c r="J523" i="51"/>
  <c r="I523" i="51"/>
  <c r="H523" i="51"/>
  <c r="G523" i="51"/>
  <c r="F523" i="51"/>
  <c r="E523" i="51"/>
  <c r="D523" i="51"/>
  <c r="M522" i="51"/>
  <c r="L522" i="51"/>
  <c r="K522" i="51"/>
  <c r="J522" i="51"/>
  <c r="I522" i="51"/>
  <c r="H522" i="51"/>
  <c r="G522" i="51"/>
  <c r="F522" i="51"/>
  <c r="E522" i="51"/>
  <c r="D522" i="51"/>
  <c r="M521" i="51"/>
  <c r="L521" i="51"/>
  <c r="K521" i="51"/>
  <c r="J521" i="51"/>
  <c r="I521" i="51"/>
  <c r="H521" i="51"/>
  <c r="G521" i="51"/>
  <c r="F521" i="51"/>
  <c r="E521" i="51"/>
  <c r="D521" i="51"/>
  <c r="M520" i="51"/>
  <c r="L520" i="51"/>
  <c r="K520" i="51"/>
  <c r="J520" i="51"/>
  <c r="I520" i="51"/>
  <c r="H520" i="51"/>
  <c r="G520" i="51"/>
  <c r="F520" i="51"/>
  <c r="E520" i="51"/>
  <c r="D520" i="51"/>
  <c r="M519" i="51"/>
  <c r="L519" i="51"/>
  <c r="K519" i="51"/>
  <c r="J519" i="51"/>
  <c r="I519" i="51"/>
  <c r="H519" i="51"/>
  <c r="G519" i="51"/>
  <c r="F519" i="51"/>
  <c r="E519" i="51"/>
  <c r="D519" i="51"/>
  <c r="M518" i="51"/>
  <c r="L518" i="51"/>
  <c r="K518" i="51"/>
  <c r="J518" i="51"/>
  <c r="I518" i="51"/>
  <c r="H518" i="51"/>
  <c r="G518" i="51"/>
  <c r="F518" i="51"/>
  <c r="E518" i="51"/>
  <c r="D518" i="51"/>
  <c r="M517" i="51"/>
  <c r="L517" i="51"/>
  <c r="K517" i="51"/>
  <c r="J517" i="51"/>
  <c r="I517" i="51"/>
  <c r="H517" i="51"/>
  <c r="G517" i="51"/>
  <c r="F517" i="51"/>
  <c r="E517" i="51"/>
  <c r="D517" i="51"/>
  <c r="M516" i="51"/>
  <c r="L516" i="51"/>
  <c r="K516" i="51"/>
  <c r="J516" i="51"/>
  <c r="I516" i="51"/>
  <c r="H516" i="51"/>
  <c r="G516" i="51"/>
  <c r="F516" i="51"/>
  <c r="E516" i="51"/>
  <c r="D516" i="51"/>
  <c r="M515" i="51"/>
  <c r="L515" i="51"/>
  <c r="K515" i="51"/>
  <c r="J515" i="51"/>
  <c r="I515" i="51"/>
  <c r="H515" i="51"/>
  <c r="G515" i="51"/>
  <c r="F515" i="51"/>
  <c r="E515" i="51"/>
  <c r="D515" i="51"/>
  <c r="M514" i="51"/>
  <c r="L514" i="51"/>
  <c r="K514" i="51"/>
  <c r="J514" i="51"/>
  <c r="I514" i="51"/>
  <c r="H514" i="51"/>
  <c r="G514" i="51"/>
  <c r="F514" i="51"/>
  <c r="E514" i="51"/>
  <c r="D514" i="51"/>
  <c r="M513" i="51"/>
  <c r="L513" i="51"/>
  <c r="K513" i="51"/>
  <c r="J513" i="51"/>
  <c r="I513" i="51"/>
  <c r="H513" i="51"/>
  <c r="G513" i="51"/>
  <c r="F513" i="51"/>
  <c r="E513" i="51"/>
  <c r="D513" i="51"/>
  <c r="M512" i="51"/>
  <c r="L512" i="51"/>
  <c r="K512" i="51"/>
  <c r="J512" i="51"/>
  <c r="I512" i="51"/>
  <c r="H512" i="51"/>
  <c r="G512" i="51"/>
  <c r="F512" i="51"/>
  <c r="E512" i="51"/>
  <c r="D512" i="51"/>
  <c r="M511" i="51"/>
  <c r="L511" i="51"/>
  <c r="K511" i="51"/>
  <c r="J511" i="51"/>
  <c r="I511" i="51"/>
  <c r="H511" i="51"/>
  <c r="G511" i="51"/>
  <c r="F511" i="51"/>
  <c r="E511" i="51"/>
  <c r="D511" i="51"/>
  <c r="M510" i="51"/>
  <c r="L510" i="51"/>
  <c r="K510" i="51"/>
  <c r="J510" i="51"/>
  <c r="I510" i="51"/>
  <c r="H510" i="51"/>
  <c r="G510" i="51"/>
  <c r="F510" i="51"/>
  <c r="E510" i="51"/>
  <c r="D510" i="51"/>
  <c r="M509" i="51"/>
  <c r="L509" i="51"/>
  <c r="K509" i="51"/>
  <c r="J509" i="51"/>
  <c r="I509" i="51"/>
  <c r="H509" i="51"/>
  <c r="G509" i="51"/>
  <c r="F509" i="51"/>
  <c r="E509" i="51"/>
  <c r="D509" i="51"/>
  <c r="M508" i="51"/>
  <c r="L508" i="51"/>
  <c r="K508" i="51"/>
  <c r="J508" i="51"/>
  <c r="I508" i="51"/>
  <c r="H508" i="51"/>
  <c r="G508" i="51"/>
  <c r="F508" i="51"/>
  <c r="E508" i="51"/>
  <c r="D508" i="51"/>
  <c r="M507" i="51"/>
  <c r="L507" i="51"/>
  <c r="K507" i="51"/>
  <c r="J507" i="51"/>
  <c r="I507" i="51"/>
  <c r="H507" i="51"/>
  <c r="G507" i="51"/>
  <c r="F507" i="51"/>
  <c r="E507" i="51"/>
  <c r="D507" i="51"/>
  <c r="M506" i="51"/>
  <c r="L506" i="51"/>
  <c r="K506" i="51"/>
  <c r="J506" i="51"/>
  <c r="I506" i="51"/>
  <c r="H506" i="51"/>
  <c r="G506" i="51"/>
  <c r="F506" i="51"/>
  <c r="E506" i="51"/>
  <c r="D506" i="51"/>
  <c r="M505" i="51"/>
  <c r="L505" i="51"/>
  <c r="K505" i="51"/>
  <c r="J505" i="51"/>
  <c r="I505" i="51"/>
  <c r="H505" i="51"/>
  <c r="G505" i="51"/>
  <c r="F505" i="51"/>
  <c r="E505" i="51"/>
  <c r="D505" i="51"/>
  <c r="M504" i="51"/>
  <c r="L504" i="51"/>
  <c r="K504" i="51"/>
  <c r="J504" i="51"/>
  <c r="I504" i="51"/>
  <c r="H504" i="51"/>
  <c r="G504" i="51"/>
  <c r="F504" i="51"/>
  <c r="E504" i="51"/>
  <c r="D504" i="51"/>
  <c r="M503" i="51"/>
  <c r="L503" i="51"/>
  <c r="K503" i="51"/>
  <c r="J503" i="51"/>
  <c r="I503" i="51"/>
  <c r="H503" i="51"/>
  <c r="G503" i="51"/>
  <c r="F503" i="51"/>
  <c r="E503" i="51"/>
  <c r="D503" i="51"/>
  <c r="M502" i="51"/>
  <c r="L502" i="51"/>
  <c r="K502" i="51"/>
  <c r="J502" i="51"/>
  <c r="I502" i="51"/>
  <c r="H502" i="51"/>
  <c r="G502" i="51"/>
  <c r="F502" i="51"/>
  <c r="E502" i="51"/>
  <c r="D502" i="51"/>
  <c r="M501" i="51"/>
  <c r="L501" i="51"/>
  <c r="K501" i="51"/>
  <c r="J501" i="51"/>
  <c r="I501" i="51"/>
  <c r="H501" i="51"/>
  <c r="G501" i="51"/>
  <c r="F501" i="51"/>
  <c r="E501" i="51"/>
  <c r="D501" i="51"/>
  <c r="M500" i="51"/>
  <c r="L500" i="51"/>
  <c r="K500" i="51"/>
  <c r="J500" i="51"/>
  <c r="I500" i="51"/>
  <c r="H500" i="51"/>
  <c r="G500" i="51"/>
  <c r="F500" i="51"/>
  <c r="E500" i="51"/>
  <c r="D500" i="51"/>
  <c r="M499" i="51"/>
  <c r="L499" i="51"/>
  <c r="K499" i="51"/>
  <c r="J499" i="51"/>
  <c r="I499" i="51"/>
  <c r="H499" i="51"/>
  <c r="G499" i="51"/>
  <c r="F499" i="51"/>
  <c r="E499" i="51"/>
  <c r="D499" i="51"/>
  <c r="M498" i="51"/>
  <c r="L498" i="51"/>
  <c r="K498" i="51"/>
  <c r="J498" i="51"/>
  <c r="I498" i="51"/>
  <c r="H498" i="51"/>
  <c r="G498" i="51"/>
  <c r="F498" i="51"/>
  <c r="E498" i="51"/>
  <c r="D498" i="51"/>
  <c r="M497" i="51"/>
  <c r="L497" i="51"/>
  <c r="K497" i="51"/>
  <c r="J497" i="51"/>
  <c r="I497" i="51"/>
  <c r="H497" i="51"/>
  <c r="G497" i="51"/>
  <c r="F497" i="51"/>
  <c r="E497" i="51"/>
  <c r="D497" i="51"/>
  <c r="M496" i="51"/>
  <c r="L496" i="51"/>
  <c r="K496" i="51"/>
  <c r="J496" i="51"/>
  <c r="I496" i="51"/>
  <c r="H496" i="51"/>
  <c r="G496" i="51"/>
  <c r="F496" i="51"/>
  <c r="E496" i="51"/>
  <c r="D496" i="51"/>
  <c r="M495" i="51"/>
  <c r="L495" i="51"/>
  <c r="K495" i="51"/>
  <c r="J495" i="51"/>
  <c r="I495" i="51"/>
  <c r="H495" i="51"/>
  <c r="G495" i="51"/>
  <c r="F495" i="51"/>
  <c r="E495" i="51"/>
  <c r="D495" i="51"/>
  <c r="M494" i="51"/>
  <c r="L494" i="51"/>
  <c r="K494" i="51"/>
  <c r="J494" i="51"/>
  <c r="I494" i="51"/>
  <c r="H494" i="51"/>
  <c r="G494" i="51"/>
  <c r="F494" i="51"/>
  <c r="E494" i="51"/>
  <c r="D494" i="51"/>
  <c r="M493" i="51"/>
  <c r="L493" i="51"/>
  <c r="K493" i="51"/>
  <c r="J493" i="51"/>
  <c r="I493" i="51"/>
  <c r="H493" i="51"/>
  <c r="G493" i="51"/>
  <c r="F493" i="51"/>
  <c r="E493" i="51"/>
  <c r="D493" i="51"/>
  <c r="M492" i="51"/>
  <c r="L492" i="51"/>
  <c r="K492" i="51"/>
  <c r="J492" i="51"/>
  <c r="I492" i="51"/>
  <c r="H492" i="51"/>
  <c r="G492" i="51"/>
  <c r="F492" i="51"/>
  <c r="E492" i="51"/>
  <c r="D492" i="51"/>
  <c r="M491" i="51"/>
  <c r="L491" i="51"/>
  <c r="K491" i="51"/>
  <c r="J491" i="51"/>
  <c r="I491" i="51"/>
  <c r="H491" i="51"/>
  <c r="G491" i="51"/>
  <c r="F491" i="51"/>
  <c r="E491" i="51"/>
  <c r="D491" i="51"/>
  <c r="M490" i="51"/>
  <c r="L490" i="51"/>
  <c r="K490" i="51"/>
  <c r="J490" i="51"/>
  <c r="I490" i="51"/>
  <c r="H490" i="51"/>
  <c r="G490" i="51"/>
  <c r="F490" i="51"/>
  <c r="E490" i="51"/>
  <c r="D490" i="51"/>
  <c r="M489" i="51"/>
  <c r="L489" i="51"/>
  <c r="K489" i="51"/>
  <c r="J489" i="51"/>
  <c r="I489" i="51"/>
  <c r="H489" i="51"/>
  <c r="G489" i="51"/>
  <c r="F489" i="51"/>
  <c r="E489" i="51"/>
  <c r="D489" i="51"/>
  <c r="M488" i="51"/>
  <c r="L488" i="51"/>
  <c r="K488" i="51"/>
  <c r="J488" i="51"/>
  <c r="I488" i="51"/>
  <c r="H488" i="51"/>
  <c r="G488" i="51"/>
  <c r="F488" i="51"/>
  <c r="E488" i="51"/>
  <c r="D488" i="51"/>
  <c r="M487" i="51"/>
  <c r="L487" i="51"/>
  <c r="K487" i="51"/>
  <c r="J487" i="51"/>
  <c r="I487" i="51"/>
  <c r="H487" i="51"/>
  <c r="G487" i="51"/>
  <c r="F487" i="51"/>
  <c r="E487" i="51"/>
  <c r="D487" i="51"/>
  <c r="M486" i="51"/>
  <c r="L486" i="51"/>
  <c r="K486" i="51"/>
  <c r="J486" i="51"/>
  <c r="I486" i="51"/>
  <c r="H486" i="51"/>
  <c r="G486" i="51"/>
  <c r="F486" i="51"/>
  <c r="E486" i="51"/>
  <c r="D486" i="51"/>
  <c r="M485" i="51"/>
  <c r="L485" i="51"/>
  <c r="K485" i="51"/>
  <c r="J485" i="51"/>
  <c r="I485" i="51"/>
  <c r="H485" i="51"/>
  <c r="G485" i="51"/>
  <c r="F485" i="51"/>
  <c r="E485" i="51"/>
  <c r="D485" i="51"/>
  <c r="M484" i="51"/>
  <c r="L484" i="51"/>
  <c r="K484" i="51"/>
  <c r="J484" i="51"/>
  <c r="I484" i="51"/>
  <c r="H484" i="51"/>
  <c r="G484" i="51"/>
  <c r="F484" i="51"/>
  <c r="E484" i="51"/>
  <c r="D484" i="51"/>
  <c r="M483" i="51"/>
  <c r="L483" i="51"/>
  <c r="K483" i="51"/>
  <c r="J483" i="51"/>
  <c r="I483" i="51"/>
  <c r="H483" i="51"/>
  <c r="G483" i="51"/>
  <c r="F483" i="51"/>
  <c r="E483" i="51"/>
  <c r="D483" i="51"/>
  <c r="M482" i="51"/>
  <c r="L482" i="51"/>
  <c r="K482" i="51"/>
  <c r="J482" i="51"/>
  <c r="I482" i="51"/>
  <c r="H482" i="51"/>
  <c r="G482" i="51"/>
  <c r="F482" i="51"/>
  <c r="E482" i="51"/>
  <c r="D482" i="51"/>
  <c r="M481" i="51"/>
  <c r="L481" i="51"/>
  <c r="K481" i="51"/>
  <c r="J481" i="51"/>
  <c r="I481" i="51"/>
  <c r="H481" i="51"/>
  <c r="G481" i="51"/>
  <c r="F481" i="51"/>
  <c r="E481" i="51"/>
  <c r="D481" i="51"/>
  <c r="M480" i="51"/>
  <c r="L480" i="51"/>
  <c r="K480" i="51"/>
  <c r="J480" i="51"/>
  <c r="I480" i="51"/>
  <c r="H480" i="51"/>
  <c r="G480" i="51"/>
  <c r="F480" i="51"/>
  <c r="E480" i="51"/>
  <c r="D480" i="51"/>
  <c r="M479" i="51"/>
  <c r="L479" i="51"/>
  <c r="K479" i="51"/>
  <c r="J479" i="51"/>
  <c r="I479" i="51"/>
  <c r="H479" i="51"/>
  <c r="G479" i="51"/>
  <c r="F479" i="51"/>
  <c r="E479" i="51"/>
  <c r="D479" i="51"/>
  <c r="M478" i="51"/>
  <c r="L478" i="51"/>
  <c r="K478" i="51"/>
  <c r="J478" i="51"/>
  <c r="I478" i="51"/>
  <c r="H478" i="51"/>
  <c r="G478" i="51"/>
  <c r="F478" i="51"/>
  <c r="E478" i="51"/>
  <c r="D478" i="51"/>
  <c r="M477" i="51"/>
  <c r="L477" i="51"/>
  <c r="K477" i="51"/>
  <c r="J477" i="51"/>
  <c r="I477" i="51"/>
  <c r="H477" i="51"/>
  <c r="G477" i="51"/>
  <c r="F477" i="51"/>
  <c r="E477" i="51"/>
  <c r="D477" i="51"/>
  <c r="M476" i="51"/>
  <c r="L476" i="51"/>
  <c r="K476" i="51"/>
  <c r="J476" i="51"/>
  <c r="I476" i="51"/>
  <c r="H476" i="51"/>
  <c r="G476" i="51"/>
  <c r="F476" i="51"/>
  <c r="E476" i="51"/>
  <c r="D476" i="51"/>
  <c r="M475" i="51"/>
  <c r="L475" i="51"/>
  <c r="K475" i="51"/>
  <c r="J475" i="51"/>
  <c r="I475" i="51"/>
  <c r="H475" i="51"/>
  <c r="G475" i="51"/>
  <c r="F475" i="51"/>
  <c r="E475" i="51"/>
  <c r="D475" i="51"/>
  <c r="M474" i="51"/>
  <c r="L474" i="51"/>
  <c r="K474" i="51"/>
  <c r="J474" i="51"/>
  <c r="I474" i="51"/>
  <c r="H474" i="51"/>
  <c r="G474" i="51"/>
  <c r="F474" i="51"/>
  <c r="E474" i="51"/>
  <c r="D474" i="51"/>
  <c r="M473" i="51"/>
  <c r="L473" i="51"/>
  <c r="K473" i="51"/>
  <c r="J473" i="51"/>
  <c r="I473" i="51"/>
  <c r="H473" i="51"/>
  <c r="G473" i="51"/>
  <c r="F473" i="51"/>
  <c r="E473" i="51"/>
  <c r="D473" i="51"/>
  <c r="M472" i="51"/>
  <c r="L472" i="51"/>
  <c r="K472" i="51"/>
  <c r="J472" i="51"/>
  <c r="I472" i="51"/>
  <c r="H472" i="51"/>
  <c r="G472" i="51"/>
  <c r="F472" i="51"/>
  <c r="E472" i="51"/>
  <c r="D472" i="51"/>
  <c r="M471" i="51"/>
  <c r="L471" i="51"/>
  <c r="K471" i="51"/>
  <c r="J471" i="51"/>
  <c r="I471" i="51"/>
  <c r="H471" i="51"/>
  <c r="G471" i="51"/>
  <c r="F471" i="51"/>
  <c r="E471" i="51"/>
  <c r="D471" i="51"/>
  <c r="M470" i="51"/>
  <c r="L470" i="51"/>
  <c r="K470" i="51"/>
  <c r="J470" i="51"/>
  <c r="I470" i="51"/>
  <c r="H470" i="51"/>
  <c r="G470" i="51"/>
  <c r="F470" i="51"/>
  <c r="E470" i="51"/>
  <c r="D470" i="51"/>
  <c r="M469" i="51"/>
  <c r="L469" i="51"/>
  <c r="K469" i="51"/>
  <c r="J469" i="51"/>
  <c r="I469" i="51"/>
  <c r="H469" i="51"/>
  <c r="G469" i="51"/>
  <c r="F469" i="51"/>
  <c r="E469" i="51"/>
  <c r="D469" i="51"/>
  <c r="M468" i="51"/>
  <c r="L468" i="51"/>
  <c r="K468" i="51"/>
  <c r="J468" i="51"/>
  <c r="I468" i="51"/>
  <c r="H468" i="51"/>
  <c r="G468" i="51"/>
  <c r="F468" i="51"/>
  <c r="E468" i="51"/>
  <c r="D468" i="51"/>
  <c r="M467" i="51"/>
  <c r="L467" i="51"/>
  <c r="K467" i="51"/>
  <c r="J467" i="51"/>
  <c r="I467" i="51"/>
  <c r="H467" i="51"/>
  <c r="G467" i="51"/>
  <c r="F467" i="51"/>
  <c r="E467" i="51"/>
  <c r="D467" i="51"/>
  <c r="M466" i="51"/>
  <c r="L466" i="51"/>
  <c r="K466" i="51"/>
  <c r="J466" i="51"/>
  <c r="I466" i="51"/>
  <c r="H466" i="51"/>
  <c r="G466" i="51"/>
  <c r="F466" i="51"/>
  <c r="E466" i="51"/>
  <c r="D466" i="51"/>
  <c r="M465" i="51"/>
  <c r="L465" i="51"/>
  <c r="K465" i="51"/>
  <c r="J465" i="51"/>
  <c r="I465" i="51"/>
  <c r="H465" i="51"/>
  <c r="G465" i="51"/>
  <c r="F465" i="51"/>
  <c r="E465" i="51"/>
  <c r="D465" i="51"/>
  <c r="M464" i="51"/>
  <c r="L464" i="51"/>
  <c r="K464" i="51"/>
  <c r="J464" i="51"/>
  <c r="I464" i="51"/>
  <c r="H464" i="51"/>
  <c r="G464" i="51"/>
  <c r="F464" i="51"/>
  <c r="E464" i="51"/>
  <c r="D464" i="51"/>
  <c r="M463" i="51"/>
  <c r="L463" i="51"/>
  <c r="K463" i="51"/>
  <c r="J463" i="51"/>
  <c r="I463" i="51"/>
  <c r="H463" i="51"/>
  <c r="G463" i="51"/>
  <c r="F463" i="51"/>
  <c r="E463" i="51"/>
  <c r="D463" i="51"/>
  <c r="M462" i="51"/>
  <c r="L462" i="51"/>
  <c r="K462" i="51"/>
  <c r="J462" i="51"/>
  <c r="I462" i="51"/>
  <c r="H462" i="51"/>
  <c r="G462" i="51"/>
  <c r="F462" i="51"/>
  <c r="E462" i="51"/>
  <c r="D462" i="51"/>
  <c r="M461" i="51"/>
  <c r="L461" i="51"/>
  <c r="K461" i="51"/>
  <c r="J461" i="51"/>
  <c r="I461" i="51"/>
  <c r="H461" i="51"/>
  <c r="G461" i="51"/>
  <c r="F461" i="51"/>
  <c r="E461" i="51"/>
  <c r="D461" i="51"/>
  <c r="M460" i="51"/>
  <c r="L460" i="51"/>
  <c r="K460" i="51"/>
  <c r="J460" i="51"/>
  <c r="I460" i="51"/>
  <c r="H460" i="51"/>
  <c r="G460" i="51"/>
  <c r="F460" i="51"/>
  <c r="E460" i="51"/>
  <c r="D460" i="51"/>
  <c r="M459" i="51"/>
  <c r="L459" i="51"/>
  <c r="K459" i="51"/>
  <c r="J459" i="51"/>
  <c r="I459" i="51"/>
  <c r="H459" i="51"/>
  <c r="G459" i="51"/>
  <c r="F459" i="51"/>
  <c r="E459" i="51"/>
  <c r="D459" i="51"/>
  <c r="M458" i="51"/>
  <c r="L458" i="51"/>
  <c r="K458" i="51"/>
  <c r="J458" i="51"/>
  <c r="I458" i="51"/>
  <c r="H458" i="51"/>
  <c r="G458" i="51"/>
  <c r="F458" i="51"/>
  <c r="E458" i="51"/>
  <c r="D458" i="51"/>
  <c r="M457" i="51"/>
  <c r="L457" i="51"/>
  <c r="K457" i="51"/>
  <c r="J457" i="51"/>
  <c r="I457" i="51"/>
  <c r="H457" i="51"/>
  <c r="G457" i="51"/>
  <c r="F457" i="51"/>
  <c r="E457" i="51"/>
  <c r="D457" i="51"/>
  <c r="M456" i="51"/>
  <c r="L456" i="51"/>
  <c r="K456" i="51"/>
  <c r="J456" i="51"/>
  <c r="I456" i="51"/>
  <c r="H456" i="51"/>
  <c r="G456" i="51"/>
  <c r="F456" i="51"/>
  <c r="E456" i="51"/>
  <c r="D456" i="51"/>
  <c r="M455" i="51"/>
  <c r="L455" i="51"/>
  <c r="K455" i="51"/>
  <c r="J455" i="51"/>
  <c r="I455" i="51"/>
  <c r="H455" i="51"/>
  <c r="G455" i="51"/>
  <c r="F455" i="51"/>
  <c r="E455" i="51"/>
  <c r="D455" i="51"/>
  <c r="M454" i="51"/>
  <c r="L454" i="51"/>
  <c r="K454" i="51"/>
  <c r="J454" i="51"/>
  <c r="I454" i="51"/>
  <c r="H454" i="51"/>
  <c r="G454" i="51"/>
  <c r="F454" i="51"/>
  <c r="E454" i="51"/>
  <c r="D454" i="51"/>
  <c r="M453" i="51"/>
  <c r="L453" i="51"/>
  <c r="K453" i="51"/>
  <c r="J453" i="51"/>
  <c r="I453" i="51"/>
  <c r="H453" i="51"/>
  <c r="G453" i="51"/>
  <c r="F453" i="51"/>
  <c r="E453" i="51"/>
  <c r="D453" i="51"/>
  <c r="M452" i="51"/>
  <c r="L452" i="51"/>
  <c r="K452" i="51"/>
  <c r="J452" i="51"/>
  <c r="I452" i="51"/>
  <c r="H452" i="51"/>
  <c r="G452" i="51"/>
  <c r="F452" i="51"/>
  <c r="E452" i="51"/>
  <c r="D452" i="51"/>
  <c r="M451" i="51"/>
  <c r="L451" i="51"/>
  <c r="K451" i="51"/>
  <c r="J451" i="51"/>
  <c r="I451" i="51"/>
  <c r="H451" i="51"/>
  <c r="G451" i="51"/>
  <c r="F451" i="51"/>
  <c r="E451" i="51"/>
  <c r="D451" i="51"/>
  <c r="M450" i="51"/>
  <c r="L450" i="51"/>
  <c r="K450" i="51"/>
  <c r="J450" i="51"/>
  <c r="I450" i="51"/>
  <c r="H450" i="51"/>
  <c r="G450" i="51"/>
  <c r="F450" i="51"/>
  <c r="E450" i="51"/>
  <c r="D450" i="51"/>
  <c r="M449" i="51"/>
  <c r="L449" i="51"/>
  <c r="K449" i="51"/>
  <c r="J449" i="51"/>
  <c r="I449" i="51"/>
  <c r="H449" i="51"/>
  <c r="G449" i="51"/>
  <c r="F449" i="51"/>
  <c r="E449" i="51"/>
  <c r="D449" i="51"/>
  <c r="M448" i="51"/>
  <c r="L448" i="51"/>
  <c r="K448" i="51"/>
  <c r="J448" i="51"/>
  <c r="I448" i="51"/>
  <c r="H448" i="51"/>
  <c r="G448" i="51"/>
  <c r="F448" i="51"/>
  <c r="E448" i="51"/>
  <c r="D448" i="51"/>
  <c r="M447" i="51"/>
  <c r="L447" i="51"/>
  <c r="K447" i="51"/>
  <c r="J447" i="51"/>
  <c r="I447" i="51"/>
  <c r="H447" i="51"/>
  <c r="G447" i="51"/>
  <c r="F447" i="51"/>
  <c r="E447" i="51"/>
  <c r="D447" i="51"/>
  <c r="M446" i="51"/>
  <c r="L446" i="51"/>
  <c r="K446" i="51"/>
  <c r="J446" i="51"/>
  <c r="I446" i="51"/>
  <c r="H446" i="51"/>
  <c r="G446" i="51"/>
  <c r="F446" i="51"/>
  <c r="E446" i="51"/>
  <c r="D446" i="51"/>
  <c r="M445" i="51"/>
  <c r="L445" i="51"/>
  <c r="K445" i="51"/>
  <c r="J445" i="51"/>
  <c r="I445" i="51"/>
  <c r="H445" i="51"/>
  <c r="G445" i="51"/>
  <c r="F445" i="51"/>
  <c r="E445" i="51"/>
  <c r="D445" i="51"/>
  <c r="M444" i="51"/>
  <c r="L444" i="51"/>
  <c r="K444" i="51"/>
  <c r="J444" i="51"/>
  <c r="I444" i="51"/>
  <c r="H444" i="51"/>
  <c r="G444" i="51"/>
  <c r="F444" i="51"/>
  <c r="E444" i="51"/>
  <c r="D444" i="51"/>
  <c r="M443" i="51"/>
  <c r="L443" i="51"/>
  <c r="K443" i="51"/>
  <c r="J443" i="51"/>
  <c r="I443" i="51"/>
  <c r="H443" i="51"/>
  <c r="G443" i="51"/>
  <c r="F443" i="51"/>
  <c r="E443" i="51"/>
  <c r="D443" i="51"/>
  <c r="M442" i="51"/>
  <c r="L442" i="51"/>
  <c r="K442" i="51"/>
  <c r="J442" i="51"/>
  <c r="I442" i="51"/>
  <c r="H442" i="51"/>
  <c r="G442" i="51"/>
  <c r="F442" i="51"/>
  <c r="E442" i="51"/>
  <c r="D442" i="51"/>
  <c r="M441" i="51"/>
  <c r="L441" i="51"/>
  <c r="K441" i="51"/>
  <c r="J441" i="51"/>
  <c r="I441" i="51"/>
  <c r="H441" i="51"/>
  <c r="G441" i="51"/>
  <c r="F441" i="51"/>
  <c r="E441" i="51"/>
  <c r="D441" i="51"/>
  <c r="M440" i="51"/>
  <c r="L440" i="51"/>
  <c r="K440" i="51"/>
  <c r="J440" i="51"/>
  <c r="I440" i="51"/>
  <c r="H440" i="51"/>
  <c r="G440" i="51"/>
  <c r="F440" i="51"/>
  <c r="E440" i="51"/>
  <c r="D440" i="51"/>
  <c r="M439" i="51"/>
  <c r="L439" i="51"/>
  <c r="K439" i="51"/>
  <c r="J439" i="51"/>
  <c r="I439" i="51"/>
  <c r="H439" i="51"/>
  <c r="G439" i="51"/>
  <c r="F439" i="51"/>
  <c r="E439" i="51"/>
  <c r="D439" i="51"/>
  <c r="M438" i="51"/>
  <c r="L438" i="51"/>
  <c r="K438" i="51"/>
  <c r="J438" i="51"/>
  <c r="I438" i="51"/>
  <c r="H438" i="51"/>
  <c r="G438" i="51"/>
  <c r="F438" i="51"/>
  <c r="E438" i="51"/>
  <c r="D438" i="51"/>
  <c r="M437" i="51"/>
  <c r="L437" i="51"/>
  <c r="K437" i="51"/>
  <c r="J437" i="51"/>
  <c r="I437" i="51"/>
  <c r="H437" i="51"/>
  <c r="G437" i="51"/>
  <c r="F437" i="51"/>
  <c r="E437" i="51"/>
  <c r="D437" i="51"/>
  <c r="M436" i="51"/>
  <c r="L436" i="51"/>
  <c r="K436" i="51"/>
  <c r="J436" i="51"/>
  <c r="I436" i="51"/>
  <c r="H436" i="51"/>
  <c r="G436" i="51"/>
  <c r="F436" i="51"/>
  <c r="E436" i="51"/>
  <c r="D436" i="51"/>
  <c r="M435" i="51"/>
  <c r="L435" i="51"/>
  <c r="K435" i="51"/>
  <c r="J435" i="51"/>
  <c r="I435" i="51"/>
  <c r="H435" i="51"/>
  <c r="G435" i="51"/>
  <c r="F435" i="51"/>
  <c r="E435" i="51"/>
  <c r="D435" i="51"/>
  <c r="M434" i="51"/>
  <c r="L434" i="51"/>
  <c r="K434" i="51"/>
  <c r="J434" i="51"/>
  <c r="I434" i="51"/>
  <c r="H434" i="51"/>
  <c r="G434" i="51"/>
  <c r="F434" i="51"/>
  <c r="E434" i="51"/>
  <c r="D434" i="51"/>
  <c r="M433" i="51"/>
  <c r="L433" i="51"/>
  <c r="K433" i="51"/>
  <c r="J433" i="51"/>
  <c r="I433" i="51"/>
  <c r="H433" i="51"/>
  <c r="G433" i="51"/>
  <c r="F433" i="51"/>
  <c r="E433" i="51"/>
  <c r="D433" i="51"/>
  <c r="M432" i="51"/>
  <c r="L432" i="51"/>
  <c r="K432" i="51"/>
  <c r="J432" i="51"/>
  <c r="I432" i="51"/>
  <c r="H432" i="51"/>
  <c r="G432" i="51"/>
  <c r="F432" i="51"/>
  <c r="E432" i="51"/>
  <c r="D432" i="51"/>
  <c r="M431" i="51"/>
  <c r="L431" i="51"/>
  <c r="K431" i="51"/>
  <c r="J431" i="51"/>
  <c r="I431" i="51"/>
  <c r="H431" i="51"/>
  <c r="G431" i="51"/>
  <c r="F431" i="51"/>
  <c r="E431" i="51"/>
  <c r="D431" i="51"/>
  <c r="M430" i="51"/>
  <c r="L430" i="51"/>
  <c r="K430" i="51"/>
  <c r="J430" i="51"/>
  <c r="I430" i="51"/>
  <c r="H430" i="51"/>
  <c r="G430" i="51"/>
  <c r="F430" i="51"/>
  <c r="E430" i="51"/>
  <c r="D430" i="51"/>
  <c r="M429" i="51"/>
  <c r="L429" i="51"/>
  <c r="K429" i="51"/>
  <c r="J429" i="51"/>
  <c r="I429" i="51"/>
  <c r="H429" i="51"/>
  <c r="G429" i="51"/>
  <c r="F429" i="51"/>
  <c r="E429" i="51"/>
  <c r="D429" i="51"/>
  <c r="M428" i="51"/>
  <c r="L428" i="51"/>
  <c r="K428" i="51"/>
  <c r="J428" i="51"/>
  <c r="I428" i="51"/>
  <c r="H428" i="51"/>
  <c r="G428" i="51"/>
  <c r="F428" i="51"/>
  <c r="E428" i="51"/>
  <c r="D428" i="51"/>
  <c r="M427" i="51"/>
  <c r="L427" i="51"/>
  <c r="K427" i="51"/>
  <c r="J427" i="51"/>
  <c r="I427" i="51"/>
  <c r="H427" i="51"/>
  <c r="G427" i="51"/>
  <c r="F427" i="51"/>
  <c r="E427" i="51"/>
  <c r="D427" i="51"/>
  <c r="M426" i="51"/>
  <c r="L426" i="51"/>
  <c r="K426" i="51"/>
  <c r="J426" i="51"/>
  <c r="I426" i="51"/>
  <c r="H426" i="51"/>
  <c r="G426" i="51"/>
  <c r="F426" i="51"/>
  <c r="E426" i="51"/>
  <c r="D426" i="51"/>
  <c r="M425" i="51"/>
  <c r="L425" i="51"/>
  <c r="K425" i="51"/>
  <c r="J425" i="51"/>
  <c r="I425" i="51"/>
  <c r="H425" i="51"/>
  <c r="G425" i="51"/>
  <c r="F425" i="51"/>
  <c r="E425" i="51"/>
  <c r="D425" i="51"/>
  <c r="M424" i="51"/>
  <c r="L424" i="51"/>
  <c r="K424" i="51"/>
  <c r="J424" i="51"/>
  <c r="I424" i="51"/>
  <c r="H424" i="51"/>
  <c r="G424" i="51"/>
  <c r="F424" i="51"/>
  <c r="E424" i="51"/>
  <c r="D424" i="51"/>
  <c r="M423" i="51"/>
  <c r="L423" i="51"/>
  <c r="K423" i="51"/>
  <c r="J423" i="51"/>
  <c r="I423" i="51"/>
  <c r="H423" i="51"/>
  <c r="G423" i="51"/>
  <c r="F423" i="51"/>
  <c r="E423" i="51"/>
  <c r="D423" i="51"/>
  <c r="M422" i="51"/>
  <c r="L422" i="51"/>
  <c r="K422" i="51"/>
  <c r="J422" i="51"/>
  <c r="I422" i="51"/>
  <c r="H422" i="51"/>
  <c r="G422" i="51"/>
  <c r="F422" i="51"/>
  <c r="E422" i="51"/>
  <c r="D422" i="51"/>
  <c r="M421" i="51"/>
  <c r="L421" i="51"/>
  <c r="K421" i="51"/>
  <c r="J421" i="51"/>
  <c r="I421" i="51"/>
  <c r="H421" i="51"/>
  <c r="G421" i="51"/>
  <c r="F421" i="51"/>
  <c r="E421" i="51"/>
  <c r="D421" i="51"/>
  <c r="M420" i="51"/>
  <c r="L420" i="51"/>
  <c r="K420" i="51"/>
  <c r="J420" i="51"/>
  <c r="I420" i="51"/>
  <c r="H420" i="51"/>
  <c r="G420" i="51"/>
  <c r="F420" i="51"/>
  <c r="E420" i="51"/>
  <c r="D420" i="51"/>
  <c r="M419" i="51"/>
  <c r="L419" i="51"/>
  <c r="K419" i="51"/>
  <c r="J419" i="51"/>
  <c r="I419" i="51"/>
  <c r="H419" i="51"/>
  <c r="G419" i="51"/>
  <c r="F419" i="51"/>
  <c r="E419" i="51"/>
  <c r="D419" i="51"/>
  <c r="M418" i="51"/>
  <c r="L418" i="51"/>
  <c r="K418" i="51"/>
  <c r="J418" i="51"/>
  <c r="I418" i="51"/>
  <c r="H418" i="51"/>
  <c r="G418" i="51"/>
  <c r="F418" i="51"/>
  <c r="E418" i="51"/>
  <c r="D418" i="51"/>
  <c r="M417" i="51"/>
  <c r="L417" i="51"/>
  <c r="K417" i="51"/>
  <c r="J417" i="51"/>
  <c r="I417" i="51"/>
  <c r="H417" i="51"/>
  <c r="G417" i="51"/>
  <c r="F417" i="51"/>
  <c r="E417" i="51"/>
  <c r="D417" i="51"/>
  <c r="M416" i="51"/>
  <c r="L416" i="51"/>
  <c r="K416" i="51"/>
  <c r="J416" i="51"/>
  <c r="I416" i="51"/>
  <c r="H416" i="51"/>
  <c r="G416" i="51"/>
  <c r="F416" i="51"/>
  <c r="E416" i="51"/>
  <c r="D416" i="51"/>
  <c r="M415" i="51"/>
  <c r="L415" i="51"/>
  <c r="K415" i="51"/>
  <c r="J415" i="51"/>
  <c r="I415" i="51"/>
  <c r="H415" i="51"/>
  <c r="G415" i="51"/>
  <c r="F415" i="51"/>
  <c r="E415" i="51"/>
  <c r="D415" i="51"/>
  <c r="M414" i="51"/>
  <c r="L414" i="51"/>
  <c r="K414" i="51"/>
  <c r="J414" i="51"/>
  <c r="I414" i="51"/>
  <c r="H414" i="51"/>
  <c r="G414" i="51"/>
  <c r="F414" i="51"/>
  <c r="E414" i="51"/>
  <c r="D414" i="51"/>
  <c r="M413" i="51"/>
  <c r="L413" i="51"/>
  <c r="K413" i="51"/>
  <c r="J413" i="51"/>
  <c r="I413" i="51"/>
  <c r="H413" i="51"/>
  <c r="G413" i="51"/>
  <c r="F413" i="51"/>
  <c r="E413" i="51"/>
  <c r="D413" i="51"/>
  <c r="M412" i="51"/>
  <c r="L412" i="51"/>
  <c r="K412" i="51"/>
  <c r="J412" i="51"/>
  <c r="I412" i="51"/>
  <c r="H412" i="51"/>
  <c r="G412" i="51"/>
  <c r="F412" i="51"/>
  <c r="E412" i="51"/>
  <c r="D412" i="51"/>
  <c r="M411" i="51"/>
  <c r="L411" i="51"/>
  <c r="K411" i="51"/>
  <c r="J411" i="51"/>
  <c r="I411" i="51"/>
  <c r="H411" i="51"/>
  <c r="G411" i="51"/>
  <c r="F411" i="51"/>
  <c r="E411" i="51"/>
  <c r="D411" i="51"/>
  <c r="M410" i="51"/>
  <c r="L410" i="51"/>
  <c r="K410" i="51"/>
  <c r="J410" i="51"/>
  <c r="I410" i="51"/>
  <c r="H410" i="51"/>
  <c r="G410" i="51"/>
  <c r="F410" i="51"/>
  <c r="E410" i="51"/>
  <c r="D410" i="51"/>
  <c r="M409" i="51"/>
  <c r="L409" i="51"/>
  <c r="K409" i="51"/>
  <c r="J409" i="51"/>
  <c r="I409" i="51"/>
  <c r="H409" i="51"/>
  <c r="G409" i="51"/>
  <c r="F409" i="51"/>
  <c r="E409" i="51"/>
  <c r="D409" i="51"/>
  <c r="M408" i="51"/>
  <c r="L408" i="51"/>
  <c r="K408" i="51"/>
  <c r="J408" i="51"/>
  <c r="I408" i="51"/>
  <c r="H408" i="51"/>
  <c r="G408" i="51"/>
  <c r="F408" i="51"/>
  <c r="E408" i="51"/>
  <c r="D408" i="51"/>
  <c r="M407" i="51"/>
  <c r="L407" i="51"/>
  <c r="K407" i="51"/>
  <c r="J407" i="51"/>
  <c r="I407" i="51"/>
  <c r="H407" i="51"/>
  <c r="G407" i="51"/>
  <c r="F407" i="51"/>
  <c r="E407" i="51"/>
  <c r="D407" i="51"/>
  <c r="M406" i="51"/>
  <c r="L406" i="51"/>
  <c r="K406" i="51"/>
  <c r="J406" i="51"/>
  <c r="I406" i="51"/>
  <c r="H406" i="51"/>
  <c r="G406" i="51"/>
  <c r="F406" i="51"/>
  <c r="E406" i="51"/>
  <c r="D406" i="51"/>
  <c r="M405" i="51"/>
  <c r="L405" i="51"/>
  <c r="K405" i="51"/>
  <c r="J405" i="51"/>
  <c r="I405" i="51"/>
  <c r="H405" i="51"/>
  <c r="G405" i="51"/>
  <c r="F405" i="51"/>
  <c r="E405" i="51"/>
  <c r="D405" i="51"/>
  <c r="M404" i="51"/>
  <c r="L404" i="51"/>
  <c r="K404" i="51"/>
  <c r="J404" i="51"/>
  <c r="I404" i="51"/>
  <c r="H404" i="51"/>
  <c r="G404" i="51"/>
  <c r="F404" i="51"/>
  <c r="E404" i="51"/>
  <c r="D404" i="51"/>
  <c r="M403" i="51"/>
  <c r="L403" i="51"/>
  <c r="K403" i="51"/>
  <c r="J403" i="51"/>
  <c r="I403" i="51"/>
  <c r="H403" i="51"/>
  <c r="G403" i="51"/>
  <c r="F403" i="51"/>
  <c r="E403" i="51"/>
  <c r="D403" i="51"/>
  <c r="M402" i="51"/>
  <c r="L402" i="51"/>
  <c r="K402" i="51"/>
  <c r="J402" i="51"/>
  <c r="I402" i="51"/>
  <c r="H402" i="51"/>
  <c r="G402" i="51"/>
  <c r="F402" i="51"/>
  <c r="E402" i="51"/>
  <c r="D402" i="51"/>
  <c r="M401" i="51"/>
  <c r="L401" i="51"/>
  <c r="K401" i="51"/>
  <c r="J401" i="51"/>
  <c r="I401" i="51"/>
  <c r="H401" i="51"/>
  <c r="G401" i="51"/>
  <c r="F401" i="51"/>
  <c r="E401" i="51"/>
  <c r="D401" i="51"/>
  <c r="M400" i="51"/>
  <c r="L400" i="51"/>
  <c r="K400" i="51"/>
  <c r="J400" i="51"/>
  <c r="I400" i="51"/>
  <c r="H400" i="51"/>
  <c r="G400" i="51"/>
  <c r="F400" i="51"/>
  <c r="E400" i="51"/>
  <c r="D400" i="51"/>
  <c r="M399" i="51"/>
  <c r="L399" i="51"/>
  <c r="K399" i="51"/>
  <c r="J399" i="51"/>
  <c r="I399" i="51"/>
  <c r="H399" i="51"/>
  <c r="G399" i="51"/>
  <c r="F399" i="51"/>
  <c r="E399" i="51"/>
  <c r="D399" i="51"/>
  <c r="M398" i="51"/>
  <c r="L398" i="51"/>
  <c r="K398" i="51"/>
  <c r="J398" i="51"/>
  <c r="I398" i="51"/>
  <c r="H398" i="51"/>
  <c r="G398" i="51"/>
  <c r="F398" i="51"/>
  <c r="E398" i="51"/>
  <c r="D398" i="51"/>
  <c r="M397" i="51"/>
  <c r="L397" i="51"/>
  <c r="K397" i="51"/>
  <c r="J397" i="51"/>
  <c r="I397" i="51"/>
  <c r="H397" i="51"/>
  <c r="G397" i="51"/>
  <c r="F397" i="51"/>
  <c r="E397" i="51"/>
  <c r="D397" i="51"/>
  <c r="M396" i="51"/>
  <c r="L396" i="51"/>
  <c r="K396" i="51"/>
  <c r="J396" i="51"/>
  <c r="I396" i="51"/>
  <c r="H396" i="51"/>
  <c r="G396" i="51"/>
  <c r="F396" i="51"/>
  <c r="E396" i="51"/>
  <c r="D396" i="51"/>
  <c r="M395" i="51"/>
  <c r="L395" i="51"/>
  <c r="K395" i="51"/>
  <c r="J395" i="51"/>
  <c r="I395" i="51"/>
  <c r="H395" i="51"/>
  <c r="G395" i="51"/>
  <c r="F395" i="51"/>
  <c r="E395" i="51"/>
  <c r="D395" i="51"/>
  <c r="M394" i="51"/>
  <c r="L394" i="51"/>
  <c r="K394" i="51"/>
  <c r="J394" i="51"/>
  <c r="I394" i="51"/>
  <c r="H394" i="51"/>
  <c r="G394" i="51"/>
  <c r="F394" i="51"/>
  <c r="E394" i="51"/>
  <c r="D394" i="51"/>
  <c r="M393" i="51"/>
  <c r="L393" i="51"/>
  <c r="K393" i="51"/>
  <c r="J393" i="51"/>
  <c r="I393" i="51"/>
  <c r="H393" i="51"/>
  <c r="G393" i="51"/>
  <c r="F393" i="51"/>
  <c r="E393" i="51"/>
  <c r="D393" i="51"/>
  <c r="M392" i="51"/>
  <c r="L392" i="51"/>
  <c r="K392" i="51"/>
  <c r="J392" i="51"/>
  <c r="I392" i="51"/>
  <c r="H392" i="51"/>
  <c r="G392" i="51"/>
  <c r="F392" i="51"/>
  <c r="E392" i="51"/>
  <c r="D392" i="51"/>
  <c r="M391" i="51"/>
  <c r="L391" i="51"/>
  <c r="K391" i="51"/>
  <c r="J391" i="51"/>
  <c r="I391" i="51"/>
  <c r="H391" i="51"/>
  <c r="G391" i="51"/>
  <c r="F391" i="51"/>
  <c r="E391" i="51"/>
  <c r="D391" i="51"/>
  <c r="M390" i="51"/>
  <c r="L390" i="51"/>
  <c r="K390" i="51"/>
  <c r="J390" i="51"/>
  <c r="I390" i="51"/>
  <c r="H390" i="51"/>
  <c r="G390" i="51"/>
  <c r="F390" i="51"/>
  <c r="E390" i="51"/>
  <c r="D390" i="51"/>
  <c r="M389" i="51"/>
  <c r="L389" i="51"/>
  <c r="K389" i="51"/>
  <c r="J389" i="51"/>
  <c r="I389" i="51"/>
  <c r="H389" i="51"/>
  <c r="G389" i="51"/>
  <c r="F389" i="51"/>
  <c r="E389" i="51"/>
  <c r="D389" i="51"/>
  <c r="M388" i="51"/>
  <c r="L388" i="51"/>
  <c r="K388" i="51"/>
  <c r="J388" i="51"/>
  <c r="I388" i="51"/>
  <c r="H388" i="51"/>
  <c r="G388" i="51"/>
  <c r="F388" i="51"/>
  <c r="E388" i="51"/>
  <c r="D388" i="51"/>
  <c r="M387" i="51"/>
  <c r="L387" i="51"/>
  <c r="K387" i="51"/>
  <c r="J387" i="51"/>
  <c r="I387" i="51"/>
  <c r="H387" i="51"/>
  <c r="G387" i="51"/>
  <c r="F387" i="51"/>
  <c r="E387" i="51"/>
  <c r="D387" i="51"/>
  <c r="M386" i="51"/>
  <c r="L386" i="51"/>
  <c r="K386" i="51"/>
  <c r="J386" i="51"/>
  <c r="I386" i="51"/>
  <c r="H386" i="51"/>
  <c r="G386" i="51"/>
  <c r="F386" i="51"/>
  <c r="E386" i="51"/>
  <c r="D386" i="51"/>
  <c r="M385" i="51"/>
  <c r="L385" i="51"/>
  <c r="K385" i="51"/>
  <c r="J385" i="51"/>
  <c r="I385" i="51"/>
  <c r="H385" i="51"/>
  <c r="G385" i="51"/>
  <c r="F385" i="51"/>
  <c r="E385" i="51"/>
  <c r="D385" i="51"/>
  <c r="M384" i="51"/>
  <c r="L384" i="51"/>
  <c r="K384" i="51"/>
  <c r="J384" i="51"/>
  <c r="I384" i="51"/>
  <c r="H384" i="51"/>
  <c r="G384" i="51"/>
  <c r="F384" i="51"/>
  <c r="E384" i="51"/>
  <c r="D384" i="51"/>
  <c r="M383" i="51"/>
  <c r="L383" i="51"/>
  <c r="K383" i="51"/>
  <c r="J383" i="51"/>
  <c r="I383" i="51"/>
  <c r="H383" i="51"/>
  <c r="G383" i="51"/>
  <c r="F383" i="51"/>
  <c r="E383" i="51"/>
  <c r="D383" i="51"/>
  <c r="M382" i="51"/>
  <c r="L382" i="51"/>
  <c r="K382" i="51"/>
  <c r="J382" i="51"/>
  <c r="I382" i="51"/>
  <c r="H382" i="51"/>
  <c r="G382" i="51"/>
  <c r="F382" i="51"/>
  <c r="E382" i="51"/>
  <c r="D382" i="51"/>
  <c r="M381" i="51"/>
  <c r="L381" i="51"/>
  <c r="K381" i="51"/>
  <c r="J381" i="51"/>
  <c r="I381" i="51"/>
  <c r="H381" i="51"/>
  <c r="G381" i="51"/>
  <c r="F381" i="51"/>
  <c r="E381" i="51"/>
  <c r="D381" i="51"/>
  <c r="M380" i="51"/>
  <c r="L380" i="51"/>
  <c r="K380" i="51"/>
  <c r="J380" i="51"/>
  <c r="I380" i="51"/>
  <c r="H380" i="51"/>
  <c r="G380" i="51"/>
  <c r="F380" i="51"/>
  <c r="E380" i="51"/>
  <c r="D380" i="51"/>
  <c r="M379" i="51"/>
  <c r="L379" i="51"/>
  <c r="K379" i="51"/>
  <c r="J379" i="51"/>
  <c r="I379" i="51"/>
  <c r="H379" i="51"/>
  <c r="G379" i="51"/>
  <c r="F379" i="51"/>
  <c r="E379" i="51"/>
  <c r="D379" i="51"/>
  <c r="M378" i="51"/>
  <c r="L378" i="51"/>
  <c r="K378" i="51"/>
  <c r="J378" i="51"/>
  <c r="I378" i="51"/>
  <c r="H378" i="51"/>
  <c r="G378" i="51"/>
  <c r="F378" i="51"/>
  <c r="E378" i="51"/>
  <c r="D378" i="51"/>
  <c r="M377" i="51"/>
  <c r="L377" i="51"/>
  <c r="K377" i="51"/>
  <c r="J377" i="51"/>
  <c r="I377" i="51"/>
  <c r="H377" i="51"/>
  <c r="G377" i="51"/>
  <c r="F377" i="51"/>
  <c r="E377" i="51"/>
  <c r="D377" i="51"/>
  <c r="M376" i="51"/>
  <c r="L376" i="51"/>
  <c r="K376" i="51"/>
  <c r="J376" i="51"/>
  <c r="I376" i="51"/>
  <c r="H376" i="51"/>
  <c r="G376" i="51"/>
  <c r="F376" i="51"/>
  <c r="E376" i="51"/>
  <c r="D376" i="51"/>
  <c r="M375" i="51"/>
  <c r="L375" i="51"/>
  <c r="K375" i="51"/>
  <c r="J375" i="51"/>
  <c r="I375" i="51"/>
  <c r="H375" i="51"/>
  <c r="G375" i="51"/>
  <c r="F375" i="51"/>
  <c r="E375" i="51"/>
  <c r="D375" i="51"/>
  <c r="M374" i="51"/>
  <c r="L374" i="51"/>
  <c r="K374" i="51"/>
  <c r="J374" i="51"/>
  <c r="I374" i="51"/>
  <c r="H374" i="51"/>
  <c r="G374" i="51"/>
  <c r="F374" i="51"/>
  <c r="E374" i="51"/>
  <c r="D374" i="51"/>
  <c r="M373" i="51"/>
  <c r="L373" i="51"/>
  <c r="K373" i="51"/>
  <c r="J373" i="51"/>
  <c r="I373" i="51"/>
  <c r="H373" i="51"/>
  <c r="G373" i="51"/>
  <c r="F373" i="51"/>
  <c r="E373" i="51"/>
  <c r="D373" i="51"/>
  <c r="M372" i="51"/>
  <c r="L372" i="51"/>
  <c r="K372" i="51"/>
  <c r="J372" i="51"/>
  <c r="I372" i="51"/>
  <c r="H372" i="51"/>
  <c r="G372" i="51"/>
  <c r="F372" i="51"/>
  <c r="E372" i="51"/>
  <c r="D372" i="51"/>
  <c r="M371" i="51"/>
  <c r="L371" i="51"/>
  <c r="K371" i="51"/>
  <c r="J371" i="51"/>
  <c r="I371" i="51"/>
  <c r="H371" i="51"/>
  <c r="G371" i="51"/>
  <c r="F371" i="51"/>
  <c r="E371" i="51"/>
  <c r="D371" i="51"/>
  <c r="M370" i="51"/>
  <c r="L370" i="51"/>
  <c r="K370" i="51"/>
  <c r="J370" i="51"/>
  <c r="I370" i="51"/>
  <c r="H370" i="51"/>
  <c r="G370" i="51"/>
  <c r="F370" i="51"/>
  <c r="E370" i="51"/>
  <c r="D370" i="51"/>
  <c r="M369" i="51"/>
  <c r="L369" i="51"/>
  <c r="K369" i="51"/>
  <c r="J369" i="51"/>
  <c r="I369" i="51"/>
  <c r="H369" i="51"/>
  <c r="G369" i="51"/>
  <c r="F369" i="51"/>
  <c r="E369" i="51"/>
  <c r="D369" i="51"/>
  <c r="M368" i="51"/>
  <c r="L368" i="51"/>
  <c r="K368" i="51"/>
  <c r="J368" i="51"/>
  <c r="I368" i="51"/>
  <c r="H368" i="51"/>
  <c r="G368" i="51"/>
  <c r="F368" i="51"/>
  <c r="E368" i="51"/>
  <c r="D368" i="51"/>
  <c r="M367" i="51"/>
  <c r="L367" i="51"/>
  <c r="K367" i="51"/>
  <c r="J367" i="51"/>
  <c r="I367" i="51"/>
  <c r="H367" i="51"/>
  <c r="G367" i="51"/>
  <c r="F367" i="51"/>
  <c r="E367" i="51"/>
  <c r="D367" i="51"/>
  <c r="M366" i="51"/>
  <c r="L366" i="51"/>
  <c r="K366" i="51"/>
  <c r="J366" i="51"/>
  <c r="I366" i="51"/>
  <c r="H366" i="51"/>
  <c r="G366" i="51"/>
  <c r="F366" i="51"/>
  <c r="E366" i="51"/>
  <c r="D366" i="51"/>
  <c r="M365" i="51"/>
  <c r="L365" i="51"/>
  <c r="K365" i="51"/>
  <c r="J365" i="51"/>
  <c r="I365" i="51"/>
  <c r="H365" i="51"/>
  <c r="G365" i="51"/>
  <c r="F365" i="51"/>
  <c r="E365" i="51"/>
  <c r="D365" i="51"/>
  <c r="M364" i="51"/>
  <c r="L364" i="51"/>
  <c r="K364" i="51"/>
  <c r="J364" i="51"/>
  <c r="I364" i="51"/>
  <c r="H364" i="51"/>
  <c r="G364" i="51"/>
  <c r="F364" i="51"/>
  <c r="E364" i="51"/>
  <c r="D364" i="51"/>
  <c r="M363" i="51"/>
  <c r="L363" i="51"/>
  <c r="K363" i="51"/>
  <c r="J363" i="51"/>
  <c r="I363" i="51"/>
  <c r="H363" i="51"/>
  <c r="G363" i="51"/>
  <c r="F363" i="51"/>
  <c r="E363" i="51"/>
  <c r="D363" i="51"/>
  <c r="M362" i="51"/>
  <c r="L362" i="51"/>
  <c r="K362" i="51"/>
  <c r="J362" i="51"/>
  <c r="I362" i="51"/>
  <c r="H362" i="51"/>
  <c r="G362" i="51"/>
  <c r="F362" i="51"/>
  <c r="E362" i="51"/>
  <c r="D362" i="51"/>
  <c r="M361" i="51"/>
  <c r="L361" i="51"/>
  <c r="K361" i="51"/>
  <c r="J361" i="51"/>
  <c r="I361" i="51"/>
  <c r="H361" i="51"/>
  <c r="G361" i="51"/>
  <c r="F361" i="51"/>
  <c r="E361" i="51"/>
  <c r="D361" i="51"/>
  <c r="M360" i="51"/>
  <c r="L360" i="51"/>
  <c r="K360" i="51"/>
  <c r="J360" i="51"/>
  <c r="I360" i="51"/>
  <c r="H360" i="51"/>
  <c r="G360" i="51"/>
  <c r="F360" i="51"/>
  <c r="E360" i="51"/>
  <c r="D360" i="51"/>
  <c r="M359" i="51"/>
  <c r="L359" i="51"/>
  <c r="K359" i="51"/>
  <c r="J359" i="51"/>
  <c r="I359" i="51"/>
  <c r="H359" i="51"/>
  <c r="G359" i="51"/>
  <c r="F359" i="51"/>
  <c r="E359" i="51"/>
  <c r="D359" i="51"/>
  <c r="M358" i="51"/>
  <c r="L358" i="51"/>
  <c r="K358" i="51"/>
  <c r="J358" i="51"/>
  <c r="I358" i="51"/>
  <c r="H358" i="51"/>
  <c r="G358" i="51"/>
  <c r="F358" i="51"/>
  <c r="E358" i="51"/>
  <c r="D358" i="51"/>
  <c r="M357" i="51"/>
  <c r="L357" i="51"/>
  <c r="K357" i="51"/>
  <c r="J357" i="51"/>
  <c r="I357" i="51"/>
  <c r="H357" i="51"/>
  <c r="G357" i="51"/>
  <c r="F357" i="51"/>
  <c r="E357" i="51"/>
  <c r="D357" i="51"/>
  <c r="M356" i="51"/>
  <c r="L356" i="51"/>
  <c r="K356" i="51"/>
  <c r="J356" i="51"/>
  <c r="I356" i="51"/>
  <c r="H356" i="51"/>
  <c r="G356" i="51"/>
  <c r="F356" i="51"/>
  <c r="E356" i="51"/>
  <c r="D356" i="51"/>
  <c r="M355" i="51"/>
  <c r="L355" i="51"/>
  <c r="K355" i="51"/>
  <c r="J355" i="51"/>
  <c r="I355" i="51"/>
  <c r="H355" i="51"/>
  <c r="G355" i="51"/>
  <c r="F355" i="51"/>
  <c r="E355" i="51"/>
  <c r="D355" i="51"/>
  <c r="M354" i="51"/>
  <c r="L354" i="51"/>
  <c r="K354" i="51"/>
  <c r="J354" i="51"/>
  <c r="I354" i="51"/>
  <c r="H354" i="51"/>
  <c r="G354" i="51"/>
  <c r="F354" i="51"/>
  <c r="E354" i="51"/>
  <c r="D354" i="51"/>
  <c r="M353" i="51"/>
  <c r="L353" i="51"/>
  <c r="K353" i="51"/>
  <c r="J353" i="51"/>
  <c r="I353" i="51"/>
  <c r="H353" i="51"/>
  <c r="G353" i="51"/>
  <c r="F353" i="51"/>
  <c r="E353" i="51"/>
  <c r="D353" i="51"/>
  <c r="M352" i="51"/>
  <c r="L352" i="51"/>
  <c r="K352" i="51"/>
  <c r="J352" i="51"/>
  <c r="I352" i="51"/>
  <c r="H352" i="51"/>
  <c r="G352" i="51"/>
  <c r="F352" i="51"/>
  <c r="E352" i="51"/>
  <c r="D352" i="51"/>
  <c r="M351" i="51"/>
  <c r="L351" i="51"/>
  <c r="K351" i="51"/>
  <c r="J351" i="51"/>
  <c r="I351" i="51"/>
  <c r="H351" i="51"/>
  <c r="G351" i="51"/>
  <c r="F351" i="51"/>
  <c r="E351" i="51"/>
  <c r="D351" i="51"/>
  <c r="M350" i="51"/>
  <c r="L350" i="51"/>
  <c r="K350" i="51"/>
  <c r="J350" i="51"/>
  <c r="I350" i="51"/>
  <c r="H350" i="51"/>
  <c r="G350" i="51"/>
  <c r="F350" i="51"/>
  <c r="E350" i="51"/>
  <c r="D350" i="51"/>
  <c r="M349" i="51"/>
  <c r="L349" i="51"/>
  <c r="K349" i="51"/>
  <c r="J349" i="51"/>
  <c r="I349" i="51"/>
  <c r="H349" i="51"/>
  <c r="G349" i="51"/>
  <c r="F349" i="51"/>
  <c r="E349" i="51"/>
  <c r="D349" i="51"/>
  <c r="M348" i="51"/>
  <c r="L348" i="51"/>
  <c r="K348" i="51"/>
  <c r="J348" i="51"/>
  <c r="I348" i="51"/>
  <c r="H348" i="51"/>
  <c r="G348" i="51"/>
  <c r="F348" i="51"/>
  <c r="E348" i="51"/>
  <c r="D348" i="51"/>
  <c r="M347" i="51"/>
  <c r="L347" i="51"/>
  <c r="K347" i="51"/>
  <c r="J347" i="51"/>
  <c r="I347" i="51"/>
  <c r="H347" i="51"/>
  <c r="G347" i="51"/>
  <c r="F347" i="51"/>
  <c r="E347" i="51"/>
  <c r="D347" i="51"/>
  <c r="M346" i="51"/>
  <c r="L346" i="51"/>
  <c r="K346" i="51"/>
  <c r="J346" i="51"/>
  <c r="I346" i="51"/>
  <c r="H346" i="51"/>
  <c r="G346" i="51"/>
  <c r="F346" i="51"/>
  <c r="E346" i="51"/>
  <c r="D346" i="51"/>
  <c r="M345" i="51"/>
  <c r="L345" i="51"/>
  <c r="K345" i="51"/>
  <c r="J345" i="51"/>
  <c r="I345" i="51"/>
  <c r="H345" i="51"/>
  <c r="G345" i="51"/>
  <c r="F345" i="51"/>
  <c r="E345" i="51"/>
  <c r="D345" i="51"/>
  <c r="M344" i="51"/>
  <c r="L344" i="51"/>
  <c r="K344" i="51"/>
  <c r="J344" i="51"/>
  <c r="I344" i="51"/>
  <c r="H344" i="51"/>
  <c r="G344" i="51"/>
  <c r="F344" i="51"/>
  <c r="E344" i="51"/>
  <c r="D344" i="51"/>
  <c r="M343" i="51"/>
  <c r="L343" i="51"/>
  <c r="K343" i="51"/>
  <c r="J343" i="51"/>
  <c r="I343" i="51"/>
  <c r="H343" i="51"/>
  <c r="G343" i="51"/>
  <c r="F343" i="51"/>
  <c r="E343" i="51"/>
  <c r="D343" i="51"/>
  <c r="M342" i="51"/>
  <c r="L342" i="51"/>
  <c r="K342" i="51"/>
  <c r="J342" i="51"/>
  <c r="I342" i="51"/>
  <c r="H342" i="51"/>
  <c r="G342" i="51"/>
  <c r="F342" i="51"/>
  <c r="E342" i="51"/>
  <c r="D342" i="51"/>
  <c r="M341" i="51"/>
  <c r="L341" i="51"/>
  <c r="K341" i="51"/>
  <c r="J341" i="51"/>
  <c r="I341" i="51"/>
  <c r="H341" i="51"/>
  <c r="G341" i="51"/>
  <c r="F341" i="51"/>
  <c r="E341" i="51"/>
  <c r="D341" i="51"/>
  <c r="M340" i="51"/>
  <c r="L340" i="51"/>
  <c r="K340" i="51"/>
  <c r="J340" i="51"/>
  <c r="I340" i="51"/>
  <c r="H340" i="51"/>
  <c r="G340" i="51"/>
  <c r="F340" i="51"/>
  <c r="E340" i="51"/>
  <c r="D340" i="51"/>
  <c r="M339" i="51"/>
  <c r="L339" i="51"/>
  <c r="K339" i="51"/>
  <c r="J339" i="51"/>
  <c r="I339" i="51"/>
  <c r="H339" i="51"/>
  <c r="G339" i="51"/>
  <c r="F339" i="51"/>
  <c r="E339" i="51"/>
  <c r="D339" i="51"/>
  <c r="M338" i="51"/>
  <c r="L338" i="51"/>
  <c r="K338" i="51"/>
  <c r="J338" i="51"/>
  <c r="I338" i="51"/>
  <c r="H338" i="51"/>
  <c r="G338" i="51"/>
  <c r="F338" i="51"/>
  <c r="E338" i="51"/>
  <c r="D338" i="51"/>
  <c r="M337" i="51"/>
  <c r="L337" i="51"/>
  <c r="K337" i="51"/>
  <c r="J337" i="51"/>
  <c r="I337" i="51"/>
  <c r="H337" i="51"/>
  <c r="G337" i="51"/>
  <c r="F337" i="51"/>
  <c r="E337" i="51"/>
  <c r="D337" i="51"/>
  <c r="M336" i="51"/>
  <c r="L336" i="51"/>
  <c r="K336" i="51"/>
  <c r="J336" i="51"/>
  <c r="I336" i="51"/>
  <c r="H336" i="51"/>
  <c r="G336" i="51"/>
  <c r="F336" i="51"/>
  <c r="E336" i="51"/>
  <c r="D336" i="51"/>
  <c r="M335" i="51"/>
  <c r="L335" i="51"/>
  <c r="K335" i="51"/>
  <c r="J335" i="51"/>
  <c r="I335" i="51"/>
  <c r="H335" i="51"/>
  <c r="G335" i="51"/>
  <c r="F335" i="51"/>
  <c r="E335" i="51"/>
  <c r="D335" i="51"/>
  <c r="M334" i="51"/>
  <c r="L334" i="51"/>
  <c r="K334" i="51"/>
  <c r="J334" i="51"/>
  <c r="I334" i="51"/>
  <c r="H334" i="51"/>
  <c r="G334" i="51"/>
  <c r="F334" i="51"/>
  <c r="E334" i="51"/>
  <c r="D334" i="51"/>
  <c r="M333" i="51"/>
  <c r="L333" i="51"/>
  <c r="K333" i="51"/>
  <c r="J333" i="51"/>
  <c r="I333" i="51"/>
  <c r="H333" i="51"/>
  <c r="G333" i="51"/>
  <c r="F333" i="51"/>
  <c r="E333" i="51"/>
  <c r="D333" i="51"/>
  <c r="M332" i="51"/>
  <c r="L332" i="51"/>
  <c r="K332" i="51"/>
  <c r="J332" i="51"/>
  <c r="I332" i="51"/>
  <c r="H332" i="51"/>
  <c r="G332" i="51"/>
  <c r="F332" i="51"/>
  <c r="E332" i="51"/>
  <c r="D332" i="51"/>
  <c r="M331" i="51"/>
  <c r="L331" i="51"/>
  <c r="K331" i="51"/>
  <c r="J331" i="51"/>
  <c r="I331" i="51"/>
  <c r="H331" i="51"/>
  <c r="G331" i="51"/>
  <c r="F331" i="51"/>
  <c r="E331" i="51"/>
  <c r="D331" i="51"/>
  <c r="M330" i="51"/>
  <c r="L330" i="51"/>
  <c r="K330" i="51"/>
  <c r="J330" i="51"/>
  <c r="I330" i="51"/>
  <c r="H330" i="51"/>
  <c r="G330" i="51"/>
  <c r="F330" i="51"/>
  <c r="E330" i="51"/>
  <c r="D330" i="51"/>
  <c r="M329" i="51"/>
  <c r="L329" i="51"/>
  <c r="K329" i="51"/>
  <c r="J329" i="51"/>
  <c r="I329" i="51"/>
  <c r="H329" i="51"/>
  <c r="G329" i="51"/>
  <c r="F329" i="51"/>
  <c r="E329" i="51"/>
  <c r="D329" i="51"/>
  <c r="M328" i="51"/>
  <c r="L328" i="51"/>
  <c r="K328" i="51"/>
  <c r="J328" i="51"/>
  <c r="I328" i="51"/>
  <c r="H328" i="51"/>
  <c r="G328" i="51"/>
  <c r="F328" i="51"/>
  <c r="E328" i="51"/>
  <c r="D328" i="51"/>
  <c r="M327" i="51"/>
  <c r="L327" i="51"/>
  <c r="K327" i="51"/>
  <c r="J327" i="51"/>
  <c r="I327" i="51"/>
  <c r="H327" i="51"/>
  <c r="G327" i="51"/>
  <c r="F327" i="51"/>
  <c r="E327" i="51"/>
  <c r="D327" i="51"/>
  <c r="M326" i="51"/>
  <c r="L326" i="51"/>
  <c r="K326" i="51"/>
  <c r="J326" i="51"/>
  <c r="I326" i="51"/>
  <c r="H326" i="51"/>
  <c r="G326" i="51"/>
  <c r="F326" i="51"/>
  <c r="E326" i="51"/>
  <c r="D326" i="51"/>
  <c r="M325" i="51"/>
  <c r="L325" i="51"/>
  <c r="K325" i="51"/>
  <c r="J325" i="51"/>
  <c r="I325" i="51"/>
  <c r="H325" i="51"/>
  <c r="G325" i="51"/>
  <c r="F325" i="51"/>
  <c r="E325" i="51"/>
  <c r="D325" i="51"/>
  <c r="M324" i="51"/>
  <c r="L324" i="51"/>
  <c r="K324" i="51"/>
  <c r="J324" i="51"/>
  <c r="I324" i="51"/>
  <c r="H324" i="51"/>
  <c r="G324" i="51"/>
  <c r="F324" i="51"/>
  <c r="E324" i="51"/>
  <c r="D324" i="51"/>
  <c r="M323" i="51"/>
  <c r="L323" i="51"/>
  <c r="K323" i="51"/>
  <c r="J323" i="51"/>
  <c r="I323" i="51"/>
  <c r="H323" i="51"/>
  <c r="G323" i="51"/>
  <c r="F323" i="51"/>
  <c r="E323" i="51"/>
  <c r="D323" i="51"/>
  <c r="M322" i="51"/>
  <c r="L322" i="51"/>
  <c r="K322" i="51"/>
  <c r="J322" i="51"/>
  <c r="I322" i="51"/>
  <c r="H322" i="51"/>
  <c r="G322" i="51"/>
  <c r="F322" i="51"/>
  <c r="E322" i="51"/>
  <c r="D322" i="51"/>
  <c r="M321" i="51"/>
  <c r="L321" i="51"/>
  <c r="K321" i="51"/>
  <c r="J321" i="51"/>
  <c r="I321" i="51"/>
  <c r="H321" i="51"/>
  <c r="G321" i="51"/>
  <c r="F321" i="51"/>
  <c r="E321" i="51"/>
  <c r="D321" i="51"/>
  <c r="M320" i="51"/>
  <c r="L320" i="51"/>
  <c r="K320" i="51"/>
  <c r="J320" i="51"/>
  <c r="I320" i="51"/>
  <c r="H320" i="51"/>
  <c r="G320" i="51"/>
  <c r="F320" i="51"/>
  <c r="E320" i="51"/>
  <c r="D320" i="51"/>
  <c r="M319" i="51"/>
  <c r="L319" i="51"/>
  <c r="K319" i="51"/>
  <c r="J319" i="51"/>
  <c r="I319" i="51"/>
  <c r="H319" i="51"/>
  <c r="G319" i="51"/>
  <c r="F319" i="51"/>
  <c r="E319" i="51"/>
  <c r="D319" i="51"/>
  <c r="M318" i="51"/>
  <c r="L318" i="51"/>
  <c r="K318" i="51"/>
  <c r="J318" i="51"/>
  <c r="I318" i="51"/>
  <c r="H318" i="51"/>
  <c r="G318" i="51"/>
  <c r="F318" i="51"/>
  <c r="E318" i="51"/>
  <c r="D318" i="51"/>
  <c r="M317" i="51"/>
  <c r="L317" i="51"/>
  <c r="K317" i="51"/>
  <c r="J317" i="51"/>
  <c r="I317" i="51"/>
  <c r="H317" i="51"/>
  <c r="G317" i="51"/>
  <c r="F317" i="51"/>
  <c r="E317" i="51"/>
  <c r="D317" i="51"/>
  <c r="M316" i="51"/>
  <c r="L316" i="51"/>
  <c r="K316" i="51"/>
  <c r="J316" i="51"/>
  <c r="I316" i="51"/>
  <c r="H316" i="51"/>
  <c r="G316" i="51"/>
  <c r="F316" i="51"/>
  <c r="E316" i="51"/>
  <c r="D316" i="51"/>
  <c r="M315" i="51"/>
  <c r="L315" i="51"/>
  <c r="K315" i="51"/>
  <c r="J315" i="51"/>
  <c r="I315" i="51"/>
  <c r="H315" i="51"/>
  <c r="G315" i="51"/>
  <c r="F315" i="51"/>
  <c r="E315" i="51"/>
  <c r="D315" i="51"/>
  <c r="M314" i="51"/>
  <c r="L314" i="51"/>
  <c r="K314" i="51"/>
  <c r="J314" i="51"/>
  <c r="I314" i="51"/>
  <c r="H314" i="51"/>
  <c r="G314" i="51"/>
  <c r="F314" i="51"/>
  <c r="E314" i="51"/>
  <c r="D314" i="51"/>
  <c r="M313" i="51"/>
  <c r="L313" i="51"/>
  <c r="K313" i="51"/>
  <c r="J313" i="51"/>
  <c r="I313" i="51"/>
  <c r="H313" i="51"/>
  <c r="G313" i="51"/>
  <c r="F313" i="51"/>
  <c r="E313" i="51"/>
  <c r="D313" i="51"/>
  <c r="M312" i="51"/>
  <c r="L312" i="51"/>
  <c r="K312" i="51"/>
  <c r="J312" i="51"/>
  <c r="I312" i="51"/>
  <c r="H312" i="51"/>
  <c r="G312" i="51"/>
  <c r="F312" i="51"/>
  <c r="E312" i="51"/>
  <c r="D312" i="51"/>
  <c r="M311" i="51"/>
  <c r="L311" i="51"/>
  <c r="K311" i="51"/>
  <c r="J311" i="51"/>
  <c r="I311" i="51"/>
  <c r="H311" i="51"/>
  <c r="G311" i="51"/>
  <c r="F311" i="51"/>
  <c r="E311" i="51"/>
  <c r="D311" i="51"/>
  <c r="M310" i="51"/>
  <c r="L310" i="51"/>
  <c r="K310" i="51"/>
  <c r="J310" i="51"/>
  <c r="I310" i="51"/>
  <c r="H310" i="51"/>
  <c r="G310" i="51"/>
  <c r="F310" i="51"/>
  <c r="E310" i="51"/>
  <c r="D310" i="51"/>
  <c r="M309" i="51"/>
  <c r="L309" i="51"/>
  <c r="K309" i="51"/>
  <c r="J309" i="51"/>
  <c r="I309" i="51"/>
  <c r="H309" i="51"/>
  <c r="G309" i="51"/>
  <c r="F309" i="51"/>
  <c r="E309" i="51"/>
  <c r="D309" i="51"/>
  <c r="M308" i="51"/>
  <c r="L308" i="51"/>
  <c r="K308" i="51"/>
  <c r="J308" i="51"/>
  <c r="I308" i="51"/>
  <c r="H308" i="51"/>
  <c r="G308" i="51"/>
  <c r="F308" i="51"/>
  <c r="E308" i="51"/>
  <c r="D308" i="51"/>
  <c r="M307" i="51"/>
  <c r="L307" i="51"/>
  <c r="K307" i="51"/>
  <c r="J307" i="51"/>
  <c r="I307" i="51"/>
  <c r="H307" i="51"/>
  <c r="G307" i="51"/>
  <c r="F307" i="51"/>
  <c r="E307" i="51"/>
  <c r="D307" i="51"/>
  <c r="M306" i="51"/>
  <c r="L306" i="51"/>
  <c r="K306" i="51"/>
  <c r="J306" i="51"/>
  <c r="I306" i="51"/>
  <c r="H306" i="51"/>
  <c r="G306" i="51"/>
  <c r="F306" i="51"/>
  <c r="E306" i="51"/>
  <c r="D306" i="51"/>
  <c r="M305" i="51"/>
  <c r="L305" i="51"/>
  <c r="K305" i="51"/>
  <c r="J305" i="51"/>
  <c r="I305" i="51"/>
  <c r="H305" i="51"/>
  <c r="G305" i="51"/>
  <c r="F305" i="51"/>
  <c r="E305" i="51"/>
  <c r="D305" i="51"/>
  <c r="M304" i="51"/>
  <c r="L304" i="51"/>
  <c r="K304" i="51"/>
  <c r="J304" i="51"/>
  <c r="I304" i="51"/>
  <c r="H304" i="51"/>
  <c r="G304" i="51"/>
  <c r="F304" i="51"/>
  <c r="E304" i="51"/>
  <c r="D304" i="51"/>
  <c r="M303" i="51"/>
  <c r="L303" i="51"/>
  <c r="K303" i="51"/>
  <c r="J303" i="51"/>
  <c r="I303" i="51"/>
  <c r="H303" i="51"/>
  <c r="G303" i="51"/>
  <c r="F303" i="51"/>
  <c r="E303" i="51"/>
  <c r="D303" i="51"/>
  <c r="M302" i="51"/>
  <c r="L302" i="51"/>
  <c r="K302" i="51"/>
  <c r="J302" i="51"/>
  <c r="I302" i="51"/>
  <c r="H302" i="51"/>
  <c r="G302" i="51"/>
  <c r="F302" i="51"/>
  <c r="E302" i="51"/>
  <c r="D302" i="51"/>
  <c r="M301" i="51"/>
  <c r="L301" i="51"/>
  <c r="K301" i="51"/>
  <c r="J301" i="51"/>
  <c r="I301" i="51"/>
  <c r="H301" i="51"/>
  <c r="G301" i="51"/>
  <c r="F301" i="51"/>
  <c r="E301" i="51"/>
  <c r="D301" i="51"/>
  <c r="M300" i="51"/>
  <c r="L300" i="51"/>
  <c r="K300" i="51"/>
  <c r="J300" i="51"/>
  <c r="I300" i="51"/>
  <c r="H300" i="51"/>
  <c r="G300" i="51"/>
  <c r="F300" i="51"/>
  <c r="E300" i="51"/>
  <c r="D300" i="51"/>
  <c r="M299" i="51"/>
  <c r="L299" i="51"/>
  <c r="K299" i="51"/>
  <c r="J299" i="51"/>
  <c r="I299" i="51"/>
  <c r="H299" i="51"/>
  <c r="G299" i="51"/>
  <c r="F299" i="51"/>
  <c r="E299" i="51"/>
  <c r="D299" i="51"/>
  <c r="M298" i="51"/>
  <c r="L298" i="51"/>
  <c r="K298" i="51"/>
  <c r="J298" i="51"/>
  <c r="I298" i="51"/>
  <c r="H298" i="51"/>
  <c r="G298" i="51"/>
  <c r="F298" i="51"/>
  <c r="E298" i="51"/>
  <c r="D298" i="51"/>
  <c r="M297" i="51"/>
  <c r="L297" i="51"/>
  <c r="K297" i="51"/>
  <c r="J297" i="51"/>
  <c r="I297" i="51"/>
  <c r="H297" i="51"/>
  <c r="G297" i="51"/>
  <c r="F297" i="51"/>
  <c r="E297" i="51"/>
  <c r="D297" i="51"/>
  <c r="M296" i="51"/>
  <c r="L296" i="51"/>
  <c r="K296" i="51"/>
  <c r="J296" i="51"/>
  <c r="I296" i="51"/>
  <c r="H296" i="51"/>
  <c r="G296" i="51"/>
  <c r="F296" i="51"/>
  <c r="E296" i="51"/>
  <c r="D296" i="51"/>
  <c r="M295" i="51"/>
  <c r="L295" i="51"/>
  <c r="K295" i="51"/>
  <c r="J295" i="51"/>
  <c r="I295" i="51"/>
  <c r="H295" i="51"/>
  <c r="G295" i="51"/>
  <c r="F295" i="51"/>
  <c r="E295" i="51"/>
  <c r="D295" i="51"/>
  <c r="M294" i="51"/>
  <c r="L294" i="51"/>
  <c r="K294" i="51"/>
  <c r="J294" i="51"/>
  <c r="I294" i="51"/>
  <c r="H294" i="51"/>
  <c r="G294" i="51"/>
  <c r="F294" i="51"/>
  <c r="E294" i="51"/>
  <c r="D294" i="51"/>
  <c r="M293" i="51"/>
  <c r="L293" i="51"/>
  <c r="K293" i="51"/>
  <c r="J293" i="51"/>
  <c r="I293" i="51"/>
  <c r="H293" i="51"/>
  <c r="G293" i="51"/>
  <c r="F293" i="51"/>
  <c r="E293" i="51"/>
  <c r="D293" i="51"/>
  <c r="M292" i="51"/>
  <c r="L292" i="51"/>
  <c r="K292" i="51"/>
  <c r="J292" i="51"/>
  <c r="I292" i="51"/>
  <c r="H292" i="51"/>
  <c r="G292" i="51"/>
  <c r="F292" i="51"/>
  <c r="E292" i="51"/>
  <c r="D292" i="51"/>
  <c r="M291" i="51"/>
  <c r="L291" i="51"/>
  <c r="K291" i="51"/>
  <c r="J291" i="51"/>
  <c r="I291" i="51"/>
  <c r="H291" i="51"/>
  <c r="G291" i="51"/>
  <c r="F291" i="51"/>
  <c r="E291" i="51"/>
  <c r="D291" i="51"/>
  <c r="M290" i="51"/>
  <c r="L290" i="51"/>
  <c r="K290" i="51"/>
  <c r="J290" i="51"/>
  <c r="I290" i="51"/>
  <c r="H290" i="51"/>
  <c r="G290" i="51"/>
  <c r="F290" i="51"/>
  <c r="E290" i="51"/>
  <c r="D290" i="51"/>
  <c r="M289" i="51"/>
  <c r="L289" i="51"/>
  <c r="K289" i="51"/>
  <c r="J289" i="51"/>
  <c r="I289" i="51"/>
  <c r="H289" i="51"/>
  <c r="G289" i="51"/>
  <c r="F289" i="51"/>
  <c r="E289" i="51"/>
  <c r="D289" i="51"/>
  <c r="M288" i="51"/>
  <c r="L288" i="51"/>
  <c r="K288" i="51"/>
  <c r="J288" i="51"/>
  <c r="I288" i="51"/>
  <c r="H288" i="51"/>
  <c r="G288" i="51"/>
  <c r="F288" i="51"/>
  <c r="E288" i="51"/>
  <c r="D288" i="51"/>
  <c r="M287" i="51"/>
  <c r="L287" i="51"/>
  <c r="K287" i="51"/>
  <c r="J287" i="51"/>
  <c r="I287" i="51"/>
  <c r="H287" i="51"/>
  <c r="G287" i="51"/>
  <c r="F287" i="51"/>
  <c r="E287" i="51"/>
  <c r="D287" i="51"/>
  <c r="M286" i="51"/>
  <c r="L286" i="51"/>
  <c r="K286" i="51"/>
  <c r="J286" i="51"/>
  <c r="I286" i="51"/>
  <c r="H286" i="51"/>
  <c r="G286" i="51"/>
  <c r="F286" i="51"/>
  <c r="E286" i="51"/>
  <c r="D286" i="51"/>
  <c r="M285" i="51"/>
  <c r="L285" i="51"/>
  <c r="K285" i="51"/>
  <c r="J285" i="51"/>
  <c r="I285" i="51"/>
  <c r="H285" i="51"/>
  <c r="G285" i="51"/>
  <c r="F285" i="51"/>
  <c r="E285" i="51"/>
  <c r="D285" i="51"/>
  <c r="M284" i="51"/>
  <c r="L284" i="51"/>
  <c r="K284" i="51"/>
  <c r="J284" i="51"/>
  <c r="I284" i="51"/>
  <c r="H284" i="51"/>
  <c r="G284" i="51"/>
  <c r="F284" i="51"/>
  <c r="E284" i="51"/>
  <c r="D284" i="51"/>
  <c r="M283" i="51"/>
  <c r="L283" i="51"/>
  <c r="K283" i="51"/>
  <c r="J283" i="51"/>
  <c r="I283" i="51"/>
  <c r="H283" i="51"/>
  <c r="G283" i="51"/>
  <c r="F283" i="51"/>
  <c r="E283" i="51"/>
  <c r="D283" i="51"/>
  <c r="M282" i="51"/>
  <c r="L282" i="51"/>
  <c r="K282" i="51"/>
  <c r="J282" i="51"/>
  <c r="I282" i="51"/>
  <c r="H282" i="51"/>
  <c r="G282" i="51"/>
  <c r="F282" i="51"/>
  <c r="E282" i="51"/>
  <c r="D282" i="51"/>
  <c r="M281" i="51"/>
  <c r="L281" i="51"/>
  <c r="K281" i="51"/>
  <c r="J281" i="51"/>
  <c r="I281" i="51"/>
  <c r="H281" i="51"/>
  <c r="G281" i="51"/>
  <c r="F281" i="51"/>
  <c r="E281" i="51"/>
  <c r="D281" i="51"/>
  <c r="M280" i="51"/>
  <c r="L280" i="51"/>
  <c r="K280" i="51"/>
  <c r="J280" i="51"/>
  <c r="I280" i="51"/>
  <c r="H280" i="51"/>
  <c r="G280" i="51"/>
  <c r="F280" i="51"/>
  <c r="E280" i="51"/>
  <c r="D280" i="51"/>
  <c r="M279" i="51"/>
  <c r="L279" i="51"/>
  <c r="K279" i="51"/>
  <c r="J279" i="51"/>
  <c r="I279" i="51"/>
  <c r="H279" i="51"/>
  <c r="G279" i="51"/>
  <c r="F279" i="51"/>
  <c r="E279" i="51"/>
  <c r="D279" i="51"/>
  <c r="M278" i="51"/>
  <c r="L278" i="51"/>
  <c r="K278" i="51"/>
  <c r="J278" i="51"/>
  <c r="I278" i="51"/>
  <c r="H278" i="51"/>
  <c r="G278" i="51"/>
  <c r="F278" i="51"/>
  <c r="E278" i="51"/>
  <c r="D278" i="51"/>
  <c r="M277" i="51"/>
  <c r="L277" i="51"/>
  <c r="K277" i="51"/>
  <c r="J277" i="51"/>
  <c r="I277" i="51"/>
  <c r="H277" i="51"/>
  <c r="G277" i="51"/>
  <c r="F277" i="51"/>
  <c r="E277" i="51"/>
  <c r="D277" i="51"/>
  <c r="M276" i="51"/>
  <c r="L276" i="51"/>
  <c r="K276" i="51"/>
  <c r="J276" i="51"/>
  <c r="I276" i="51"/>
  <c r="H276" i="51"/>
  <c r="G276" i="51"/>
  <c r="F276" i="51"/>
  <c r="E276" i="51"/>
  <c r="D276" i="51"/>
  <c r="M275" i="51"/>
  <c r="L275" i="51"/>
  <c r="K275" i="51"/>
  <c r="J275" i="51"/>
  <c r="I275" i="51"/>
  <c r="H275" i="51"/>
  <c r="G275" i="51"/>
  <c r="F275" i="51"/>
  <c r="E275" i="51"/>
  <c r="D275" i="51"/>
  <c r="M274" i="51"/>
  <c r="L274" i="51"/>
  <c r="K274" i="51"/>
  <c r="J274" i="51"/>
  <c r="I274" i="51"/>
  <c r="H274" i="51"/>
  <c r="G274" i="51"/>
  <c r="F274" i="51"/>
  <c r="E274" i="51"/>
  <c r="D274" i="51"/>
  <c r="M273" i="51"/>
  <c r="L273" i="51"/>
  <c r="K273" i="51"/>
  <c r="J273" i="51"/>
  <c r="I273" i="51"/>
  <c r="H273" i="51"/>
  <c r="G273" i="51"/>
  <c r="F273" i="51"/>
  <c r="E273" i="51"/>
  <c r="D273" i="51"/>
  <c r="M272" i="51"/>
  <c r="L272" i="51"/>
  <c r="K272" i="51"/>
  <c r="J272" i="51"/>
  <c r="I272" i="51"/>
  <c r="H272" i="51"/>
  <c r="G272" i="51"/>
  <c r="F272" i="51"/>
  <c r="E272" i="51"/>
  <c r="D272" i="51"/>
  <c r="M271" i="51"/>
  <c r="L271" i="51"/>
  <c r="K271" i="51"/>
  <c r="J271" i="51"/>
  <c r="I271" i="51"/>
  <c r="H271" i="51"/>
  <c r="G271" i="51"/>
  <c r="F271" i="51"/>
  <c r="E271" i="51"/>
  <c r="D271" i="51"/>
  <c r="M270" i="51"/>
  <c r="L270" i="51"/>
  <c r="K270" i="51"/>
  <c r="J270" i="51"/>
  <c r="I270" i="51"/>
  <c r="H270" i="51"/>
  <c r="G270" i="51"/>
  <c r="F270" i="51"/>
  <c r="E270" i="51"/>
  <c r="D270" i="51"/>
  <c r="M269" i="51"/>
  <c r="L269" i="51"/>
  <c r="K269" i="51"/>
  <c r="J269" i="51"/>
  <c r="I269" i="51"/>
  <c r="H269" i="51"/>
  <c r="G269" i="51"/>
  <c r="F269" i="51"/>
  <c r="E269" i="51"/>
  <c r="D269" i="51"/>
  <c r="M268" i="51"/>
  <c r="L268" i="51"/>
  <c r="K268" i="51"/>
  <c r="J268" i="51"/>
  <c r="I268" i="51"/>
  <c r="H268" i="51"/>
  <c r="G268" i="51"/>
  <c r="F268" i="51"/>
  <c r="E268" i="51"/>
  <c r="D268" i="51"/>
  <c r="M267" i="51"/>
  <c r="L267" i="51"/>
  <c r="K267" i="51"/>
  <c r="J267" i="51"/>
  <c r="I267" i="51"/>
  <c r="H267" i="51"/>
  <c r="G267" i="51"/>
  <c r="F267" i="51"/>
  <c r="E267" i="51"/>
  <c r="D267" i="51"/>
  <c r="M266" i="51"/>
  <c r="L266" i="51"/>
  <c r="K266" i="51"/>
  <c r="J266" i="51"/>
  <c r="I266" i="51"/>
  <c r="H266" i="51"/>
  <c r="G266" i="51"/>
  <c r="F266" i="51"/>
  <c r="E266" i="51"/>
  <c r="D266" i="51"/>
  <c r="M265" i="51"/>
  <c r="L265" i="51"/>
  <c r="K265" i="51"/>
  <c r="J265" i="51"/>
  <c r="I265" i="51"/>
  <c r="H265" i="51"/>
  <c r="G265" i="51"/>
  <c r="F265" i="51"/>
  <c r="E265" i="51"/>
  <c r="D265" i="51"/>
  <c r="M264" i="51"/>
  <c r="L264" i="51"/>
  <c r="K264" i="51"/>
  <c r="J264" i="51"/>
  <c r="I264" i="51"/>
  <c r="H264" i="51"/>
  <c r="G264" i="51"/>
  <c r="F264" i="51"/>
  <c r="E264" i="51"/>
  <c r="D264" i="51"/>
  <c r="M263" i="51"/>
  <c r="L263" i="51"/>
  <c r="K263" i="51"/>
  <c r="J263" i="51"/>
  <c r="I263" i="51"/>
  <c r="H263" i="51"/>
  <c r="G263" i="51"/>
  <c r="F263" i="51"/>
  <c r="E263" i="51"/>
  <c r="D263" i="51"/>
  <c r="M262" i="51"/>
  <c r="L262" i="51"/>
  <c r="K262" i="51"/>
  <c r="J262" i="51"/>
  <c r="I262" i="51"/>
  <c r="H262" i="51"/>
  <c r="G262" i="51"/>
  <c r="F262" i="51"/>
  <c r="E262" i="51"/>
  <c r="D262" i="51"/>
  <c r="M261" i="51"/>
  <c r="L261" i="51"/>
  <c r="K261" i="51"/>
  <c r="J261" i="51"/>
  <c r="I261" i="51"/>
  <c r="H261" i="51"/>
  <c r="G261" i="51"/>
  <c r="F261" i="51"/>
  <c r="E261" i="51"/>
  <c r="D261" i="51"/>
  <c r="M260" i="51"/>
  <c r="L260" i="51"/>
  <c r="K260" i="51"/>
  <c r="J260" i="51"/>
  <c r="I260" i="51"/>
  <c r="H260" i="51"/>
  <c r="G260" i="51"/>
  <c r="F260" i="51"/>
  <c r="E260" i="51"/>
  <c r="D260" i="51"/>
  <c r="M259" i="51"/>
  <c r="L259" i="51"/>
  <c r="K259" i="51"/>
  <c r="J259" i="51"/>
  <c r="I259" i="51"/>
  <c r="H259" i="51"/>
  <c r="G259" i="51"/>
  <c r="F259" i="51"/>
  <c r="E259" i="51"/>
  <c r="D259" i="51"/>
  <c r="M258" i="51"/>
  <c r="L258" i="51"/>
  <c r="K258" i="51"/>
  <c r="J258" i="51"/>
  <c r="I258" i="51"/>
  <c r="H258" i="51"/>
  <c r="G258" i="51"/>
  <c r="F258" i="51"/>
  <c r="E258" i="51"/>
  <c r="D258" i="51"/>
  <c r="M257" i="51"/>
  <c r="L257" i="51"/>
  <c r="K257" i="51"/>
  <c r="J257" i="51"/>
  <c r="I257" i="51"/>
  <c r="H257" i="51"/>
  <c r="G257" i="51"/>
  <c r="F257" i="51"/>
  <c r="E257" i="51"/>
  <c r="D257" i="51"/>
  <c r="M256" i="51"/>
  <c r="L256" i="51"/>
  <c r="K256" i="51"/>
  <c r="J256" i="51"/>
  <c r="I256" i="51"/>
  <c r="H256" i="51"/>
  <c r="G256" i="51"/>
  <c r="F256" i="51"/>
  <c r="E256" i="51"/>
  <c r="D256" i="51"/>
  <c r="M255" i="51"/>
  <c r="L255" i="51"/>
  <c r="K255" i="51"/>
  <c r="J255" i="51"/>
  <c r="I255" i="51"/>
  <c r="H255" i="51"/>
  <c r="G255" i="51"/>
  <c r="F255" i="51"/>
  <c r="E255" i="51"/>
  <c r="D255" i="51"/>
  <c r="M254" i="51"/>
  <c r="L254" i="51"/>
  <c r="K254" i="51"/>
  <c r="J254" i="51"/>
  <c r="I254" i="51"/>
  <c r="H254" i="51"/>
  <c r="G254" i="51"/>
  <c r="F254" i="51"/>
  <c r="E254" i="51"/>
  <c r="D254" i="51"/>
  <c r="M253" i="51"/>
  <c r="L253" i="51"/>
  <c r="K253" i="51"/>
  <c r="J253" i="51"/>
  <c r="I253" i="51"/>
  <c r="H253" i="51"/>
  <c r="G253" i="51"/>
  <c r="F253" i="51"/>
  <c r="E253" i="51"/>
  <c r="D253" i="51"/>
  <c r="M252" i="51"/>
  <c r="L252" i="51"/>
  <c r="K252" i="51"/>
  <c r="J252" i="51"/>
  <c r="I252" i="51"/>
  <c r="H252" i="51"/>
  <c r="G252" i="51"/>
  <c r="F252" i="51"/>
  <c r="E252" i="51"/>
  <c r="D252" i="51"/>
  <c r="M251" i="51"/>
  <c r="L251" i="51"/>
  <c r="K251" i="51"/>
  <c r="J251" i="51"/>
  <c r="I251" i="51"/>
  <c r="H251" i="51"/>
  <c r="G251" i="51"/>
  <c r="F251" i="51"/>
  <c r="E251" i="51"/>
  <c r="D251" i="51"/>
  <c r="M250" i="51"/>
  <c r="L250" i="51"/>
  <c r="K250" i="51"/>
  <c r="J250" i="51"/>
  <c r="I250" i="51"/>
  <c r="H250" i="51"/>
  <c r="G250" i="51"/>
  <c r="F250" i="51"/>
  <c r="E250" i="51"/>
  <c r="D250" i="51"/>
  <c r="M249" i="51"/>
  <c r="L249" i="51"/>
  <c r="K249" i="51"/>
  <c r="J249" i="51"/>
  <c r="I249" i="51"/>
  <c r="H249" i="51"/>
  <c r="G249" i="51"/>
  <c r="F249" i="51"/>
  <c r="E249" i="51"/>
  <c r="D249" i="51"/>
  <c r="M248" i="51"/>
  <c r="L248" i="51"/>
  <c r="K248" i="51"/>
  <c r="J248" i="51"/>
  <c r="I248" i="51"/>
  <c r="H248" i="51"/>
  <c r="G248" i="51"/>
  <c r="F248" i="51"/>
  <c r="E248" i="51"/>
  <c r="D248" i="51"/>
  <c r="M247" i="51"/>
  <c r="L247" i="51"/>
  <c r="K247" i="51"/>
  <c r="J247" i="51"/>
  <c r="I247" i="51"/>
  <c r="H247" i="51"/>
  <c r="G247" i="51"/>
  <c r="F247" i="51"/>
  <c r="E247" i="51"/>
  <c r="D247" i="51"/>
  <c r="M246" i="51"/>
  <c r="L246" i="51"/>
  <c r="K246" i="51"/>
  <c r="J246" i="51"/>
  <c r="I246" i="51"/>
  <c r="H246" i="51"/>
  <c r="G246" i="51"/>
  <c r="F246" i="51"/>
  <c r="E246" i="51"/>
  <c r="D246" i="51"/>
  <c r="M245" i="51"/>
  <c r="L245" i="51"/>
  <c r="K245" i="51"/>
  <c r="J245" i="51"/>
  <c r="I245" i="51"/>
  <c r="H245" i="51"/>
  <c r="G245" i="51"/>
  <c r="F245" i="51"/>
  <c r="E245" i="51"/>
  <c r="D245" i="51"/>
  <c r="M244" i="51"/>
  <c r="L244" i="51"/>
  <c r="K244" i="51"/>
  <c r="J244" i="51"/>
  <c r="I244" i="51"/>
  <c r="H244" i="51"/>
  <c r="G244" i="51"/>
  <c r="F244" i="51"/>
  <c r="E244" i="51"/>
  <c r="D244" i="51"/>
  <c r="M243" i="51"/>
  <c r="L243" i="51"/>
  <c r="K243" i="51"/>
  <c r="J243" i="51"/>
  <c r="I243" i="51"/>
  <c r="H243" i="51"/>
  <c r="G243" i="51"/>
  <c r="F243" i="51"/>
  <c r="E243" i="51"/>
  <c r="D243" i="51"/>
  <c r="M242" i="51"/>
  <c r="L242" i="51"/>
  <c r="K242" i="51"/>
  <c r="J242" i="51"/>
  <c r="I242" i="51"/>
  <c r="H242" i="51"/>
  <c r="G242" i="51"/>
  <c r="F242" i="51"/>
  <c r="E242" i="51"/>
  <c r="D242" i="51"/>
  <c r="M241" i="51"/>
  <c r="L241" i="51"/>
  <c r="K241" i="51"/>
  <c r="J241" i="51"/>
  <c r="I241" i="51"/>
  <c r="H241" i="51"/>
  <c r="G241" i="51"/>
  <c r="F241" i="51"/>
  <c r="E241" i="51"/>
  <c r="D241" i="51"/>
  <c r="M240" i="51"/>
  <c r="L240" i="51"/>
  <c r="K240" i="51"/>
  <c r="J240" i="51"/>
  <c r="I240" i="51"/>
  <c r="H240" i="51"/>
  <c r="G240" i="51"/>
  <c r="F240" i="51"/>
  <c r="E240" i="51"/>
  <c r="D240" i="51"/>
  <c r="M239" i="51"/>
  <c r="L239" i="51"/>
  <c r="K239" i="51"/>
  <c r="J239" i="51"/>
  <c r="I239" i="51"/>
  <c r="H239" i="51"/>
  <c r="G239" i="51"/>
  <c r="F239" i="51"/>
  <c r="E239" i="51"/>
  <c r="D239" i="51"/>
  <c r="M238" i="51"/>
  <c r="L238" i="51"/>
  <c r="K238" i="51"/>
  <c r="J238" i="51"/>
  <c r="I238" i="51"/>
  <c r="H238" i="51"/>
  <c r="G238" i="51"/>
  <c r="F238" i="51"/>
  <c r="E238" i="51"/>
  <c r="D238" i="51"/>
  <c r="M237" i="51"/>
  <c r="L237" i="51"/>
  <c r="K237" i="51"/>
  <c r="J237" i="51"/>
  <c r="I237" i="51"/>
  <c r="H237" i="51"/>
  <c r="G237" i="51"/>
  <c r="F237" i="51"/>
  <c r="E237" i="51"/>
  <c r="D237" i="51"/>
  <c r="M236" i="51"/>
  <c r="L236" i="51"/>
  <c r="K236" i="51"/>
  <c r="J236" i="51"/>
  <c r="I236" i="51"/>
  <c r="H236" i="51"/>
  <c r="G236" i="51"/>
  <c r="F236" i="51"/>
  <c r="E236" i="51"/>
  <c r="D236" i="51"/>
  <c r="M235" i="51"/>
  <c r="L235" i="51"/>
  <c r="K235" i="51"/>
  <c r="J235" i="51"/>
  <c r="I235" i="51"/>
  <c r="H235" i="51"/>
  <c r="G235" i="51"/>
  <c r="F235" i="51"/>
  <c r="E235" i="51"/>
  <c r="D235" i="51"/>
  <c r="M234" i="51"/>
  <c r="L234" i="51"/>
  <c r="K234" i="51"/>
  <c r="J234" i="51"/>
  <c r="I234" i="51"/>
  <c r="H234" i="51"/>
  <c r="G234" i="51"/>
  <c r="F234" i="51"/>
  <c r="E234" i="51"/>
  <c r="D234" i="51"/>
  <c r="M233" i="51"/>
  <c r="L233" i="51"/>
  <c r="K233" i="51"/>
  <c r="J233" i="51"/>
  <c r="I233" i="51"/>
  <c r="H233" i="51"/>
  <c r="G233" i="51"/>
  <c r="F233" i="51"/>
  <c r="E233" i="51"/>
  <c r="D233" i="51"/>
  <c r="M232" i="51"/>
  <c r="L232" i="51"/>
  <c r="K232" i="51"/>
  <c r="J232" i="51"/>
  <c r="I232" i="51"/>
  <c r="H232" i="51"/>
  <c r="G232" i="51"/>
  <c r="F232" i="51"/>
  <c r="E232" i="51"/>
  <c r="D232" i="51"/>
  <c r="M231" i="51"/>
  <c r="L231" i="51"/>
  <c r="K231" i="51"/>
  <c r="J231" i="51"/>
  <c r="I231" i="51"/>
  <c r="H231" i="51"/>
  <c r="G231" i="51"/>
  <c r="F231" i="51"/>
  <c r="E231" i="51"/>
  <c r="D231" i="51"/>
  <c r="M230" i="51"/>
  <c r="L230" i="51"/>
  <c r="K230" i="51"/>
  <c r="J230" i="51"/>
  <c r="I230" i="51"/>
  <c r="H230" i="51"/>
  <c r="G230" i="51"/>
  <c r="F230" i="51"/>
  <c r="E230" i="51"/>
  <c r="D230" i="51"/>
  <c r="M229" i="51"/>
  <c r="L229" i="51"/>
  <c r="K229" i="51"/>
  <c r="J229" i="51"/>
  <c r="I229" i="51"/>
  <c r="H229" i="51"/>
  <c r="G229" i="51"/>
  <c r="F229" i="51"/>
  <c r="E229" i="51"/>
  <c r="D229" i="51"/>
  <c r="M228" i="51"/>
  <c r="L228" i="51"/>
  <c r="K228" i="51"/>
  <c r="J228" i="51"/>
  <c r="I228" i="51"/>
  <c r="H228" i="51"/>
  <c r="G228" i="51"/>
  <c r="F228" i="51"/>
  <c r="E228" i="51"/>
  <c r="D228" i="51"/>
  <c r="M227" i="51"/>
  <c r="L227" i="51"/>
  <c r="K227" i="51"/>
  <c r="J227" i="51"/>
  <c r="I227" i="51"/>
  <c r="H227" i="51"/>
  <c r="G227" i="51"/>
  <c r="F227" i="51"/>
  <c r="E227" i="51"/>
  <c r="D227" i="51"/>
  <c r="M226" i="51"/>
  <c r="L226" i="51"/>
  <c r="K226" i="51"/>
  <c r="J226" i="51"/>
  <c r="I226" i="51"/>
  <c r="H226" i="51"/>
  <c r="G226" i="51"/>
  <c r="F226" i="51"/>
  <c r="E226" i="51"/>
  <c r="D226" i="51"/>
  <c r="M225" i="51"/>
  <c r="L225" i="51"/>
  <c r="K225" i="51"/>
  <c r="J225" i="51"/>
  <c r="I225" i="51"/>
  <c r="H225" i="51"/>
  <c r="G225" i="51"/>
  <c r="F225" i="51"/>
  <c r="E225" i="51"/>
  <c r="D225" i="51"/>
  <c r="M224" i="51"/>
  <c r="L224" i="51"/>
  <c r="K224" i="51"/>
  <c r="J224" i="51"/>
  <c r="I224" i="51"/>
  <c r="H224" i="51"/>
  <c r="G224" i="51"/>
  <c r="F224" i="51"/>
  <c r="E224" i="51"/>
  <c r="D224" i="51"/>
  <c r="M223" i="51"/>
  <c r="L223" i="51"/>
  <c r="K223" i="51"/>
  <c r="J223" i="51"/>
  <c r="I223" i="51"/>
  <c r="H223" i="51"/>
  <c r="G223" i="51"/>
  <c r="F223" i="51"/>
  <c r="E223" i="51"/>
  <c r="D223" i="51"/>
  <c r="D222" i="51"/>
  <c r="E222" i="51" s="1"/>
  <c r="D221" i="51"/>
  <c r="E221" i="51" s="1"/>
  <c r="D220" i="51"/>
  <c r="L220" i="51" s="1"/>
  <c r="D219" i="51"/>
  <c r="L219" i="51" s="1"/>
  <c r="D218" i="51"/>
  <c r="L218" i="51" s="1"/>
  <c r="D217" i="51"/>
  <c r="E217" i="51" s="1"/>
  <c r="D216" i="51"/>
  <c r="L216" i="51" s="1"/>
  <c r="D215" i="51"/>
  <c r="E215" i="51" s="1"/>
  <c r="D214" i="51"/>
  <c r="E214" i="51" s="1"/>
  <c r="D213" i="51"/>
  <c r="L213" i="51" s="1"/>
  <c r="D212" i="51"/>
  <c r="L212" i="51" s="1"/>
  <c r="D211" i="51"/>
  <c r="E211" i="51" s="1"/>
  <c r="D210" i="51"/>
  <c r="L210" i="51" s="1"/>
  <c r="D209" i="51"/>
  <c r="L209" i="51" s="1"/>
  <c r="D208" i="51"/>
  <c r="L208" i="51" s="1"/>
  <c r="D207" i="51"/>
  <c r="L207" i="51" s="1"/>
  <c r="L206" i="51"/>
  <c r="D206" i="51"/>
  <c r="L205" i="51"/>
  <c r="D205" i="51"/>
  <c r="D204" i="51"/>
  <c r="E204" i="51" s="1"/>
  <c r="D203" i="51"/>
  <c r="E203" i="51" s="1"/>
  <c r="D202" i="51"/>
  <c r="E202" i="51" s="1"/>
  <c r="D201" i="51"/>
  <c r="L201" i="51" s="1"/>
  <c r="D200" i="51"/>
  <c r="E200" i="51" s="1"/>
  <c r="D199" i="51"/>
  <c r="E199" i="51" s="1"/>
  <c r="D198" i="51"/>
  <c r="E198" i="51" s="1"/>
  <c r="D197" i="51"/>
  <c r="L197" i="51" s="1"/>
  <c r="D196" i="51"/>
  <c r="E196" i="51" s="1"/>
  <c r="D195" i="51"/>
  <c r="L195" i="51" s="1"/>
  <c r="L194" i="51"/>
  <c r="D194" i="51"/>
  <c r="D193" i="51"/>
  <c r="E193" i="51" s="1"/>
  <c r="L192" i="51"/>
  <c r="D192" i="51"/>
  <c r="D191" i="51"/>
  <c r="L191" i="51" s="1"/>
  <c r="D190" i="51"/>
  <c r="L190" i="51" s="1"/>
  <c r="D189" i="51"/>
  <c r="L189" i="51" s="1"/>
  <c r="D188" i="51"/>
  <c r="L188" i="51" s="1"/>
  <c r="M188" i="51" s="1"/>
  <c r="N188" i="51" s="1"/>
  <c r="D187" i="51"/>
  <c r="E187" i="51" s="1"/>
  <c r="D186" i="51"/>
  <c r="L186" i="51" s="1"/>
  <c r="L185" i="51"/>
  <c r="D185" i="51"/>
  <c r="D184" i="51"/>
  <c r="L184" i="51" s="1"/>
  <c r="D183" i="51"/>
  <c r="L183" i="51" s="1"/>
  <c r="D182" i="51"/>
  <c r="L182" i="51" s="1"/>
  <c r="D181" i="51"/>
  <c r="E181" i="51" s="1"/>
  <c r="D180" i="51"/>
  <c r="L180" i="51" s="1"/>
  <c r="D179" i="51"/>
  <c r="L179" i="51" s="1"/>
  <c r="D178" i="51"/>
  <c r="L178" i="51" s="1"/>
  <c r="D177" i="51"/>
  <c r="E177" i="51" s="1"/>
  <c r="D176" i="51"/>
  <c r="E176" i="51" s="1"/>
  <c r="D175" i="51"/>
  <c r="L175" i="51" s="1"/>
  <c r="D174" i="51"/>
  <c r="L174" i="51" s="1"/>
  <c r="D173" i="51"/>
  <c r="L173" i="51" s="1"/>
  <c r="D172" i="51"/>
  <c r="L172" i="51" s="1"/>
  <c r="D171" i="51"/>
  <c r="E171" i="51" s="1"/>
  <c r="D170" i="51"/>
  <c r="L170" i="51" s="1"/>
  <c r="D169" i="51"/>
  <c r="L169" i="51" s="1"/>
  <c r="D168" i="51"/>
  <c r="L168" i="51" s="1"/>
  <c r="D167" i="51"/>
  <c r="L167" i="51" s="1"/>
  <c r="D166" i="51"/>
  <c r="L166" i="51" s="1"/>
  <c r="D165" i="51"/>
  <c r="E165" i="51" s="1"/>
  <c r="D164" i="51"/>
  <c r="L164" i="51" s="1"/>
  <c r="D163" i="51"/>
  <c r="L163" i="51" s="1"/>
  <c r="D162" i="51"/>
  <c r="L162" i="51" s="1"/>
  <c r="M162" i="51" s="1"/>
  <c r="D161" i="51"/>
  <c r="L161" i="51" s="1"/>
  <c r="D160" i="51"/>
  <c r="L160" i="51" s="1"/>
  <c r="D159" i="51"/>
  <c r="L159" i="51" s="1"/>
  <c r="D158" i="51"/>
  <c r="L158" i="51" s="1"/>
  <c r="D157" i="51"/>
  <c r="L157" i="51" s="1"/>
  <c r="D156" i="51"/>
  <c r="L156" i="51" s="1"/>
  <c r="D155" i="51"/>
  <c r="E155" i="51" s="1"/>
  <c r="D154" i="51"/>
  <c r="E154" i="51" s="1"/>
  <c r="D153" i="51"/>
  <c r="L153" i="51" s="1"/>
  <c r="D152" i="51"/>
  <c r="L152" i="51" s="1"/>
  <c r="D151" i="51"/>
  <c r="L151" i="51" s="1"/>
  <c r="L150" i="51"/>
  <c r="M150" i="51" s="1"/>
  <c r="N150" i="51" s="1"/>
  <c r="D150" i="51"/>
  <c r="E150" i="51" s="1"/>
  <c r="D149" i="51"/>
  <c r="L149" i="51" s="1"/>
  <c r="D148" i="51"/>
  <c r="L148" i="51" s="1"/>
  <c r="D147" i="51"/>
  <c r="E147" i="51" s="1"/>
  <c r="D146" i="51"/>
  <c r="E146" i="51" s="1"/>
  <c r="D145" i="51"/>
  <c r="E145" i="51" s="1"/>
  <c r="D144" i="51"/>
  <c r="L144" i="51" s="1"/>
  <c r="D143" i="51"/>
  <c r="L143" i="51" s="1"/>
  <c r="M143" i="51" s="1"/>
  <c r="N143" i="51" s="1"/>
  <c r="D142" i="51"/>
  <c r="E142" i="51" s="1"/>
  <c r="D141" i="51"/>
  <c r="E141" i="51" s="1"/>
  <c r="D140" i="51"/>
  <c r="L140" i="51" s="1"/>
  <c r="D139" i="51"/>
  <c r="L139" i="51" s="1"/>
  <c r="L138" i="51"/>
  <c r="M138" i="51" s="1"/>
  <c r="N138" i="51" s="1"/>
  <c r="D138" i="51"/>
  <c r="E138" i="51" s="1"/>
  <c r="D137" i="51"/>
  <c r="L137" i="51" s="1"/>
  <c r="D136" i="51"/>
  <c r="L136" i="51" s="1"/>
  <c r="D135" i="51"/>
  <c r="E135" i="51" s="1"/>
  <c r="D134" i="51"/>
  <c r="E134" i="51" s="1"/>
  <c r="D133" i="51"/>
  <c r="L133" i="51" s="1"/>
  <c r="D132" i="51"/>
  <c r="L132" i="51" s="1"/>
  <c r="D131" i="51"/>
  <c r="E131" i="51" s="1"/>
  <c r="D130" i="51"/>
  <c r="E130" i="51" s="1"/>
  <c r="D129" i="51"/>
  <c r="E129" i="51" s="1"/>
  <c r="D128" i="51"/>
  <c r="L128" i="51" s="1"/>
  <c r="D127" i="51"/>
  <c r="L127" i="51" s="1"/>
  <c r="L126" i="51"/>
  <c r="D126" i="51"/>
  <c r="L125" i="51"/>
  <c r="D125" i="51"/>
  <c r="D124" i="51"/>
  <c r="L124" i="51" s="1"/>
  <c r="D123" i="51"/>
  <c r="L123" i="51" s="1"/>
  <c r="D122" i="51"/>
  <c r="L122" i="51" s="1"/>
  <c r="D121" i="51"/>
  <c r="L121" i="51" s="1"/>
  <c r="D120" i="51"/>
  <c r="L120" i="51" s="1"/>
  <c r="D119" i="51"/>
  <c r="E119" i="51" s="1"/>
  <c r="D118" i="51"/>
  <c r="L118" i="51" s="1"/>
  <c r="D117" i="51"/>
  <c r="L117" i="51" s="1"/>
  <c r="D116" i="51"/>
  <c r="L116" i="51" s="1"/>
  <c r="L115" i="51"/>
  <c r="D115" i="51"/>
  <c r="D114" i="51"/>
  <c r="L114" i="51" s="1"/>
  <c r="D113" i="51"/>
  <c r="L113" i="51" s="1"/>
  <c r="D112" i="51"/>
  <c r="L112" i="51" s="1"/>
  <c r="D111" i="51"/>
  <c r="L111" i="51" s="1"/>
  <c r="D110" i="51"/>
  <c r="E110" i="51" s="1"/>
  <c r="D109" i="51"/>
  <c r="L109" i="51" s="1"/>
  <c r="D108" i="51"/>
  <c r="L108" i="51" s="1"/>
  <c r="D107" i="51"/>
  <c r="E107" i="51" s="1"/>
  <c r="D106" i="51"/>
  <c r="L106" i="51" s="1"/>
  <c r="D105" i="51"/>
  <c r="L105" i="51" s="1"/>
  <c r="D104" i="51"/>
  <c r="L104" i="51" s="1"/>
  <c r="D103" i="51"/>
  <c r="E103" i="51" s="1"/>
  <c r="D102" i="51"/>
  <c r="L102" i="51" s="1"/>
  <c r="L101" i="51"/>
  <c r="D101" i="51"/>
  <c r="E101" i="51" s="1"/>
  <c r="D100" i="51"/>
  <c r="L100" i="51" s="1"/>
  <c r="D99" i="51"/>
  <c r="L99" i="51" s="1"/>
  <c r="D98" i="51"/>
  <c r="L98" i="51" s="1"/>
  <c r="D97" i="51"/>
  <c r="L97" i="51" s="1"/>
  <c r="D96" i="51"/>
  <c r="L96" i="51" s="1"/>
  <c r="D95" i="51"/>
  <c r="E95" i="51" s="1"/>
  <c r="D94" i="51"/>
  <c r="L94" i="51" s="1"/>
  <c r="D93" i="51"/>
  <c r="L93" i="51" s="1"/>
  <c r="D92" i="51"/>
  <c r="E92" i="51" s="1"/>
  <c r="D91" i="51"/>
  <c r="E91" i="51" s="1"/>
  <c r="L90" i="51"/>
  <c r="M90" i="51" s="1"/>
  <c r="D90" i="51"/>
  <c r="D89" i="51"/>
  <c r="L89" i="51" s="1"/>
  <c r="D88" i="51"/>
  <c r="L88" i="51" s="1"/>
  <c r="M88" i="51" s="1"/>
  <c r="D87" i="51"/>
  <c r="L87" i="51" s="1"/>
  <c r="D86" i="51"/>
  <c r="E86" i="51" s="1"/>
  <c r="D85" i="51"/>
  <c r="L85" i="51" s="1"/>
  <c r="D84" i="51"/>
  <c r="L84" i="51" s="1"/>
  <c r="D83" i="51"/>
  <c r="L83" i="51" s="1"/>
  <c r="D82" i="51"/>
  <c r="E82" i="51" s="1"/>
  <c r="D81" i="51"/>
  <c r="L81" i="51" s="1"/>
  <c r="D80" i="51"/>
  <c r="E80" i="51" s="1"/>
  <c r="D79" i="51"/>
  <c r="E79" i="51" s="1"/>
  <c r="D78" i="51"/>
  <c r="L78" i="51" s="1"/>
  <c r="M78" i="51" s="1"/>
  <c r="D77" i="51"/>
  <c r="L77" i="51" s="1"/>
  <c r="D76" i="51"/>
  <c r="L76" i="51" s="1"/>
  <c r="D75" i="51"/>
  <c r="E75" i="51" s="1"/>
  <c r="D74" i="51"/>
  <c r="E74" i="51" s="1"/>
  <c r="D73" i="51"/>
  <c r="L73" i="51" s="1"/>
  <c r="D72" i="51"/>
  <c r="L72" i="51" s="1"/>
  <c r="D71" i="51"/>
  <c r="L71" i="51" s="1"/>
  <c r="D70" i="51"/>
  <c r="E70" i="51" s="1"/>
  <c r="D69" i="51"/>
  <c r="L69" i="51" s="1"/>
  <c r="D68" i="51"/>
  <c r="E68" i="51" s="1"/>
  <c r="D67" i="51"/>
  <c r="E67" i="51" s="1"/>
  <c r="D66" i="51"/>
  <c r="L66" i="51" s="1"/>
  <c r="D65" i="51"/>
  <c r="L65" i="51" s="1"/>
  <c r="D64" i="51"/>
  <c r="E64" i="51" s="1"/>
  <c r="D63" i="51"/>
  <c r="L63" i="51" s="1"/>
  <c r="D62" i="51"/>
  <c r="E62" i="51" s="1"/>
  <c r="D61" i="51"/>
  <c r="E61" i="51" s="1"/>
  <c r="D60" i="51"/>
  <c r="L60" i="51" s="1"/>
  <c r="D59" i="51"/>
  <c r="L59" i="51" s="1"/>
  <c r="D58" i="51"/>
  <c r="E58" i="51" s="1"/>
  <c r="D57" i="51"/>
  <c r="L57" i="51" s="1"/>
  <c r="D56" i="51"/>
  <c r="L56" i="51" s="1"/>
  <c r="D55" i="51"/>
  <c r="E55" i="51" s="1"/>
  <c r="D54" i="51"/>
  <c r="L54" i="51" s="1"/>
  <c r="L53" i="51"/>
  <c r="D53" i="51"/>
  <c r="D52" i="51"/>
  <c r="L52" i="51" s="1"/>
  <c r="D51" i="51"/>
  <c r="E51" i="51" s="1"/>
  <c r="D50" i="51"/>
  <c r="L50" i="51" s="1"/>
  <c r="D49" i="51"/>
  <c r="E49" i="51" s="1"/>
  <c r="D48" i="51"/>
  <c r="E48" i="51" s="1"/>
  <c r="D47" i="51"/>
  <c r="L47" i="51" s="1"/>
  <c r="D46" i="51"/>
  <c r="E46" i="51" s="1"/>
  <c r="D45" i="51"/>
  <c r="L45" i="51" s="1"/>
  <c r="D44" i="51"/>
  <c r="E44" i="51" s="1"/>
  <c r="D43" i="51"/>
  <c r="L43" i="51" s="1"/>
  <c r="D42" i="51"/>
  <c r="E42" i="51" s="1"/>
  <c r="D41" i="51"/>
  <c r="L41" i="51" s="1"/>
  <c r="D40" i="51"/>
  <c r="L40" i="51" s="1"/>
  <c r="D39" i="51"/>
  <c r="E39" i="51" s="1"/>
  <c r="D38" i="51"/>
  <c r="L38" i="51" s="1"/>
  <c r="D37" i="51"/>
  <c r="L37" i="51" s="1"/>
  <c r="D36" i="51"/>
  <c r="L36" i="51" s="1"/>
  <c r="D35" i="51"/>
  <c r="E35" i="51" s="1"/>
  <c r="D34" i="51"/>
  <c r="E34" i="51" s="1"/>
  <c r="D33" i="51"/>
  <c r="L33" i="51" s="1"/>
  <c r="D32" i="51"/>
  <c r="L32" i="51" s="1"/>
  <c r="M32" i="51" s="1"/>
  <c r="N32" i="51" s="1"/>
  <c r="D31" i="51"/>
  <c r="L31" i="51" s="1"/>
  <c r="D30" i="51"/>
  <c r="E30" i="51" s="1"/>
  <c r="D29" i="51"/>
  <c r="L29" i="51" s="1"/>
  <c r="L28" i="51"/>
  <c r="D28" i="51"/>
  <c r="E28" i="51" s="1"/>
  <c r="L27" i="51"/>
  <c r="D27" i="51"/>
  <c r="L26" i="51"/>
  <c r="D26" i="51"/>
  <c r="E26" i="51" s="1"/>
  <c r="L25" i="51"/>
  <c r="D25" i="51"/>
  <c r="L24" i="51"/>
  <c r="D24" i="51"/>
  <c r="L23" i="51"/>
  <c r="D23" i="51"/>
  <c r="E23" i="51" s="1"/>
  <c r="L22" i="51"/>
  <c r="D22" i="51"/>
  <c r="L21" i="51"/>
  <c r="D21" i="51"/>
  <c r="E21" i="51" s="1"/>
  <c r="L20" i="51"/>
  <c r="D20" i="51"/>
  <c r="L19" i="51"/>
  <c r="D19" i="51"/>
  <c r="E19" i="51" s="1"/>
  <c r="L18" i="51"/>
  <c r="D18" i="51"/>
  <c r="L17" i="51"/>
  <c r="D17" i="51"/>
  <c r="E17" i="51" s="1"/>
  <c r="L16" i="51"/>
  <c r="D16" i="51"/>
  <c r="L15" i="51"/>
  <c r="D15" i="51"/>
  <c r="L14" i="51"/>
  <c r="D14" i="51"/>
  <c r="L13" i="51"/>
  <c r="D13" i="51"/>
  <c r="E13" i="51" s="1"/>
  <c r="L12" i="51"/>
  <c r="D12" i="51"/>
  <c r="L11" i="51"/>
  <c r="D11" i="51"/>
  <c r="L10" i="51"/>
  <c r="D10" i="51"/>
  <c r="E10" i="51" s="1"/>
  <c r="L9" i="51"/>
  <c r="D9" i="51"/>
  <c r="E9" i="51" s="1"/>
  <c r="L8" i="51"/>
  <c r="D8" i="51"/>
  <c r="E8" i="51" s="1"/>
  <c r="L7" i="51"/>
  <c r="D7" i="51"/>
  <c r="E7" i="51" s="1"/>
  <c r="L6" i="51"/>
  <c r="D6" i="51"/>
  <c r="L5" i="51"/>
  <c r="D5" i="51"/>
  <c r="E5" i="51" s="1"/>
  <c r="L4" i="51"/>
  <c r="D4" i="51"/>
  <c r="M2" i="51"/>
  <c r="L2" i="51"/>
  <c r="J2" i="51"/>
  <c r="I2" i="51"/>
  <c r="G2" i="51"/>
  <c r="F2" i="51"/>
  <c r="I1" i="51"/>
  <c r="F1" i="51"/>
  <c r="L103" i="51" l="1"/>
  <c r="M103" i="51" s="1"/>
  <c r="N103" i="51" s="1"/>
  <c r="E143" i="51"/>
  <c r="L39" i="51"/>
  <c r="N611" i="51"/>
  <c r="N617" i="51"/>
  <c r="L130" i="51"/>
  <c r="L181" i="51"/>
  <c r="M181" i="51" s="1"/>
  <c r="N181" i="51" s="1"/>
  <c r="L91" i="51"/>
  <c r="L193" i="51"/>
  <c r="L204" i="51"/>
  <c r="M204" i="51" s="1"/>
  <c r="L131" i="51"/>
  <c r="L141" i="51"/>
  <c r="M141" i="51" s="1"/>
  <c r="N141" i="51" s="1"/>
  <c r="L196" i="51"/>
  <c r="L214" i="51"/>
  <c r="L142" i="51"/>
  <c r="M142" i="51" s="1"/>
  <c r="N142" i="51" s="1"/>
  <c r="E88" i="51"/>
  <c r="L134" i="51"/>
  <c r="M134" i="51" s="1"/>
  <c r="N134" i="51" s="1"/>
  <c r="N248" i="51"/>
  <c r="N254" i="51"/>
  <c r="N272" i="51"/>
  <c r="N278" i="51"/>
  <c r="N302" i="51"/>
  <c r="N338" i="51"/>
  <c r="N350" i="51"/>
  <c r="N440" i="51"/>
  <c r="N446" i="51"/>
  <c r="N530" i="51"/>
  <c r="N536" i="51"/>
  <c r="N548" i="51"/>
  <c r="N572" i="51"/>
  <c r="N578" i="51"/>
  <c r="N596" i="51"/>
  <c r="N602" i="51"/>
  <c r="N632" i="51"/>
  <c r="N638" i="51"/>
  <c r="L80" i="51"/>
  <c r="M80" i="51" s="1"/>
  <c r="N80" i="51" s="1"/>
  <c r="L95" i="51"/>
  <c r="E102" i="51"/>
  <c r="L49" i="51"/>
  <c r="E56" i="51"/>
  <c r="L35" i="51"/>
  <c r="M35" i="51" s="1"/>
  <c r="N35" i="51" s="1"/>
  <c r="L135" i="51"/>
  <c r="L176" i="51"/>
  <c r="L198" i="51"/>
  <c r="L211" i="51"/>
  <c r="L44" i="51"/>
  <c r="L51" i="51"/>
  <c r="L67" i="51"/>
  <c r="M67" i="51" s="1"/>
  <c r="N67" i="51" s="1"/>
  <c r="L74" i="51"/>
  <c r="L82" i="51"/>
  <c r="L177" i="51"/>
  <c r="L199" i="51"/>
  <c r="M199" i="51" s="1"/>
  <c r="N199" i="51" s="1"/>
  <c r="E212" i="51"/>
  <c r="L68" i="51"/>
  <c r="L200" i="51"/>
  <c r="L70" i="51"/>
  <c r="M70" i="51" s="1"/>
  <c r="N70" i="51" s="1"/>
  <c r="L86" i="51"/>
  <c r="L55" i="51"/>
  <c r="E78" i="51"/>
  <c r="L146" i="51"/>
  <c r="M146" i="51" s="1"/>
  <c r="N146" i="51" s="1"/>
  <c r="L202" i="51"/>
  <c r="L34" i="51"/>
  <c r="L46" i="51"/>
  <c r="L75" i="51"/>
  <c r="L92" i="51"/>
  <c r="M92" i="51" s="1"/>
  <c r="N92" i="51" s="1"/>
  <c r="L203" i="51"/>
  <c r="L58" i="51"/>
  <c r="L64" i="51"/>
  <c r="L110" i="51"/>
  <c r="L145" i="51"/>
  <c r="E175" i="51"/>
  <c r="L215" i="51"/>
  <c r="M215" i="51" s="1"/>
  <c r="N215" i="51" s="1"/>
  <c r="L221" i="51"/>
  <c r="N235" i="51"/>
  <c r="N241" i="51"/>
  <c r="N295" i="51"/>
  <c r="N301" i="51"/>
  <c r="N391" i="51"/>
  <c r="N397" i="51"/>
  <c r="N403" i="51"/>
  <c r="N409" i="51"/>
  <c r="N499" i="51"/>
  <c r="N505" i="51"/>
  <c r="N523" i="51"/>
  <c r="N541" i="51"/>
  <c r="N547" i="51"/>
  <c r="N589" i="51"/>
  <c r="N595" i="51"/>
  <c r="N601" i="51"/>
  <c r="N625" i="51"/>
  <c r="N643" i="51"/>
  <c r="L187" i="51"/>
  <c r="M187" i="51" s="1"/>
  <c r="N187" i="51" s="1"/>
  <c r="L222" i="51"/>
  <c r="N228" i="51"/>
  <c r="N252" i="51"/>
  <c r="N288" i="51"/>
  <c r="N348" i="51"/>
  <c r="N444" i="51"/>
  <c r="N456" i="51"/>
  <c r="N492" i="51"/>
  <c r="N516" i="51"/>
  <c r="N540" i="51"/>
  <c r="N636" i="51"/>
  <c r="N696" i="51"/>
  <c r="L30" i="51"/>
  <c r="L129" i="51"/>
  <c r="M19" i="51"/>
  <c r="L42" i="51"/>
  <c r="M42" i="51" s="1"/>
  <c r="N42" i="51" s="1"/>
  <c r="M8" i="51"/>
  <c r="N8" i="51" s="1"/>
  <c r="E66" i="51"/>
  <c r="E124" i="51"/>
  <c r="L147" i="51"/>
  <c r="L165" i="51"/>
  <c r="M165" i="51" s="1"/>
  <c r="N165" i="51" s="1"/>
  <c r="L171" i="51"/>
  <c r="E188" i="51"/>
  <c r="L217" i="51"/>
  <c r="E32" i="51"/>
  <c r="L61" i="51"/>
  <c r="L107" i="51"/>
  <c r="L119" i="51"/>
  <c r="M119" i="51" s="1"/>
  <c r="N119" i="51" s="1"/>
  <c r="L154" i="51"/>
  <c r="M154" i="51" s="1"/>
  <c r="N154" i="51" s="1"/>
  <c r="N622" i="51"/>
  <c r="N646" i="51"/>
  <c r="N658" i="51"/>
  <c r="N670" i="51"/>
  <c r="N682" i="51"/>
  <c r="L48" i="51"/>
  <c r="L62" i="51"/>
  <c r="L79" i="51"/>
  <c r="L155" i="51"/>
  <c r="N279" i="51"/>
  <c r="N291" i="51"/>
  <c r="N315" i="51"/>
  <c r="N351" i="51"/>
  <c r="N387" i="51"/>
  <c r="N495" i="51"/>
  <c r="N507" i="51"/>
  <c r="N579" i="51"/>
  <c r="N585" i="51"/>
  <c r="N603" i="51"/>
  <c r="N609" i="51"/>
  <c r="N621" i="51"/>
  <c r="N639" i="51"/>
  <c r="N645" i="51"/>
  <c r="N663" i="51"/>
  <c r="N669" i="51"/>
  <c r="M100" i="51"/>
  <c r="M83" i="51"/>
  <c r="N83" i="51" s="1"/>
  <c r="I193" i="40"/>
  <c r="J193" i="40" s="1"/>
  <c r="K193" i="40" s="1"/>
  <c r="N700" i="51"/>
  <c r="N675" i="51"/>
  <c r="N687" i="51"/>
  <c r="M40" i="51"/>
  <c r="M52" i="51"/>
  <c r="N52" i="51" s="1"/>
  <c r="M59" i="51"/>
  <c r="N59" i="51" s="1"/>
  <c r="N363" i="51"/>
  <c r="N423" i="51"/>
  <c r="N435" i="51"/>
  <c r="N441" i="51"/>
  <c r="N459" i="51"/>
  <c r="N465" i="51"/>
  <c r="N356" i="51"/>
  <c r="N368" i="51"/>
  <c r="N392" i="51"/>
  <c r="N410" i="51"/>
  <c r="N416" i="51"/>
  <c r="N470" i="51"/>
  <c r="N476" i="51"/>
  <c r="N482" i="51"/>
  <c r="N500" i="51"/>
  <c r="M125" i="51"/>
  <c r="N125" i="51" s="1"/>
  <c r="M115" i="51"/>
  <c r="N115" i="51" s="1"/>
  <c r="N412" i="51"/>
  <c r="N418" i="51"/>
  <c r="N454" i="51"/>
  <c r="N466" i="51"/>
  <c r="N472" i="51"/>
  <c r="N490" i="51"/>
  <c r="N496" i="51"/>
  <c r="N580" i="51"/>
  <c r="N586" i="51"/>
  <c r="N604" i="51"/>
  <c r="N610" i="51"/>
  <c r="N512" i="51"/>
  <c r="N614" i="51"/>
  <c r="N662" i="51"/>
  <c r="N270" i="51"/>
  <c r="N330" i="51"/>
  <c r="M108" i="51"/>
  <c r="M114" i="51"/>
  <c r="N114" i="51" s="1"/>
  <c r="M149" i="51"/>
  <c r="N149" i="51" s="1"/>
  <c r="M161" i="51"/>
  <c r="N161" i="51" s="1"/>
  <c r="M167" i="51"/>
  <c r="N167" i="51" s="1"/>
  <c r="M126" i="51"/>
  <c r="N126" i="51" s="1"/>
  <c r="M179" i="51"/>
  <c r="N179" i="51" s="1"/>
  <c r="M213" i="51"/>
  <c r="N213" i="51" s="1"/>
  <c r="M122" i="51"/>
  <c r="N122" i="51" s="1"/>
  <c r="M191" i="51"/>
  <c r="M15" i="51"/>
  <c r="N15" i="51" s="1"/>
  <c r="M84" i="51"/>
  <c r="N84" i="51" s="1"/>
  <c r="M118" i="51"/>
  <c r="N118" i="51" s="1"/>
  <c r="M205" i="51"/>
  <c r="N205" i="51" s="1"/>
  <c r="N366" i="51"/>
  <c r="N402" i="51"/>
  <c r="N686" i="51"/>
  <c r="N233" i="51"/>
  <c r="N263" i="51"/>
  <c r="N269" i="51"/>
  <c r="N317" i="51"/>
  <c r="N323" i="51"/>
  <c r="N329" i="51"/>
  <c r="N570" i="51"/>
  <c r="N347" i="51"/>
  <c r="N353" i="51"/>
  <c r="N359" i="51"/>
  <c r="N455" i="51"/>
  <c r="N461" i="51"/>
  <c r="N473" i="51"/>
  <c r="N606" i="51"/>
  <c r="N618" i="51"/>
  <c r="N691" i="51"/>
  <c r="N414" i="51"/>
  <c r="M133" i="51"/>
  <c r="N133" i="51" s="1"/>
  <c r="M139" i="51"/>
  <c r="N139" i="51" s="1"/>
  <c r="N256" i="51"/>
  <c r="N262" i="51"/>
  <c r="N274" i="51"/>
  <c r="N280" i="51"/>
  <c r="N304" i="51"/>
  <c r="N310" i="51"/>
  <c r="N316" i="51"/>
  <c r="N334" i="51"/>
  <c r="N515" i="51"/>
  <c r="N521" i="51"/>
  <c r="N557" i="51"/>
  <c r="N563" i="51"/>
  <c r="N654" i="51"/>
  <c r="N678" i="51"/>
  <c r="M36" i="51"/>
  <c r="N36" i="51" s="1"/>
  <c r="N231" i="51"/>
  <c r="N237" i="51"/>
  <c r="N243" i="51"/>
  <c r="N249" i="51"/>
  <c r="N255" i="51"/>
  <c r="N267" i="51"/>
  <c r="N273" i="51"/>
  <c r="N508" i="51"/>
  <c r="N514" i="51"/>
  <c r="N574" i="51"/>
  <c r="N641" i="51"/>
  <c r="N647" i="51"/>
  <c r="N653" i="51"/>
  <c r="M3" i="51"/>
  <c r="N3" i="51" s="1"/>
  <c r="M20" i="51"/>
  <c r="N20" i="51" s="1"/>
  <c r="M72" i="51"/>
  <c r="N72" i="51" s="1"/>
  <c r="N320" i="51"/>
  <c r="N519" i="51"/>
  <c r="N531" i="51"/>
  <c r="N543" i="51"/>
  <c r="N555" i="51"/>
  <c r="N567" i="51"/>
  <c r="M28" i="51"/>
  <c r="N28" i="51" s="1"/>
  <c r="M66" i="51"/>
  <c r="N66" i="51" s="1"/>
  <c r="N226" i="51"/>
  <c r="N250" i="51"/>
  <c r="N281" i="51"/>
  <c r="N287" i="51"/>
  <c r="N293" i="51"/>
  <c r="N342" i="51"/>
  <c r="N420" i="51"/>
  <c r="N428" i="51"/>
  <c r="N434" i="51"/>
  <c r="N452" i="51"/>
  <c r="N457" i="51"/>
  <c r="N463" i="51"/>
  <c r="N481" i="51"/>
  <c r="N483" i="51"/>
  <c r="N526" i="51"/>
  <c r="N532" i="51"/>
  <c r="N538" i="51"/>
  <c r="N550" i="51"/>
  <c r="N561" i="51"/>
  <c r="N587" i="51"/>
  <c r="N593" i="51"/>
  <c r="N630" i="51"/>
  <c r="N672" i="51"/>
  <c r="M94" i="51"/>
  <c r="N94" i="51" s="1"/>
  <c r="E20" i="51"/>
  <c r="E52" i="51"/>
  <c r="M30" i="51"/>
  <c r="N30" i="51" s="1"/>
  <c r="M168" i="51"/>
  <c r="N168" i="51" s="1"/>
  <c r="M174" i="51"/>
  <c r="N174" i="51" s="1"/>
  <c r="N224" i="51"/>
  <c r="N230" i="51"/>
  <c r="N236" i="51"/>
  <c r="N265" i="51"/>
  <c r="N271" i="51"/>
  <c r="N277" i="51"/>
  <c r="N297" i="51"/>
  <c r="N308" i="51"/>
  <c r="N332" i="51"/>
  <c r="N340" i="51"/>
  <c r="N346" i="51"/>
  <c r="N389" i="51"/>
  <c r="N395" i="51"/>
  <c r="N401" i="51"/>
  <c r="N438" i="51"/>
  <c r="N524" i="51"/>
  <c r="N542" i="51"/>
  <c r="N554" i="51"/>
  <c r="N565" i="51"/>
  <c r="N591" i="51"/>
  <c r="N608" i="51"/>
  <c r="N634" i="51"/>
  <c r="N640" i="51"/>
  <c r="N665" i="51"/>
  <c r="M95" i="51"/>
  <c r="N95" i="51" s="1"/>
  <c r="M211" i="51"/>
  <c r="N211" i="51" s="1"/>
  <c r="N260" i="51"/>
  <c r="N266" i="51"/>
  <c r="N303" i="51"/>
  <c r="N321" i="51"/>
  <c r="N327" i="51"/>
  <c r="N333" i="51"/>
  <c r="N419" i="51"/>
  <c r="N462" i="51"/>
  <c r="N566" i="51"/>
  <c r="N615" i="51"/>
  <c r="N671" i="51"/>
  <c r="N677" i="51"/>
  <c r="M200" i="51"/>
  <c r="N200" i="51" s="1"/>
  <c r="M26" i="51"/>
  <c r="N26" i="51" s="1"/>
  <c r="M102" i="51"/>
  <c r="N102" i="51" s="1"/>
  <c r="M145" i="51"/>
  <c r="N145" i="51" s="1"/>
  <c r="M151" i="51"/>
  <c r="N151" i="51" s="1"/>
  <c r="M180" i="51"/>
  <c r="N180" i="51" s="1"/>
  <c r="M201" i="51"/>
  <c r="N201" i="51" s="1"/>
  <c r="M206" i="51"/>
  <c r="N206" i="51" s="1"/>
  <c r="M217" i="51"/>
  <c r="N217" i="51" s="1"/>
  <c r="N264" i="51"/>
  <c r="N284" i="51"/>
  <c r="N296" i="51"/>
  <c r="N319" i="51"/>
  <c r="N325" i="51"/>
  <c r="N331" i="51"/>
  <c r="N337" i="51"/>
  <c r="N376" i="51"/>
  <c r="N382" i="51"/>
  <c r="N388" i="51"/>
  <c r="N406" i="51"/>
  <c r="N425" i="51"/>
  <c r="N431" i="51"/>
  <c r="N478" i="51"/>
  <c r="N486" i="51"/>
  <c r="N590" i="51"/>
  <c r="N619" i="51"/>
  <c r="N627" i="51"/>
  <c r="N656" i="51"/>
  <c r="N664" i="51"/>
  <c r="M11" i="51"/>
  <c r="N11" i="51" s="1"/>
  <c r="M21" i="51"/>
  <c r="N21" i="51" s="1"/>
  <c r="M27" i="51"/>
  <c r="N27" i="51" s="1"/>
  <c r="M58" i="51"/>
  <c r="N58" i="51" s="1"/>
  <c r="N374" i="51"/>
  <c r="N380" i="51"/>
  <c r="N404" i="51"/>
  <c r="N479" i="51"/>
  <c r="N502" i="51"/>
  <c r="N510" i="51"/>
  <c r="N651" i="51"/>
  <c r="N695" i="51"/>
  <c r="M130" i="51"/>
  <c r="N130" i="51" s="1"/>
  <c r="M164" i="51"/>
  <c r="N164" i="51" s="1"/>
  <c r="M175" i="51"/>
  <c r="N175" i="51" s="1"/>
  <c r="N234" i="51"/>
  <c r="N246" i="51"/>
  <c r="N312" i="51"/>
  <c r="N324" i="51"/>
  <c r="N344" i="51"/>
  <c r="N361" i="51"/>
  <c r="N367" i="51"/>
  <c r="N369" i="51"/>
  <c r="N375" i="51"/>
  <c r="N393" i="51"/>
  <c r="N399" i="51"/>
  <c r="N405" i="51"/>
  <c r="N422" i="51"/>
  <c r="N442" i="51"/>
  <c r="N448" i="51"/>
  <c r="N497" i="51"/>
  <c r="N503" i="51"/>
  <c r="N522" i="51"/>
  <c r="N546" i="51"/>
  <c r="N612" i="51"/>
  <c r="N649" i="51"/>
  <c r="N655" i="51"/>
  <c r="N699" i="51"/>
  <c r="M110" i="51"/>
  <c r="N110" i="51" s="1"/>
  <c r="M54" i="51"/>
  <c r="N54" i="51" s="1"/>
  <c r="M137" i="51"/>
  <c r="N137" i="51" s="1"/>
  <c r="M82" i="51"/>
  <c r="N82" i="51" s="1"/>
  <c r="M120" i="51"/>
  <c r="N120" i="51" s="1"/>
  <c r="E137" i="51"/>
  <c r="M176" i="51"/>
  <c r="N176" i="51" s="1"/>
  <c r="N294" i="51"/>
  <c r="N464" i="51"/>
  <c r="N513" i="51"/>
  <c r="N539" i="51"/>
  <c r="N545" i="51"/>
  <c r="N562" i="51"/>
  <c r="N594" i="51"/>
  <c r="N648" i="51"/>
  <c r="N679" i="51"/>
  <c r="N692" i="51"/>
  <c r="M183" i="51"/>
  <c r="N183" i="51" s="1"/>
  <c r="N384" i="51"/>
  <c r="N396" i="51"/>
  <c r="N433" i="51"/>
  <c r="N488" i="51"/>
  <c r="N506" i="51"/>
  <c r="N537" i="51"/>
  <c r="N598" i="51"/>
  <c r="N685" i="51"/>
  <c r="E118" i="51"/>
  <c r="E126" i="51"/>
  <c r="E122" i="51"/>
  <c r="E205" i="51"/>
  <c r="M44" i="51"/>
  <c r="N44" i="51" s="1"/>
  <c r="E114" i="51"/>
  <c r="E164" i="51"/>
  <c r="N360" i="51"/>
  <c r="N373" i="51"/>
  <c r="N386" i="51"/>
  <c r="N432" i="51"/>
  <c r="N439" i="51"/>
  <c r="N480" i="51"/>
  <c r="N487" i="51"/>
  <c r="N494" i="51"/>
  <c r="N501" i="51"/>
  <c r="N529" i="51"/>
  <c r="N564" i="51"/>
  <c r="N571" i="51"/>
  <c r="N584" i="51"/>
  <c r="N631" i="51"/>
  <c r="N698" i="51"/>
  <c r="M57" i="51"/>
  <c r="M13" i="51"/>
  <c r="N13" i="51" s="1"/>
  <c r="M71" i="51"/>
  <c r="N71" i="51" s="1"/>
  <c r="M193" i="51"/>
  <c r="N193" i="51" s="1"/>
  <c r="N240" i="51"/>
  <c r="N253" i="51"/>
  <c r="N275" i="51"/>
  <c r="N282" i="51"/>
  <c r="N300" i="51"/>
  <c r="N307" i="51"/>
  <c r="N309" i="51"/>
  <c r="N322" i="51"/>
  <c r="N335" i="51"/>
  <c r="N379" i="51"/>
  <c r="N381" i="51"/>
  <c r="N394" i="51"/>
  <c r="N407" i="51"/>
  <c r="N445" i="51"/>
  <c r="N447" i="51"/>
  <c r="N474" i="51"/>
  <c r="N535" i="51"/>
  <c r="N577" i="51"/>
  <c r="N597" i="51"/>
  <c r="N599" i="51"/>
  <c r="N624" i="51"/>
  <c r="N637" i="51"/>
  <c r="N644" i="51"/>
  <c r="N657" i="51"/>
  <c r="N659" i="51"/>
  <c r="N666" i="51"/>
  <c r="N684" i="51"/>
  <c r="E40" i="51"/>
  <c r="M171" i="51"/>
  <c r="N171" i="51" s="1"/>
  <c r="N247" i="51"/>
  <c r="N314" i="51"/>
  <c r="M22" i="51"/>
  <c r="N22" i="51" s="1"/>
  <c r="M5" i="51"/>
  <c r="N5" i="51" s="1"/>
  <c r="M9" i="51"/>
  <c r="N9" i="51" s="1"/>
  <c r="E54" i="51"/>
  <c r="N88" i="51"/>
  <c r="M127" i="51"/>
  <c r="N127" i="51" s="1"/>
  <c r="M131" i="51"/>
  <c r="N131" i="51" s="1"/>
  <c r="M155" i="51"/>
  <c r="N155" i="51" s="1"/>
  <c r="N259" i="51"/>
  <c r="N261" i="51"/>
  <c r="N268" i="51"/>
  <c r="N313" i="51"/>
  <c r="N326" i="51"/>
  <c r="N328" i="51"/>
  <c r="N341" i="51"/>
  <c r="N354" i="51"/>
  <c r="N372" i="51"/>
  <c r="N385" i="51"/>
  <c r="N398" i="51"/>
  <c r="N400" i="51"/>
  <c r="N413" i="51"/>
  <c r="N426" i="51"/>
  <c r="N451" i="51"/>
  <c r="N453" i="51"/>
  <c r="N458" i="51"/>
  <c r="N460" i="51"/>
  <c r="N467" i="51"/>
  <c r="N493" i="51"/>
  <c r="N509" i="51"/>
  <c r="N528" i="51"/>
  <c r="N544" i="51"/>
  <c r="N549" i="51"/>
  <c r="N551" i="51"/>
  <c r="N558" i="51"/>
  <c r="N583" i="51"/>
  <c r="N592" i="51"/>
  <c r="N605" i="51"/>
  <c r="N650" i="51"/>
  <c r="N652" i="51"/>
  <c r="N697" i="51"/>
  <c r="E76" i="51"/>
  <c r="E97" i="51"/>
  <c r="E161" i="51"/>
  <c r="E169" i="51"/>
  <c r="M186" i="51"/>
  <c r="N186" i="51" s="1"/>
  <c r="M10" i="51"/>
  <c r="N10" i="51" s="1"/>
  <c r="E15" i="51"/>
  <c r="M33" i="51"/>
  <c r="N33" i="51" s="1"/>
  <c r="M64" i="51"/>
  <c r="N64" i="51" s="1"/>
  <c r="M76" i="51"/>
  <c r="N76" i="51" s="1"/>
  <c r="M93" i="51"/>
  <c r="N93" i="51" s="1"/>
  <c r="M97" i="51"/>
  <c r="N97" i="51" s="1"/>
  <c r="E153" i="51"/>
  <c r="M166" i="51"/>
  <c r="N166" i="51" s="1"/>
  <c r="M169" i="51"/>
  <c r="N169" i="51" s="1"/>
  <c r="E174" i="51"/>
  <c r="E191" i="51"/>
  <c r="M212" i="51"/>
  <c r="N212" i="51" s="1"/>
  <c r="M216" i="51"/>
  <c r="N216" i="51" s="1"/>
  <c r="N239" i="51"/>
  <c r="N286" i="51"/>
  <c r="N299" i="51"/>
  <c r="N306" i="51"/>
  <c r="N339" i="51"/>
  <c r="N352" i="51"/>
  <c r="N365" i="51"/>
  <c r="N378" i="51"/>
  <c r="N411" i="51"/>
  <c r="N424" i="51"/>
  <c r="N534" i="51"/>
  <c r="N556" i="51"/>
  <c r="N576" i="51"/>
  <c r="N623" i="51"/>
  <c r="N661" i="51"/>
  <c r="N668" i="51"/>
  <c r="N681" i="51"/>
  <c r="N683" i="51"/>
  <c r="N690" i="51"/>
  <c r="M68" i="51"/>
  <c r="N68" i="51" s="1"/>
  <c r="M203" i="51"/>
  <c r="N203" i="51" s="1"/>
  <c r="M47" i="51"/>
  <c r="N47" i="51" s="1"/>
  <c r="M69" i="51"/>
  <c r="N69" i="51" s="1"/>
  <c r="M81" i="51"/>
  <c r="N81" i="51" s="1"/>
  <c r="M107" i="51"/>
  <c r="N107" i="51" s="1"/>
  <c r="M112" i="51"/>
  <c r="N112" i="51" s="1"/>
  <c r="M153" i="51"/>
  <c r="N153" i="51" s="1"/>
  <c r="E166" i="51"/>
  <c r="M182" i="51"/>
  <c r="N182" i="51" s="1"/>
  <c r="N223" i="51"/>
  <c r="N225" i="51"/>
  <c r="N232" i="51"/>
  <c r="N245" i="51"/>
  <c r="N258" i="51"/>
  <c r="N290" i="51"/>
  <c r="N292" i="51"/>
  <c r="N343" i="51"/>
  <c r="N345" i="51"/>
  <c r="N358" i="51"/>
  <c r="N371" i="51"/>
  <c r="N415" i="51"/>
  <c r="N417" i="51"/>
  <c r="N430" i="51"/>
  <c r="N437" i="51"/>
  <c r="N450" i="51"/>
  <c r="N469" i="51"/>
  <c r="N471" i="51"/>
  <c r="N485" i="51"/>
  <c r="N504" i="51"/>
  <c r="N511" i="51"/>
  <c r="N518" i="51"/>
  <c r="N520" i="51"/>
  <c r="N525" i="51"/>
  <c r="N527" i="51"/>
  <c r="N553" i="51"/>
  <c r="N560" i="51"/>
  <c r="N569" i="51"/>
  <c r="N582" i="51"/>
  <c r="N607" i="51"/>
  <c r="N616" i="51"/>
  <c r="N629" i="51"/>
  <c r="N674" i="51"/>
  <c r="N676" i="51"/>
  <c r="N90" i="51"/>
  <c r="M158" i="51"/>
  <c r="N158" i="51" s="1"/>
  <c r="N229" i="51"/>
  <c r="N238" i="51"/>
  <c r="N251" i="51"/>
  <c r="N276" i="51"/>
  <c r="N283" i="51"/>
  <c r="N285" i="51"/>
  <c r="N298" i="51"/>
  <c r="N305" i="51"/>
  <c r="N318" i="51"/>
  <c r="N336" i="51"/>
  <c r="N349" i="51"/>
  <c r="N362" i="51"/>
  <c r="N364" i="51"/>
  <c r="N377" i="51"/>
  <c r="N390" i="51"/>
  <c r="N408" i="51"/>
  <c r="N421" i="51"/>
  <c r="N443" i="51"/>
  <c r="N475" i="51"/>
  <c r="N477" i="51"/>
  <c r="N498" i="51"/>
  <c r="N533" i="51"/>
  <c r="N573" i="51"/>
  <c r="N575" i="51"/>
  <c r="N588" i="51"/>
  <c r="N600" i="51"/>
  <c r="N613" i="51"/>
  <c r="N620" i="51"/>
  <c r="N633" i="51"/>
  <c r="N635" i="51"/>
  <c r="N642" i="51"/>
  <c r="N660" i="51"/>
  <c r="N667" i="51"/>
  <c r="N680" i="51"/>
  <c r="N689" i="51"/>
  <c r="M46" i="51"/>
  <c r="N46" i="51" s="1"/>
  <c r="M12" i="51"/>
  <c r="N12" i="51" s="1"/>
  <c r="M17" i="51"/>
  <c r="N17" i="51" s="1"/>
  <c r="M56" i="51"/>
  <c r="N56" i="51" s="1"/>
  <c r="N78" i="51"/>
  <c r="E90" i="51"/>
  <c r="M98" i="51"/>
  <c r="N98" i="51" s="1"/>
  <c r="M117" i="51"/>
  <c r="N117" i="51" s="1"/>
  <c r="E158" i="51"/>
  <c r="M170" i="51"/>
  <c r="N170" i="51" s="1"/>
  <c r="E183" i="51"/>
  <c r="N204" i="51"/>
  <c r="M222" i="51"/>
  <c r="N222" i="51" s="1"/>
  <c r="N242" i="51"/>
  <c r="N244" i="51"/>
  <c r="N257" i="51"/>
  <c r="N289" i="51"/>
  <c r="N311" i="51"/>
  <c r="N355" i="51"/>
  <c r="N357" i="51"/>
  <c r="N370" i="51"/>
  <c r="N383" i="51"/>
  <c r="N427" i="51"/>
  <c r="N429" i="51"/>
  <c r="N436" i="51"/>
  <c r="N449" i="51"/>
  <c r="N468" i="51"/>
  <c r="N484" i="51"/>
  <c r="N489" i="51"/>
  <c r="N491" i="51"/>
  <c r="N517" i="51"/>
  <c r="N552" i="51"/>
  <c r="N559" i="51"/>
  <c r="N568" i="51"/>
  <c r="N581" i="51"/>
  <c r="N626" i="51"/>
  <c r="N628" i="51"/>
  <c r="N673" i="51"/>
  <c r="N693" i="51"/>
  <c r="M87" i="51"/>
  <c r="N87" i="51" s="1"/>
  <c r="M4" i="51"/>
  <c r="N4" i="51" s="1"/>
  <c r="E6" i="51"/>
  <c r="M14" i="51"/>
  <c r="N14" i="51" s="1"/>
  <c r="E18" i="51"/>
  <c r="M34" i="51"/>
  <c r="N34" i="51" s="1"/>
  <c r="M39" i="51"/>
  <c r="N39" i="51" s="1"/>
  <c r="M49" i="51"/>
  <c r="N49" i="51" s="1"/>
  <c r="M51" i="51"/>
  <c r="N51" i="51" s="1"/>
  <c r="E132" i="51"/>
  <c r="M132" i="51"/>
  <c r="N132" i="51" s="1"/>
  <c r="E4" i="51"/>
  <c r="E16" i="51"/>
  <c r="E24" i="51"/>
  <c r="M74" i="51"/>
  <c r="N74" i="51" s="1"/>
  <c r="E87" i="51"/>
  <c r="E14" i="51"/>
  <c r="E27" i="51"/>
  <c r="E31" i="51"/>
  <c r="E38" i="51"/>
  <c r="E157" i="51"/>
  <c r="M157" i="51"/>
  <c r="N157" i="51" s="1"/>
  <c r="E43" i="51"/>
  <c r="M43" i="51"/>
  <c r="N43" i="51" s="1"/>
  <c r="E45" i="51"/>
  <c r="M75" i="51"/>
  <c r="N75" i="51" s="1"/>
  <c r="E12" i="51"/>
  <c r="M109" i="51"/>
  <c r="N109" i="51" s="1"/>
  <c r="E109" i="51"/>
  <c r="E11" i="51"/>
  <c r="M37" i="51"/>
  <c r="N37" i="51" s="1"/>
  <c r="M41" i="51"/>
  <c r="N41" i="51" s="1"/>
  <c r="E41" i="51"/>
  <c r="E50" i="51"/>
  <c r="E60" i="51"/>
  <c r="M63" i="51"/>
  <c r="N63" i="51" s="1"/>
  <c r="E85" i="51"/>
  <c r="M85" i="51"/>
  <c r="N85" i="51" s="1"/>
  <c r="M62" i="51"/>
  <c r="N62" i="51" s="1"/>
  <c r="M6" i="51"/>
  <c r="N6" i="51" s="1"/>
  <c r="M18" i="51"/>
  <c r="N18" i="51" s="1"/>
  <c r="N19" i="51"/>
  <c r="E22" i="51"/>
  <c r="M24" i="51"/>
  <c r="N24" i="51" s="1"/>
  <c r="E37" i="51"/>
  <c r="E63" i="51"/>
  <c r="M113" i="51"/>
  <c r="N113" i="51" s="1"/>
  <c r="M53" i="51"/>
  <c r="N53" i="51" s="1"/>
  <c r="E53" i="51"/>
  <c r="M7" i="51"/>
  <c r="N7" i="51" s="1"/>
  <c r="N40" i="51"/>
  <c r="E47" i="51"/>
  <c r="M60" i="51"/>
  <c r="N60" i="51" s="1"/>
  <c r="E113" i="51"/>
  <c r="M124" i="51"/>
  <c r="N124" i="51" s="1"/>
  <c r="M129" i="51"/>
  <c r="N129" i="51" s="1"/>
  <c r="M16" i="51"/>
  <c r="N16" i="51" s="1"/>
  <c r="M25" i="51"/>
  <c r="N25" i="51" s="1"/>
  <c r="M29" i="51"/>
  <c r="N29" i="51" s="1"/>
  <c r="E29" i="51"/>
  <c r="E33" i="51"/>
  <c r="M48" i="51"/>
  <c r="N48" i="51" s="1"/>
  <c r="M86" i="51"/>
  <c r="N86" i="51" s="1"/>
  <c r="M23" i="51"/>
  <c r="N23" i="51" s="1"/>
  <c r="E25" i="51"/>
  <c r="M31" i="51"/>
  <c r="N31" i="51" s="1"/>
  <c r="E36" i="51"/>
  <c r="M38" i="51"/>
  <c r="N38" i="51" s="1"/>
  <c r="M45" i="51"/>
  <c r="N45" i="51" s="1"/>
  <c r="M50" i="51"/>
  <c r="N50" i="51" s="1"/>
  <c r="M61" i="51"/>
  <c r="N61" i="51" s="1"/>
  <c r="E73" i="51"/>
  <c r="M73" i="51"/>
  <c r="N73" i="51" s="1"/>
  <c r="M101" i="51"/>
  <c r="N101" i="51" s="1"/>
  <c r="E65" i="51"/>
  <c r="E77" i="51"/>
  <c r="E89" i="51"/>
  <c r="E106" i="51"/>
  <c r="E152" i="51"/>
  <c r="M152" i="51"/>
  <c r="N152" i="51" s="1"/>
  <c r="E189" i="51"/>
  <c r="M189" i="51"/>
  <c r="N189" i="51" s="1"/>
  <c r="E96" i="51"/>
  <c r="E116" i="51"/>
  <c r="M116" i="51"/>
  <c r="N116" i="51" s="1"/>
  <c r="M136" i="51"/>
  <c r="N136" i="51" s="1"/>
  <c r="E136" i="51"/>
  <c r="N100" i="51"/>
  <c r="E105" i="51"/>
  <c r="E121" i="51"/>
  <c r="M148" i="51"/>
  <c r="N148" i="51" s="1"/>
  <c r="E148" i="51"/>
  <c r="M210" i="51"/>
  <c r="N210" i="51" s="1"/>
  <c r="N57" i="51"/>
  <c r="E72" i="51"/>
  <c r="E84" i="51"/>
  <c r="E100" i="51"/>
  <c r="E140" i="51"/>
  <c r="M140" i="51"/>
  <c r="N140" i="51" s="1"/>
  <c r="E172" i="51"/>
  <c r="E210" i="51"/>
  <c r="M55" i="51"/>
  <c r="N55" i="51" s="1"/>
  <c r="E59" i="51"/>
  <c r="E71" i="51"/>
  <c r="M79" i="51"/>
  <c r="N79" i="51" s="1"/>
  <c r="E83" i="51"/>
  <c r="M91" i="51"/>
  <c r="N91" i="51" s="1"/>
  <c r="E94" i="51"/>
  <c r="E108" i="51"/>
  <c r="N108" i="51"/>
  <c r="E112" i="51"/>
  <c r="E123" i="51"/>
  <c r="M123" i="51"/>
  <c r="N123" i="51" s="1"/>
  <c r="M99" i="51"/>
  <c r="N99" i="51" s="1"/>
  <c r="M104" i="51"/>
  <c r="N104" i="51" s="1"/>
  <c r="M106" i="51"/>
  <c r="N106" i="51" s="1"/>
  <c r="E128" i="51"/>
  <c r="M128" i="51"/>
  <c r="N128" i="51" s="1"/>
  <c r="E133" i="51"/>
  <c r="E144" i="51"/>
  <c r="M144" i="51"/>
  <c r="N144" i="51" s="1"/>
  <c r="M172" i="51"/>
  <c r="N172" i="51" s="1"/>
  <c r="M178" i="51"/>
  <c r="N178" i="51" s="1"/>
  <c r="E178" i="51"/>
  <c r="M195" i="51"/>
  <c r="N195" i="51" s="1"/>
  <c r="E57" i="51"/>
  <c r="M65" i="51"/>
  <c r="N65" i="51" s="1"/>
  <c r="E69" i="51"/>
  <c r="M77" i="51"/>
  <c r="N77" i="51" s="1"/>
  <c r="E81" i="51"/>
  <c r="M89" i="51"/>
  <c r="N89" i="51" s="1"/>
  <c r="E93" i="51"/>
  <c r="E99" i="51"/>
  <c r="E104" i="51"/>
  <c r="M121" i="51"/>
  <c r="N121" i="51" s="1"/>
  <c r="E125" i="51"/>
  <c r="E149" i="51"/>
  <c r="M159" i="51"/>
  <c r="N159" i="51" s="1"/>
  <c r="E159" i="51"/>
  <c r="E195" i="51"/>
  <c r="M207" i="51"/>
  <c r="N207" i="51" s="1"/>
  <c r="E207" i="51"/>
  <c r="E111" i="51"/>
  <c r="M111" i="51"/>
  <c r="N111" i="51" s="1"/>
  <c r="E120" i="51"/>
  <c r="M96" i="51"/>
  <c r="N96" i="51" s="1"/>
  <c r="E98" i="51"/>
  <c r="M105" i="51"/>
  <c r="N105" i="51" s="1"/>
  <c r="E117" i="51"/>
  <c r="M185" i="51"/>
  <c r="N185" i="51" s="1"/>
  <c r="E185" i="51"/>
  <c r="E192" i="51"/>
  <c r="M192" i="51"/>
  <c r="N192" i="51" s="1"/>
  <c r="E115" i="51"/>
  <c r="E127" i="51"/>
  <c r="M135" i="51"/>
  <c r="N135" i="51" s="1"/>
  <c r="E139" i="51"/>
  <c r="M147" i="51"/>
  <c r="N147" i="51" s="1"/>
  <c r="E151" i="51"/>
  <c r="E160" i="51"/>
  <c r="M177" i="51"/>
  <c r="N177" i="51" s="1"/>
  <c r="E182" i="51"/>
  <c r="M214" i="51"/>
  <c r="N214" i="51" s="1"/>
  <c r="E219" i="51"/>
  <c r="M156" i="51"/>
  <c r="N156" i="51" s="1"/>
  <c r="M173" i="51"/>
  <c r="N173" i="51" s="1"/>
  <c r="E201" i="51"/>
  <c r="E163" i="51"/>
  <c r="E168" i="51"/>
  <c r="E173" i="51"/>
  <c r="E213" i="51"/>
  <c r="N227" i="51"/>
  <c r="M184" i="51"/>
  <c r="N184" i="51" s="1"/>
  <c r="M197" i="51"/>
  <c r="N197" i="51" s="1"/>
  <c r="E218" i="51"/>
  <c r="M220" i="51"/>
  <c r="N220" i="51" s="1"/>
  <c r="N162" i="51"/>
  <c r="E184" i="51"/>
  <c r="E194" i="51"/>
  <c r="E197" i="51"/>
  <c r="M209" i="51"/>
  <c r="N209" i="51" s="1"/>
  <c r="E220" i="51"/>
  <c r="E156" i="51"/>
  <c r="M160" i="51"/>
  <c r="N160" i="51" s="1"/>
  <c r="E162" i="51"/>
  <c r="E167" i="51"/>
  <c r="E180" i="51"/>
  <c r="M198" i="51"/>
  <c r="N198" i="51" s="1"/>
  <c r="E206" i="51"/>
  <c r="E209" i="51"/>
  <c r="M196" i="51"/>
  <c r="N196" i="51" s="1"/>
  <c r="M218" i="51"/>
  <c r="N218" i="51" s="1"/>
  <c r="M190" i="51"/>
  <c r="N190" i="51" s="1"/>
  <c r="M208" i="51"/>
  <c r="N208" i="51" s="1"/>
  <c r="M163" i="51"/>
  <c r="N163" i="51" s="1"/>
  <c r="E170" i="51"/>
  <c r="E179" i="51"/>
  <c r="E186" i="51"/>
  <c r="E190" i="51"/>
  <c r="M194" i="51"/>
  <c r="N194" i="51" s="1"/>
  <c r="M202" i="51"/>
  <c r="N202" i="51" s="1"/>
  <c r="E208" i="51"/>
  <c r="M219" i="51"/>
  <c r="N219" i="51" s="1"/>
  <c r="M221" i="51"/>
  <c r="N221" i="51" s="1"/>
  <c r="N191" i="51"/>
  <c r="E216" i="51"/>
  <c r="L192" i="40"/>
  <c r="M192" i="40" s="1"/>
  <c r="H192" i="40"/>
  <c r="G192" i="40"/>
  <c r="F192" i="40"/>
  <c r="N192" i="40" s="1"/>
  <c r="O192" i="40" s="1"/>
  <c r="H402" i="16"/>
  <c r="G402" i="16"/>
  <c r="K402" i="16" s="1"/>
  <c r="F402" i="16"/>
  <c r="I402" i="16" s="1"/>
  <c r="J402" i="16" s="1"/>
  <c r="E402" i="16"/>
  <c r="L191" i="40"/>
  <c r="M191" i="40" s="1"/>
  <c r="H191" i="40"/>
  <c r="G191" i="40"/>
  <c r="F191" i="40"/>
  <c r="N191" i="40" s="1"/>
  <c r="O191" i="40" s="1"/>
  <c r="H401" i="16"/>
  <c r="G401" i="16"/>
  <c r="K401" i="16" s="1"/>
  <c r="F401" i="16"/>
  <c r="I401" i="16" s="1"/>
  <c r="J401" i="16" s="1"/>
  <c r="E401" i="16"/>
  <c r="L190" i="40"/>
  <c r="M190" i="40" s="1"/>
  <c r="H190" i="40"/>
  <c r="G190" i="40"/>
  <c r="F190" i="40"/>
  <c r="I190" i="40" s="1"/>
  <c r="J190" i="40" s="1"/>
  <c r="K190" i="40" s="1"/>
  <c r="I400" i="16"/>
  <c r="J400" i="16" s="1"/>
  <c r="H400" i="16"/>
  <c r="G400" i="16"/>
  <c r="K400" i="16" s="1"/>
  <c r="F400" i="16"/>
  <c r="E400" i="16"/>
  <c r="H399" i="16"/>
  <c r="G399" i="16"/>
  <c r="K399" i="16" s="1"/>
  <c r="F399" i="16"/>
  <c r="I399" i="16" s="1"/>
  <c r="J399" i="16" s="1"/>
  <c r="E399" i="16"/>
  <c r="H189" i="40"/>
  <c r="G189" i="40"/>
  <c r="F189" i="40"/>
  <c r="N189" i="40" s="1"/>
  <c r="H188" i="40"/>
  <c r="G188" i="40"/>
  <c r="F188" i="40"/>
  <c r="N188" i="40" s="1"/>
  <c r="O188" i="40" s="1"/>
  <c r="H398" i="16"/>
  <c r="G398" i="16"/>
  <c r="K398" i="16" s="1"/>
  <c r="F398" i="16"/>
  <c r="I398" i="16" s="1"/>
  <c r="J398" i="16" s="1"/>
  <c r="E398" i="16"/>
  <c r="H187" i="40"/>
  <c r="G187" i="40"/>
  <c r="F187" i="40"/>
  <c r="N187" i="40" s="1"/>
  <c r="I397" i="16"/>
  <c r="J397" i="16" s="1"/>
  <c r="H397" i="16"/>
  <c r="G397" i="16"/>
  <c r="K397" i="16" s="1"/>
  <c r="F397" i="16"/>
  <c r="E397" i="16"/>
  <c r="H396" i="16"/>
  <c r="G396" i="16"/>
  <c r="K396" i="16" s="1"/>
  <c r="F396" i="16"/>
  <c r="I396" i="16" s="1"/>
  <c r="J396" i="16" s="1"/>
  <c r="E396" i="16"/>
  <c r="H186" i="40"/>
  <c r="G186" i="40"/>
  <c r="F186" i="40"/>
  <c r="H395" i="16"/>
  <c r="G395" i="16"/>
  <c r="K395" i="16" s="1"/>
  <c r="F395" i="16"/>
  <c r="I395" i="16" s="1"/>
  <c r="J395" i="16" s="1"/>
  <c r="E395" i="16"/>
  <c r="I192" i="40" l="1"/>
  <c r="J192" i="40" s="1"/>
  <c r="K192" i="40" s="1"/>
  <c r="I191" i="40"/>
  <c r="J191" i="40" s="1"/>
  <c r="K191" i="40" s="1"/>
  <c r="N190" i="40"/>
  <c r="O190" i="40" s="1"/>
  <c r="O189" i="40"/>
  <c r="I189" i="40"/>
  <c r="I188" i="40"/>
  <c r="I187" i="40"/>
  <c r="N186" i="40"/>
  <c r="O186" i="40" s="1"/>
  <c r="I394" i="16"/>
  <c r="J394" i="16" s="1"/>
  <c r="H394" i="16"/>
  <c r="G394" i="16"/>
  <c r="K394" i="16" s="1"/>
  <c r="F394" i="16"/>
  <c r="E394" i="16"/>
  <c r="H185" i="40"/>
  <c r="G185" i="40"/>
  <c r="F185" i="40"/>
  <c r="N185" i="40" s="1"/>
  <c r="I393" i="16"/>
  <c r="J393" i="16" s="1"/>
  <c r="H393" i="16"/>
  <c r="G393" i="16"/>
  <c r="K393" i="16" s="1"/>
  <c r="F393" i="16"/>
  <c r="E393" i="16"/>
  <c r="I15" i="51"/>
  <c r="I153" i="51"/>
  <c r="F166" i="51"/>
  <c r="I30" i="51"/>
  <c r="I29" i="51"/>
  <c r="F3" i="51"/>
  <c r="I17" i="51"/>
  <c r="F42" i="51"/>
  <c r="I38" i="51"/>
  <c r="F31" i="51"/>
  <c r="F57" i="51"/>
  <c r="I115" i="51"/>
  <c r="I187" i="51"/>
  <c r="F156" i="51"/>
  <c r="F94" i="51"/>
  <c r="I159" i="51"/>
  <c r="I215" i="51"/>
  <c r="F43" i="51"/>
  <c r="I208" i="51"/>
  <c r="I73" i="51"/>
  <c r="I21" i="51"/>
  <c r="I98" i="51"/>
  <c r="F4" i="51"/>
  <c r="I128" i="51"/>
  <c r="I158" i="51"/>
  <c r="I14" i="51"/>
  <c r="I183" i="51"/>
  <c r="I63" i="51"/>
  <c r="F163" i="51"/>
  <c r="I156" i="51"/>
  <c r="F115" i="51"/>
  <c r="I52" i="51"/>
  <c r="F205" i="51"/>
  <c r="I93" i="51"/>
  <c r="F186" i="51"/>
  <c r="F62" i="51"/>
  <c r="I7" i="51"/>
  <c r="I37" i="51"/>
  <c r="I131" i="51"/>
  <c r="F34" i="51"/>
  <c r="F91" i="51"/>
  <c r="I57" i="51"/>
  <c r="F177" i="51"/>
  <c r="F99" i="51"/>
  <c r="F17" i="51"/>
  <c r="I199" i="51"/>
  <c r="F184" i="51"/>
  <c r="I59" i="51"/>
  <c r="I75" i="51"/>
  <c r="I33" i="51"/>
  <c r="F83" i="51"/>
  <c r="I145" i="51"/>
  <c r="I50" i="51"/>
  <c r="F141" i="51"/>
  <c r="F150" i="51"/>
  <c r="I83" i="51"/>
  <c r="I182" i="51"/>
  <c r="I170" i="51"/>
  <c r="I92" i="51"/>
  <c r="I45" i="51"/>
  <c r="F47" i="51"/>
  <c r="I181" i="51"/>
  <c r="I121" i="51"/>
  <c r="I118" i="51"/>
  <c r="I150" i="51"/>
  <c r="I197" i="51"/>
  <c r="F191" i="51"/>
  <c r="F172" i="51"/>
  <c r="I188" i="51"/>
  <c r="F117" i="51"/>
  <c r="F144" i="51"/>
  <c r="I65" i="51"/>
  <c r="F114" i="51"/>
  <c r="I70" i="51"/>
  <c r="F53" i="51"/>
  <c r="F85" i="51"/>
  <c r="F103" i="51"/>
  <c r="I169" i="51"/>
  <c r="F122" i="51"/>
  <c r="I177" i="51"/>
  <c r="F8" i="51"/>
  <c r="I85" i="51"/>
  <c r="F10" i="51"/>
  <c r="I204" i="51"/>
  <c r="F74" i="51"/>
  <c r="I127" i="51"/>
  <c r="F168" i="51"/>
  <c r="I102" i="51"/>
  <c r="F20" i="51"/>
  <c r="I78" i="51"/>
  <c r="F76" i="51"/>
  <c r="F155" i="51"/>
  <c r="I119" i="51"/>
  <c r="I189" i="51"/>
  <c r="F64" i="51"/>
  <c r="I80" i="51"/>
  <c r="F189" i="51"/>
  <c r="F129" i="51"/>
  <c r="I191" i="51"/>
  <c r="F82" i="51"/>
  <c r="F178" i="51"/>
  <c r="F142" i="51"/>
  <c r="I77" i="51"/>
  <c r="I194" i="51"/>
  <c r="F48" i="51"/>
  <c r="I205" i="51"/>
  <c r="F13" i="51"/>
  <c r="I195" i="51"/>
  <c r="I24" i="51"/>
  <c r="F15" i="51"/>
  <c r="F219" i="51"/>
  <c r="F24" i="51"/>
  <c r="I219" i="51"/>
  <c r="F70" i="51"/>
  <c r="I136" i="51"/>
  <c r="I101" i="51"/>
  <c r="F154" i="51"/>
  <c r="I149" i="51"/>
  <c r="F102" i="51"/>
  <c r="F59" i="51"/>
  <c r="F79" i="51"/>
  <c r="F108" i="51"/>
  <c r="F77" i="51"/>
  <c r="F21" i="51"/>
  <c r="I166" i="51"/>
  <c r="I202" i="51"/>
  <c r="I172" i="51"/>
  <c r="I71" i="51"/>
  <c r="I89" i="51"/>
  <c r="I13" i="51"/>
  <c r="F206" i="51"/>
  <c r="F12" i="51"/>
  <c r="F181" i="51"/>
  <c r="I56" i="51"/>
  <c r="F185" i="51"/>
  <c r="F49" i="51"/>
  <c r="I180" i="51"/>
  <c r="I201" i="51"/>
  <c r="I176" i="51"/>
  <c r="F101" i="51"/>
  <c r="I41" i="51"/>
  <c r="I19" i="51"/>
  <c r="I210" i="51"/>
  <c r="I32" i="51"/>
  <c r="I113" i="51"/>
  <c r="I185" i="51"/>
  <c r="F11" i="51"/>
  <c r="I48" i="51"/>
  <c r="I142" i="51"/>
  <c r="F69" i="51"/>
  <c r="F50" i="51"/>
  <c r="I31" i="51"/>
  <c r="I72" i="51"/>
  <c r="I198" i="51"/>
  <c r="I164" i="51"/>
  <c r="I54" i="51"/>
  <c r="F111" i="51"/>
  <c r="I186" i="51"/>
  <c r="F198" i="51"/>
  <c r="I211" i="51"/>
  <c r="I167" i="51"/>
  <c r="F215" i="51"/>
  <c r="I81" i="51"/>
  <c r="I157" i="51"/>
  <c r="F110" i="51"/>
  <c r="F14" i="51"/>
  <c r="F72" i="51"/>
  <c r="I193" i="51"/>
  <c r="F66" i="51"/>
  <c r="I221" i="51"/>
  <c r="F175" i="51"/>
  <c r="F78" i="51"/>
  <c r="I20" i="51"/>
  <c r="I5" i="51"/>
  <c r="I126" i="51"/>
  <c r="F204" i="51"/>
  <c r="F25" i="51"/>
  <c r="F162" i="51"/>
  <c r="F148" i="51"/>
  <c r="F87" i="51"/>
  <c r="F88" i="51"/>
  <c r="F167" i="51"/>
  <c r="F33" i="51"/>
  <c r="I124" i="51"/>
  <c r="F71" i="51"/>
  <c r="F128" i="51"/>
  <c r="I139" i="51"/>
  <c r="I74" i="51"/>
  <c r="F135" i="51"/>
  <c r="F208" i="51"/>
  <c r="F213" i="51"/>
  <c r="I28" i="51"/>
  <c r="F124" i="51"/>
  <c r="I132" i="51"/>
  <c r="I99" i="51"/>
  <c r="I96" i="51"/>
  <c r="F39" i="51"/>
  <c r="F180" i="51"/>
  <c r="F140" i="51"/>
  <c r="I104" i="51"/>
  <c r="F61" i="51"/>
  <c r="I110" i="51"/>
  <c r="F179" i="51"/>
  <c r="I94" i="51"/>
  <c r="I222" i="51"/>
  <c r="I76" i="51"/>
  <c r="F63" i="51"/>
  <c r="F67" i="51"/>
  <c r="F96" i="51"/>
  <c r="F56" i="51"/>
  <c r="I112" i="51"/>
  <c r="F84" i="51"/>
  <c r="F218" i="51"/>
  <c r="I3" i="51"/>
  <c r="F212" i="51"/>
  <c r="I138" i="51"/>
  <c r="F216" i="51"/>
  <c r="I107" i="51"/>
  <c r="F131" i="51"/>
  <c r="I9" i="51"/>
  <c r="I97" i="51"/>
  <c r="F203" i="51"/>
  <c r="I200" i="51"/>
  <c r="I49" i="51"/>
  <c r="I47" i="51"/>
  <c r="F207" i="51"/>
  <c r="F195" i="51"/>
  <c r="F73" i="51"/>
  <c r="F136" i="51"/>
  <c r="F118" i="51"/>
  <c r="F112" i="51"/>
  <c r="I133" i="51"/>
  <c r="F116" i="51"/>
  <c r="I140" i="51"/>
  <c r="I165" i="51"/>
  <c r="F95" i="51"/>
  <c r="F38" i="51"/>
  <c r="I141" i="51"/>
  <c r="F22" i="51"/>
  <c r="I206" i="51"/>
  <c r="F6" i="51"/>
  <c r="F161" i="51"/>
  <c r="F139" i="51"/>
  <c r="F220" i="51"/>
  <c r="I171" i="51"/>
  <c r="F104" i="51"/>
  <c r="I68" i="51"/>
  <c r="F80" i="51"/>
  <c r="F138" i="51"/>
  <c r="I40" i="51"/>
  <c r="F153" i="51"/>
  <c r="I108" i="51"/>
  <c r="I174" i="51"/>
  <c r="I220" i="51"/>
  <c r="I130" i="51"/>
  <c r="I137" i="51"/>
  <c r="F187" i="51"/>
  <c r="I100" i="51"/>
  <c r="F113" i="51"/>
  <c r="F147" i="51"/>
  <c r="I111" i="51"/>
  <c r="I213" i="51"/>
  <c r="F133" i="51"/>
  <c r="F169" i="51"/>
  <c r="I18" i="51"/>
  <c r="F52" i="51"/>
  <c r="I175" i="51"/>
  <c r="F165" i="51"/>
  <c r="I129" i="51"/>
  <c r="F197" i="51"/>
  <c r="I120" i="51"/>
  <c r="F55" i="51"/>
  <c r="I8" i="51"/>
  <c r="F123" i="51"/>
  <c r="I144" i="51"/>
  <c r="I64" i="51"/>
  <c r="F29" i="51"/>
  <c r="I122" i="51"/>
  <c r="I12" i="51"/>
  <c r="I135" i="51"/>
  <c r="F7" i="51"/>
  <c r="F143" i="51"/>
  <c r="I146" i="51"/>
  <c r="I214" i="51"/>
  <c r="F86" i="51"/>
  <c r="I154" i="51"/>
  <c r="I105" i="51"/>
  <c r="F202" i="51"/>
  <c r="I196" i="51"/>
  <c r="F176" i="51"/>
  <c r="I95" i="51"/>
  <c r="F130" i="51"/>
  <c r="F200" i="51"/>
  <c r="I53" i="51"/>
  <c r="F199" i="51"/>
  <c r="F107" i="51"/>
  <c r="F137" i="51"/>
  <c r="F146" i="51"/>
  <c r="F65" i="51"/>
  <c r="I58" i="51"/>
  <c r="I218" i="51"/>
  <c r="I11" i="51"/>
  <c r="I209" i="51"/>
  <c r="F93" i="51"/>
  <c r="F90" i="51"/>
  <c r="I39" i="51"/>
  <c r="F58" i="51"/>
  <c r="F100" i="51"/>
  <c r="I207" i="51"/>
  <c r="I91" i="51"/>
  <c r="I43" i="51"/>
  <c r="F92" i="51"/>
  <c r="F45" i="51"/>
  <c r="F106" i="51"/>
  <c r="F221" i="51"/>
  <c r="F196" i="51"/>
  <c r="I116" i="51"/>
  <c r="F18" i="51"/>
  <c r="I178" i="51"/>
  <c r="F37" i="51"/>
  <c r="F190" i="51"/>
  <c r="F44" i="51"/>
  <c r="I66" i="51"/>
  <c r="F211" i="51"/>
  <c r="I46" i="51"/>
  <c r="I22" i="51"/>
  <c r="F98" i="51"/>
  <c r="I103" i="51"/>
  <c r="F182" i="51"/>
  <c r="F151" i="51"/>
  <c r="F183" i="51"/>
  <c r="I16" i="51"/>
  <c r="F36" i="51"/>
  <c r="F41" i="51"/>
  <c r="I217" i="51"/>
  <c r="F97" i="51"/>
  <c r="I143" i="51"/>
  <c r="F201" i="51"/>
  <c r="F89" i="51"/>
  <c r="I106" i="51"/>
  <c r="I44" i="51"/>
  <c r="I51" i="51"/>
  <c r="I42" i="51"/>
  <c r="F209" i="51"/>
  <c r="I55" i="51"/>
  <c r="I155" i="51"/>
  <c r="I69" i="51"/>
  <c r="F125" i="51"/>
  <c r="F75" i="51"/>
  <c r="F157" i="51"/>
  <c r="I27" i="51"/>
  <c r="F193" i="51"/>
  <c r="F159" i="51"/>
  <c r="I26" i="51"/>
  <c r="I162" i="51"/>
  <c r="F210" i="51"/>
  <c r="F28" i="51"/>
  <c r="I82" i="51"/>
  <c r="F170" i="51"/>
  <c r="I67" i="51"/>
  <c r="F217" i="51"/>
  <c r="F51" i="51"/>
  <c r="I190" i="51"/>
  <c r="F35" i="51"/>
  <c r="I109" i="51"/>
  <c r="F173" i="51"/>
  <c r="I88" i="51"/>
  <c r="F132" i="51"/>
  <c r="F60" i="51"/>
  <c r="I148" i="51"/>
  <c r="F46" i="51"/>
  <c r="F192" i="51"/>
  <c r="F145" i="51"/>
  <c r="I160" i="51"/>
  <c r="I114" i="51"/>
  <c r="I60" i="51"/>
  <c r="F127" i="51"/>
  <c r="I125" i="51"/>
  <c r="I86" i="51"/>
  <c r="F158" i="51"/>
  <c r="F19" i="51"/>
  <c r="I161" i="51"/>
  <c r="I36" i="51"/>
  <c r="F109" i="51"/>
  <c r="F81" i="51"/>
  <c r="I84" i="51"/>
  <c r="I6" i="51"/>
  <c r="I168" i="51"/>
  <c r="F214" i="51"/>
  <c r="F26" i="51"/>
  <c r="I4" i="51"/>
  <c r="I179" i="51"/>
  <c r="F174" i="51"/>
  <c r="I79" i="51"/>
  <c r="F5" i="51"/>
  <c r="F68" i="51"/>
  <c r="I147" i="51"/>
  <c r="I123" i="51"/>
  <c r="I203" i="51"/>
  <c r="F164" i="51"/>
  <c r="F171" i="51"/>
  <c r="F32" i="51"/>
  <c r="F222" i="51"/>
  <c r="I151" i="51"/>
  <c r="I34" i="51"/>
  <c r="I184" i="51"/>
  <c r="I163" i="51"/>
  <c r="F9" i="51"/>
  <c r="F134" i="51"/>
  <c r="F121" i="51"/>
  <c r="I212" i="51"/>
  <c r="F160" i="51"/>
  <c r="I23" i="51"/>
  <c r="F16" i="51"/>
  <c r="I152" i="51"/>
  <c r="I35" i="51"/>
  <c r="I62" i="51"/>
  <c r="F188" i="51"/>
  <c r="I216" i="51"/>
  <c r="F126" i="51"/>
  <c r="F27" i="51"/>
  <c r="F194" i="51"/>
  <c r="F30" i="51"/>
  <c r="F54" i="51"/>
  <c r="F152" i="51"/>
  <c r="F105" i="51"/>
  <c r="I87" i="51"/>
  <c r="F149" i="51"/>
  <c r="I25" i="51"/>
  <c r="F23" i="51"/>
  <c r="I192" i="51"/>
  <c r="I117" i="51"/>
  <c r="I90" i="51"/>
  <c r="F119" i="51"/>
  <c r="F40" i="51"/>
  <c r="I173" i="51"/>
  <c r="I10" i="51"/>
  <c r="F120" i="51"/>
  <c r="I61" i="51"/>
  <c r="I134" i="51"/>
  <c r="J64" i="51" l="1"/>
  <c r="K64" i="51" s="1"/>
  <c r="J213" i="51"/>
  <c r="K213" i="51" s="1"/>
  <c r="J70" i="51"/>
  <c r="K70" i="51" s="1"/>
  <c r="J67" i="51"/>
  <c r="K67" i="51" s="1"/>
  <c r="J183" i="51"/>
  <c r="K183" i="51" s="1"/>
  <c r="J109" i="51"/>
  <c r="K109" i="51" s="1"/>
  <c r="G123" i="51"/>
  <c r="H123" i="51" s="1"/>
  <c r="G117" i="51"/>
  <c r="H117" i="51" s="1"/>
  <c r="J189" i="51"/>
  <c r="K189" i="51" s="1"/>
  <c r="G160" i="51"/>
  <c r="H160" i="51" s="1"/>
  <c r="G192" i="51"/>
  <c r="H192" i="51" s="1"/>
  <c r="J18" i="51"/>
  <c r="K18" i="51" s="1"/>
  <c r="J188" i="51"/>
  <c r="K188" i="51" s="1"/>
  <c r="J196" i="51"/>
  <c r="K196" i="51" s="1"/>
  <c r="J68" i="51"/>
  <c r="K68" i="51" s="1"/>
  <c r="G158" i="51"/>
  <c r="H158" i="51" s="1"/>
  <c r="J4" i="51"/>
  <c r="K4" i="51" s="1"/>
  <c r="J41" i="51"/>
  <c r="K41" i="51" s="1"/>
  <c r="G137" i="51"/>
  <c r="H137" i="51" s="1"/>
  <c r="G66" i="51"/>
  <c r="H66" i="51" s="1"/>
  <c r="G147" i="51"/>
  <c r="H147" i="51" s="1"/>
  <c r="G138" i="51"/>
  <c r="H138" i="51" s="1"/>
  <c r="G200" i="51"/>
  <c r="H200" i="51" s="1"/>
  <c r="J117" i="51"/>
  <c r="K117" i="51" s="1"/>
  <c r="J202" i="51"/>
  <c r="K202" i="51" s="1"/>
  <c r="J61" i="51"/>
  <c r="K61" i="51" s="1"/>
  <c r="J153" i="51"/>
  <c r="K153" i="51" s="1"/>
  <c r="J26" i="51"/>
  <c r="K26" i="51" s="1"/>
  <c r="J50" i="51"/>
  <c r="K50" i="51" s="1"/>
  <c r="G89" i="51"/>
  <c r="H89" i="51" s="1"/>
  <c r="G97" i="51"/>
  <c r="H97" i="51" s="1"/>
  <c r="J119" i="51"/>
  <c r="K119" i="51" s="1"/>
  <c r="J187" i="51"/>
  <c r="K187" i="51" s="1"/>
  <c r="G17" i="51"/>
  <c r="H17" i="51" s="1"/>
  <c r="J190" i="51"/>
  <c r="K190" i="51" s="1"/>
  <c r="G56" i="51"/>
  <c r="H56" i="51" s="1"/>
  <c r="J120" i="51"/>
  <c r="K120" i="51" s="1"/>
  <c r="G136" i="51"/>
  <c r="H136" i="51" s="1"/>
  <c r="G47" i="51"/>
  <c r="H47" i="51" s="1"/>
  <c r="G75" i="51"/>
  <c r="H75" i="51" s="1"/>
  <c r="G222" i="51"/>
  <c r="H222" i="51" s="1"/>
  <c r="J150" i="51"/>
  <c r="K150" i="51" s="1"/>
  <c r="J59" i="51"/>
  <c r="K59" i="51" s="1"/>
  <c r="G82" i="51"/>
  <c r="H82" i="51" s="1"/>
  <c r="J112" i="51"/>
  <c r="K112" i="51" s="1"/>
  <c r="J151" i="51"/>
  <c r="K151" i="51" s="1"/>
  <c r="J214" i="51"/>
  <c r="K214" i="51" s="1"/>
  <c r="G81" i="51"/>
  <c r="H81" i="51" s="1"/>
  <c r="J199" i="51"/>
  <c r="K199" i="51" s="1"/>
  <c r="J86" i="51"/>
  <c r="K86" i="51" s="1"/>
  <c r="J127" i="51"/>
  <c r="K127" i="51" s="1"/>
  <c r="G166" i="51"/>
  <c r="H166" i="51" s="1"/>
  <c r="J135" i="51"/>
  <c r="K135" i="51" s="1"/>
  <c r="J19" i="51"/>
  <c r="K19" i="51" s="1"/>
  <c r="J11" i="51"/>
  <c r="K11" i="51" s="1"/>
  <c r="G61" i="51"/>
  <c r="H61" i="51" s="1"/>
  <c r="G44" i="51"/>
  <c r="H44" i="51" s="1"/>
  <c r="G211" i="51"/>
  <c r="H211" i="51" s="1"/>
  <c r="G159" i="51"/>
  <c r="H159" i="51" s="1"/>
  <c r="J130" i="51"/>
  <c r="K130" i="51" s="1"/>
  <c r="J145" i="51"/>
  <c r="K145" i="51" s="1"/>
  <c r="G167" i="51"/>
  <c r="H167" i="51" s="1"/>
  <c r="G209" i="51"/>
  <c r="H209" i="51" s="1"/>
  <c r="G146" i="51"/>
  <c r="H146" i="51" s="1"/>
  <c r="G6" i="51"/>
  <c r="H6" i="51" s="1"/>
  <c r="J185" i="51"/>
  <c r="K185" i="51" s="1"/>
  <c r="G164" i="51"/>
  <c r="H164" i="51" s="1"/>
  <c r="J9" i="51"/>
  <c r="K9" i="51" s="1"/>
  <c r="G76" i="51"/>
  <c r="H76" i="51" s="1"/>
  <c r="G99" i="51"/>
  <c r="H99" i="51" s="1"/>
  <c r="J81" i="51"/>
  <c r="K81" i="51" s="1"/>
  <c r="G10" i="51"/>
  <c r="H10" i="51" s="1"/>
  <c r="G217" i="51"/>
  <c r="H217" i="51" s="1"/>
  <c r="J78" i="51"/>
  <c r="K78" i="51" s="1"/>
  <c r="J216" i="51"/>
  <c r="K216" i="51" s="1"/>
  <c r="J51" i="51"/>
  <c r="K51" i="51" s="1"/>
  <c r="G87" i="51"/>
  <c r="H87" i="51" s="1"/>
  <c r="J97" i="51"/>
  <c r="K97" i="51" s="1"/>
  <c r="G119" i="51"/>
  <c r="H119" i="51" s="1"/>
  <c r="G111" i="51"/>
  <c r="H111" i="51" s="1"/>
  <c r="J28" i="51"/>
  <c r="K28" i="51" s="1"/>
  <c r="G193" i="51"/>
  <c r="H193" i="51" s="1"/>
  <c r="J34" i="51"/>
  <c r="K34" i="51" s="1"/>
  <c r="G69" i="51"/>
  <c r="H69" i="51" s="1"/>
  <c r="J193" i="51"/>
  <c r="K193" i="51" s="1"/>
  <c r="J198" i="51"/>
  <c r="K198" i="51" s="1"/>
  <c r="J54" i="51"/>
  <c r="K54" i="51" s="1"/>
  <c r="G71" i="51"/>
  <c r="H71" i="51" s="1"/>
  <c r="G148" i="51"/>
  <c r="H148" i="51" s="1"/>
  <c r="G122" i="51"/>
  <c r="H122" i="51" s="1"/>
  <c r="J148" i="51"/>
  <c r="K148" i="51" s="1"/>
  <c r="G134" i="51"/>
  <c r="H134" i="51" s="1"/>
  <c r="G131" i="51"/>
  <c r="H131" i="51" s="1"/>
  <c r="J85" i="51"/>
  <c r="K85" i="51" s="1"/>
  <c r="J158" i="51"/>
  <c r="K158" i="51" s="1"/>
  <c r="J115" i="51"/>
  <c r="K115" i="51" s="1"/>
  <c r="J22" i="51"/>
  <c r="K22" i="51" s="1"/>
  <c r="G170" i="51"/>
  <c r="H170" i="51" s="1"/>
  <c r="J65" i="51"/>
  <c r="K65" i="51" s="1"/>
  <c r="J222" i="51"/>
  <c r="K222" i="51" s="1"/>
  <c r="J137" i="51"/>
  <c r="K137" i="51" s="1"/>
  <c r="G216" i="51"/>
  <c r="H216" i="51" s="1"/>
  <c r="J171" i="51"/>
  <c r="K171" i="51" s="1"/>
  <c r="G208" i="51"/>
  <c r="H208" i="51" s="1"/>
  <c r="J23" i="51"/>
  <c r="K23" i="51" s="1"/>
  <c r="J40" i="51"/>
  <c r="K40" i="51" s="1"/>
  <c r="J32" i="51"/>
  <c r="K32" i="51" s="1"/>
  <c r="J152" i="51"/>
  <c r="K152" i="51" s="1"/>
  <c r="J73" i="51"/>
  <c r="K73" i="51" s="1"/>
  <c r="J155" i="51"/>
  <c r="K155" i="51" s="1"/>
  <c r="J172" i="51"/>
  <c r="K172" i="51" s="1"/>
  <c r="J88" i="51"/>
  <c r="K88" i="51" s="1"/>
  <c r="J31" i="51"/>
  <c r="K31" i="51" s="1"/>
  <c r="J165" i="51"/>
  <c r="K165" i="51" s="1"/>
  <c r="G93" i="51"/>
  <c r="H93" i="51" s="1"/>
  <c r="G203" i="51"/>
  <c r="H203" i="51" s="1"/>
  <c r="G183" i="51"/>
  <c r="H183" i="51" s="1"/>
  <c r="G180" i="51"/>
  <c r="H180" i="51" s="1"/>
  <c r="G210" i="51"/>
  <c r="H210" i="51" s="1"/>
  <c r="J125" i="51"/>
  <c r="K125" i="51" s="1"/>
  <c r="G68" i="51"/>
  <c r="H68" i="51" s="1"/>
  <c r="G91" i="51"/>
  <c r="H91" i="51" s="1"/>
  <c r="G50" i="51"/>
  <c r="H50" i="51" s="1"/>
  <c r="J99" i="51"/>
  <c r="K99" i="51" s="1"/>
  <c r="J159" i="51"/>
  <c r="K159" i="51" s="1"/>
  <c r="G95" i="51"/>
  <c r="H95" i="51" s="1"/>
  <c r="J144" i="51"/>
  <c r="K144" i="51" s="1"/>
  <c r="G45" i="51"/>
  <c r="H45" i="51" s="1"/>
  <c r="G219" i="51"/>
  <c r="H219" i="51" s="1"/>
  <c r="G139" i="51"/>
  <c r="H139" i="51" s="1"/>
  <c r="G106" i="51"/>
  <c r="H106" i="51" s="1"/>
  <c r="J181" i="51"/>
  <c r="K181" i="51" s="1"/>
  <c r="G130" i="51"/>
  <c r="H130" i="51" s="1"/>
  <c r="J42" i="51"/>
  <c r="K42" i="51" s="1"/>
  <c r="G104" i="51"/>
  <c r="H104" i="51" s="1"/>
  <c r="J212" i="51"/>
  <c r="K212" i="51" s="1"/>
  <c r="G140" i="51"/>
  <c r="H140" i="51" s="1"/>
  <c r="J122" i="51"/>
  <c r="K122" i="51" s="1"/>
  <c r="G189" i="51"/>
  <c r="H189" i="51" s="1"/>
  <c r="J173" i="51"/>
  <c r="K173" i="51" s="1"/>
  <c r="J201" i="51"/>
  <c r="K201" i="51" s="1"/>
  <c r="J52" i="51"/>
  <c r="K52" i="51" s="1"/>
  <c r="G195" i="51"/>
  <c r="H195" i="51" s="1"/>
  <c r="G207" i="51"/>
  <c r="H207" i="51" s="1"/>
  <c r="G46" i="51"/>
  <c r="H46" i="51" s="1"/>
  <c r="J131" i="51"/>
  <c r="K131" i="51" s="1"/>
  <c r="G62" i="51"/>
  <c r="H62" i="51" s="1"/>
  <c r="J218" i="51"/>
  <c r="K218" i="51" s="1"/>
  <c r="G83" i="51"/>
  <c r="H83" i="51" s="1"/>
  <c r="G218" i="51"/>
  <c r="H218" i="51" s="1"/>
  <c r="J10" i="51"/>
  <c r="K10" i="51" s="1"/>
  <c r="J91" i="51"/>
  <c r="K91" i="51" s="1"/>
  <c r="G199" i="51"/>
  <c r="H199" i="51" s="1"/>
  <c r="G19" i="51"/>
  <c r="H19" i="51" s="1"/>
  <c r="J83" i="51"/>
  <c r="K83" i="51" s="1"/>
  <c r="G103" i="51"/>
  <c r="H103" i="51" s="1"/>
  <c r="G215" i="51"/>
  <c r="H215" i="51" s="1"/>
  <c r="J90" i="51"/>
  <c r="K90" i="51" s="1"/>
  <c r="J147" i="51"/>
  <c r="K147" i="51" s="1"/>
  <c r="G213" i="51"/>
  <c r="H213" i="51" s="1"/>
  <c r="G88" i="51"/>
  <c r="H88" i="51" s="1"/>
  <c r="G127" i="51"/>
  <c r="H127" i="51" s="1"/>
  <c r="J57" i="51"/>
  <c r="K57" i="51" s="1"/>
  <c r="J46" i="51"/>
  <c r="K46" i="51" s="1"/>
  <c r="G55" i="51"/>
  <c r="H55" i="51" s="1"/>
  <c r="G14" i="51"/>
  <c r="H14" i="51" s="1"/>
  <c r="J180" i="51"/>
  <c r="K180" i="51" s="1"/>
  <c r="G114" i="51"/>
  <c r="H114" i="51" s="1"/>
  <c r="J103" i="51"/>
  <c r="K103" i="51" s="1"/>
  <c r="G132" i="51"/>
  <c r="H132" i="51" s="1"/>
  <c r="J118" i="51"/>
  <c r="K118" i="51" s="1"/>
  <c r="G80" i="51"/>
  <c r="H80" i="51" s="1"/>
  <c r="G30" i="51"/>
  <c r="H30" i="51" s="1"/>
  <c r="J24" i="51"/>
  <c r="K24" i="51" s="1"/>
  <c r="J93" i="51"/>
  <c r="K93" i="51" s="1"/>
  <c r="G20" i="51"/>
  <c r="H20" i="51" s="1"/>
  <c r="G57" i="51"/>
  <c r="H57" i="51" s="1"/>
  <c r="J141" i="51"/>
  <c r="K141" i="51" s="1"/>
  <c r="G42" i="51"/>
  <c r="H42" i="51" s="1"/>
  <c r="J71" i="51"/>
  <c r="K71" i="51" s="1"/>
  <c r="J123" i="51"/>
  <c r="K123" i="51" s="1"/>
  <c r="G41" i="51"/>
  <c r="H41" i="51" s="1"/>
  <c r="J37" i="51"/>
  <c r="K37" i="51" s="1"/>
  <c r="G221" i="51"/>
  <c r="H221" i="51" s="1"/>
  <c r="J192" i="51"/>
  <c r="K192" i="51" s="1"/>
  <c r="J13" i="51"/>
  <c r="K13" i="51" s="1"/>
  <c r="J116" i="51"/>
  <c r="K116" i="51" s="1"/>
  <c r="G38" i="51"/>
  <c r="H38" i="51" s="1"/>
  <c r="G124" i="51"/>
  <c r="H124" i="51" s="1"/>
  <c r="G190" i="51"/>
  <c r="H190" i="51" s="1"/>
  <c r="G198" i="51"/>
  <c r="H198" i="51" s="1"/>
  <c r="G171" i="51"/>
  <c r="H171" i="51" s="1"/>
  <c r="J177" i="51"/>
  <c r="K177" i="51" s="1"/>
  <c r="G35" i="51"/>
  <c r="H35" i="51" s="1"/>
  <c r="G13" i="51"/>
  <c r="H13" i="51" s="1"/>
  <c r="G73" i="51"/>
  <c r="H73" i="51" s="1"/>
  <c r="G115" i="51"/>
  <c r="H115" i="51" s="1"/>
  <c r="G36" i="51"/>
  <c r="H36" i="51" s="1"/>
  <c r="G9" i="51"/>
  <c r="H9" i="51" s="1"/>
  <c r="G204" i="51"/>
  <c r="H204" i="51" s="1"/>
  <c r="J92" i="51"/>
  <c r="K92" i="51" s="1"/>
  <c r="G63" i="51"/>
  <c r="H63" i="51" s="1"/>
  <c r="J134" i="51"/>
  <c r="K134" i="51" s="1"/>
  <c r="G31" i="51"/>
  <c r="H31" i="51" s="1"/>
  <c r="J21" i="51"/>
  <c r="K21" i="51" s="1"/>
  <c r="J136" i="51"/>
  <c r="K136" i="51" s="1"/>
  <c r="J98" i="51"/>
  <c r="K98" i="51" s="1"/>
  <c r="G128" i="51"/>
  <c r="H128" i="51" s="1"/>
  <c r="J215" i="51"/>
  <c r="K215" i="51" s="1"/>
  <c r="G25" i="51"/>
  <c r="H25" i="51" s="1"/>
  <c r="J62" i="51"/>
  <c r="K62" i="51" s="1"/>
  <c r="G194" i="51"/>
  <c r="H194" i="51" s="1"/>
  <c r="J44" i="51"/>
  <c r="K44" i="51" s="1"/>
  <c r="J107" i="51"/>
  <c r="K107" i="51" s="1"/>
  <c r="G175" i="51"/>
  <c r="H175" i="51" s="1"/>
  <c r="G54" i="51"/>
  <c r="H54" i="51" s="1"/>
  <c r="G37" i="51"/>
  <c r="H37" i="51" s="1"/>
  <c r="G184" i="51"/>
  <c r="H184" i="51" s="1"/>
  <c r="G174" i="51"/>
  <c r="H174" i="51" s="1"/>
  <c r="G65" i="51"/>
  <c r="H65" i="51" s="1"/>
  <c r="J105" i="51"/>
  <c r="K105" i="51" s="1"/>
  <c r="J164" i="51"/>
  <c r="K164" i="51" s="1"/>
  <c r="J49" i="51"/>
  <c r="K49" i="51" s="1"/>
  <c r="G179" i="51"/>
  <c r="H179" i="51" s="1"/>
  <c r="J174" i="51"/>
  <c r="K174" i="51" s="1"/>
  <c r="G121" i="51"/>
  <c r="H121" i="51" s="1"/>
  <c r="G161" i="51"/>
  <c r="H161" i="51" s="1"/>
  <c r="G169" i="51"/>
  <c r="H169" i="51" s="1"/>
  <c r="G23" i="51"/>
  <c r="H23" i="51" s="1"/>
  <c r="J72" i="51"/>
  <c r="K72" i="51" s="1"/>
  <c r="J89" i="51"/>
  <c r="K89" i="51" s="1"/>
  <c r="J168" i="51"/>
  <c r="K168" i="51" s="1"/>
  <c r="G51" i="51"/>
  <c r="H51" i="51" s="1"/>
  <c r="J7" i="51"/>
  <c r="K7" i="51" s="1"/>
  <c r="J30" i="51"/>
  <c r="K30" i="51" s="1"/>
  <c r="G178" i="51"/>
  <c r="H178" i="51" s="1"/>
  <c r="J14" i="51"/>
  <c r="K14" i="51" s="1"/>
  <c r="G181" i="51"/>
  <c r="H181" i="51" s="1"/>
  <c r="J138" i="51"/>
  <c r="K138" i="51" s="1"/>
  <c r="G105" i="51"/>
  <c r="H105" i="51" s="1"/>
  <c r="J53" i="51"/>
  <c r="K53" i="51" s="1"/>
  <c r="G79" i="51"/>
  <c r="H79" i="51" s="1"/>
  <c r="J102" i="51"/>
  <c r="K102" i="51" s="1"/>
  <c r="J220" i="51"/>
  <c r="K220" i="51" s="1"/>
  <c r="J169" i="51"/>
  <c r="K169" i="51" s="1"/>
  <c r="G100" i="51"/>
  <c r="H100" i="51" s="1"/>
  <c r="J146" i="51"/>
  <c r="K146" i="51" s="1"/>
  <c r="J217" i="51"/>
  <c r="K217" i="51" s="1"/>
  <c r="G168" i="51"/>
  <c r="H168" i="51" s="1"/>
  <c r="G135" i="51"/>
  <c r="H135" i="51" s="1"/>
  <c r="J219" i="51"/>
  <c r="K219" i="51" s="1"/>
  <c r="J29" i="51"/>
  <c r="K29" i="51" s="1"/>
  <c r="J94" i="51"/>
  <c r="K94" i="51" s="1"/>
  <c r="G118" i="51"/>
  <c r="H118" i="51" s="1"/>
  <c r="J186" i="51"/>
  <c r="K186" i="51" s="1"/>
  <c r="J43" i="51"/>
  <c r="K43" i="51" s="1"/>
  <c r="J175" i="51"/>
  <c r="K175" i="51" s="1"/>
  <c r="J140" i="51"/>
  <c r="K140" i="51" s="1"/>
  <c r="G102" i="51"/>
  <c r="H102" i="51" s="1"/>
  <c r="J179" i="51"/>
  <c r="K179" i="51" s="1"/>
  <c r="G206" i="51"/>
  <c r="H206" i="51" s="1"/>
  <c r="G125" i="51"/>
  <c r="H125" i="51" s="1"/>
  <c r="G26" i="51"/>
  <c r="H26" i="51" s="1"/>
  <c r="J63" i="51"/>
  <c r="K63" i="51" s="1"/>
  <c r="J27" i="51"/>
  <c r="K27" i="51" s="1"/>
  <c r="J38" i="51"/>
  <c r="K38" i="51" s="1"/>
  <c r="G154" i="51"/>
  <c r="H154" i="51" s="1"/>
  <c r="J207" i="51"/>
  <c r="K207" i="51" s="1"/>
  <c r="G29" i="51"/>
  <c r="H29" i="51" s="1"/>
  <c r="J17" i="51"/>
  <c r="K17" i="51" s="1"/>
  <c r="J132" i="51"/>
  <c r="K132" i="51" s="1"/>
  <c r="J106" i="51"/>
  <c r="K106" i="51" s="1"/>
  <c r="J60" i="51"/>
  <c r="K60" i="51" s="1"/>
  <c r="J96" i="51"/>
  <c r="K96" i="51" s="1"/>
  <c r="J204" i="51"/>
  <c r="K204" i="51" s="1"/>
  <c r="J100" i="51"/>
  <c r="K100" i="51" s="1"/>
  <c r="G110" i="51"/>
  <c r="H110" i="51" s="1"/>
  <c r="G197" i="51"/>
  <c r="H197" i="51" s="1"/>
  <c r="G188" i="51"/>
  <c r="H188" i="51" s="1"/>
  <c r="G112" i="51"/>
  <c r="H112" i="51" s="1"/>
  <c r="J166" i="51"/>
  <c r="K166" i="51" s="1"/>
  <c r="G59" i="51"/>
  <c r="H59" i="51" s="1"/>
  <c r="J194" i="51"/>
  <c r="K194" i="51" s="1"/>
  <c r="J142" i="51"/>
  <c r="K142" i="51" s="1"/>
  <c r="G141" i="51"/>
  <c r="H141" i="51" s="1"/>
  <c r="G53" i="51"/>
  <c r="H53" i="51" s="1"/>
  <c r="G70" i="51"/>
  <c r="H70" i="51" s="1"/>
  <c r="J76" i="51"/>
  <c r="K76" i="51" s="1"/>
  <c r="J5" i="51"/>
  <c r="K5" i="51" s="1"/>
  <c r="J110" i="51"/>
  <c r="K110" i="51" s="1"/>
  <c r="G86" i="51"/>
  <c r="H86" i="51" s="1"/>
  <c r="G173" i="51"/>
  <c r="H173" i="51" s="1"/>
  <c r="J133" i="51"/>
  <c r="K133" i="51" s="1"/>
  <c r="G85" i="51"/>
  <c r="H85" i="51" s="1"/>
  <c r="J208" i="51"/>
  <c r="K208" i="51" s="1"/>
  <c r="G77" i="51"/>
  <c r="H77" i="51" s="1"/>
  <c r="G96" i="51"/>
  <c r="H96" i="51" s="1"/>
  <c r="G177" i="51"/>
  <c r="H177" i="51" s="1"/>
  <c r="J167" i="51"/>
  <c r="K167" i="51" s="1"/>
  <c r="J20" i="51"/>
  <c r="K20" i="51" s="1"/>
  <c r="G90" i="51"/>
  <c r="H90" i="51" s="1"/>
  <c r="J35" i="51"/>
  <c r="K35" i="51" s="1"/>
  <c r="G113" i="51"/>
  <c r="H113" i="51" s="1"/>
  <c r="J154" i="51"/>
  <c r="K154" i="51" s="1"/>
  <c r="J161" i="51"/>
  <c r="K161" i="51" s="1"/>
  <c r="J124" i="51"/>
  <c r="K124" i="51" s="1"/>
  <c r="J48" i="51"/>
  <c r="K48" i="51" s="1"/>
  <c r="J221" i="51"/>
  <c r="K221" i="51" s="1"/>
  <c r="J170" i="51"/>
  <c r="K170" i="51" s="1"/>
  <c r="G176" i="51"/>
  <c r="H176" i="51" s="1"/>
  <c r="J56" i="51"/>
  <c r="K56" i="51" s="1"/>
  <c r="J203" i="51"/>
  <c r="K203" i="51" s="1"/>
  <c r="J206" i="51"/>
  <c r="K206" i="51" s="1"/>
  <c r="G109" i="51"/>
  <c r="H109" i="51" s="1"/>
  <c r="G152" i="51"/>
  <c r="H152" i="51" s="1"/>
  <c r="G5" i="51"/>
  <c r="H5" i="51" s="1"/>
  <c r="G8" i="51"/>
  <c r="H8" i="51" s="1"/>
  <c r="J12" i="51"/>
  <c r="K12" i="51" s="1"/>
  <c r="G22" i="51"/>
  <c r="H22" i="51" s="1"/>
  <c r="G15" i="51"/>
  <c r="H15" i="51" s="1"/>
  <c r="J45" i="51"/>
  <c r="K45" i="51" s="1"/>
  <c r="G34" i="51"/>
  <c r="H34" i="51" s="1"/>
  <c r="G185" i="51"/>
  <c r="H185" i="51" s="1"/>
  <c r="G21" i="51"/>
  <c r="H21" i="51" s="1"/>
  <c r="G108" i="51"/>
  <c r="H108" i="51" s="1"/>
  <c r="G143" i="51"/>
  <c r="H143" i="51" s="1"/>
  <c r="G60" i="51"/>
  <c r="H60" i="51" s="1"/>
  <c r="G64" i="51"/>
  <c r="H64" i="51" s="1"/>
  <c r="G151" i="51"/>
  <c r="H151" i="51" s="1"/>
  <c r="G48" i="51"/>
  <c r="H48" i="51" s="1"/>
  <c r="J178" i="51"/>
  <c r="K178" i="51" s="1"/>
  <c r="J108" i="51"/>
  <c r="K108" i="51" s="1"/>
  <c r="J162" i="51"/>
  <c r="K162" i="51" s="1"/>
  <c r="G129" i="51"/>
  <c r="H129" i="51" s="1"/>
  <c r="J121" i="51"/>
  <c r="K121" i="51" s="1"/>
  <c r="J209" i="51"/>
  <c r="K209" i="51" s="1"/>
  <c r="J111" i="51"/>
  <c r="K111" i="51" s="1"/>
  <c r="J75" i="51"/>
  <c r="K75" i="51" s="1"/>
  <c r="J184" i="51"/>
  <c r="K184" i="51" s="1"/>
  <c r="G116" i="51"/>
  <c r="H116" i="51" s="1"/>
  <c r="G156" i="51"/>
  <c r="H156" i="51" s="1"/>
  <c r="G149" i="51"/>
  <c r="H149" i="51" s="1"/>
  <c r="G201" i="51"/>
  <c r="H201" i="51" s="1"/>
  <c r="G92" i="51"/>
  <c r="H92" i="51" s="1"/>
  <c r="J191" i="51"/>
  <c r="K191" i="51" s="1"/>
  <c r="G144" i="51"/>
  <c r="H144" i="51" s="1"/>
  <c r="G74" i="51"/>
  <c r="H74" i="51" s="1"/>
  <c r="G220" i="51"/>
  <c r="H220" i="51" s="1"/>
  <c r="J129" i="51"/>
  <c r="K129" i="51" s="1"/>
  <c r="G7" i="51"/>
  <c r="H7" i="51" s="1"/>
  <c r="J176" i="51"/>
  <c r="K176" i="51" s="1"/>
  <c r="G39" i="51"/>
  <c r="H39" i="51" s="1"/>
  <c r="G67" i="51"/>
  <c r="H67" i="51" s="1"/>
  <c r="J200" i="51"/>
  <c r="K200" i="51" s="1"/>
  <c r="G187" i="51"/>
  <c r="H187" i="51" s="1"/>
  <c r="G78" i="51"/>
  <c r="H78" i="51" s="1"/>
  <c r="J3" i="51"/>
  <c r="K3" i="51" s="1"/>
  <c r="J163" i="51"/>
  <c r="K163" i="51" s="1"/>
  <c r="J74" i="51"/>
  <c r="K74" i="51" s="1"/>
  <c r="J66" i="51"/>
  <c r="K66" i="51" s="1"/>
  <c r="G3" i="51"/>
  <c r="H3" i="51" s="1"/>
  <c r="G33" i="51"/>
  <c r="H33" i="51" s="1"/>
  <c r="J55" i="51"/>
  <c r="K55" i="51" s="1"/>
  <c r="G43" i="51"/>
  <c r="H43" i="51" s="1"/>
  <c r="J113" i="51"/>
  <c r="K113" i="51" s="1"/>
  <c r="G11" i="51"/>
  <c r="H11" i="51" s="1"/>
  <c r="G205" i="51"/>
  <c r="H205" i="51" s="1"/>
  <c r="G155" i="51"/>
  <c r="H155" i="51" s="1"/>
  <c r="G49" i="51"/>
  <c r="H49" i="51" s="1"/>
  <c r="J114" i="51"/>
  <c r="K114" i="51" s="1"/>
  <c r="G120" i="51"/>
  <c r="H120" i="51" s="1"/>
  <c r="J197" i="51"/>
  <c r="K197" i="51" s="1"/>
  <c r="J16" i="51"/>
  <c r="K16" i="51" s="1"/>
  <c r="G172" i="51"/>
  <c r="H172" i="51" s="1"/>
  <c r="G214" i="51"/>
  <c r="H214" i="51" s="1"/>
  <c r="G162" i="51"/>
  <c r="H162" i="51" s="1"/>
  <c r="J126" i="51"/>
  <c r="K126" i="51" s="1"/>
  <c r="G163" i="51"/>
  <c r="H163" i="51" s="1"/>
  <c r="G94" i="51"/>
  <c r="H94" i="51" s="1"/>
  <c r="G52" i="51"/>
  <c r="H52" i="51" s="1"/>
  <c r="G133" i="51"/>
  <c r="H133" i="51" s="1"/>
  <c r="G24" i="51"/>
  <c r="H24" i="51" s="1"/>
  <c r="J69" i="51"/>
  <c r="K69" i="51" s="1"/>
  <c r="G191" i="51"/>
  <c r="H191" i="51" s="1"/>
  <c r="J33" i="51"/>
  <c r="K33" i="51" s="1"/>
  <c r="G142" i="51"/>
  <c r="H142" i="51" s="1"/>
  <c r="J36" i="51"/>
  <c r="K36" i="51" s="1"/>
  <c r="G16" i="51"/>
  <c r="H16" i="51" s="1"/>
  <c r="J205" i="51"/>
  <c r="K205" i="51" s="1"/>
  <c r="J143" i="51"/>
  <c r="K143" i="51" s="1"/>
  <c r="J182" i="51"/>
  <c r="K182" i="51" s="1"/>
  <c r="G202" i="51"/>
  <c r="H202" i="51" s="1"/>
  <c r="J139" i="51"/>
  <c r="K139" i="51" s="1"/>
  <c r="J128" i="51"/>
  <c r="K128" i="51" s="1"/>
  <c r="J87" i="51"/>
  <c r="K87" i="51" s="1"/>
  <c r="G186" i="51"/>
  <c r="H186" i="51" s="1"/>
  <c r="J84" i="51"/>
  <c r="K84" i="51" s="1"/>
  <c r="G40" i="51"/>
  <c r="H40" i="51" s="1"/>
  <c r="G145" i="51"/>
  <c r="H145" i="51" s="1"/>
  <c r="J156" i="51"/>
  <c r="K156" i="51" s="1"/>
  <c r="G84" i="51"/>
  <c r="H84" i="51" s="1"/>
  <c r="J25" i="51"/>
  <c r="K25" i="51" s="1"/>
  <c r="J95" i="51"/>
  <c r="K95" i="51" s="1"/>
  <c r="G182" i="51"/>
  <c r="H182" i="51" s="1"/>
  <c r="J79" i="51"/>
  <c r="K79" i="51" s="1"/>
  <c r="G150" i="51"/>
  <c r="H150" i="51" s="1"/>
  <c r="G157" i="51"/>
  <c r="H157" i="51" s="1"/>
  <c r="G12" i="51"/>
  <c r="H12" i="51" s="1"/>
  <c r="G165" i="51"/>
  <c r="H165" i="51" s="1"/>
  <c r="J15" i="51"/>
  <c r="K15" i="51" s="1"/>
  <c r="J149" i="51"/>
  <c r="K149" i="51" s="1"/>
  <c r="G212" i="51"/>
  <c r="H212" i="51" s="1"/>
  <c r="G196" i="51"/>
  <c r="H196" i="51" s="1"/>
  <c r="J80" i="51"/>
  <c r="K80" i="51" s="1"/>
  <c r="J104" i="51"/>
  <c r="K104" i="51" s="1"/>
  <c r="G101" i="51"/>
  <c r="H101" i="51" s="1"/>
  <c r="G18" i="51"/>
  <c r="H18" i="51" s="1"/>
  <c r="J160" i="51"/>
  <c r="K160" i="51" s="1"/>
  <c r="J195" i="51"/>
  <c r="K195" i="51" s="1"/>
  <c r="G58" i="51"/>
  <c r="H58" i="51" s="1"/>
  <c r="G32" i="51"/>
  <c r="H32" i="51" s="1"/>
  <c r="J58" i="51"/>
  <c r="K58" i="51" s="1"/>
  <c r="J39" i="51"/>
  <c r="K39" i="51" s="1"/>
  <c r="G72" i="51"/>
  <c r="H72" i="51" s="1"/>
  <c r="G28" i="51"/>
  <c r="H28" i="51" s="1"/>
  <c r="J210" i="51"/>
  <c r="K210" i="51" s="1"/>
  <c r="G4" i="51"/>
  <c r="H4" i="51" s="1"/>
  <c r="J8" i="51"/>
  <c r="K8" i="51" s="1"/>
  <c r="G27" i="51"/>
  <c r="H27" i="51" s="1"/>
  <c r="J101" i="51"/>
  <c r="K101" i="51" s="1"/>
  <c r="J157" i="51"/>
  <c r="K157" i="51" s="1"/>
  <c r="G126" i="51"/>
  <c r="H126" i="51" s="1"/>
  <c r="G153" i="51"/>
  <c r="H153" i="51" s="1"/>
  <c r="J47" i="51"/>
  <c r="K47" i="51" s="1"/>
  <c r="G107" i="51"/>
  <c r="H107" i="51" s="1"/>
  <c r="J77" i="51"/>
  <c r="K77" i="51" s="1"/>
  <c r="J82" i="51"/>
  <c r="K82" i="51" s="1"/>
  <c r="J211" i="51"/>
  <c r="K211" i="51" s="1"/>
  <c r="J6" i="51"/>
  <c r="K6" i="51" s="1"/>
  <c r="G98" i="51"/>
  <c r="H98" i="51" s="1"/>
  <c r="O187" i="40"/>
  <c r="I186" i="40"/>
  <c r="H184" i="40" l="1"/>
  <c r="G184" i="40"/>
  <c r="F184" i="40"/>
  <c r="N184" i="40" l="1"/>
  <c r="I185" i="40"/>
  <c r="O185" i="40" l="1"/>
  <c r="I392" i="16"/>
  <c r="J392" i="16" s="1"/>
  <c r="H392" i="16"/>
  <c r="G392" i="16"/>
  <c r="K392" i="16" s="1"/>
  <c r="F392" i="16"/>
  <c r="H391" i="16"/>
  <c r="G391" i="16"/>
  <c r="K391" i="16" s="1"/>
  <c r="F391" i="16"/>
  <c r="I391" i="16" s="1"/>
  <c r="J391" i="16" s="1"/>
  <c r="E392" i="16"/>
  <c r="E391" i="16"/>
  <c r="AB19" i="48" l="1"/>
  <c r="AA19" i="48" s="1"/>
  <c r="AE19" i="48"/>
  <c r="AD19" i="48" s="1"/>
  <c r="H390" i="16"/>
  <c r="G390" i="16"/>
  <c r="K390" i="16" s="1"/>
  <c r="F390" i="16"/>
  <c r="I390" i="16" s="1"/>
  <c r="J390" i="16" s="1"/>
  <c r="E390" i="16"/>
  <c r="H183" i="40"/>
  <c r="G183" i="40"/>
  <c r="F183" i="40"/>
  <c r="H389" i="16"/>
  <c r="G389" i="16"/>
  <c r="K389" i="16" s="1"/>
  <c r="F389" i="16"/>
  <c r="I389" i="16" s="1"/>
  <c r="J389" i="16" s="1"/>
  <c r="E389" i="16"/>
  <c r="BX9" i="48"/>
  <c r="BX8" i="48"/>
  <c r="BX7" i="48"/>
  <c r="BX4" i="48"/>
  <c r="BX5" i="48"/>
  <c r="BX6" i="48"/>
  <c r="BW18" i="48"/>
  <c r="BV18" i="48"/>
  <c r="AH27" i="48" s="1"/>
  <c r="AI27" i="48" s="1"/>
  <c r="BW17" i="48"/>
  <c r="BV17" i="48"/>
  <c r="AH26" i="48" s="1"/>
  <c r="AI26" i="48" s="1"/>
  <c r="BW16" i="48"/>
  <c r="BV16" i="48"/>
  <c r="AH25" i="48" s="1"/>
  <c r="AI25" i="48" s="1"/>
  <c r="BW15" i="48"/>
  <c r="BV15" i="48"/>
  <c r="AJ24" i="48" s="1"/>
  <c r="AK24" i="48" s="1"/>
  <c r="BW14" i="48"/>
  <c r="BV14" i="48"/>
  <c r="AH23" i="48" s="1"/>
  <c r="AI23" i="48" s="1"/>
  <c r="BW13" i="48"/>
  <c r="BV13" i="48"/>
  <c r="AR10" i="48" s="1"/>
  <c r="AS10" i="48" s="1"/>
  <c r="BW12" i="48"/>
  <c r="BV12" i="48"/>
  <c r="AP9" i="48" s="1"/>
  <c r="AQ9" i="48" s="1"/>
  <c r="BW11" i="48"/>
  <c r="BV11" i="48"/>
  <c r="AH20" i="48" s="1"/>
  <c r="AI20" i="48" s="1"/>
  <c r="BW10" i="48"/>
  <c r="BV10" i="48"/>
  <c r="AH19" i="48" s="1"/>
  <c r="AI19" i="48" s="1"/>
  <c r="BX18" i="48"/>
  <c r="BX17" i="48"/>
  <c r="BX16" i="48"/>
  <c r="BX15" i="48"/>
  <c r="BX14" i="48"/>
  <c r="BX13" i="48"/>
  <c r="BX12" i="48"/>
  <c r="BX11" i="48"/>
  <c r="BX10" i="48"/>
  <c r="BW9" i="48"/>
  <c r="BV9" i="48"/>
  <c r="BW8" i="48"/>
  <c r="BV8" i="48"/>
  <c r="BW7" i="48"/>
  <c r="BV7" i="48"/>
  <c r="BW6" i="48"/>
  <c r="BV6" i="48"/>
  <c r="BW5" i="48"/>
  <c r="BV5" i="48"/>
  <c r="BV4" i="48"/>
  <c r="BW4" i="48"/>
  <c r="N7" i="49"/>
  <c r="O7" i="49"/>
  <c r="O5" i="49" s="1"/>
  <c r="W7" i="49"/>
  <c r="W5" i="49" s="1"/>
  <c r="V7" i="49"/>
  <c r="V5" i="49" s="1"/>
  <c r="U7" i="49"/>
  <c r="U5" i="49" s="1"/>
  <c r="S7" i="49"/>
  <c r="S5" i="49" s="1"/>
  <c r="R7" i="49"/>
  <c r="R5" i="49" s="1"/>
  <c r="Q7" i="49"/>
  <c r="Q5" i="49" s="1"/>
  <c r="P7" i="49"/>
  <c r="P5" i="49" s="1"/>
  <c r="T7" i="49"/>
  <c r="T5" i="49" s="1"/>
  <c r="P45" i="18"/>
  <c r="M45" i="18"/>
  <c r="I45" i="18"/>
  <c r="J45" i="18"/>
  <c r="K45" i="18" s="1"/>
  <c r="N183" i="40" l="1"/>
  <c r="I184" i="40"/>
  <c r="AF19" i="48"/>
  <c r="AC19" i="48"/>
  <c r="AP11" i="48"/>
  <c r="AQ11" i="48" s="1"/>
  <c r="AR11" i="48"/>
  <c r="AS11" i="48" s="1"/>
  <c r="AP12" i="48"/>
  <c r="AQ12" i="48" s="1"/>
  <c r="AR12" i="48"/>
  <c r="AS12" i="48" s="1"/>
  <c r="AP13" i="48"/>
  <c r="AQ13" i="48" s="1"/>
  <c r="AJ19" i="48"/>
  <c r="AK19" i="48" s="1"/>
  <c r="AJ23" i="48"/>
  <c r="AK23" i="48" s="1"/>
  <c r="AJ25" i="48"/>
  <c r="AK25" i="48" s="1"/>
  <c r="AJ26" i="48"/>
  <c r="AK26" i="48" s="1"/>
  <c r="AJ27" i="48"/>
  <c r="AK27" i="48" s="1"/>
  <c r="AP7" i="48"/>
  <c r="AQ7" i="48" s="1"/>
  <c r="AR13" i="48"/>
  <c r="AS13" i="48" s="1"/>
  <c r="AH22" i="48"/>
  <c r="AI22" i="48" s="1"/>
  <c r="AR7" i="48"/>
  <c r="AS7" i="48" s="1"/>
  <c r="AP14" i="48"/>
  <c r="AQ14" i="48" s="1"/>
  <c r="AJ22" i="48"/>
  <c r="AK22" i="48" s="1"/>
  <c r="AJ21" i="48"/>
  <c r="AK21" i="48" s="1"/>
  <c r="AR8" i="48"/>
  <c r="AS8" i="48" s="1"/>
  <c r="AR14" i="48"/>
  <c r="AS14" i="48" s="1"/>
  <c r="AR9" i="48"/>
  <c r="AS9" i="48" s="1"/>
  <c r="AR15" i="48"/>
  <c r="AS15" i="48" s="1"/>
  <c r="AH24" i="48"/>
  <c r="AI24" i="48" s="1"/>
  <c r="AJ20" i="48"/>
  <c r="AK20" i="48" s="1"/>
  <c r="AP15" i="48"/>
  <c r="AQ15" i="48" s="1"/>
  <c r="AP10" i="48"/>
  <c r="AQ10" i="48" s="1"/>
  <c r="AP8" i="48"/>
  <c r="AQ8" i="48" s="1"/>
  <c r="AH21" i="48"/>
  <c r="AI21" i="48" s="1"/>
  <c r="W10" i="49"/>
  <c r="N5" i="49"/>
  <c r="O184" i="40" l="1"/>
  <c r="H182" i="40"/>
  <c r="G182" i="40"/>
  <c r="F182" i="40"/>
  <c r="H388" i="16"/>
  <c r="G388" i="16"/>
  <c r="K388" i="16" s="1"/>
  <c r="F388" i="16"/>
  <c r="I388" i="16" s="1"/>
  <c r="J388" i="16" s="1"/>
  <c r="E388" i="16"/>
  <c r="AE24" i="48"/>
  <c r="AD24" i="48" s="1"/>
  <c r="AE23" i="48"/>
  <c r="AD23" i="48" s="1"/>
  <c r="AE22" i="48"/>
  <c r="AD22" i="48" s="1"/>
  <c r="AE21" i="48"/>
  <c r="AD21" i="48" s="1"/>
  <c r="AE20" i="48"/>
  <c r="AD20" i="48" s="1"/>
  <c r="I387" i="16"/>
  <c r="J387" i="16" s="1"/>
  <c r="H387" i="16"/>
  <c r="G387" i="16"/>
  <c r="K387" i="16" s="1"/>
  <c r="F387" i="16"/>
  <c r="E387" i="16"/>
  <c r="H181" i="40"/>
  <c r="G181" i="40"/>
  <c r="F181" i="40"/>
  <c r="N181" i="40" s="1"/>
  <c r="H180" i="40"/>
  <c r="G180" i="40"/>
  <c r="F180" i="40"/>
  <c r="N180" i="40" s="1"/>
  <c r="H386" i="16"/>
  <c r="G386" i="16"/>
  <c r="K386" i="16" s="1"/>
  <c r="F386" i="16"/>
  <c r="I386" i="16" s="1"/>
  <c r="J386" i="16" s="1"/>
  <c r="E386" i="16"/>
  <c r="N179" i="40"/>
  <c r="H179" i="40"/>
  <c r="G179" i="40"/>
  <c r="F179" i="40"/>
  <c r="H385" i="16"/>
  <c r="G385" i="16"/>
  <c r="K385" i="16" s="1"/>
  <c r="F385" i="16"/>
  <c r="I385" i="16" s="1"/>
  <c r="J385" i="16" s="1"/>
  <c r="E385" i="16"/>
  <c r="O180" i="40" l="1"/>
  <c r="N182" i="40"/>
  <c r="I183" i="40"/>
  <c r="I179" i="40"/>
  <c r="O181" i="40"/>
  <c r="AR27" i="48"/>
  <c r="AS27" i="48" s="1"/>
  <c r="AR25" i="48"/>
  <c r="AS25" i="48" s="1"/>
  <c r="AR23" i="48"/>
  <c r="AS23" i="48" s="1"/>
  <c r="AR21" i="48"/>
  <c r="AS21" i="48" s="1"/>
  <c r="AR19" i="48"/>
  <c r="AS19" i="48" s="1"/>
  <c r="AR22" i="48"/>
  <c r="AS22" i="48" s="1"/>
  <c r="AR26" i="48"/>
  <c r="AS26" i="48" s="1"/>
  <c r="AR24" i="48"/>
  <c r="AS24" i="48" s="1"/>
  <c r="AR20" i="48"/>
  <c r="AS20" i="48" s="1"/>
  <c r="AF21" i="48"/>
  <c r="AF20" i="48"/>
  <c r="AF24" i="48"/>
  <c r="AF22" i="48"/>
  <c r="AF23" i="48"/>
  <c r="I182" i="40"/>
  <c r="I181" i="40"/>
  <c r="I180" i="40"/>
  <c r="H178" i="40"/>
  <c r="G178" i="40"/>
  <c r="F178" i="40"/>
  <c r="N178" i="40" s="1"/>
  <c r="I384" i="16"/>
  <c r="J384" i="16" s="1"/>
  <c r="H384" i="16"/>
  <c r="G384" i="16"/>
  <c r="K384" i="16" s="1"/>
  <c r="F384" i="16"/>
  <c r="E384" i="16"/>
  <c r="BR20" i="48"/>
  <c r="BR27" i="48" s="1"/>
  <c r="BS27" i="48" s="1"/>
  <c r="BN20" i="48"/>
  <c r="BJ20" i="48"/>
  <c r="BE20" i="48"/>
  <c r="BE27" i="48" s="1"/>
  <c r="BF27" i="48" s="1"/>
  <c r="BA20" i="48"/>
  <c r="BA27" i="48" s="1"/>
  <c r="BB27" i="48" s="1"/>
  <c r="AW20" i="48"/>
  <c r="BR12" i="48"/>
  <c r="BR19" i="48" s="1"/>
  <c r="BS19" i="48" s="1"/>
  <c r="BN12" i="48"/>
  <c r="BJ12" i="48"/>
  <c r="BE12" i="48"/>
  <c r="BE19" i="48" s="1"/>
  <c r="BF19" i="48" s="1"/>
  <c r="BA12" i="48"/>
  <c r="BA19" i="48" s="1"/>
  <c r="BB19" i="48" s="1"/>
  <c r="AW12" i="48"/>
  <c r="BR4" i="48"/>
  <c r="BN4" i="48"/>
  <c r="BN11" i="48" s="1"/>
  <c r="BO11" i="48" s="1"/>
  <c r="BJ4" i="48"/>
  <c r="AB20" i="48"/>
  <c r="AA20" i="48" s="1"/>
  <c r="AE16" i="48"/>
  <c r="AD16" i="48" s="1"/>
  <c r="AE15" i="48"/>
  <c r="AD15" i="48" s="1"/>
  <c r="AE14" i="48"/>
  <c r="AD14" i="48" s="1"/>
  <c r="AE13" i="48"/>
  <c r="AD13" i="48" s="1"/>
  <c r="AE12" i="48"/>
  <c r="AD12" i="48" s="1"/>
  <c r="AE11" i="48"/>
  <c r="AD11" i="48" s="1"/>
  <c r="AB11" i="48"/>
  <c r="AA11" i="48" s="1"/>
  <c r="AE4" i="48"/>
  <c r="AD4" i="48" s="1"/>
  <c r="AE8" i="48"/>
  <c r="AD8" i="48" s="1"/>
  <c r="AE7" i="48"/>
  <c r="AD7" i="48" s="1"/>
  <c r="AE6" i="48"/>
  <c r="AD6" i="48" s="1"/>
  <c r="AE5" i="48"/>
  <c r="AD5" i="48" s="1"/>
  <c r="AB8" i="48"/>
  <c r="AA8" i="48" s="1"/>
  <c r="AB7" i="48"/>
  <c r="AA7" i="48" s="1"/>
  <c r="AB6" i="48"/>
  <c r="AA6" i="48" s="1"/>
  <c r="AB5" i="48"/>
  <c r="AA5" i="48" s="1"/>
  <c r="AB4" i="48"/>
  <c r="AA4" i="48" s="1"/>
  <c r="AB24" i="48"/>
  <c r="AA24" i="48" s="1"/>
  <c r="AB23" i="48"/>
  <c r="AA23" i="48" s="1"/>
  <c r="AB22" i="48"/>
  <c r="AA22" i="48" s="1"/>
  <c r="AB21" i="48"/>
  <c r="AA21" i="48" s="1"/>
  <c r="AB12" i="48"/>
  <c r="AA12" i="48" s="1"/>
  <c r="AB16" i="48"/>
  <c r="AA16" i="48" s="1"/>
  <c r="AB15" i="48"/>
  <c r="AA15" i="48" s="1"/>
  <c r="AB14" i="48"/>
  <c r="AA14" i="48" s="1"/>
  <c r="AB13" i="48"/>
  <c r="AA13" i="48" s="1"/>
  <c r="H177" i="40"/>
  <c r="G177" i="40"/>
  <c r="F177" i="40"/>
  <c r="N177" i="40" s="1"/>
  <c r="O177" i="40" s="1"/>
  <c r="I383" i="16"/>
  <c r="J383" i="16" s="1"/>
  <c r="H383" i="16"/>
  <c r="G383" i="16"/>
  <c r="K383" i="16" s="1"/>
  <c r="F383" i="16"/>
  <c r="E383" i="16"/>
  <c r="H176" i="40"/>
  <c r="G176" i="40"/>
  <c r="F176" i="40"/>
  <c r="N176" i="40" s="1"/>
  <c r="H382" i="16"/>
  <c r="G382" i="16"/>
  <c r="K382" i="16" s="1"/>
  <c r="F382" i="16"/>
  <c r="I382" i="16" s="1"/>
  <c r="J382" i="16" s="1"/>
  <c r="E382" i="16"/>
  <c r="I381" i="16"/>
  <c r="J381" i="16" s="1"/>
  <c r="H381" i="16"/>
  <c r="G381" i="16"/>
  <c r="K381" i="16" s="1"/>
  <c r="F381" i="16"/>
  <c r="O178" i="40" l="1"/>
  <c r="O182" i="40"/>
  <c r="O183" i="40"/>
  <c r="O179" i="40"/>
  <c r="AP27" i="48"/>
  <c r="AQ27" i="48" s="1"/>
  <c r="AP25" i="48"/>
  <c r="AQ25" i="48" s="1"/>
  <c r="AP23" i="48"/>
  <c r="AQ23" i="48" s="1"/>
  <c r="AP21" i="48"/>
  <c r="AQ21" i="48" s="1"/>
  <c r="AP19" i="48"/>
  <c r="AQ19" i="48" s="1"/>
  <c r="AP26" i="48"/>
  <c r="AQ26" i="48" s="1"/>
  <c r="AP24" i="48"/>
  <c r="AQ24" i="48" s="1"/>
  <c r="AP22" i="48"/>
  <c r="AQ22" i="48" s="1"/>
  <c r="AP20" i="48"/>
  <c r="AQ20" i="48" s="1"/>
  <c r="AN22" i="48"/>
  <c r="AO22" i="48" s="1"/>
  <c r="AN20" i="48"/>
  <c r="AO20" i="48" s="1"/>
  <c r="AN27" i="48"/>
  <c r="AO27" i="48" s="1"/>
  <c r="AN25" i="48"/>
  <c r="AO25" i="48" s="1"/>
  <c r="AN23" i="48"/>
  <c r="AO23" i="48" s="1"/>
  <c r="AN21" i="48"/>
  <c r="AO21" i="48" s="1"/>
  <c r="AN19" i="48"/>
  <c r="AO19" i="48" s="1"/>
  <c r="AN26" i="48"/>
  <c r="AO26" i="48" s="1"/>
  <c r="AN24" i="48"/>
  <c r="AO24" i="48" s="1"/>
  <c r="AL24" i="48"/>
  <c r="AM24" i="48" s="1"/>
  <c r="AL22" i="48"/>
  <c r="AM22" i="48" s="1"/>
  <c r="AL20" i="48"/>
  <c r="AM20" i="48" s="1"/>
  <c r="AL27" i="48"/>
  <c r="AM27" i="48" s="1"/>
  <c r="AL25" i="48"/>
  <c r="AM25" i="48" s="1"/>
  <c r="AL23" i="48"/>
  <c r="AM23" i="48" s="1"/>
  <c r="AL21" i="48"/>
  <c r="AM21" i="48" s="1"/>
  <c r="AL19" i="48"/>
  <c r="AM19" i="48" s="1"/>
  <c r="AL26" i="48"/>
  <c r="AM26" i="48" s="1"/>
  <c r="AN15" i="48"/>
  <c r="AO15" i="48" s="1"/>
  <c r="AN8" i="48"/>
  <c r="AO8" i="48" s="1"/>
  <c r="AN13" i="48"/>
  <c r="AO13" i="48" s="1"/>
  <c r="AN14" i="48"/>
  <c r="AO14" i="48" s="1"/>
  <c r="AN11" i="48"/>
  <c r="AO11" i="48" s="1"/>
  <c r="AN9" i="48"/>
  <c r="AO9" i="48" s="1"/>
  <c r="AN12" i="48"/>
  <c r="AO12" i="48" s="1"/>
  <c r="AN7" i="48"/>
  <c r="AO7" i="48" s="1"/>
  <c r="AN10" i="48"/>
  <c r="AO10" i="48" s="1"/>
  <c r="AH9" i="48"/>
  <c r="AI9" i="48" s="1"/>
  <c r="AH12" i="48"/>
  <c r="AI12" i="48" s="1"/>
  <c r="AH10" i="48"/>
  <c r="AI10" i="48" s="1"/>
  <c r="AH11" i="48"/>
  <c r="AI11" i="48" s="1"/>
  <c r="AH15" i="48"/>
  <c r="AI15" i="48" s="1"/>
  <c r="AH8" i="48"/>
  <c r="AI8" i="48" s="1"/>
  <c r="AH13" i="48"/>
  <c r="AI13" i="48" s="1"/>
  <c r="AH14" i="48"/>
  <c r="AI14" i="48" s="1"/>
  <c r="AH7" i="48"/>
  <c r="AI7" i="48" s="1"/>
  <c r="AJ7" i="48"/>
  <c r="AK7" i="48" s="1"/>
  <c r="AJ15" i="48"/>
  <c r="AK15" i="48" s="1"/>
  <c r="AJ8" i="48"/>
  <c r="AK8" i="48" s="1"/>
  <c r="AJ13" i="48"/>
  <c r="AK13" i="48" s="1"/>
  <c r="AJ9" i="48"/>
  <c r="AK9" i="48" s="1"/>
  <c r="AJ11" i="48"/>
  <c r="AK11" i="48" s="1"/>
  <c r="AJ14" i="48"/>
  <c r="AK14" i="48" s="1"/>
  <c r="AJ12" i="48"/>
  <c r="AK12" i="48" s="1"/>
  <c r="AJ10" i="48"/>
  <c r="AK10" i="48" s="1"/>
  <c r="AL15" i="48"/>
  <c r="AM15" i="48" s="1"/>
  <c r="AL8" i="48"/>
  <c r="AM8" i="48" s="1"/>
  <c r="AL10" i="48"/>
  <c r="AM10" i="48" s="1"/>
  <c r="AL13" i="48"/>
  <c r="AM13" i="48" s="1"/>
  <c r="AL9" i="48"/>
  <c r="AM9" i="48" s="1"/>
  <c r="AL11" i="48"/>
  <c r="AM11" i="48" s="1"/>
  <c r="AL7" i="48"/>
  <c r="AM7" i="48" s="1"/>
  <c r="AL14" i="48"/>
  <c r="AM14" i="48" s="1"/>
  <c r="AL12" i="48"/>
  <c r="AM12" i="48" s="1"/>
  <c r="BE17" i="48"/>
  <c r="BF17" i="48" s="1"/>
  <c r="BR17" i="48"/>
  <c r="BS17" i="48" s="1"/>
  <c r="BR25" i="48"/>
  <c r="BS25" i="48" s="1"/>
  <c r="BE25" i="48"/>
  <c r="BF25" i="48" s="1"/>
  <c r="BJ18" i="48"/>
  <c r="BK18" i="48" s="1"/>
  <c r="BJ19" i="48"/>
  <c r="BK19" i="48" s="1"/>
  <c r="BN14" i="48"/>
  <c r="BO14" i="48" s="1"/>
  <c r="BN15" i="48"/>
  <c r="BO15" i="48" s="1"/>
  <c r="BA22" i="48"/>
  <c r="BB22" i="48" s="1"/>
  <c r="BA23" i="48"/>
  <c r="BB23" i="48" s="1"/>
  <c r="BE23" i="48"/>
  <c r="BF23" i="48" s="1"/>
  <c r="BE22" i="48"/>
  <c r="BF22" i="48" s="1"/>
  <c r="BJ11" i="48"/>
  <c r="BK11" i="48" s="1"/>
  <c r="BJ10" i="48"/>
  <c r="BK10" i="48" s="1"/>
  <c r="BJ26" i="48"/>
  <c r="BK26" i="48" s="1"/>
  <c r="BJ27" i="48"/>
  <c r="BK27" i="48" s="1"/>
  <c r="BN19" i="48"/>
  <c r="BO19" i="48" s="1"/>
  <c r="BN6" i="48"/>
  <c r="BO6" i="48" s="1"/>
  <c r="BN7" i="48"/>
  <c r="BO7" i="48" s="1"/>
  <c r="BN22" i="48"/>
  <c r="BO22" i="48" s="1"/>
  <c r="BN23" i="48"/>
  <c r="BO23" i="48" s="1"/>
  <c r="AW27" i="48"/>
  <c r="AX27" i="48" s="1"/>
  <c r="AW26" i="48"/>
  <c r="AX26" i="48" s="1"/>
  <c r="BR8" i="48"/>
  <c r="BS8" i="48" s="1"/>
  <c r="BR11" i="48"/>
  <c r="BS11" i="48" s="1"/>
  <c r="BR10" i="48"/>
  <c r="BS10" i="48" s="1"/>
  <c r="BR9" i="48"/>
  <c r="BS9" i="48" s="1"/>
  <c r="BR23" i="48"/>
  <c r="BS23" i="48" s="1"/>
  <c r="BR22" i="48"/>
  <c r="BS22" i="48" s="1"/>
  <c r="BN27" i="48"/>
  <c r="BO27" i="48" s="1"/>
  <c r="AW19" i="48"/>
  <c r="AX19" i="48" s="1"/>
  <c r="AW18" i="48"/>
  <c r="AX18" i="48" s="1"/>
  <c r="BA15" i="48"/>
  <c r="BB15" i="48" s="1"/>
  <c r="BA14" i="48"/>
  <c r="BB14" i="48" s="1"/>
  <c r="AC13" i="48"/>
  <c r="BE16" i="48"/>
  <c r="BF16" i="48" s="1"/>
  <c r="AC7" i="48"/>
  <c r="BE14" i="48"/>
  <c r="BF14" i="48" s="1"/>
  <c r="AC15" i="48"/>
  <c r="BE24" i="48"/>
  <c r="BF24" i="48" s="1"/>
  <c r="AC12" i="48"/>
  <c r="BN24" i="48"/>
  <c r="BO24" i="48" s="1"/>
  <c r="BA16" i="48"/>
  <c r="BB16" i="48" s="1"/>
  <c r="BN16" i="48"/>
  <c r="BO16" i="48" s="1"/>
  <c r="BA24" i="48"/>
  <c r="BB24" i="48" s="1"/>
  <c r="BN8" i="48"/>
  <c r="BO8" i="48" s="1"/>
  <c r="AF7" i="48"/>
  <c r="BE15" i="48"/>
  <c r="BF15" i="48" s="1"/>
  <c r="AC14" i="48"/>
  <c r="BR16" i="48"/>
  <c r="BS16" i="48" s="1"/>
  <c r="AF6" i="48"/>
  <c r="BR7" i="48"/>
  <c r="BS7" i="48" s="1"/>
  <c r="AC21" i="48"/>
  <c r="BE18" i="48"/>
  <c r="BF18" i="48" s="1"/>
  <c r="AF8" i="48"/>
  <c r="BR15" i="48"/>
  <c r="BS15" i="48" s="1"/>
  <c r="BA26" i="48"/>
  <c r="BB26" i="48" s="1"/>
  <c r="BN10" i="48"/>
  <c r="BO10" i="48" s="1"/>
  <c r="BN26" i="48"/>
  <c r="BO26" i="48" s="1"/>
  <c r="BA18" i="48"/>
  <c r="BB18" i="48" s="1"/>
  <c r="BN18" i="48"/>
  <c r="BO18" i="48" s="1"/>
  <c r="AC22" i="48"/>
  <c r="BR18" i="48"/>
  <c r="BS18" i="48" s="1"/>
  <c r="AF4" i="48"/>
  <c r="AW23" i="48"/>
  <c r="AX23" i="48" s="1"/>
  <c r="BJ7" i="48"/>
  <c r="BK7" i="48" s="1"/>
  <c r="BJ23" i="48"/>
  <c r="BK23" i="48" s="1"/>
  <c r="AW15" i="48"/>
  <c r="AX15" i="48" s="1"/>
  <c r="BJ15" i="48"/>
  <c r="BK15" i="48" s="1"/>
  <c r="AC8" i="48"/>
  <c r="BR14" i="48"/>
  <c r="BS14" i="48" s="1"/>
  <c r="AC16" i="48"/>
  <c r="BR24" i="48"/>
  <c r="BS24" i="48" s="1"/>
  <c r="BJ24" i="48"/>
  <c r="BK24" i="48" s="1"/>
  <c r="AW16" i="48"/>
  <c r="AX16" i="48" s="1"/>
  <c r="BJ16" i="48"/>
  <c r="BK16" i="48" s="1"/>
  <c r="AW24" i="48"/>
  <c r="AX24" i="48" s="1"/>
  <c r="BJ8" i="48"/>
  <c r="BK8" i="48" s="1"/>
  <c r="AC24" i="48"/>
  <c r="BR26" i="48"/>
  <c r="BS26" i="48" s="1"/>
  <c r="AW17" i="48"/>
  <c r="AX17" i="48" s="1"/>
  <c r="BJ17" i="48"/>
  <c r="BK17" i="48" s="1"/>
  <c r="AW25" i="48"/>
  <c r="AX25" i="48" s="1"/>
  <c r="BJ9" i="48"/>
  <c r="BK9" i="48" s="1"/>
  <c r="BJ25" i="48"/>
  <c r="BK25" i="48" s="1"/>
  <c r="BJ14" i="48"/>
  <c r="BK14" i="48" s="1"/>
  <c r="BJ6" i="48"/>
  <c r="BK6" i="48" s="1"/>
  <c r="AW22" i="48"/>
  <c r="AX22" i="48" s="1"/>
  <c r="BJ22" i="48"/>
  <c r="BK22" i="48" s="1"/>
  <c r="AW14" i="48"/>
  <c r="AX14" i="48" s="1"/>
  <c r="BN17" i="48"/>
  <c r="BO17" i="48" s="1"/>
  <c r="BA17" i="48"/>
  <c r="BB17" i="48" s="1"/>
  <c r="BA25" i="48"/>
  <c r="BB25" i="48" s="1"/>
  <c r="BN9" i="48"/>
  <c r="BO9" i="48" s="1"/>
  <c r="BN25" i="48"/>
  <c r="BO25" i="48" s="1"/>
  <c r="AC5" i="48"/>
  <c r="AF5" i="48"/>
  <c r="AC23" i="48"/>
  <c r="BE26" i="48"/>
  <c r="BF26" i="48" s="1"/>
  <c r="AC6" i="48"/>
  <c r="BR6" i="48"/>
  <c r="BS6" i="48" s="1"/>
  <c r="AW4" i="48"/>
  <c r="AW6" i="48" s="1"/>
  <c r="BA4" i="48"/>
  <c r="BE4" i="48"/>
  <c r="BE6" i="48" s="1"/>
  <c r="BF6" i="48" s="1"/>
  <c r="I178" i="40"/>
  <c r="AC20" i="48"/>
  <c r="AF14" i="48"/>
  <c r="AF13" i="48"/>
  <c r="AF12" i="48"/>
  <c r="AF15" i="48"/>
  <c r="AF16" i="48"/>
  <c r="AF11" i="48"/>
  <c r="AC11" i="48"/>
  <c r="AC4" i="48"/>
  <c r="I177" i="40"/>
  <c r="P44" i="18"/>
  <c r="M44" i="18"/>
  <c r="I44" i="18"/>
  <c r="J44" i="18"/>
  <c r="K44" i="18" s="1"/>
  <c r="E381" i="16"/>
  <c r="H380" i="16"/>
  <c r="G380" i="16"/>
  <c r="K380" i="16" s="1"/>
  <c r="F380" i="16"/>
  <c r="I380" i="16" s="1"/>
  <c r="J380" i="16" s="1"/>
  <c r="E380" i="16"/>
  <c r="H175" i="40"/>
  <c r="G175" i="40"/>
  <c r="F175" i="40"/>
  <c r="N175" i="40" s="1"/>
  <c r="H379" i="16"/>
  <c r="G379" i="16"/>
  <c r="K379" i="16" s="1"/>
  <c r="F379" i="16"/>
  <c r="I379" i="16" s="1"/>
  <c r="J379" i="16" s="1"/>
  <c r="E379" i="16"/>
  <c r="H174" i="40"/>
  <c r="G174" i="40"/>
  <c r="F174" i="40"/>
  <c r="N174" i="40" s="1"/>
  <c r="O174" i="40" s="1"/>
  <c r="G7" i="13"/>
  <c r="H378" i="16"/>
  <c r="G378" i="16"/>
  <c r="K378" i="16" s="1"/>
  <c r="F378" i="16"/>
  <c r="I378" i="16" s="1"/>
  <c r="J378" i="16" s="1"/>
  <c r="E378" i="16"/>
  <c r="H173" i="40"/>
  <c r="G173" i="40"/>
  <c r="F173" i="40"/>
  <c r="N173" i="40" s="1"/>
  <c r="H172" i="40"/>
  <c r="G172" i="40"/>
  <c r="F172" i="40"/>
  <c r="I377" i="16"/>
  <c r="J377" i="16" s="1"/>
  <c r="H377" i="16"/>
  <c r="G377" i="16"/>
  <c r="K377" i="16" s="1"/>
  <c r="F377" i="16"/>
  <c r="E377" i="16"/>
  <c r="H171" i="40"/>
  <c r="G171" i="40"/>
  <c r="F171" i="40"/>
  <c r="N171" i="40" s="1"/>
  <c r="H376" i="16"/>
  <c r="G376" i="16"/>
  <c r="K376" i="16" s="1"/>
  <c r="F376" i="16"/>
  <c r="I376" i="16" s="1"/>
  <c r="J376" i="16" s="1"/>
  <c r="E376" i="16"/>
  <c r="H170" i="40"/>
  <c r="G170" i="40"/>
  <c r="F170" i="40"/>
  <c r="N170" i="40" s="1"/>
  <c r="O170" i="40" s="1"/>
  <c r="H375" i="16"/>
  <c r="G375" i="16"/>
  <c r="K375" i="16" s="1"/>
  <c r="F375" i="16"/>
  <c r="I375" i="16" s="1"/>
  <c r="J375" i="16" s="1"/>
  <c r="E375" i="16"/>
  <c r="I374" i="16"/>
  <c r="J374" i="16" s="1"/>
  <c r="H374" i="16"/>
  <c r="G374" i="16"/>
  <c r="K374" i="16" s="1"/>
  <c r="F374" i="16"/>
  <c r="E374" i="16"/>
  <c r="H169" i="40"/>
  <c r="G169" i="40"/>
  <c r="F169" i="40"/>
  <c r="N169" i="40" s="1"/>
  <c r="H168" i="40"/>
  <c r="G168" i="40"/>
  <c r="F168" i="40"/>
  <c r="I168" i="40" s="1"/>
  <c r="H373" i="16"/>
  <c r="G373" i="16"/>
  <c r="K373" i="16" s="1"/>
  <c r="F373" i="16"/>
  <c r="E373" i="16"/>
  <c r="I43" i="18"/>
  <c r="J43" i="18"/>
  <c r="K43" i="18" s="1"/>
  <c r="P43" i="18"/>
  <c r="M43" i="18"/>
  <c r="H167" i="40"/>
  <c r="G167" i="40"/>
  <c r="F167" i="40"/>
  <c r="N167" i="40" s="1"/>
  <c r="O167" i="40" s="1"/>
  <c r="I372" i="16"/>
  <c r="J372" i="16" s="1"/>
  <c r="H372" i="16"/>
  <c r="G372" i="16"/>
  <c r="K372" i="16" s="1"/>
  <c r="F372" i="16"/>
  <c r="E372" i="16"/>
  <c r="H166" i="40"/>
  <c r="G166" i="40"/>
  <c r="F166" i="40"/>
  <c r="N166" i="40" s="1"/>
  <c r="O166" i="40" s="1"/>
  <c r="H371" i="16"/>
  <c r="G371" i="16"/>
  <c r="K371" i="16" s="1"/>
  <c r="F371" i="16"/>
  <c r="I371" i="16" s="1"/>
  <c r="J371" i="16" s="1"/>
  <c r="E371" i="16"/>
  <c r="H165" i="40"/>
  <c r="G165" i="40"/>
  <c r="F165" i="40"/>
  <c r="N165" i="40" s="1"/>
  <c r="I370" i="16"/>
  <c r="J370" i="16" s="1"/>
  <c r="H370" i="16"/>
  <c r="G370" i="16"/>
  <c r="K370" i="16" s="1"/>
  <c r="F370" i="16"/>
  <c r="E370" i="16"/>
  <c r="I172" i="40" l="1"/>
  <c r="O175" i="40"/>
  <c r="I176" i="40"/>
  <c r="O171" i="40"/>
  <c r="N172" i="40"/>
  <c r="O172" i="40" s="1"/>
  <c r="O173" i="40"/>
  <c r="I174" i="40"/>
  <c r="O176" i="40"/>
  <c r="O169" i="40"/>
  <c r="I169" i="40"/>
  <c r="N168" i="40"/>
  <c r="O168" i="40" s="1"/>
  <c r="AW9" i="48"/>
  <c r="AX9" i="48" s="1"/>
  <c r="BA7" i="48"/>
  <c r="BB7" i="48" s="1"/>
  <c r="BA6" i="48"/>
  <c r="BB6" i="48" s="1"/>
  <c r="BA11" i="48"/>
  <c r="BB11" i="48" s="1"/>
  <c r="AW11" i="48"/>
  <c r="AX11" i="48" s="1"/>
  <c r="AW10" i="48"/>
  <c r="AX10" i="48" s="1"/>
  <c r="AW7" i="48"/>
  <c r="AX7" i="48" s="1"/>
  <c r="BA10" i="48"/>
  <c r="BB10" i="48" s="1"/>
  <c r="BE7" i="48"/>
  <c r="BF7" i="48" s="1"/>
  <c r="AW8" i="48"/>
  <c r="AX8" i="48" s="1"/>
  <c r="BA9" i="48"/>
  <c r="BB9" i="48" s="1"/>
  <c r="BA8" i="48"/>
  <c r="BB8" i="48" s="1"/>
  <c r="BE9" i="48"/>
  <c r="BF9" i="48" s="1"/>
  <c r="BE8" i="48"/>
  <c r="BF8" i="48" s="1"/>
  <c r="BE11" i="48"/>
  <c r="BF11" i="48" s="1"/>
  <c r="BE10" i="48"/>
  <c r="BF10" i="48" s="1"/>
  <c r="AX6" i="48"/>
  <c r="I175" i="40"/>
  <c r="I173" i="40"/>
  <c r="I171" i="40"/>
  <c r="I170" i="40"/>
  <c r="I373" i="16"/>
  <c r="J373" i="16" s="1"/>
  <c r="I167" i="40"/>
  <c r="I166" i="40"/>
  <c r="H164" i="40"/>
  <c r="G164" i="40"/>
  <c r="F164" i="40"/>
  <c r="N164" i="40" s="1"/>
  <c r="H369" i="16"/>
  <c r="G369" i="16"/>
  <c r="K369" i="16" s="1"/>
  <c r="F369" i="16"/>
  <c r="I369" i="16" s="1"/>
  <c r="J369" i="16" s="1"/>
  <c r="E369" i="16"/>
  <c r="O165" i="40" l="1"/>
  <c r="I165" i="40"/>
  <c r="H163" i="40" l="1"/>
  <c r="G163" i="40"/>
  <c r="F163" i="40"/>
  <c r="H368" i="16"/>
  <c r="G368" i="16"/>
  <c r="K368" i="16" s="1"/>
  <c r="F368" i="16"/>
  <c r="I368" i="16" s="1"/>
  <c r="J368" i="16" s="1"/>
  <c r="E368" i="16"/>
  <c r="I367" i="16"/>
  <c r="J367" i="16" s="1"/>
  <c r="H367" i="16"/>
  <c r="G367" i="16"/>
  <c r="K367" i="16" s="1"/>
  <c r="F367" i="16"/>
  <c r="E367" i="16"/>
  <c r="H162" i="40"/>
  <c r="G162" i="40"/>
  <c r="F162" i="40"/>
  <c r="N162" i="40" s="1"/>
  <c r="O162" i="40" s="1"/>
  <c r="H366" i="16"/>
  <c r="G366" i="16"/>
  <c r="K366" i="16" s="1"/>
  <c r="F366" i="16"/>
  <c r="I366" i="16" s="1"/>
  <c r="J366" i="16" s="1"/>
  <c r="E366" i="16"/>
  <c r="H161" i="40"/>
  <c r="G161" i="40"/>
  <c r="F161" i="40"/>
  <c r="N161" i="40" s="1"/>
  <c r="H365" i="16"/>
  <c r="G365" i="16"/>
  <c r="K365" i="16" s="1"/>
  <c r="F365" i="16"/>
  <c r="I365" i="16" s="1"/>
  <c r="J365" i="16" s="1"/>
  <c r="E365" i="16"/>
  <c r="I364" i="16"/>
  <c r="J364" i="16" s="1"/>
  <c r="H364" i="16"/>
  <c r="G364" i="16"/>
  <c r="K364" i="16" s="1"/>
  <c r="F364" i="16"/>
  <c r="E364" i="16"/>
  <c r="H160" i="40"/>
  <c r="G160" i="40"/>
  <c r="F160" i="40"/>
  <c r="N160" i="40" s="1"/>
  <c r="H363" i="16"/>
  <c r="G363" i="16"/>
  <c r="K363" i="16" s="1"/>
  <c r="F363" i="16"/>
  <c r="I363" i="16" s="1"/>
  <c r="J363" i="16" s="1"/>
  <c r="E363" i="16"/>
  <c r="H159" i="40"/>
  <c r="G159" i="40"/>
  <c r="F159" i="40"/>
  <c r="N159" i="40" s="1"/>
  <c r="H362" i="16"/>
  <c r="G362" i="16"/>
  <c r="K362" i="16" s="1"/>
  <c r="F362" i="16"/>
  <c r="I362" i="16" s="1"/>
  <c r="J362" i="16" s="1"/>
  <c r="E362" i="16"/>
  <c r="H158" i="40"/>
  <c r="G158" i="40"/>
  <c r="F158" i="40"/>
  <c r="H157" i="40"/>
  <c r="G157" i="40"/>
  <c r="F157" i="40"/>
  <c r="N157" i="40" s="1"/>
  <c r="O157" i="40" s="1"/>
  <c r="I361" i="16"/>
  <c r="J361" i="16" s="1"/>
  <c r="H361" i="16"/>
  <c r="G361" i="16"/>
  <c r="K361" i="16" s="1"/>
  <c r="F361" i="16"/>
  <c r="E361" i="16"/>
  <c r="H156" i="40"/>
  <c r="G156" i="40"/>
  <c r="F156" i="40"/>
  <c r="N156" i="40" s="1"/>
  <c r="I360" i="16"/>
  <c r="J360" i="16" s="1"/>
  <c r="H360" i="16"/>
  <c r="G360" i="16"/>
  <c r="K360" i="16" s="1"/>
  <c r="F360" i="16"/>
  <c r="E360" i="16"/>
  <c r="H359" i="16"/>
  <c r="G359" i="16"/>
  <c r="K359" i="16" s="1"/>
  <c r="F359" i="16"/>
  <c r="I359" i="16" s="1"/>
  <c r="J359" i="16" s="1"/>
  <c r="E359" i="16"/>
  <c r="H155" i="40"/>
  <c r="G155" i="40"/>
  <c r="F155" i="40"/>
  <c r="N155" i="40" s="1"/>
  <c r="I42" i="18"/>
  <c r="J42" i="18"/>
  <c r="P42" i="18"/>
  <c r="M42" i="18"/>
  <c r="O159" i="40" l="1"/>
  <c r="N158" i="40"/>
  <c r="O158" i="40" s="1"/>
  <c r="N163" i="40"/>
  <c r="I164" i="40"/>
  <c r="O156" i="40"/>
  <c r="O160" i="40"/>
  <c r="O161" i="40"/>
  <c r="I163" i="40"/>
  <c r="I162" i="40"/>
  <c r="I161" i="40"/>
  <c r="I160" i="40"/>
  <c r="I159" i="40"/>
  <c r="I158" i="40"/>
  <c r="I157" i="40"/>
  <c r="I156" i="40"/>
  <c r="O163" i="40" l="1"/>
  <c r="O164" i="40"/>
  <c r="H358" i="16"/>
  <c r="G358" i="16"/>
  <c r="K358" i="16" s="1"/>
  <c r="F358" i="16"/>
  <c r="I358" i="16" s="1"/>
  <c r="J358" i="16" s="1"/>
  <c r="E358" i="16"/>
  <c r="H154" i="40"/>
  <c r="G154" i="40"/>
  <c r="F154" i="40"/>
  <c r="H153" i="40"/>
  <c r="G153" i="40"/>
  <c r="F153" i="40"/>
  <c r="N153" i="40" s="1"/>
  <c r="O153" i="40" s="1"/>
  <c r="H357" i="16"/>
  <c r="G357" i="16"/>
  <c r="K357" i="16" s="1"/>
  <c r="F357" i="16"/>
  <c r="I357" i="16" s="1"/>
  <c r="J357" i="16" s="1"/>
  <c r="E357" i="16"/>
  <c r="H356" i="16"/>
  <c r="G356" i="16"/>
  <c r="K356" i="16" s="1"/>
  <c r="F356" i="16"/>
  <c r="I356" i="16" s="1"/>
  <c r="J356" i="16" s="1"/>
  <c r="E356" i="16"/>
  <c r="N152" i="40"/>
  <c r="I152" i="40"/>
  <c r="H152" i="40"/>
  <c r="G152" i="40"/>
  <c r="F152" i="40"/>
  <c r="H355" i="16"/>
  <c r="G355" i="16"/>
  <c r="K355" i="16" s="1"/>
  <c r="F355" i="16"/>
  <c r="I355" i="16" s="1"/>
  <c r="J355" i="16" s="1"/>
  <c r="E355" i="16"/>
  <c r="H151" i="40"/>
  <c r="G151" i="40"/>
  <c r="F151" i="40"/>
  <c r="N151" i="40" s="1"/>
  <c r="O151" i="40" s="1"/>
  <c r="H354" i="16"/>
  <c r="G354" i="16"/>
  <c r="K354" i="16" s="1"/>
  <c r="F354" i="16"/>
  <c r="I354" i="16" s="1"/>
  <c r="J354" i="16" s="1"/>
  <c r="E354" i="16"/>
  <c r="H150" i="40"/>
  <c r="G150" i="40"/>
  <c r="F150" i="40"/>
  <c r="N150" i="40" s="1"/>
  <c r="H353" i="16"/>
  <c r="G353" i="16"/>
  <c r="K353" i="16" s="1"/>
  <c r="F353" i="16"/>
  <c r="I353" i="16" s="1"/>
  <c r="J353" i="16" s="1"/>
  <c r="E353" i="16"/>
  <c r="H352" i="16"/>
  <c r="G352" i="16"/>
  <c r="K352" i="16" s="1"/>
  <c r="F352" i="16"/>
  <c r="I352" i="16" s="1"/>
  <c r="J352" i="16" s="1"/>
  <c r="E352" i="16"/>
  <c r="M41" i="18"/>
  <c r="M40" i="18"/>
  <c r="M39" i="18"/>
  <c r="M38" i="18"/>
  <c r="M37" i="18"/>
  <c r="M36" i="18"/>
  <c r="M35" i="18"/>
  <c r="M34" i="18"/>
  <c r="M33" i="18"/>
  <c r="M32" i="18"/>
  <c r="M31" i="18"/>
  <c r="M30" i="18"/>
  <c r="M29" i="18"/>
  <c r="M28" i="18"/>
  <c r="M27" i="18"/>
  <c r="M26" i="18"/>
  <c r="M25" i="18"/>
  <c r="M24" i="18"/>
  <c r="M23" i="18"/>
  <c r="M22" i="18"/>
  <c r="M21" i="18"/>
  <c r="M20" i="18"/>
  <c r="M19" i="18"/>
  <c r="M18" i="18"/>
  <c r="M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H351" i="16"/>
  <c r="G351" i="16"/>
  <c r="K351" i="16" s="1"/>
  <c r="F351" i="16"/>
  <c r="I351" i="16" s="1"/>
  <c r="J351" i="16" s="1"/>
  <c r="E351" i="16"/>
  <c r="N149" i="40"/>
  <c r="I149" i="40"/>
  <c r="H149" i="40"/>
  <c r="G149" i="40"/>
  <c r="F149" i="40"/>
  <c r="I41" i="18"/>
  <c r="J41" i="18"/>
  <c r="K41" i="18" s="1"/>
  <c r="H350" i="16"/>
  <c r="G350" i="16"/>
  <c r="K350" i="16" s="1"/>
  <c r="F350" i="16"/>
  <c r="I350" i="16" s="1"/>
  <c r="J350" i="16" s="1"/>
  <c r="E350" i="16"/>
  <c r="N148" i="40"/>
  <c r="H148" i="40"/>
  <c r="G148" i="40"/>
  <c r="F148" i="40"/>
  <c r="I148" i="40" s="1"/>
  <c r="P41" i="18"/>
  <c r="H349" i="16"/>
  <c r="G349" i="16"/>
  <c r="K349" i="16" s="1"/>
  <c r="F349" i="16"/>
  <c r="I349" i="16" s="1"/>
  <c r="J349" i="16" s="1"/>
  <c r="E349" i="16"/>
  <c r="N147" i="40"/>
  <c r="O147" i="40" s="1"/>
  <c r="H147" i="40"/>
  <c r="G147" i="40"/>
  <c r="F147" i="40"/>
  <c r="I147" i="40" s="1"/>
  <c r="L96" i="40"/>
  <c r="L95" i="40"/>
  <c r="L94" i="40"/>
  <c r="L93" i="40"/>
  <c r="L92" i="40"/>
  <c r="L91" i="40"/>
  <c r="L90" i="40"/>
  <c r="L89" i="40"/>
  <c r="L88" i="40"/>
  <c r="L87" i="40"/>
  <c r="L86" i="40"/>
  <c r="L85" i="40"/>
  <c r="L84" i="40"/>
  <c r="L83" i="40"/>
  <c r="L82" i="40"/>
  <c r="L81" i="40"/>
  <c r="L80" i="40"/>
  <c r="L79" i="40"/>
  <c r="L78" i="40"/>
  <c r="L77" i="40"/>
  <c r="L76" i="40"/>
  <c r="L75" i="40"/>
  <c r="L74" i="40"/>
  <c r="L73" i="40"/>
  <c r="L72" i="40"/>
  <c r="L71" i="40"/>
  <c r="L70" i="40"/>
  <c r="L69" i="40"/>
  <c r="L68" i="40"/>
  <c r="L67" i="40"/>
  <c r="L66" i="40"/>
  <c r="L65" i="40"/>
  <c r="L64" i="40"/>
  <c r="L63" i="40"/>
  <c r="L62" i="40"/>
  <c r="L61" i="40"/>
  <c r="L60" i="40"/>
  <c r="L59" i="40"/>
  <c r="L58" i="40"/>
  <c r="L57" i="40"/>
  <c r="L56" i="40"/>
  <c r="L55" i="40"/>
  <c r="L54" i="40"/>
  <c r="L53" i="40"/>
  <c r="L52" i="40"/>
  <c r="L51" i="40"/>
  <c r="L50" i="40"/>
  <c r="L49" i="40"/>
  <c r="L48" i="40"/>
  <c r="L47" i="40"/>
  <c r="L46" i="40"/>
  <c r="L45" i="40"/>
  <c r="L44" i="40"/>
  <c r="L43" i="40"/>
  <c r="L42" i="40"/>
  <c r="L41" i="40"/>
  <c r="L40" i="40"/>
  <c r="L39" i="40"/>
  <c r="L38" i="40"/>
  <c r="L37" i="40"/>
  <c r="L36" i="40"/>
  <c r="L35" i="40"/>
  <c r="L34" i="40"/>
  <c r="L33" i="40"/>
  <c r="L32" i="40"/>
  <c r="L30" i="40"/>
  <c r="L29" i="40"/>
  <c r="L28" i="40"/>
  <c r="L27" i="40"/>
  <c r="L26" i="40"/>
  <c r="L25" i="40"/>
  <c r="L24" i="40"/>
  <c r="L23" i="40"/>
  <c r="L22" i="40"/>
  <c r="L21" i="40"/>
  <c r="L20" i="40"/>
  <c r="L19" i="40"/>
  <c r="L18" i="40"/>
  <c r="L17" i="40"/>
  <c r="L16" i="40"/>
  <c r="L15" i="40"/>
  <c r="L14" i="40"/>
  <c r="L13" i="40"/>
  <c r="L12" i="40"/>
  <c r="L11" i="40"/>
  <c r="L10" i="40"/>
  <c r="L9" i="40"/>
  <c r="L8" i="40"/>
  <c r="L7" i="40"/>
  <c r="L6" i="40"/>
  <c r="L5" i="40"/>
  <c r="L4" i="40"/>
  <c r="L3" i="40"/>
  <c r="L2" i="40"/>
  <c r="L31" i="40"/>
  <c r="E128" i="40"/>
  <c r="E127" i="40"/>
  <c r="E126" i="40"/>
  <c r="E125" i="40"/>
  <c r="E124" i="40"/>
  <c r="E123" i="40"/>
  <c r="E122" i="40"/>
  <c r="E121" i="40"/>
  <c r="E120" i="40"/>
  <c r="E119" i="40"/>
  <c r="E118" i="40"/>
  <c r="E117" i="40"/>
  <c r="E116" i="40"/>
  <c r="E115" i="40"/>
  <c r="E114" i="40"/>
  <c r="E113" i="40"/>
  <c r="E112" i="40"/>
  <c r="E111" i="40"/>
  <c r="E110" i="40"/>
  <c r="E109" i="40"/>
  <c r="E108" i="40"/>
  <c r="E107" i="40"/>
  <c r="E106" i="40"/>
  <c r="E105" i="40"/>
  <c r="E104" i="40"/>
  <c r="E103" i="40"/>
  <c r="E102" i="40"/>
  <c r="E101" i="40"/>
  <c r="E100" i="40"/>
  <c r="E99" i="40"/>
  <c r="E98" i="40"/>
  <c r="E97" i="40"/>
  <c r="E96" i="40"/>
  <c r="E95" i="40"/>
  <c r="E94" i="40"/>
  <c r="E93" i="40"/>
  <c r="E92" i="40"/>
  <c r="E91" i="40"/>
  <c r="E90" i="40"/>
  <c r="E89" i="40"/>
  <c r="E88" i="40"/>
  <c r="E87" i="40"/>
  <c r="E86" i="40"/>
  <c r="E85" i="40"/>
  <c r="E84" i="40"/>
  <c r="E83" i="40"/>
  <c r="E82" i="40"/>
  <c r="E81" i="40"/>
  <c r="E80" i="40"/>
  <c r="E79" i="40"/>
  <c r="E78" i="40"/>
  <c r="E77" i="40"/>
  <c r="E76" i="40"/>
  <c r="E75" i="40"/>
  <c r="E74" i="40"/>
  <c r="E73" i="40"/>
  <c r="E72" i="40"/>
  <c r="E71" i="40"/>
  <c r="E70" i="40"/>
  <c r="E69" i="40"/>
  <c r="E68" i="40"/>
  <c r="E67" i="40"/>
  <c r="E66" i="40"/>
  <c r="E65" i="40"/>
  <c r="E64" i="40"/>
  <c r="E63" i="40"/>
  <c r="E62" i="40"/>
  <c r="E61" i="40"/>
  <c r="E60" i="40"/>
  <c r="E59" i="40"/>
  <c r="E58" i="40"/>
  <c r="E57" i="40"/>
  <c r="E56" i="40"/>
  <c r="E55" i="40"/>
  <c r="E54" i="40"/>
  <c r="E53" i="40"/>
  <c r="E52" i="40"/>
  <c r="E51" i="40"/>
  <c r="E50" i="40"/>
  <c r="E49" i="40"/>
  <c r="E48" i="40"/>
  <c r="E47" i="40"/>
  <c r="E46" i="40"/>
  <c r="E45" i="40"/>
  <c r="E44" i="40"/>
  <c r="E43" i="40"/>
  <c r="E42" i="40"/>
  <c r="E41" i="40"/>
  <c r="E40" i="40"/>
  <c r="E39" i="40"/>
  <c r="E38" i="40"/>
  <c r="E37" i="40"/>
  <c r="E36" i="40"/>
  <c r="E35" i="40"/>
  <c r="E34" i="40"/>
  <c r="E33" i="40"/>
  <c r="E32" i="40"/>
  <c r="E31" i="40"/>
  <c r="E30" i="40"/>
  <c r="E29" i="40"/>
  <c r="E28" i="40"/>
  <c r="E27" i="40"/>
  <c r="E26" i="40"/>
  <c r="E25" i="40"/>
  <c r="E24" i="40"/>
  <c r="E23" i="40"/>
  <c r="E22" i="40"/>
  <c r="E21" i="40"/>
  <c r="E20" i="40"/>
  <c r="E19" i="40"/>
  <c r="E18" i="40"/>
  <c r="E17" i="40"/>
  <c r="E16" i="40"/>
  <c r="E15" i="40"/>
  <c r="E14" i="40"/>
  <c r="E13" i="40"/>
  <c r="E12" i="40"/>
  <c r="E11" i="40"/>
  <c r="E10" i="40"/>
  <c r="L152" i="40" s="1"/>
  <c r="E9" i="40"/>
  <c r="E8" i="40"/>
  <c r="E7" i="40"/>
  <c r="E6" i="40"/>
  <c r="E5" i="40"/>
  <c r="E4" i="40"/>
  <c r="E3" i="40"/>
  <c r="E2" i="40"/>
  <c r="L153" i="40" s="1"/>
  <c r="E129" i="40"/>
  <c r="N146" i="40"/>
  <c r="H146" i="40"/>
  <c r="G146" i="40"/>
  <c r="F146" i="40"/>
  <c r="H348" i="16"/>
  <c r="G348" i="16"/>
  <c r="K348" i="16" s="1"/>
  <c r="F348" i="16"/>
  <c r="I348" i="16" s="1"/>
  <c r="J348" i="16" s="1"/>
  <c r="E348" i="16"/>
  <c r="H145" i="40"/>
  <c r="G145" i="40"/>
  <c r="F145" i="40"/>
  <c r="N145" i="40" s="1"/>
  <c r="O145" i="40" s="1"/>
  <c r="H347" i="16"/>
  <c r="G347" i="16"/>
  <c r="K347" i="16" s="1"/>
  <c r="F347" i="16"/>
  <c r="I347" i="16" s="1"/>
  <c r="J347" i="16" s="1"/>
  <c r="E347" i="16"/>
  <c r="I346" i="16"/>
  <c r="J346" i="16" s="1"/>
  <c r="H346" i="16"/>
  <c r="G346" i="16"/>
  <c r="K346" i="16" s="1"/>
  <c r="F346" i="16"/>
  <c r="E346" i="16"/>
  <c r="I144" i="40"/>
  <c r="H144" i="40"/>
  <c r="G144" i="40"/>
  <c r="F144" i="40"/>
  <c r="N144" i="40" s="1"/>
  <c r="H345" i="16"/>
  <c r="G345" i="16"/>
  <c r="K345" i="16" s="1"/>
  <c r="F345" i="16"/>
  <c r="I345" i="16" s="1"/>
  <c r="J345" i="16" s="1"/>
  <c r="E345" i="16"/>
  <c r="I344" i="16"/>
  <c r="J344" i="16" s="1"/>
  <c r="H344" i="16"/>
  <c r="G344" i="16"/>
  <c r="K344" i="16" s="1"/>
  <c r="F344" i="16"/>
  <c r="E344" i="16"/>
  <c r="H343" i="16"/>
  <c r="G343" i="16"/>
  <c r="K343" i="16" s="1"/>
  <c r="F343" i="16"/>
  <c r="I343" i="16" s="1"/>
  <c r="J343" i="16" s="1"/>
  <c r="E343" i="16"/>
  <c r="H143" i="40"/>
  <c r="G143" i="40"/>
  <c r="F143" i="40"/>
  <c r="N143" i="40" s="1"/>
  <c r="H342" i="16"/>
  <c r="G342" i="16"/>
  <c r="K342" i="16" s="1"/>
  <c r="F342" i="16"/>
  <c r="I342" i="16" s="1"/>
  <c r="J342" i="16" s="1"/>
  <c r="E342" i="16"/>
  <c r="H142" i="40"/>
  <c r="G142" i="40"/>
  <c r="F142" i="40"/>
  <c r="N142" i="40" s="1"/>
  <c r="O142" i="40" s="1"/>
  <c r="I341" i="16"/>
  <c r="J341" i="16" s="1"/>
  <c r="H341" i="16"/>
  <c r="G341" i="16"/>
  <c r="K341" i="16" s="1"/>
  <c r="F341" i="16"/>
  <c r="E341" i="16"/>
  <c r="N141" i="40"/>
  <c r="H141" i="40"/>
  <c r="G141" i="40"/>
  <c r="F141" i="40"/>
  <c r="I142" i="40" s="1"/>
  <c r="H340" i="16"/>
  <c r="G340" i="16"/>
  <c r="K340" i="16" s="1"/>
  <c r="F340" i="16"/>
  <c r="I340" i="16" s="1"/>
  <c r="J340" i="16" s="1"/>
  <c r="E340" i="16"/>
  <c r="O143" i="40" l="1"/>
  <c r="O144" i="40"/>
  <c r="I146" i="40"/>
  <c r="I145" i="40"/>
  <c r="L98" i="40"/>
  <c r="L110" i="40"/>
  <c r="L122" i="40"/>
  <c r="L148" i="40"/>
  <c r="M148" i="40" s="1"/>
  <c r="L112" i="40"/>
  <c r="L125" i="40"/>
  <c r="L102" i="40"/>
  <c r="L114" i="40"/>
  <c r="L126" i="40"/>
  <c r="O152" i="40"/>
  <c r="L113" i="40"/>
  <c r="L188" i="40"/>
  <c r="L187" i="40"/>
  <c r="L189" i="40"/>
  <c r="L186" i="40"/>
  <c r="L185" i="40"/>
  <c r="L184" i="40"/>
  <c r="M184" i="40" s="1"/>
  <c r="L183" i="40"/>
  <c r="M183" i="40" s="1"/>
  <c r="L181" i="40"/>
  <c r="L180" i="40"/>
  <c r="L179" i="40"/>
  <c r="L182" i="40"/>
  <c r="L177" i="40"/>
  <c r="L176" i="40"/>
  <c r="L178" i="40"/>
  <c r="L169" i="40"/>
  <c r="L173" i="40"/>
  <c r="L165" i="40"/>
  <c r="L174" i="40"/>
  <c r="L171" i="40"/>
  <c r="L166" i="40"/>
  <c r="L172" i="40"/>
  <c r="L175" i="40"/>
  <c r="L168" i="40"/>
  <c r="L170" i="40"/>
  <c r="L167" i="40"/>
  <c r="L164" i="40"/>
  <c r="L163" i="40"/>
  <c r="L162" i="40"/>
  <c r="M162" i="40" s="1"/>
  <c r="L156" i="40"/>
  <c r="L158" i="40"/>
  <c r="M158" i="40" s="1"/>
  <c r="L157" i="40"/>
  <c r="L155" i="40"/>
  <c r="L159" i="40"/>
  <c r="L160" i="40"/>
  <c r="M160" i="40" s="1"/>
  <c r="L161" i="40"/>
  <c r="M161" i="40" s="1"/>
  <c r="L103" i="40"/>
  <c r="L115" i="40"/>
  <c r="L127" i="40"/>
  <c r="L151" i="40"/>
  <c r="M151" i="40" s="1"/>
  <c r="N154" i="40"/>
  <c r="I155" i="40"/>
  <c r="L99" i="40"/>
  <c r="L124" i="40"/>
  <c r="O146" i="40"/>
  <c r="L104" i="40"/>
  <c r="L116" i="40"/>
  <c r="L128" i="40"/>
  <c r="O150" i="40"/>
  <c r="L105" i="40"/>
  <c r="L117" i="40"/>
  <c r="M152" i="40" s="1"/>
  <c r="L129" i="40"/>
  <c r="L123" i="40"/>
  <c r="L149" i="40"/>
  <c r="M149" i="40" s="1"/>
  <c r="L101" i="40"/>
  <c r="I143" i="40"/>
  <c r="L106" i="40"/>
  <c r="L118" i="40"/>
  <c r="M153" i="40" s="1"/>
  <c r="L154" i="40"/>
  <c r="L111" i="40"/>
  <c r="O149" i="40"/>
  <c r="L107" i="40"/>
  <c r="L119" i="40"/>
  <c r="L150" i="40"/>
  <c r="M150" i="40" s="1"/>
  <c r="L108" i="40"/>
  <c r="L120" i="40"/>
  <c r="L147" i="40"/>
  <c r="M147" i="40" s="1"/>
  <c r="L146" i="40"/>
  <c r="L100" i="40"/>
  <c r="O148" i="40"/>
  <c r="L97" i="40"/>
  <c r="L109" i="40"/>
  <c r="L121" i="40"/>
  <c r="I154" i="40"/>
  <c r="I153" i="40"/>
  <c r="I151" i="40"/>
  <c r="I150" i="40"/>
  <c r="I339" i="16"/>
  <c r="J339" i="16" s="1"/>
  <c r="H339" i="16"/>
  <c r="G339" i="16"/>
  <c r="K339" i="16" s="1"/>
  <c r="F339" i="16"/>
  <c r="E339" i="16"/>
  <c r="H140" i="40"/>
  <c r="G140" i="40"/>
  <c r="F140" i="40"/>
  <c r="M157" i="40" l="1"/>
  <c r="M156" i="40"/>
  <c r="M185" i="40"/>
  <c r="O154" i="40"/>
  <c r="O155" i="40"/>
  <c r="M186" i="40"/>
  <c r="M189" i="40"/>
  <c r="M187" i="40"/>
  <c r="M188" i="40"/>
  <c r="I140" i="40"/>
  <c r="I141" i="40"/>
  <c r="M154" i="40"/>
  <c r="E302" i="46" s="1"/>
  <c r="M182" i="40"/>
  <c r="M179" i="40"/>
  <c r="M159" i="40"/>
  <c r="M180" i="40"/>
  <c r="M155" i="40"/>
  <c r="M181" i="40"/>
  <c r="N140" i="40"/>
  <c r="P40" i="18"/>
  <c r="I40" i="18"/>
  <c r="J40" i="18"/>
  <c r="K40" i="18" s="1"/>
  <c r="H338" i="16"/>
  <c r="G338" i="16"/>
  <c r="K338" i="16" s="1"/>
  <c r="F338" i="16"/>
  <c r="I338" i="16" s="1"/>
  <c r="J338" i="16" s="1"/>
  <c r="E338" i="16"/>
  <c r="N139" i="40"/>
  <c r="O139" i="40" s="1"/>
  <c r="H139" i="40"/>
  <c r="G139" i="40"/>
  <c r="F139" i="40"/>
  <c r="I337" i="16"/>
  <c r="J337" i="16" s="1"/>
  <c r="H337" i="16"/>
  <c r="G337" i="16"/>
  <c r="K337" i="16" s="1"/>
  <c r="F337" i="16"/>
  <c r="E337" i="16"/>
  <c r="D337" i="16"/>
  <c r="H336" i="16"/>
  <c r="G336" i="16"/>
  <c r="K336" i="16" s="1"/>
  <c r="F336" i="16"/>
  <c r="I336" i="16" s="1"/>
  <c r="J336" i="16" s="1"/>
  <c r="E336" i="16"/>
  <c r="H138" i="40"/>
  <c r="G138" i="40"/>
  <c r="F138" i="40"/>
  <c r="N138" i="40" s="1"/>
  <c r="I335" i="16"/>
  <c r="J335" i="16" s="1"/>
  <c r="H335" i="16"/>
  <c r="G335" i="16"/>
  <c r="K335" i="16" s="1"/>
  <c r="F335" i="16"/>
  <c r="E335" i="16"/>
  <c r="H334" i="16"/>
  <c r="G334" i="16"/>
  <c r="K334" i="16" s="1"/>
  <c r="F334" i="16"/>
  <c r="I334" i="16" s="1"/>
  <c r="J334" i="16" s="1"/>
  <c r="E334" i="16"/>
  <c r="H137" i="40"/>
  <c r="G137" i="40"/>
  <c r="F137" i="40"/>
  <c r="N137" i="40" s="1"/>
  <c r="H136" i="40"/>
  <c r="G136" i="40"/>
  <c r="F136" i="40"/>
  <c r="N136" i="40" s="1"/>
  <c r="O136" i="40" s="1"/>
  <c r="H333" i="16"/>
  <c r="G333" i="16"/>
  <c r="K333" i="16" s="1"/>
  <c r="F333" i="16"/>
  <c r="I333" i="16" s="1"/>
  <c r="J333" i="16" s="1"/>
  <c r="E333" i="16"/>
  <c r="I332" i="16"/>
  <c r="J332" i="16" s="1"/>
  <c r="H332" i="16"/>
  <c r="G332" i="16"/>
  <c r="K332" i="16" s="1"/>
  <c r="F332" i="16"/>
  <c r="E332" i="16"/>
  <c r="H331" i="16"/>
  <c r="G331" i="16"/>
  <c r="K331" i="16" s="1"/>
  <c r="F331" i="16"/>
  <c r="I331" i="16" s="1"/>
  <c r="J331" i="16" s="1"/>
  <c r="E331" i="16"/>
  <c r="H135" i="40"/>
  <c r="G135" i="40"/>
  <c r="F135" i="40"/>
  <c r="N135" i="40" s="1"/>
  <c r="I39" i="18"/>
  <c r="J39" i="18"/>
  <c r="K39" i="18"/>
  <c r="P39" i="18"/>
  <c r="H134" i="40"/>
  <c r="G134" i="40"/>
  <c r="F134" i="40"/>
  <c r="N134" i="40" s="1"/>
  <c r="H330" i="16"/>
  <c r="G330" i="16"/>
  <c r="K330" i="16" s="1"/>
  <c r="F330" i="16"/>
  <c r="I330" i="16" s="1"/>
  <c r="J330" i="16" s="1"/>
  <c r="E330" i="16"/>
  <c r="H133" i="40"/>
  <c r="G133" i="40"/>
  <c r="F133" i="40"/>
  <c r="H329" i="16"/>
  <c r="G329" i="16"/>
  <c r="K329" i="16" s="1"/>
  <c r="F329" i="16"/>
  <c r="I329" i="16" s="1"/>
  <c r="J329" i="16" s="1"/>
  <c r="E329" i="16"/>
  <c r="H328" i="16"/>
  <c r="G328" i="16"/>
  <c r="K328" i="16" s="1"/>
  <c r="F328" i="16"/>
  <c r="I328" i="16" s="1"/>
  <c r="J328" i="16" s="1"/>
  <c r="E328" i="16"/>
  <c r="H132" i="40"/>
  <c r="G132" i="40"/>
  <c r="F132" i="40"/>
  <c r="I132" i="40" s="1"/>
  <c r="H327" i="16"/>
  <c r="G327" i="16"/>
  <c r="K327" i="16" s="1"/>
  <c r="F327" i="16"/>
  <c r="I327" i="16" s="1"/>
  <c r="J327" i="16" s="1"/>
  <c r="E327" i="16"/>
  <c r="H131" i="40"/>
  <c r="G131" i="40"/>
  <c r="F131" i="40"/>
  <c r="N131" i="40" s="1"/>
  <c r="H130" i="40"/>
  <c r="G130" i="40"/>
  <c r="F130" i="40"/>
  <c r="N130" i="40" s="1"/>
  <c r="H326" i="16"/>
  <c r="G326" i="16"/>
  <c r="K326" i="16" s="1"/>
  <c r="F326" i="16"/>
  <c r="I326" i="16" s="1"/>
  <c r="J326" i="16" s="1"/>
  <c r="L326" i="16"/>
  <c r="E326" i="16"/>
  <c r="D498" i="46"/>
  <c r="A498" i="46"/>
  <c r="A499" i="46" s="1"/>
  <c r="A303" i="46"/>
  <c r="E301" i="46"/>
  <c r="E300" i="46"/>
  <c r="E299" i="46"/>
  <c r="E298" i="46"/>
  <c r="E297" i="46"/>
  <c r="E156" i="46"/>
  <c r="E155" i="46"/>
  <c r="E154" i="46"/>
  <c r="E153" i="46"/>
  <c r="E152" i="46"/>
  <c r="E151" i="46"/>
  <c r="E150" i="46"/>
  <c r="E149" i="46"/>
  <c r="E148" i="46"/>
  <c r="E147" i="46"/>
  <c r="E146" i="46"/>
  <c r="E145" i="46"/>
  <c r="E144" i="46"/>
  <c r="E143" i="46"/>
  <c r="E142" i="46"/>
  <c r="E141" i="46"/>
  <c r="E140" i="46"/>
  <c r="E139" i="46"/>
  <c r="E138" i="46"/>
  <c r="E137" i="46"/>
  <c r="E136" i="46"/>
  <c r="E135" i="46"/>
  <c r="E134" i="46"/>
  <c r="E133" i="46"/>
  <c r="E132" i="46"/>
  <c r="E131" i="46"/>
  <c r="E130" i="46"/>
  <c r="E129" i="46"/>
  <c r="E128" i="46"/>
  <c r="E127" i="46"/>
  <c r="E126" i="46"/>
  <c r="E125" i="46"/>
  <c r="E124" i="46"/>
  <c r="E123" i="46"/>
  <c r="E122" i="46"/>
  <c r="E121" i="46"/>
  <c r="E120" i="46"/>
  <c r="E119" i="46"/>
  <c r="E118" i="46"/>
  <c r="E117" i="46"/>
  <c r="E116" i="46"/>
  <c r="E115" i="46"/>
  <c r="E114" i="46"/>
  <c r="E113" i="46"/>
  <c r="E112" i="46"/>
  <c r="E111" i="46"/>
  <c r="E110" i="46"/>
  <c r="E109" i="46"/>
  <c r="E108" i="46"/>
  <c r="E107" i="46"/>
  <c r="E106" i="46"/>
  <c r="E105" i="46"/>
  <c r="E104" i="46"/>
  <c r="E103" i="46"/>
  <c r="E102" i="46"/>
  <c r="E101" i="46"/>
  <c r="E100" i="46"/>
  <c r="E99" i="46"/>
  <c r="E98" i="46"/>
  <c r="E97" i="46"/>
  <c r="E96" i="46"/>
  <c r="E95" i="46"/>
  <c r="E94" i="46"/>
  <c r="E93" i="46"/>
  <c r="E92" i="46"/>
  <c r="E91" i="46"/>
  <c r="E90" i="46"/>
  <c r="E89" i="46"/>
  <c r="E88" i="46"/>
  <c r="E87" i="46"/>
  <c r="E86" i="46"/>
  <c r="E85" i="46"/>
  <c r="E84" i="46"/>
  <c r="E83" i="46"/>
  <c r="E82" i="46"/>
  <c r="E81" i="46"/>
  <c r="E80" i="46"/>
  <c r="E79" i="46"/>
  <c r="E78" i="46"/>
  <c r="E77" i="46"/>
  <c r="E76" i="46"/>
  <c r="E75" i="46"/>
  <c r="E74" i="46"/>
  <c r="E73" i="46"/>
  <c r="E72" i="46"/>
  <c r="E71" i="46"/>
  <c r="E70" i="46"/>
  <c r="E69" i="46"/>
  <c r="E68" i="46"/>
  <c r="E67" i="46"/>
  <c r="E66" i="46"/>
  <c r="E65" i="46"/>
  <c r="E64" i="46"/>
  <c r="E63" i="46"/>
  <c r="E62" i="46"/>
  <c r="E61" i="46"/>
  <c r="E60" i="46"/>
  <c r="E59" i="46"/>
  <c r="E58" i="46"/>
  <c r="E57" i="46"/>
  <c r="E56" i="46"/>
  <c r="E55" i="46"/>
  <c r="E54" i="46"/>
  <c r="E53" i="46"/>
  <c r="E52" i="46"/>
  <c r="E51" i="46"/>
  <c r="E50" i="46"/>
  <c r="E49" i="46"/>
  <c r="E48" i="46"/>
  <c r="E47" i="46"/>
  <c r="E46" i="46"/>
  <c r="E45" i="46"/>
  <c r="E44" i="46"/>
  <c r="E43" i="46"/>
  <c r="E42" i="46"/>
  <c r="E41" i="46"/>
  <c r="E40" i="46"/>
  <c r="E39" i="46"/>
  <c r="E38" i="46"/>
  <c r="E37" i="46"/>
  <c r="E36" i="46"/>
  <c r="E35" i="46"/>
  <c r="E34" i="46"/>
  <c r="E33" i="46"/>
  <c r="E32" i="46"/>
  <c r="E31" i="46"/>
  <c r="E30" i="46"/>
  <c r="E29" i="46"/>
  <c r="E28" i="46"/>
  <c r="E27" i="46"/>
  <c r="E26" i="46"/>
  <c r="E25" i="46"/>
  <c r="E24" i="46"/>
  <c r="E23" i="46"/>
  <c r="E22" i="46"/>
  <c r="E21" i="46"/>
  <c r="E20" i="46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E3" i="46"/>
  <c r="E2" i="46"/>
  <c r="F115" i="40"/>
  <c r="F102" i="40"/>
  <c r="F129" i="40"/>
  <c r="F128" i="40"/>
  <c r="F127" i="40"/>
  <c r="F126" i="40"/>
  <c r="F125" i="40"/>
  <c r="N125" i="40" s="1"/>
  <c r="F124" i="40"/>
  <c r="F123" i="40"/>
  <c r="F122" i="40"/>
  <c r="F121" i="40"/>
  <c r="F120" i="40"/>
  <c r="F119" i="40"/>
  <c r="F118" i="40"/>
  <c r="F117" i="40"/>
  <c r="F116" i="40"/>
  <c r="F114" i="40"/>
  <c r="F113" i="40"/>
  <c r="F112" i="40"/>
  <c r="F111" i="40"/>
  <c r="F110" i="40"/>
  <c r="F109" i="40"/>
  <c r="F108" i="40"/>
  <c r="F107" i="40"/>
  <c r="F106" i="40"/>
  <c r="F105" i="40"/>
  <c r="F104" i="40"/>
  <c r="F103" i="40"/>
  <c r="F101" i="40"/>
  <c r="F100" i="40"/>
  <c r="F99" i="40"/>
  <c r="F98" i="40"/>
  <c r="F97" i="40"/>
  <c r="F96" i="40"/>
  <c r="F95" i="40"/>
  <c r="F94" i="40"/>
  <c r="F93" i="40"/>
  <c r="F92" i="40"/>
  <c r="F91" i="40"/>
  <c r="F90" i="40"/>
  <c r="F89" i="40"/>
  <c r="F88" i="40"/>
  <c r="F87" i="40"/>
  <c r="F86" i="40"/>
  <c r="F85" i="40"/>
  <c r="F84" i="40"/>
  <c r="F83" i="40"/>
  <c r="F82" i="40"/>
  <c r="F81" i="40"/>
  <c r="F80" i="40"/>
  <c r="F79" i="40"/>
  <c r="F78" i="40"/>
  <c r="F77" i="40"/>
  <c r="F76" i="40"/>
  <c r="F75" i="40"/>
  <c r="F74" i="40"/>
  <c r="F73" i="40"/>
  <c r="F72" i="40"/>
  <c r="F71" i="40"/>
  <c r="F70" i="40"/>
  <c r="F69" i="40"/>
  <c r="F68" i="40"/>
  <c r="F67" i="40"/>
  <c r="F66" i="40"/>
  <c r="F65" i="40"/>
  <c r="F64" i="40"/>
  <c r="F63" i="40"/>
  <c r="F62" i="40"/>
  <c r="F61" i="40"/>
  <c r="F60" i="40"/>
  <c r="F59" i="40"/>
  <c r="F58" i="40"/>
  <c r="F57" i="40"/>
  <c r="F56" i="40"/>
  <c r="F55" i="40"/>
  <c r="F54" i="40"/>
  <c r="F53" i="40"/>
  <c r="F52" i="40"/>
  <c r="F51" i="40"/>
  <c r="F50" i="40"/>
  <c r="F49" i="40"/>
  <c r="F48" i="40"/>
  <c r="F47" i="40"/>
  <c r="F46" i="40"/>
  <c r="F45" i="40"/>
  <c r="F44" i="40"/>
  <c r="F43" i="40"/>
  <c r="F42" i="40"/>
  <c r="F41" i="40"/>
  <c r="F40" i="40"/>
  <c r="F39" i="40"/>
  <c r="F38" i="40"/>
  <c r="F37" i="40"/>
  <c r="F36" i="40"/>
  <c r="F35" i="40"/>
  <c r="F34" i="40"/>
  <c r="F33" i="40"/>
  <c r="F32" i="40"/>
  <c r="F31" i="40"/>
  <c r="F30" i="40"/>
  <c r="F29" i="40"/>
  <c r="F28" i="40"/>
  <c r="F27" i="40"/>
  <c r="F26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3" i="40"/>
  <c r="H129" i="40"/>
  <c r="G129" i="40"/>
  <c r="H325" i="16"/>
  <c r="G325" i="16"/>
  <c r="K325" i="16" s="1"/>
  <c r="F325" i="16"/>
  <c r="I325" i="16" s="1"/>
  <c r="J325" i="16" s="1"/>
  <c r="E325" i="16"/>
  <c r="E324" i="16"/>
  <c r="H324" i="16"/>
  <c r="F324" i="16"/>
  <c r="I324" i="16" s="1"/>
  <c r="J324" i="16" s="1"/>
  <c r="H128" i="40"/>
  <c r="G128" i="40"/>
  <c r="H127" i="40"/>
  <c r="G127" i="40"/>
  <c r="H323" i="16"/>
  <c r="F323" i="16"/>
  <c r="I323" i="16" s="1"/>
  <c r="J323" i="16" s="1"/>
  <c r="E323" i="16"/>
  <c r="H322" i="16"/>
  <c r="F322" i="16"/>
  <c r="E322" i="16"/>
  <c r="H126" i="40"/>
  <c r="G126" i="40"/>
  <c r="H125" i="40"/>
  <c r="G125" i="40"/>
  <c r="I321" i="16"/>
  <c r="J321" i="16" s="1"/>
  <c r="H321" i="16"/>
  <c r="F321" i="16"/>
  <c r="E321" i="16"/>
  <c r="C12" i="18"/>
  <c r="C13" i="18" s="1"/>
  <c r="H124" i="40"/>
  <c r="G124" i="40"/>
  <c r="I320" i="16"/>
  <c r="J320" i="16" s="1"/>
  <c r="H320" i="16"/>
  <c r="F320" i="16"/>
  <c r="E320" i="16"/>
  <c r="H319" i="16"/>
  <c r="F319" i="16"/>
  <c r="I319" i="16" s="1"/>
  <c r="J319" i="16" s="1"/>
  <c r="E319" i="16"/>
  <c r="I135" i="40" l="1"/>
  <c r="I136" i="40"/>
  <c r="I133" i="40"/>
  <c r="O137" i="40"/>
  <c r="O138" i="40"/>
  <c r="O140" i="40"/>
  <c r="O141" i="40"/>
  <c r="N132" i="40"/>
  <c r="O132" i="40" s="1"/>
  <c r="N133" i="40"/>
  <c r="O133" i="40" s="1"/>
  <c r="O135" i="40"/>
  <c r="I139" i="40"/>
  <c r="I138" i="40"/>
  <c r="O131" i="40"/>
  <c r="L145" i="40"/>
  <c r="M178" i="40" s="1"/>
  <c r="L144" i="40"/>
  <c r="M177" i="40" s="1"/>
  <c r="L143" i="40"/>
  <c r="M176" i="40" s="1"/>
  <c r="L142" i="40"/>
  <c r="L141" i="40"/>
  <c r="F2" i="40"/>
  <c r="L140" i="40"/>
  <c r="L139" i="40"/>
  <c r="M173" i="40" s="1"/>
  <c r="L138" i="40"/>
  <c r="L137" i="40"/>
  <c r="L136" i="40"/>
  <c r="I137" i="40"/>
  <c r="M3" i="40"/>
  <c r="L135" i="40"/>
  <c r="M170" i="40" s="1"/>
  <c r="L134" i="40"/>
  <c r="I134" i="40"/>
  <c r="L133" i="40"/>
  <c r="M167" i="40" s="1"/>
  <c r="L132" i="40"/>
  <c r="M166" i="40" s="1"/>
  <c r="L131" i="40"/>
  <c r="M165" i="40" s="1"/>
  <c r="I131" i="40"/>
  <c r="L130" i="40"/>
  <c r="I130" i="40"/>
  <c r="N127" i="40"/>
  <c r="I127" i="40"/>
  <c r="I124" i="40"/>
  <c r="N124" i="40"/>
  <c r="O125" i="40" s="1"/>
  <c r="N128" i="40"/>
  <c r="I128" i="40"/>
  <c r="N129" i="40"/>
  <c r="I129" i="40"/>
  <c r="N126" i="40"/>
  <c r="O126" i="40" s="1"/>
  <c r="I126" i="40"/>
  <c r="M13" i="40"/>
  <c r="E166" i="46" s="1"/>
  <c r="M12" i="40"/>
  <c r="E165" i="46" s="1"/>
  <c r="M24" i="40"/>
  <c r="E177" i="46" s="1"/>
  <c r="M15" i="40"/>
  <c r="E169" i="46" s="1"/>
  <c r="M27" i="40"/>
  <c r="E183" i="46" s="1"/>
  <c r="M4" i="40"/>
  <c r="E157" i="46" s="1"/>
  <c r="M16" i="40"/>
  <c r="M28" i="40"/>
  <c r="E184" i="46" s="1"/>
  <c r="M146" i="40"/>
  <c r="E296" i="46" s="1"/>
  <c r="M25" i="40"/>
  <c r="E178" i="46" s="1"/>
  <c r="M5" i="40"/>
  <c r="E158" i="46" s="1"/>
  <c r="M17" i="40"/>
  <c r="E170" i="46" s="1"/>
  <c r="M29" i="40"/>
  <c r="M6" i="40"/>
  <c r="E159" i="46" s="1"/>
  <c r="M2" i="40"/>
  <c r="M7" i="40"/>
  <c r="E160" i="46" s="1"/>
  <c r="M19" i="40"/>
  <c r="E172" i="46" s="1"/>
  <c r="M31" i="40"/>
  <c r="F4" i="40"/>
  <c r="M26" i="40"/>
  <c r="E180" i="46" s="1"/>
  <c r="M8" i="40"/>
  <c r="E161" i="46" s="1"/>
  <c r="M20" i="40"/>
  <c r="E173" i="46" s="1"/>
  <c r="M32" i="40"/>
  <c r="E186" i="46" s="1"/>
  <c r="M104" i="40"/>
  <c r="E258" i="46" s="1"/>
  <c r="F5" i="40"/>
  <c r="M85" i="40"/>
  <c r="E239" i="46" s="1"/>
  <c r="M18" i="40"/>
  <c r="E171" i="46" s="1"/>
  <c r="M9" i="40"/>
  <c r="E162" i="46" s="1"/>
  <c r="M21" i="40"/>
  <c r="E174" i="46" s="1"/>
  <c r="F6" i="40"/>
  <c r="M50" i="40"/>
  <c r="E204" i="46" s="1"/>
  <c r="M30" i="40"/>
  <c r="E185" i="46" s="1"/>
  <c r="M10" i="40"/>
  <c r="E163" i="46" s="1"/>
  <c r="M22" i="40"/>
  <c r="E175" i="46" s="1"/>
  <c r="M34" i="40"/>
  <c r="M14" i="40"/>
  <c r="E167" i="46" s="1"/>
  <c r="M11" i="40"/>
  <c r="E164" i="46" s="1"/>
  <c r="M23" i="40"/>
  <c r="E176" i="46" s="1"/>
  <c r="E499" i="46"/>
  <c r="D499" i="46"/>
  <c r="B499" i="46"/>
  <c r="C499" i="46" s="1"/>
  <c r="A500" i="46"/>
  <c r="B498" i="46"/>
  <c r="C498" i="46" s="1"/>
  <c r="E498" i="46"/>
  <c r="B303" i="46"/>
  <c r="C303" i="46" s="1"/>
  <c r="A304" i="46"/>
  <c r="E303" i="46"/>
  <c r="I322" i="16"/>
  <c r="J322" i="16" s="1"/>
  <c r="I125" i="40"/>
  <c r="N123" i="40"/>
  <c r="I123" i="40"/>
  <c r="H123" i="40"/>
  <c r="G123" i="40"/>
  <c r="H318" i="16"/>
  <c r="F318" i="16"/>
  <c r="I318" i="16" s="1"/>
  <c r="J318" i="16" s="1"/>
  <c r="E318" i="16"/>
  <c r="N122" i="40"/>
  <c r="I122" i="40"/>
  <c r="H122" i="40"/>
  <c r="G122" i="40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P13" i="13"/>
  <c r="O12" i="13"/>
  <c r="Q12" i="13" s="1"/>
  <c r="P12" i="13"/>
  <c r="H317" i="16"/>
  <c r="F317" i="16"/>
  <c r="I317" i="16" s="1"/>
  <c r="J317" i="16" s="1"/>
  <c r="E317" i="16"/>
  <c r="I38" i="18"/>
  <c r="J38" i="18"/>
  <c r="K38" i="18" s="1"/>
  <c r="P38" i="18"/>
  <c r="N121" i="40"/>
  <c r="I121" i="40"/>
  <c r="H121" i="40"/>
  <c r="G121" i="40"/>
  <c r="H316" i="16"/>
  <c r="F316" i="16"/>
  <c r="I316" i="16" s="1"/>
  <c r="J316" i="16" s="1"/>
  <c r="E316" i="16"/>
  <c r="H315" i="16"/>
  <c r="F315" i="16"/>
  <c r="H120" i="40"/>
  <c r="G120" i="40"/>
  <c r="N120" i="40"/>
  <c r="E315" i="16"/>
  <c r="H119" i="40"/>
  <c r="G119" i="40"/>
  <c r="I119" i="40"/>
  <c r="H314" i="16"/>
  <c r="F314" i="16"/>
  <c r="I314" i="16" s="1"/>
  <c r="J314" i="16" s="1"/>
  <c r="E314" i="16"/>
  <c r="H313" i="16"/>
  <c r="F313" i="16"/>
  <c r="I313" i="16" s="1"/>
  <c r="J313" i="16" s="1"/>
  <c r="E313" i="16"/>
  <c r="H312" i="16"/>
  <c r="F312" i="16"/>
  <c r="I312" i="16" s="1"/>
  <c r="J312" i="16" s="1"/>
  <c r="E312" i="16"/>
  <c r="H118" i="40"/>
  <c r="G118" i="40"/>
  <c r="N118" i="40"/>
  <c r="I311" i="16"/>
  <c r="J311" i="16" s="1"/>
  <c r="H311" i="16"/>
  <c r="F311" i="16"/>
  <c r="E311" i="16"/>
  <c r="H310" i="16"/>
  <c r="F310" i="16"/>
  <c r="I310" i="16" s="1"/>
  <c r="J310" i="16" s="1"/>
  <c r="E310" i="16"/>
  <c r="N117" i="40"/>
  <c r="I117" i="40"/>
  <c r="H117" i="40"/>
  <c r="G117" i="40"/>
  <c r="H309" i="16"/>
  <c r="F309" i="16"/>
  <c r="E309" i="16"/>
  <c r="H308" i="16"/>
  <c r="F308" i="16"/>
  <c r="I308" i="16" s="1"/>
  <c r="J308" i="16" s="1"/>
  <c r="E308" i="16"/>
  <c r="H116" i="40"/>
  <c r="G116" i="40"/>
  <c r="N116" i="40"/>
  <c r="H307" i="16"/>
  <c r="F307" i="16"/>
  <c r="I307" i="16" s="1"/>
  <c r="J307" i="16" s="1"/>
  <c r="E307" i="16"/>
  <c r="M171" i="40" l="1"/>
  <c r="M172" i="40"/>
  <c r="M175" i="40"/>
  <c r="M174" i="40"/>
  <c r="M168" i="40"/>
  <c r="M169" i="40"/>
  <c r="M164" i="40"/>
  <c r="M163" i="40"/>
  <c r="O134" i="40"/>
  <c r="F499" i="46"/>
  <c r="F498" i="46"/>
  <c r="M138" i="40"/>
  <c r="E290" i="46" s="1"/>
  <c r="M145" i="40"/>
  <c r="E295" i="46" s="1"/>
  <c r="M144" i="40"/>
  <c r="E294" i="46" s="1"/>
  <c r="M143" i="40"/>
  <c r="M142" i="40"/>
  <c r="E293" i="46" s="1"/>
  <c r="M141" i="40"/>
  <c r="E292" i="46" s="1"/>
  <c r="M92" i="40"/>
  <c r="E246" i="46" s="1"/>
  <c r="M97" i="40"/>
  <c r="E251" i="46" s="1"/>
  <c r="M140" i="40"/>
  <c r="M57" i="40"/>
  <c r="E212" i="46" s="1"/>
  <c r="M139" i="40"/>
  <c r="E291" i="46" s="1"/>
  <c r="M134" i="40"/>
  <c r="E286" i="46" s="1"/>
  <c r="M35" i="40"/>
  <c r="E188" i="46" s="1"/>
  <c r="M137" i="40"/>
  <c r="E289" i="46" s="1"/>
  <c r="M33" i="40"/>
  <c r="E187" i="46" s="1"/>
  <c r="M136" i="40"/>
  <c r="E288" i="46" s="1"/>
  <c r="M95" i="40"/>
  <c r="E249" i="46" s="1"/>
  <c r="M59" i="40"/>
  <c r="E214" i="46" s="1"/>
  <c r="M135" i="40"/>
  <c r="E287" i="46" s="1"/>
  <c r="M133" i="40"/>
  <c r="E285" i="46" s="1"/>
  <c r="M73" i="40"/>
  <c r="E228" i="46" s="1"/>
  <c r="M132" i="40"/>
  <c r="E284" i="46" s="1"/>
  <c r="M131" i="40"/>
  <c r="E283" i="46" s="1"/>
  <c r="M68" i="40"/>
  <c r="E224" i="46" s="1"/>
  <c r="M119" i="40"/>
  <c r="E272" i="46" s="1"/>
  <c r="M118" i="40"/>
  <c r="E271" i="46" s="1"/>
  <c r="M103" i="40"/>
  <c r="E257" i="46" s="1"/>
  <c r="O129" i="40"/>
  <c r="M83" i="40"/>
  <c r="E237" i="46" s="1"/>
  <c r="M82" i="40"/>
  <c r="E236" i="46" s="1"/>
  <c r="M45" i="40"/>
  <c r="E199" i="46" s="1"/>
  <c r="M71" i="40"/>
  <c r="E226" i="46" s="1"/>
  <c r="M93" i="40"/>
  <c r="E247" i="46" s="1"/>
  <c r="M80" i="40"/>
  <c r="E234" i="46" s="1"/>
  <c r="M130" i="40"/>
  <c r="E282" i="46" s="1"/>
  <c r="M107" i="40"/>
  <c r="M94" i="40"/>
  <c r="E248" i="46" s="1"/>
  <c r="M129" i="40"/>
  <c r="E281" i="46" s="1"/>
  <c r="M79" i="40"/>
  <c r="E233" i="46" s="1"/>
  <c r="M70" i="40"/>
  <c r="M58" i="40"/>
  <c r="M116" i="40"/>
  <c r="E269" i="46" s="1"/>
  <c r="E182" i="46"/>
  <c r="E181" i="46"/>
  <c r="M56" i="40"/>
  <c r="E210" i="46" s="1"/>
  <c r="M98" i="40"/>
  <c r="E252" i="46" s="1"/>
  <c r="O130" i="40"/>
  <c r="M110" i="40"/>
  <c r="E264" i="46" s="1"/>
  <c r="M67" i="40"/>
  <c r="E223" i="46" s="1"/>
  <c r="M55" i="40"/>
  <c r="E209" i="46" s="1"/>
  <c r="O128" i="40"/>
  <c r="E168" i="46"/>
  <c r="M115" i="40"/>
  <c r="E268" i="46" s="1"/>
  <c r="M54" i="40"/>
  <c r="E208" i="46" s="1"/>
  <c r="M89" i="40"/>
  <c r="E243" i="46" s="1"/>
  <c r="M96" i="40"/>
  <c r="E250" i="46" s="1"/>
  <c r="E179" i="46"/>
  <c r="M78" i="40"/>
  <c r="E232" i="46" s="1"/>
  <c r="M49" i="40"/>
  <c r="E203" i="46" s="1"/>
  <c r="M53" i="40"/>
  <c r="E207" i="46" s="1"/>
  <c r="M117" i="40"/>
  <c r="E270" i="46" s="1"/>
  <c r="M41" i="40"/>
  <c r="E195" i="46" s="1"/>
  <c r="M90" i="40"/>
  <c r="E244" i="46" s="1"/>
  <c r="M76" i="40"/>
  <c r="E230" i="46" s="1"/>
  <c r="M36" i="40"/>
  <c r="E189" i="46" s="1"/>
  <c r="M42" i="40"/>
  <c r="E196" i="46" s="1"/>
  <c r="M64" i="40"/>
  <c r="E220" i="46" s="1"/>
  <c r="M125" i="40"/>
  <c r="E277" i="46" s="1"/>
  <c r="M75" i="40"/>
  <c r="M40" i="40"/>
  <c r="E194" i="46" s="1"/>
  <c r="M74" i="40"/>
  <c r="E229" i="46" s="1"/>
  <c r="M62" i="40"/>
  <c r="M108" i="40"/>
  <c r="E261" i="46" s="1"/>
  <c r="M109" i="40"/>
  <c r="M77" i="40"/>
  <c r="E231" i="46" s="1"/>
  <c r="M123" i="40"/>
  <c r="E275" i="46" s="1"/>
  <c r="O123" i="40"/>
  <c r="M106" i="40"/>
  <c r="M44" i="40"/>
  <c r="M91" i="40"/>
  <c r="E245" i="46" s="1"/>
  <c r="M65" i="40"/>
  <c r="E221" i="46" s="1"/>
  <c r="M124" i="40"/>
  <c r="E276" i="46" s="1"/>
  <c r="M87" i="40"/>
  <c r="E241" i="46" s="1"/>
  <c r="M84" i="40"/>
  <c r="E238" i="46" s="1"/>
  <c r="M112" i="40"/>
  <c r="M51" i="40"/>
  <c r="E205" i="46" s="1"/>
  <c r="M72" i="40"/>
  <c r="E227" i="46" s="1"/>
  <c r="M102" i="40"/>
  <c r="E256" i="46" s="1"/>
  <c r="M100" i="40"/>
  <c r="E254" i="46" s="1"/>
  <c r="M60" i="40"/>
  <c r="E215" i="46" s="1"/>
  <c r="M105" i="40"/>
  <c r="M88" i="40"/>
  <c r="E242" i="46" s="1"/>
  <c r="M86" i="40"/>
  <c r="E240" i="46" s="1"/>
  <c r="M48" i="40"/>
  <c r="E202" i="46" s="1"/>
  <c r="M61" i="40"/>
  <c r="E216" i="46" s="1"/>
  <c r="M121" i="40"/>
  <c r="E274" i="46" s="1"/>
  <c r="M38" i="40"/>
  <c r="E191" i="46" s="1"/>
  <c r="M46" i="40"/>
  <c r="E200" i="46" s="1"/>
  <c r="M81" i="40"/>
  <c r="E235" i="46" s="1"/>
  <c r="M128" i="40"/>
  <c r="E280" i="46" s="1"/>
  <c r="M99" i="40"/>
  <c r="E253" i="46" s="1"/>
  <c r="M43" i="40"/>
  <c r="M47" i="40"/>
  <c r="E201" i="46" s="1"/>
  <c r="M69" i="40"/>
  <c r="E225" i="46" s="1"/>
  <c r="M111" i="40"/>
  <c r="E265" i="46" s="1"/>
  <c r="M52" i="40"/>
  <c r="E206" i="46" s="1"/>
  <c r="O121" i="40"/>
  <c r="M114" i="40"/>
  <c r="E267" i="46" s="1"/>
  <c r="M113" i="40"/>
  <c r="E266" i="46" s="1"/>
  <c r="M63" i="40"/>
  <c r="E219" i="46" s="1"/>
  <c r="M37" i="40"/>
  <c r="E190" i="46" s="1"/>
  <c r="M126" i="40"/>
  <c r="E278" i="46" s="1"/>
  <c r="O127" i="40"/>
  <c r="O117" i="40"/>
  <c r="M127" i="40"/>
  <c r="E279" i="46" s="1"/>
  <c r="M66" i="40"/>
  <c r="E222" i="46" s="1"/>
  <c r="M101" i="40"/>
  <c r="E255" i="46" s="1"/>
  <c r="M39" i="40"/>
  <c r="E192" i="46" s="1"/>
  <c r="M120" i="40"/>
  <c r="E273" i="46" s="1"/>
  <c r="M122" i="40"/>
  <c r="D500" i="46"/>
  <c r="A501" i="46"/>
  <c r="E500" i="46"/>
  <c r="B500" i="46"/>
  <c r="C500" i="46" s="1"/>
  <c r="E304" i="46"/>
  <c r="B304" i="46"/>
  <c r="C304" i="46" s="1"/>
  <c r="A305" i="46"/>
  <c r="O122" i="40"/>
  <c r="O124" i="40"/>
  <c r="O118" i="40"/>
  <c r="I309" i="16"/>
  <c r="J309" i="16" s="1"/>
  <c r="I315" i="16"/>
  <c r="J315" i="16" s="1"/>
  <c r="O13" i="13"/>
  <c r="Q13" i="13" s="1"/>
  <c r="R12" i="13"/>
  <c r="I120" i="40"/>
  <c r="N119" i="40"/>
  <c r="O119" i="40" s="1"/>
  <c r="I118" i="40"/>
  <c r="I116" i="40"/>
  <c r="H306" i="16"/>
  <c r="F306" i="16"/>
  <c r="I306" i="16" s="1"/>
  <c r="J306" i="16" s="1"/>
  <c r="E306" i="16"/>
  <c r="H115" i="40"/>
  <c r="G115" i="40"/>
  <c r="N115" i="40"/>
  <c r="H305" i="16"/>
  <c r="F305" i="16"/>
  <c r="I305" i="16" s="1"/>
  <c r="J305" i="16" s="1"/>
  <c r="E305" i="16"/>
  <c r="H304" i="16"/>
  <c r="F304" i="16"/>
  <c r="I304" i="16" s="1"/>
  <c r="J304" i="16" s="1"/>
  <c r="E304" i="16"/>
  <c r="F500" i="46" l="1"/>
  <c r="E211" i="46"/>
  <c r="E213" i="46"/>
  <c r="E193" i="46"/>
  <c r="E259" i="46"/>
  <c r="E260" i="46"/>
  <c r="E198" i="46"/>
  <c r="E197" i="46"/>
  <c r="E263" i="46"/>
  <c r="E262" i="46"/>
  <c r="E218" i="46"/>
  <c r="E217" i="46"/>
  <c r="E501" i="46"/>
  <c r="D501" i="46"/>
  <c r="B501" i="46"/>
  <c r="C501" i="46" s="1"/>
  <c r="A502" i="46"/>
  <c r="B305" i="46"/>
  <c r="C305" i="46" s="1"/>
  <c r="A306" i="46"/>
  <c r="E305" i="46"/>
  <c r="O116" i="40"/>
  <c r="O120" i="40"/>
  <c r="I115" i="40"/>
  <c r="H114" i="40"/>
  <c r="G114" i="40"/>
  <c r="N114" i="40"/>
  <c r="H303" i="16"/>
  <c r="F303" i="16"/>
  <c r="I303" i="16" s="1"/>
  <c r="J303" i="16" s="1"/>
  <c r="E303" i="16"/>
  <c r="F501" i="46" l="1"/>
  <c r="A503" i="46"/>
  <c r="D502" i="46"/>
  <c r="E502" i="46"/>
  <c r="B502" i="46"/>
  <c r="C502" i="46" s="1"/>
  <c r="E306" i="46"/>
  <c r="B306" i="46"/>
  <c r="C306" i="46" s="1"/>
  <c r="A307" i="46"/>
  <c r="O115" i="40"/>
  <c r="I114" i="40"/>
  <c r="F502" i="46" l="1"/>
  <c r="E503" i="46"/>
  <c r="D503" i="46"/>
  <c r="B503" i="46"/>
  <c r="C503" i="46" s="1"/>
  <c r="B307" i="46"/>
  <c r="C307" i="46" s="1"/>
  <c r="A308" i="46"/>
  <c r="E307" i="46"/>
  <c r="P37" i="18"/>
  <c r="I37" i="18"/>
  <c r="J37" i="18"/>
  <c r="K37" i="18" s="1"/>
  <c r="N113" i="40"/>
  <c r="I113" i="40"/>
  <c r="H113" i="40"/>
  <c r="G113" i="40"/>
  <c r="H302" i="16"/>
  <c r="F302" i="16"/>
  <c r="E302" i="16"/>
  <c r="N112" i="40"/>
  <c r="I112" i="40"/>
  <c r="H112" i="40"/>
  <c r="G112" i="40"/>
  <c r="H301" i="16"/>
  <c r="F301" i="16"/>
  <c r="E301" i="16"/>
  <c r="K10" i="13"/>
  <c r="F503" i="46" l="1"/>
  <c r="E308" i="46"/>
  <c r="B308" i="46"/>
  <c r="C308" i="46" s="1"/>
  <c r="A309" i="46"/>
  <c r="O113" i="40"/>
  <c r="O114" i="40"/>
  <c r="I301" i="16"/>
  <c r="J301" i="16" s="1"/>
  <c r="I302" i="16"/>
  <c r="J302" i="16" s="1"/>
  <c r="N111" i="40"/>
  <c r="I111" i="40"/>
  <c r="H111" i="40"/>
  <c r="G111" i="40"/>
  <c r="H300" i="16"/>
  <c r="F300" i="16"/>
  <c r="I300" i="16" s="1"/>
  <c r="J300" i="16" s="1"/>
  <c r="E300" i="16"/>
  <c r="H299" i="16"/>
  <c r="F299" i="16"/>
  <c r="E299" i="16"/>
  <c r="A310" i="46" l="1"/>
  <c r="E309" i="46"/>
  <c r="B309" i="46"/>
  <c r="C309" i="46" s="1"/>
  <c r="O112" i="40"/>
  <c r="I299" i="16"/>
  <c r="J299" i="16" s="1"/>
  <c r="N110" i="40"/>
  <c r="I110" i="40"/>
  <c r="H110" i="40"/>
  <c r="G110" i="40"/>
  <c r="H298" i="16"/>
  <c r="F298" i="16"/>
  <c r="E298" i="16"/>
  <c r="E310" i="46" l="1"/>
  <c r="B310" i="46"/>
  <c r="C310" i="46" s="1"/>
  <c r="A311" i="46"/>
  <c r="O111" i="40"/>
  <c r="I298" i="16"/>
  <c r="J298" i="16" s="1"/>
  <c r="N109" i="40"/>
  <c r="I109" i="40"/>
  <c r="H109" i="40"/>
  <c r="G109" i="40"/>
  <c r="H297" i="16"/>
  <c r="F297" i="16"/>
  <c r="E297" i="16"/>
  <c r="A312" i="46" l="1"/>
  <c r="E311" i="46"/>
  <c r="B311" i="46"/>
  <c r="C311" i="46" s="1"/>
  <c r="O110" i="40"/>
  <c r="I297" i="16"/>
  <c r="J297" i="16" s="1"/>
  <c r="N108" i="40"/>
  <c r="I108" i="40"/>
  <c r="H108" i="40"/>
  <c r="G108" i="40"/>
  <c r="H296" i="16"/>
  <c r="F296" i="16"/>
  <c r="I296" i="16" s="1"/>
  <c r="J296" i="16" s="1"/>
  <c r="H295" i="16"/>
  <c r="F295" i="16"/>
  <c r="I295" i="16" s="1"/>
  <c r="J295" i="16" s="1"/>
  <c r="H294" i="16"/>
  <c r="F294" i="16"/>
  <c r="H293" i="16"/>
  <c r="F293" i="16"/>
  <c r="I293" i="16" s="1"/>
  <c r="J293" i="16" s="1"/>
  <c r="H292" i="16"/>
  <c r="F292" i="16"/>
  <c r="I292" i="16" s="1"/>
  <c r="J292" i="16" s="1"/>
  <c r="E296" i="16"/>
  <c r="E312" i="46" l="1"/>
  <c r="B312" i="46"/>
  <c r="C312" i="46" s="1"/>
  <c r="A313" i="46"/>
  <c r="O109" i="40"/>
  <c r="I294" i="16"/>
  <c r="J294" i="16" s="1"/>
  <c r="Q34" i="14"/>
  <c r="P34" i="14"/>
  <c r="Q33" i="14"/>
  <c r="P33" i="14"/>
  <c r="Q32" i="14"/>
  <c r="P32" i="14"/>
  <c r="Q31" i="14"/>
  <c r="P31" i="14"/>
  <c r="Q30" i="14"/>
  <c r="P30" i="14"/>
  <c r="Q29" i="14"/>
  <c r="P29" i="14"/>
  <c r="Q28" i="14"/>
  <c r="P28" i="14"/>
  <c r="Q27" i="14"/>
  <c r="P27" i="14"/>
  <c r="Q26" i="14"/>
  <c r="P26" i="14"/>
  <c r="Q25" i="14"/>
  <c r="P25" i="14"/>
  <c r="Q24" i="14"/>
  <c r="P24" i="14"/>
  <c r="Q23" i="14"/>
  <c r="P23" i="14"/>
  <c r="Q22" i="14"/>
  <c r="P22" i="14"/>
  <c r="Q21" i="14"/>
  <c r="P21" i="14"/>
  <c r="Q20" i="14"/>
  <c r="P20" i="14"/>
  <c r="Q19" i="14"/>
  <c r="P19" i="14"/>
  <c r="Q18" i="14"/>
  <c r="P18" i="14"/>
  <c r="Q17" i="14"/>
  <c r="P17" i="14"/>
  <c r="Q16" i="14"/>
  <c r="P16" i="14"/>
  <c r="Q15" i="14"/>
  <c r="P15" i="14"/>
  <c r="Q14" i="14"/>
  <c r="P14" i="14"/>
  <c r="Q13" i="14"/>
  <c r="P13" i="14"/>
  <c r="Q12" i="14"/>
  <c r="P12" i="14"/>
  <c r="Q11" i="14"/>
  <c r="P11" i="14"/>
  <c r="Q10" i="14"/>
  <c r="P10" i="14"/>
  <c r="Q9" i="14"/>
  <c r="P9" i="14"/>
  <c r="Q8" i="14"/>
  <c r="P8" i="14"/>
  <c r="Q7" i="14"/>
  <c r="P7" i="14"/>
  <c r="Q6" i="14"/>
  <c r="P6" i="14"/>
  <c r="Q5" i="14"/>
  <c r="P5" i="14"/>
  <c r="B313" i="46" l="1"/>
  <c r="C313" i="46" s="1"/>
  <c r="A314" i="46"/>
  <c r="E313" i="46"/>
  <c r="E295" i="16"/>
  <c r="N107" i="40"/>
  <c r="I107" i="40"/>
  <c r="H107" i="40"/>
  <c r="G107" i="40"/>
  <c r="E294" i="16"/>
  <c r="E293" i="16"/>
  <c r="N106" i="40"/>
  <c r="I106" i="40"/>
  <c r="H106" i="40"/>
  <c r="G106" i="40"/>
  <c r="I36" i="18"/>
  <c r="J36" i="18"/>
  <c r="K36" i="18" s="1"/>
  <c r="P36" i="18"/>
  <c r="H291" i="16"/>
  <c r="F291" i="16"/>
  <c r="I291" i="16" s="1"/>
  <c r="J291" i="16" s="1"/>
  <c r="E291" i="16"/>
  <c r="H105" i="40"/>
  <c r="G105" i="40"/>
  <c r="N105" i="40"/>
  <c r="E292" i="16"/>
  <c r="E314" i="46" l="1"/>
  <c r="B314" i="46"/>
  <c r="C314" i="46" s="1"/>
  <c r="A315" i="46"/>
  <c r="O106" i="40"/>
  <c r="O107" i="40"/>
  <c r="O108" i="40"/>
  <c r="I105" i="40"/>
  <c r="H290" i="16"/>
  <c r="F290" i="16"/>
  <c r="I290" i="16" s="1"/>
  <c r="J290" i="16" s="1"/>
  <c r="E290" i="16"/>
  <c r="N104" i="40"/>
  <c r="O105" i="40" s="1"/>
  <c r="I104" i="40"/>
  <c r="H104" i="40"/>
  <c r="G104" i="40"/>
  <c r="H289" i="16"/>
  <c r="F289" i="16"/>
  <c r="E289" i="16"/>
  <c r="B315" i="46" l="1"/>
  <c r="C315" i="46" s="1"/>
  <c r="A316" i="46"/>
  <c r="E315" i="46"/>
  <c r="I289" i="16"/>
  <c r="J289" i="16" s="1"/>
  <c r="H288" i="16"/>
  <c r="F288" i="16"/>
  <c r="I288" i="16" s="1"/>
  <c r="J288" i="16" s="1"/>
  <c r="E288" i="16"/>
  <c r="H287" i="16"/>
  <c r="F287" i="16"/>
  <c r="I287" i="16" s="1"/>
  <c r="J287" i="16" s="1"/>
  <c r="E287" i="16"/>
  <c r="N103" i="40"/>
  <c r="I103" i="40"/>
  <c r="H103" i="40"/>
  <c r="G103" i="40"/>
  <c r="I35" i="18"/>
  <c r="J35" i="18"/>
  <c r="K35" i="18" s="1"/>
  <c r="P35" i="18"/>
  <c r="H286" i="16"/>
  <c r="F286" i="16"/>
  <c r="I286" i="16" s="1"/>
  <c r="J286" i="16" s="1"/>
  <c r="E286" i="16"/>
  <c r="E316" i="46" l="1"/>
  <c r="B316" i="46"/>
  <c r="C316" i="46" s="1"/>
  <c r="A317" i="46"/>
  <c r="O104" i="40"/>
  <c r="H285" i="16"/>
  <c r="F285" i="16"/>
  <c r="I285" i="16" s="1"/>
  <c r="J285" i="16" s="1"/>
  <c r="E285" i="16"/>
  <c r="H284" i="16"/>
  <c r="F284" i="16"/>
  <c r="I284" i="16" s="1"/>
  <c r="J284" i="16" s="1"/>
  <c r="E284" i="16"/>
  <c r="N102" i="40"/>
  <c r="I102" i="40"/>
  <c r="H102" i="40"/>
  <c r="G102" i="40"/>
  <c r="B317" i="46" l="1"/>
  <c r="C317" i="46" s="1"/>
  <c r="A318" i="46"/>
  <c r="E317" i="46"/>
  <c r="O103" i="40"/>
  <c r="H101" i="40"/>
  <c r="G101" i="40"/>
  <c r="N101" i="40"/>
  <c r="H283" i="16"/>
  <c r="F283" i="16"/>
  <c r="I283" i="16" s="1"/>
  <c r="J283" i="16" s="1"/>
  <c r="E283" i="16"/>
  <c r="E318" i="46" l="1"/>
  <c r="B318" i="46"/>
  <c r="C318" i="46" s="1"/>
  <c r="A319" i="46"/>
  <c r="O102" i="40"/>
  <c r="I101" i="40"/>
  <c r="H100" i="40"/>
  <c r="G100" i="40"/>
  <c r="N100" i="40"/>
  <c r="H282" i="16"/>
  <c r="F282" i="16"/>
  <c r="I282" i="16" s="1"/>
  <c r="J282" i="16" s="1"/>
  <c r="E282" i="16"/>
  <c r="B319" i="46" l="1"/>
  <c r="C319" i="46" s="1"/>
  <c r="A320" i="46"/>
  <c r="E319" i="46"/>
  <c r="O101" i="40"/>
  <c r="I100" i="40"/>
  <c r="H281" i="16"/>
  <c r="F281" i="16"/>
  <c r="I281" i="16" s="1"/>
  <c r="J281" i="16" s="1"/>
  <c r="E281" i="16"/>
  <c r="N99" i="40"/>
  <c r="I99" i="40"/>
  <c r="H99" i="40"/>
  <c r="G99" i="40"/>
  <c r="E320" i="46" l="1"/>
  <c r="B320" i="46"/>
  <c r="C320" i="46" s="1"/>
  <c r="A321" i="46"/>
  <c r="O100" i="40"/>
  <c r="N98" i="40"/>
  <c r="I98" i="40"/>
  <c r="H98" i="40"/>
  <c r="G98" i="40"/>
  <c r="H280" i="16"/>
  <c r="F280" i="16"/>
  <c r="I280" i="16" s="1"/>
  <c r="J280" i="16" s="1"/>
  <c r="E280" i="16"/>
  <c r="N97" i="40"/>
  <c r="I97" i="40"/>
  <c r="H97" i="40"/>
  <c r="G97" i="40"/>
  <c r="H279" i="16"/>
  <c r="F279" i="16"/>
  <c r="I279" i="16" s="1"/>
  <c r="J279" i="16" s="1"/>
  <c r="A322" i="46" l="1"/>
  <c r="B321" i="46"/>
  <c r="C321" i="46" s="1"/>
  <c r="E321" i="46"/>
  <c r="O98" i="40"/>
  <c r="O99" i="40"/>
  <c r="E279" i="16"/>
  <c r="E322" i="46" l="1"/>
  <c r="B322" i="46"/>
  <c r="C322" i="46" s="1"/>
  <c r="A323" i="46"/>
  <c r="H278" i="16"/>
  <c r="F278" i="16"/>
  <c r="E278" i="16"/>
  <c r="N96" i="40"/>
  <c r="I96" i="40"/>
  <c r="H96" i="40"/>
  <c r="G96" i="40"/>
  <c r="H95" i="40"/>
  <c r="G95" i="40"/>
  <c r="N95" i="40"/>
  <c r="H277" i="16"/>
  <c r="F277" i="16"/>
  <c r="I277" i="16" s="1"/>
  <c r="J277" i="16" s="1"/>
  <c r="E277" i="16"/>
  <c r="A324" i="46" l="1"/>
  <c r="E323" i="46"/>
  <c r="B323" i="46"/>
  <c r="C323" i="46" s="1"/>
  <c r="O96" i="40"/>
  <c r="O97" i="40"/>
  <c r="I278" i="16"/>
  <c r="J278" i="16" s="1"/>
  <c r="I95" i="40"/>
  <c r="H94" i="40"/>
  <c r="G94" i="40"/>
  <c r="I94" i="40"/>
  <c r="H276" i="16"/>
  <c r="F276" i="16"/>
  <c r="I276" i="16" s="1"/>
  <c r="J276" i="16" s="1"/>
  <c r="E276" i="16"/>
  <c r="E324" i="46" l="1"/>
  <c r="B324" i="46"/>
  <c r="C324" i="46" s="1"/>
  <c r="A325" i="46"/>
  <c r="N94" i="40"/>
  <c r="N93" i="40"/>
  <c r="I93" i="40"/>
  <c r="H93" i="40"/>
  <c r="G93" i="40"/>
  <c r="H275" i="16"/>
  <c r="F275" i="16"/>
  <c r="I275" i="16" s="1"/>
  <c r="J275" i="16" s="1"/>
  <c r="E275" i="16"/>
  <c r="A326" i="46" l="1"/>
  <c r="B325" i="46"/>
  <c r="C325" i="46" s="1"/>
  <c r="E325" i="46"/>
  <c r="O94" i="40"/>
  <c r="O95" i="40"/>
  <c r="N92" i="40"/>
  <c r="I92" i="40"/>
  <c r="H92" i="40"/>
  <c r="G92" i="40"/>
  <c r="H274" i="16"/>
  <c r="F274" i="16"/>
  <c r="I274" i="16" s="1"/>
  <c r="J274" i="16" s="1"/>
  <c r="E274" i="16"/>
  <c r="E326" i="46" l="1"/>
  <c r="B326" i="46"/>
  <c r="C326" i="46" s="1"/>
  <c r="A327" i="46"/>
  <c r="O93" i="40"/>
  <c r="H273" i="16"/>
  <c r="F273" i="16"/>
  <c r="I273" i="16" s="1"/>
  <c r="J273" i="16" s="1"/>
  <c r="E273" i="16"/>
  <c r="N91" i="40"/>
  <c r="I91" i="40"/>
  <c r="H91" i="40"/>
  <c r="G91" i="40"/>
  <c r="B327" i="46" l="1"/>
  <c r="C327" i="46" s="1"/>
  <c r="A328" i="46"/>
  <c r="E327" i="46"/>
  <c r="O92" i="40"/>
  <c r="H272" i="16"/>
  <c r="F272" i="16"/>
  <c r="E272" i="16"/>
  <c r="N90" i="40"/>
  <c r="O91" i="40" s="1"/>
  <c r="I90" i="40"/>
  <c r="H90" i="40"/>
  <c r="G90" i="40"/>
  <c r="E328" i="46" l="1"/>
  <c r="B328" i="46"/>
  <c r="C328" i="46" s="1"/>
  <c r="A329" i="46"/>
  <c r="I272" i="16"/>
  <c r="J272" i="16" s="1"/>
  <c r="P34" i="18"/>
  <c r="I34" i="18"/>
  <c r="J34" i="18"/>
  <c r="K34" i="18" s="1"/>
  <c r="A330" i="46" l="1"/>
  <c r="E329" i="46"/>
  <c r="B329" i="46"/>
  <c r="C329" i="46" s="1"/>
  <c r="N89" i="40"/>
  <c r="I89" i="40"/>
  <c r="H89" i="40"/>
  <c r="G89" i="40"/>
  <c r="H271" i="16"/>
  <c r="F271" i="16"/>
  <c r="I271" i="16" s="1"/>
  <c r="J271" i="16" s="1"/>
  <c r="E271" i="16"/>
  <c r="E330" i="46" l="1"/>
  <c r="B330" i="46"/>
  <c r="C330" i="46" s="1"/>
  <c r="A331" i="46"/>
  <c r="O90" i="40"/>
  <c r="H88" i="40"/>
  <c r="G88" i="40"/>
  <c r="N88" i="40"/>
  <c r="H270" i="16"/>
  <c r="F270" i="16"/>
  <c r="I270" i="16" s="1"/>
  <c r="J270" i="16" s="1"/>
  <c r="E270" i="16"/>
  <c r="A332" i="46" l="1"/>
  <c r="E331" i="46"/>
  <c r="B331" i="46"/>
  <c r="C331" i="46" s="1"/>
  <c r="O89" i="40"/>
  <c r="I88" i="40"/>
  <c r="H269" i="16"/>
  <c r="F269" i="16"/>
  <c r="I269" i="16" s="1"/>
  <c r="J269" i="16" s="1"/>
  <c r="E269" i="16"/>
  <c r="N87" i="40"/>
  <c r="I87" i="40"/>
  <c r="H87" i="40"/>
  <c r="G87" i="40"/>
  <c r="A333" i="46" l="1"/>
  <c r="E332" i="46"/>
  <c r="B332" i="46"/>
  <c r="C332" i="46" s="1"/>
  <c r="O88" i="40"/>
  <c r="H86" i="40"/>
  <c r="G86" i="40"/>
  <c r="N86" i="40"/>
  <c r="H268" i="16"/>
  <c r="F268" i="16"/>
  <c r="I268" i="16" s="1"/>
  <c r="J268" i="16" s="1"/>
  <c r="E268" i="16"/>
  <c r="A334" i="46" l="1"/>
  <c r="E333" i="46"/>
  <c r="B333" i="46"/>
  <c r="C333" i="46" s="1"/>
  <c r="O87" i="40"/>
  <c r="I86" i="40"/>
  <c r="BE14" i="44"/>
  <c r="BE17" i="44"/>
  <c r="BE18" i="44" s="1"/>
  <c r="BE19" i="44" s="1"/>
  <c r="BE4" i="44"/>
  <c r="BE9" i="44"/>
  <c r="M268" i="16"/>
  <c r="L268" i="16"/>
  <c r="A335" i="46" l="1"/>
  <c r="E334" i="46"/>
  <c r="B334" i="46"/>
  <c r="C334" i="46" s="1"/>
  <c r="H267" i="16"/>
  <c r="F267" i="16"/>
  <c r="I267" i="16" s="1"/>
  <c r="J267" i="16" s="1"/>
  <c r="E267" i="16"/>
  <c r="N85" i="40"/>
  <c r="O86" i="40" s="1"/>
  <c r="I85" i="40"/>
  <c r="H85" i="40"/>
  <c r="G85" i="40"/>
  <c r="B335" i="46" l="1"/>
  <c r="C335" i="46" s="1"/>
  <c r="A336" i="46"/>
  <c r="E335" i="46"/>
  <c r="H84" i="40"/>
  <c r="G84" i="40"/>
  <c r="N84" i="40"/>
  <c r="H266" i="16"/>
  <c r="F266" i="16"/>
  <c r="I266" i="16" s="1"/>
  <c r="J266" i="16" s="1"/>
  <c r="E266" i="16"/>
  <c r="A337" i="46" l="1"/>
  <c r="E336" i="46"/>
  <c r="B336" i="46"/>
  <c r="C336" i="46" s="1"/>
  <c r="O85" i="40"/>
  <c r="I84" i="40"/>
  <c r="H83" i="40"/>
  <c r="G83" i="40"/>
  <c r="N83" i="40"/>
  <c r="H265" i="16"/>
  <c r="F265" i="16"/>
  <c r="I265" i="16" s="1"/>
  <c r="J265" i="16" s="1"/>
  <c r="E265" i="16"/>
  <c r="B337" i="46" l="1"/>
  <c r="C337" i="46" s="1"/>
  <c r="A338" i="46"/>
  <c r="E337" i="46"/>
  <c r="O84" i="40"/>
  <c r="I83" i="40"/>
  <c r="H264" i="16"/>
  <c r="F264" i="16"/>
  <c r="I264" i="16" s="1"/>
  <c r="J264" i="16" s="1"/>
  <c r="E264" i="16"/>
  <c r="H82" i="40"/>
  <c r="G82" i="40"/>
  <c r="N82" i="40"/>
  <c r="A339" i="46" l="1"/>
  <c r="B338" i="46"/>
  <c r="C338" i="46" s="1"/>
  <c r="E338" i="46"/>
  <c r="O83" i="40"/>
  <c r="I82" i="40"/>
  <c r="D2" i="46"/>
  <c r="A3" i="46"/>
  <c r="E339" i="46" l="1"/>
  <c r="B339" i="46"/>
  <c r="C339" i="46" s="1"/>
  <c r="A340" i="46"/>
  <c r="D3" i="46"/>
  <c r="A4" i="46"/>
  <c r="H81" i="40"/>
  <c r="G81" i="40"/>
  <c r="N81" i="40"/>
  <c r="H263" i="16"/>
  <c r="F263" i="16"/>
  <c r="E263" i="16"/>
  <c r="D340" i="46" l="1"/>
  <c r="A341" i="46"/>
  <c r="E340" i="46"/>
  <c r="B340" i="46"/>
  <c r="C340" i="46" s="1"/>
  <c r="O82" i="40"/>
  <c r="I263" i="16"/>
  <c r="J263" i="16" s="1"/>
  <c r="D4" i="46"/>
  <c r="A5" i="46"/>
  <c r="I81" i="40"/>
  <c r="F340" i="46" l="1"/>
  <c r="E341" i="46"/>
  <c r="A342" i="46"/>
  <c r="D341" i="46"/>
  <c r="B341" i="46"/>
  <c r="C341" i="46" s="1"/>
  <c r="D5" i="46"/>
  <c r="A6" i="46"/>
  <c r="N80" i="40"/>
  <c r="I80" i="40"/>
  <c r="H80" i="40"/>
  <c r="G80" i="40"/>
  <c r="H262" i="16"/>
  <c r="F262" i="16"/>
  <c r="I262" i="16" s="1"/>
  <c r="J262" i="16" s="1"/>
  <c r="E262" i="16"/>
  <c r="F341" i="46" l="1"/>
  <c r="B342" i="46"/>
  <c r="C342" i="46" s="1"/>
  <c r="E342" i="46"/>
  <c r="A343" i="46"/>
  <c r="D342" i="46"/>
  <c r="O81" i="40"/>
  <c r="D6" i="46"/>
  <c r="A7" i="46"/>
  <c r="H261" i="16"/>
  <c r="F261" i="16"/>
  <c r="I261" i="16" s="1"/>
  <c r="J261" i="16" s="1"/>
  <c r="E261" i="16"/>
  <c r="N79" i="40"/>
  <c r="I79" i="40"/>
  <c r="H79" i="40"/>
  <c r="G79" i="40"/>
  <c r="F342" i="46" l="1"/>
  <c r="E343" i="46"/>
  <c r="A344" i="46"/>
  <c r="D343" i="46"/>
  <c r="B343" i="46"/>
  <c r="C343" i="46" s="1"/>
  <c r="O80" i="40"/>
  <c r="D7" i="46"/>
  <c r="A8" i="46"/>
  <c r="P33" i="18"/>
  <c r="P32" i="18"/>
  <c r="P31" i="18"/>
  <c r="P29" i="18"/>
  <c r="P28" i="18"/>
  <c r="P27" i="18"/>
  <c r="P26" i="18"/>
  <c r="P25" i="18"/>
  <c r="P24" i="18"/>
  <c r="P23" i="18"/>
  <c r="P22" i="18"/>
  <c r="P21" i="18"/>
  <c r="P20" i="18"/>
  <c r="P19" i="18"/>
  <c r="P18" i="18"/>
  <c r="P17" i="18"/>
  <c r="P16" i="18"/>
  <c r="P15" i="18"/>
  <c r="P14" i="18"/>
  <c r="P13" i="18"/>
  <c r="P12" i="18"/>
  <c r="P11" i="18"/>
  <c r="P10" i="18"/>
  <c r="P9" i="18"/>
  <c r="P8" i="18"/>
  <c r="P7" i="18"/>
  <c r="P6" i="18"/>
  <c r="P5" i="18"/>
  <c r="P4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N21" i="18"/>
  <c r="N20" i="18"/>
  <c r="N19" i="18"/>
  <c r="N18" i="18"/>
  <c r="N17" i="18"/>
  <c r="N16" i="18"/>
  <c r="N15" i="18"/>
  <c r="N14" i="18"/>
  <c r="N13" i="18"/>
  <c r="N12" i="18"/>
  <c r="N11" i="18"/>
  <c r="N10" i="18"/>
  <c r="N9" i="18"/>
  <c r="N8" i="18"/>
  <c r="N7" i="18"/>
  <c r="N6" i="18"/>
  <c r="N5" i="18"/>
  <c r="N4" i="18"/>
  <c r="P30" i="18"/>
  <c r="F343" i="46" l="1"/>
  <c r="D344" i="46"/>
  <c r="B344" i="46"/>
  <c r="C344" i="46" s="1"/>
  <c r="A345" i="46"/>
  <c r="E344" i="46"/>
  <c r="D8" i="46"/>
  <c r="A9" i="46"/>
  <c r="N78" i="40"/>
  <c r="O79" i="40" s="1"/>
  <c r="I78" i="40"/>
  <c r="H78" i="40"/>
  <c r="G78" i="40"/>
  <c r="H260" i="16"/>
  <c r="F260" i="16"/>
  <c r="I260" i="16" s="1"/>
  <c r="J260" i="16" s="1"/>
  <c r="E260" i="16"/>
  <c r="F344" i="46" l="1"/>
  <c r="E345" i="46"/>
  <c r="A346" i="46"/>
  <c r="D345" i="46"/>
  <c r="B345" i="46"/>
  <c r="C345" i="46" s="1"/>
  <c r="D9" i="46"/>
  <c r="A10" i="46"/>
  <c r="H259" i="16"/>
  <c r="F259" i="16"/>
  <c r="I259" i="16" s="1"/>
  <c r="J259" i="16" s="1"/>
  <c r="E259" i="16"/>
  <c r="H77" i="40"/>
  <c r="G77" i="40"/>
  <c r="N77" i="40"/>
  <c r="F345" i="46" l="1"/>
  <c r="E346" i="46"/>
  <c r="D346" i="46"/>
  <c r="B346" i="46"/>
  <c r="C346" i="46" s="1"/>
  <c r="A347" i="46"/>
  <c r="O78" i="40"/>
  <c r="D10" i="46"/>
  <c r="A11" i="46"/>
  <c r="I77" i="40"/>
  <c r="N76" i="40"/>
  <c r="I76" i="40"/>
  <c r="H76" i="40"/>
  <c r="G76" i="40"/>
  <c r="H258" i="16"/>
  <c r="F258" i="16"/>
  <c r="I258" i="16" s="1"/>
  <c r="J258" i="16" s="1"/>
  <c r="F257" i="16"/>
  <c r="E258" i="16"/>
  <c r="F346" i="46" l="1"/>
  <c r="E347" i="46"/>
  <c r="D347" i="46"/>
  <c r="A348" i="46"/>
  <c r="B347" i="46"/>
  <c r="C347" i="46" s="1"/>
  <c r="O77" i="40"/>
  <c r="D11" i="46"/>
  <c r="A12" i="46"/>
  <c r="N75" i="40"/>
  <c r="I75" i="40"/>
  <c r="H75" i="40"/>
  <c r="G75" i="40"/>
  <c r="N74" i="40"/>
  <c r="I74" i="40"/>
  <c r="H74" i="40"/>
  <c r="G74" i="40"/>
  <c r="H257" i="16"/>
  <c r="I257" i="16"/>
  <c r="J257" i="16" s="1"/>
  <c r="E257" i="16"/>
  <c r="F347" i="46" l="1"/>
  <c r="A349" i="46"/>
  <c r="E348" i="46"/>
  <c r="D348" i="46"/>
  <c r="B348" i="46"/>
  <c r="C348" i="46" s="1"/>
  <c r="O75" i="40"/>
  <c r="O76" i="40"/>
  <c r="D12" i="46"/>
  <c r="A13" i="46"/>
  <c r="H256" i="16"/>
  <c r="F256" i="16"/>
  <c r="I256" i="16" s="1"/>
  <c r="J256" i="16" s="1"/>
  <c r="E256" i="16"/>
  <c r="I33" i="18"/>
  <c r="J33" i="18"/>
  <c r="K33" i="18" s="1"/>
  <c r="F348" i="46" l="1"/>
  <c r="E349" i="46"/>
  <c r="B349" i="46"/>
  <c r="C349" i="46" s="1"/>
  <c r="A350" i="46"/>
  <c r="D349" i="46"/>
  <c r="D13" i="46"/>
  <c r="A14" i="46"/>
  <c r="BN23" i="44"/>
  <c r="BP17" i="44"/>
  <c r="BL17" i="44"/>
  <c r="AZ13" i="44"/>
  <c r="AW13" i="44"/>
  <c r="K16" i="44"/>
  <c r="K17" i="44" s="1"/>
  <c r="K18" i="44" s="1"/>
  <c r="K19" i="44" s="1"/>
  <c r="K20" i="44" s="1"/>
  <c r="K21" i="44" s="1"/>
  <c r="K22" i="44" s="1"/>
  <c r="K23" i="44" s="1"/>
  <c r="K24" i="44" s="1"/>
  <c r="F349" i="46" l="1"/>
  <c r="B350" i="46"/>
  <c r="C350" i="46" s="1"/>
  <c r="A351" i="46"/>
  <c r="E350" i="46"/>
  <c r="D350" i="46"/>
  <c r="D14" i="46"/>
  <c r="A15" i="46"/>
  <c r="BP19" i="44"/>
  <c r="BK7" i="44"/>
  <c r="BM23" i="44"/>
  <c r="BL7" i="44"/>
  <c r="BM10" i="44"/>
  <c r="BS25" i="44"/>
  <c r="BM5" i="44"/>
  <c r="BN10" i="44"/>
  <c r="BQ29" i="44"/>
  <c r="BK12" i="44"/>
  <c r="BQ34" i="44"/>
  <c r="BQ19" i="44"/>
  <c r="BL12" i="44"/>
  <c r="BQ38" i="44"/>
  <c r="BN5" i="44"/>
  <c r="BM14" i="44"/>
  <c r="BP43" i="44"/>
  <c r="BN14" i="44"/>
  <c r="BQ43" i="44"/>
  <c r="BR19" i="44"/>
  <c r="BP14" i="44"/>
  <c r="BR30" i="44"/>
  <c r="BQ10" i="44"/>
  <c r="BN4" i="44"/>
  <c r="BP6" i="44"/>
  <c r="BN8" i="44"/>
  <c r="BP11" i="44"/>
  <c r="BN13" i="44"/>
  <c r="BQ16" i="44"/>
  <c r="BS18" i="44"/>
  <c r="BL22" i="44"/>
  <c r="BR24" i="44"/>
  <c r="BO28" i="44"/>
  <c r="BM32" i="44"/>
  <c r="BN37" i="44"/>
  <c r="BM42" i="44"/>
  <c r="BR38" i="44"/>
  <c r="BN7" i="44"/>
  <c r="BP5" i="44"/>
  <c r="BM20" i="44"/>
  <c r="BK44" i="44"/>
  <c r="BS7" i="44"/>
  <c r="BQ20" i="44"/>
  <c r="BO4" i="44"/>
  <c r="BQ6" i="44"/>
  <c r="BO8" i="44"/>
  <c r="BQ11" i="44"/>
  <c r="BO13" i="44"/>
  <c r="BR16" i="44"/>
  <c r="BM19" i="44"/>
  <c r="BP22" i="44"/>
  <c r="BM25" i="44"/>
  <c r="BS28" i="44"/>
  <c r="BN32" i="44"/>
  <c r="BO37" i="44"/>
  <c r="BN42" i="44"/>
  <c r="BO23" i="44"/>
  <c r="BR6" i="44"/>
  <c r="BR11" i="44"/>
  <c r="BQ13" i="44"/>
  <c r="BS16" i="44"/>
  <c r="BN19" i="44"/>
  <c r="BK23" i="44"/>
  <c r="BQ25" i="44"/>
  <c r="BO29" i="44"/>
  <c r="BS32" i="44"/>
  <c r="BK38" i="44"/>
  <c r="BS42" i="44"/>
  <c r="BL26" i="44"/>
  <c r="BP12" i="44"/>
  <c r="BQ4" i="44"/>
  <c r="BQ8" i="44"/>
  <c r="BS4" i="44"/>
  <c r="BS6" i="44"/>
  <c r="BS8" i="44"/>
  <c r="BS11" i="44"/>
  <c r="BS13" i="44"/>
  <c r="BK17" i="44"/>
  <c r="BO19" i="44"/>
  <c r="BL23" i="44"/>
  <c r="BR25" i="44"/>
  <c r="BP29" i="44"/>
  <c r="BP34" i="44"/>
  <c r="BP38" i="44"/>
  <c r="BO43" i="44"/>
  <c r="BR29" i="44"/>
  <c r="BN12" i="44"/>
  <c r="BM30" i="44"/>
  <c r="BN35" i="44"/>
  <c r="BM40" i="44"/>
  <c r="BR43" i="44"/>
  <c r="BO10" i="44"/>
  <c r="BS35" i="44"/>
  <c r="BS12" i="44"/>
  <c r="BK28" i="44"/>
  <c r="BS40" i="44"/>
  <c r="BK4" i="44"/>
  <c r="BR5" i="44"/>
  <c r="BK8" i="44"/>
  <c r="BR10" i="44"/>
  <c r="BK13" i="44"/>
  <c r="BR14" i="44"/>
  <c r="BM18" i="44"/>
  <c r="BR20" i="44"/>
  <c r="BO24" i="44"/>
  <c r="BL28" i="44"/>
  <c r="BK31" i="44"/>
  <c r="BL36" i="44"/>
  <c r="BK41" i="44"/>
  <c r="BN44" i="44"/>
  <c r="BK26" i="44"/>
  <c r="BO5" i="44"/>
  <c r="BO14" i="44"/>
  <c r="BP7" i="44"/>
  <c r="BK18" i="44"/>
  <c r="BP26" i="44"/>
  <c r="BL18" i="44"/>
  <c r="BS30" i="44"/>
  <c r="BK36" i="44"/>
  <c r="BL4" i="44"/>
  <c r="BK6" i="44"/>
  <c r="BL8" i="44"/>
  <c r="BK11" i="44"/>
  <c r="BL13" i="44"/>
  <c r="BM16" i="44"/>
  <c r="BN18" i="44"/>
  <c r="BS20" i="44"/>
  <c r="BP24" i="44"/>
  <c r="BM28" i="44"/>
  <c r="BP31" i="44"/>
  <c r="BQ36" i="44"/>
  <c r="BP41" i="44"/>
  <c r="BR44" i="44"/>
  <c r="BR34" i="44"/>
  <c r="BS17" i="44"/>
  <c r="BP10" i="44"/>
  <c r="BS23" i="44"/>
  <c r="BR40" i="44"/>
  <c r="BQ5" i="44"/>
  <c r="BQ14" i="44"/>
  <c r="BN24" i="44"/>
  <c r="BM44" i="44"/>
  <c r="BM4" i="44"/>
  <c r="BM6" i="44"/>
  <c r="BM8" i="44"/>
  <c r="BM11" i="44"/>
  <c r="BM13" i="44"/>
  <c r="BP16" i="44"/>
  <c r="BO18" i="44"/>
  <c r="BK22" i="44"/>
  <c r="BQ24" i="44"/>
  <c r="BN28" i="44"/>
  <c r="BL32" i="44"/>
  <c r="BM37" i="44"/>
  <c r="BL42" i="44"/>
  <c r="BS44" i="44"/>
  <c r="BL31" i="44"/>
  <c r="BO32" i="44"/>
  <c r="BS34" i="44"/>
  <c r="BM36" i="44"/>
  <c r="BP37" i="44"/>
  <c r="BS38" i="44"/>
  <c r="BL41" i="44"/>
  <c r="BO42" i="44"/>
  <c r="BP4" i="44"/>
  <c r="BS5" i="44"/>
  <c r="BM7" i="44"/>
  <c r="BP8" i="44"/>
  <c r="BS10" i="44"/>
  <c r="BM12" i="44"/>
  <c r="BP13" i="44"/>
  <c r="BS14" i="44"/>
  <c r="BM17" i="44"/>
  <c r="BP18" i="44"/>
  <c r="BS19" i="44"/>
  <c r="BM22" i="44"/>
  <c r="BP23" i="44"/>
  <c r="BS24" i="44"/>
  <c r="BM26" i="44"/>
  <c r="BP28" i="44"/>
  <c r="BS29" i="44"/>
  <c r="BM31" i="44"/>
  <c r="BP32" i="44"/>
  <c r="BK35" i="44"/>
  <c r="BN36" i="44"/>
  <c r="BQ37" i="44"/>
  <c r="BK34" i="44"/>
  <c r="BM41" i="44"/>
  <c r="BP42" i="44"/>
  <c r="BS43" i="44"/>
  <c r="BK16" i="44"/>
  <c r="BN17" i="44"/>
  <c r="BQ18" i="44"/>
  <c r="BK20" i="44"/>
  <c r="BN22" i="44"/>
  <c r="BQ23" i="44"/>
  <c r="BK25" i="44"/>
  <c r="BN26" i="44"/>
  <c r="BQ28" i="44"/>
  <c r="BK30" i="44"/>
  <c r="BN31" i="44"/>
  <c r="BQ32" i="44"/>
  <c r="BL35" i="44"/>
  <c r="BO36" i="44"/>
  <c r="BR37" i="44"/>
  <c r="BK40" i="44"/>
  <c r="BN41" i="44"/>
  <c r="BQ42" i="44"/>
  <c r="BR4" i="44"/>
  <c r="BL6" i="44"/>
  <c r="BO7" i="44"/>
  <c r="BR8" i="44"/>
  <c r="BL11" i="44"/>
  <c r="BO12" i="44"/>
  <c r="BR13" i="44"/>
  <c r="BL16" i="44"/>
  <c r="BO17" i="44"/>
  <c r="BR18" i="44"/>
  <c r="BL20" i="44"/>
  <c r="BO22" i="44"/>
  <c r="BR23" i="44"/>
  <c r="BL25" i="44"/>
  <c r="BO26" i="44"/>
  <c r="BR28" i="44"/>
  <c r="BL30" i="44"/>
  <c r="BO31" i="44"/>
  <c r="BR32" i="44"/>
  <c r="BM35" i="44"/>
  <c r="BP36" i="44"/>
  <c r="BS37" i="44"/>
  <c r="BL40" i="44"/>
  <c r="BO41" i="44"/>
  <c r="BR42" i="44"/>
  <c r="BL44" i="44"/>
  <c r="BK5" i="44"/>
  <c r="BN6" i="44"/>
  <c r="BQ7" i="44"/>
  <c r="BK10" i="44"/>
  <c r="BN11" i="44"/>
  <c r="BQ12" i="44"/>
  <c r="BK14" i="44"/>
  <c r="BN16" i="44"/>
  <c r="BQ17" i="44"/>
  <c r="BK19" i="44"/>
  <c r="BN20" i="44"/>
  <c r="BQ22" i="44"/>
  <c r="BK24" i="44"/>
  <c r="BN25" i="44"/>
  <c r="BQ26" i="44"/>
  <c r="BK29" i="44"/>
  <c r="BN30" i="44"/>
  <c r="BQ31" i="44"/>
  <c r="BL34" i="44"/>
  <c r="BO35" i="44"/>
  <c r="BR36" i="44"/>
  <c r="BL38" i="44"/>
  <c r="BN40" i="44"/>
  <c r="BQ41" i="44"/>
  <c r="BK43" i="44"/>
  <c r="BL5" i="44"/>
  <c r="BO6" i="44"/>
  <c r="BR7" i="44"/>
  <c r="BL10" i="44"/>
  <c r="BO11" i="44"/>
  <c r="BR12" i="44"/>
  <c r="BL14" i="44"/>
  <c r="BO16" i="44"/>
  <c r="BR17" i="44"/>
  <c r="BL19" i="44"/>
  <c r="BO20" i="44"/>
  <c r="BR22" i="44"/>
  <c r="BL24" i="44"/>
  <c r="BO25" i="44"/>
  <c r="BR26" i="44"/>
  <c r="BL29" i="44"/>
  <c r="BO30" i="44"/>
  <c r="BR31" i="44"/>
  <c r="BM34" i="44"/>
  <c r="BP35" i="44"/>
  <c r="BS36" i="44"/>
  <c r="BM38" i="44"/>
  <c r="BO40" i="44"/>
  <c r="BR41" i="44"/>
  <c r="BL43" i="44"/>
  <c r="BO44" i="44"/>
  <c r="BP20" i="44"/>
  <c r="BS22" i="44"/>
  <c r="BM24" i="44"/>
  <c r="BP25" i="44"/>
  <c r="BS26" i="44"/>
  <c r="BM29" i="44"/>
  <c r="BP30" i="44"/>
  <c r="BS31" i="44"/>
  <c r="BN34" i="44"/>
  <c r="BQ35" i="44"/>
  <c r="BK37" i="44"/>
  <c r="BN38" i="44"/>
  <c r="BP40" i="44"/>
  <c r="BS41" i="44"/>
  <c r="BM43" i="44"/>
  <c r="BP44" i="44"/>
  <c r="BN29" i="44"/>
  <c r="BQ30" i="44"/>
  <c r="BK32" i="44"/>
  <c r="BO34" i="44"/>
  <c r="BR35" i="44"/>
  <c r="BL37" i="44"/>
  <c r="BO38" i="44"/>
  <c r="BQ40" i="44"/>
  <c r="BK42" i="44"/>
  <c r="BN43" i="44"/>
  <c r="BQ44" i="44"/>
  <c r="H73" i="40"/>
  <c r="G73" i="40"/>
  <c r="I73" i="40"/>
  <c r="BD4" i="44" l="1"/>
  <c r="BD9" i="44"/>
  <c r="BD17" i="44"/>
  <c r="BD18" i="44" s="1"/>
  <c r="BD19" i="44" s="1"/>
  <c r="BD14" i="44"/>
  <c r="F350" i="46"/>
  <c r="BF4" i="44"/>
  <c r="E351" i="46"/>
  <c r="D351" i="46"/>
  <c r="B351" i="46"/>
  <c r="C351" i="46" s="1"/>
  <c r="A352" i="46"/>
  <c r="BF14" i="44"/>
  <c r="BF17" i="44"/>
  <c r="BF18" i="44" s="1"/>
  <c r="BF19" i="44" s="1"/>
  <c r="BF9" i="44"/>
  <c r="BG9" i="44"/>
  <c r="BG4" i="44"/>
  <c r="BG17" i="44"/>
  <c r="BG18" i="44" s="1"/>
  <c r="BG19" i="44" s="1"/>
  <c r="BG14" i="44"/>
  <c r="D15" i="46"/>
  <c r="A16" i="46"/>
  <c r="BC17" i="44"/>
  <c r="N73" i="40"/>
  <c r="H255" i="16"/>
  <c r="F255" i="16"/>
  <c r="E255" i="16"/>
  <c r="BC18" i="44" l="1"/>
  <c r="BC19" i="44" s="1"/>
  <c r="BH19" i="44" s="1"/>
  <c r="F351" i="46"/>
  <c r="D352" i="46"/>
  <c r="A353" i="46"/>
  <c r="E352" i="46"/>
  <c r="B352" i="46"/>
  <c r="C352" i="46" s="1"/>
  <c r="O74" i="40"/>
  <c r="D16" i="46"/>
  <c r="A17" i="46"/>
  <c r="I255" i="16"/>
  <c r="J255" i="16" s="1"/>
  <c r="J10" i="13"/>
  <c r="BH18" i="44" l="1"/>
  <c r="F352" i="46"/>
  <c r="E353" i="46"/>
  <c r="A354" i="46"/>
  <c r="D353" i="46"/>
  <c r="B353" i="46"/>
  <c r="C353" i="46" s="1"/>
  <c r="D17" i="46"/>
  <c r="A18" i="46"/>
  <c r="N72" i="40"/>
  <c r="I72" i="40"/>
  <c r="H72" i="40"/>
  <c r="G72" i="40"/>
  <c r="N71" i="40"/>
  <c r="I71" i="40"/>
  <c r="H71" i="40"/>
  <c r="G71" i="40"/>
  <c r="J32" i="18"/>
  <c r="K32" i="18" s="1"/>
  <c r="I32" i="18"/>
  <c r="H254" i="16"/>
  <c r="F254" i="16"/>
  <c r="I254" i="16" s="1"/>
  <c r="J254" i="16" s="1"/>
  <c r="E254" i="16"/>
  <c r="F353" i="46" l="1"/>
  <c r="B354" i="46"/>
  <c r="C354" i="46" s="1"/>
  <c r="E354" i="46"/>
  <c r="A355" i="46"/>
  <c r="D354" i="46"/>
  <c r="O72" i="40"/>
  <c r="O73" i="40"/>
  <c r="D18" i="46"/>
  <c r="A19" i="46"/>
  <c r="N70" i="40"/>
  <c r="I70" i="40"/>
  <c r="H70" i="40"/>
  <c r="G70" i="40"/>
  <c r="H253" i="16"/>
  <c r="F253" i="16"/>
  <c r="I253" i="16" s="1"/>
  <c r="J253" i="16" s="1"/>
  <c r="E253" i="16"/>
  <c r="F354" i="46" l="1"/>
  <c r="E355" i="46"/>
  <c r="A356" i="46"/>
  <c r="D355" i="46"/>
  <c r="B355" i="46"/>
  <c r="C355" i="46" s="1"/>
  <c r="O71" i="40"/>
  <c r="D19" i="46"/>
  <c r="A20" i="46"/>
  <c r="H69" i="40"/>
  <c r="G69" i="40"/>
  <c r="N69" i="40"/>
  <c r="H252" i="16"/>
  <c r="F252" i="16"/>
  <c r="I252" i="16" s="1"/>
  <c r="J252" i="16" s="1"/>
  <c r="E252" i="16"/>
  <c r="F355" i="46" l="1"/>
  <c r="D356" i="46"/>
  <c r="B356" i="46"/>
  <c r="C356" i="46" s="1"/>
  <c r="A357" i="46"/>
  <c r="E356" i="46"/>
  <c r="O70" i="40"/>
  <c r="D20" i="46"/>
  <c r="A21" i="46"/>
  <c r="I69" i="40"/>
  <c r="H251" i="16"/>
  <c r="F251" i="16"/>
  <c r="I251" i="16" s="1"/>
  <c r="J251" i="16" s="1"/>
  <c r="E251" i="16"/>
  <c r="N68" i="40"/>
  <c r="I68" i="40"/>
  <c r="H68" i="40"/>
  <c r="G68" i="40"/>
  <c r="F356" i="46" l="1"/>
  <c r="E357" i="46"/>
  <c r="B357" i="46"/>
  <c r="C357" i="46" s="1"/>
  <c r="A358" i="46"/>
  <c r="D357" i="46"/>
  <c r="O69" i="40"/>
  <c r="D21" i="46"/>
  <c r="A22" i="46"/>
  <c r="H67" i="40"/>
  <c r="G67" i="40"/>
  <c r="N67" i="40"/>
  <c r="H250" i="16"/>
  <c r="F250" i="16"/>
  <c r="E250" i="16"/>
  <c r="F357" i="46" l="1"/>
  <c r="E358" i="46"/>
  <c r="D358" i="46"/>
  <c r="B358" i="46"/>
  <c r="C358" i="46" s="1"/>
  <c r="A359" i="46"/>
  <c r="O68" i="40"/>
  <c r="D22" i="46"/>
  <c r="A23" i="46"/>
  <c r="I67" i="40"/>
  <c r="I250" i="16"/>
  <c r="J250" i="16" s="1"/>
  <c r="H66" i="40"/>
  <c r="G66" i="40"/>
  <c r="N66" i="40"/>
  <c r="H249" i="16"/>
  <c r="F249" i="16"/>
  <c r="I249" i="16" s="1"/>
  <c r="J249" i="16" s="1"/>
  <c r="E249" i="16"/>
  <c r="F358" i="46" l="1"/>
  <c r="E359" i="46"/>
  <c r="D359" i="46"/>
  <c r="A360" i="46"/>
  <c r="B359" i="46"/>
  <c r="C359" i="46" s="1"/>
  <c r="O67" i="40"/>
  <c r="D23" i="46"/>
  <c r="A24" i="46"/>
  <c r="I66" i="40"/>
  <c r="N65" i="40"/>
  <c r="H65" i="40"/>
  <c r="G65" i="40"/>
  <c r="I65" i="40"/>
  <c r="H248" i="16"/>
  <c r="F248" i="16"/>
  <c r="I248" i="16" s="1"/>
  <c r="J248" i="16" s="1"/>
  <c r="E248" i="16"/>
  <c r="F359" i="46" l="1"/>
  <c r="A361" i="46"/>
  <c r="E360" i="46"/>
  <c r="D360" i="46"/>
  <c r="B360" i="46"/>
  <c r="C360" i="46" s="1"/>
  <c r="O66" i="40"/>
  <c r="D24" i="46"/>
  <c r="A25" i="46"/>
  <c r="I64" i="40"/>
  <c r="H64" i="40"/>
  <c r="G64" i="40"/>
  <c r="N64" i="40"/>
  <c r="H247" i="16"/>
  <c r="F247" i="16"/>
  <c r="I247" i="16" s="1"/>
  <c r="J247" i="16" s="1"/>
  <c r="E247" i="16"/>
  <c r="H246" i="16"/>
  <c r="F246" i="16"/>
  <c r="I246" i="16" s="1"/>
  <c r="J246" i="16" s="1"/>
  <c r="E246" i="16"/>
  <c r="N63" i="40"/>
  <c r="I63" i="40"/>
  <c r="H63" i="40"/>
  <c r="G63" i="40"/>
  <c r="F360" i="46" l="1"/>
  <c r="O64" i="40"/>
  <c r="E361" i="46"/>
  <c r="B361" i="46"/>
  <c r="C361" i="46" s="1"/>
  <c r="A362" i="46"/>
  <c r="D361" i="46"/>
  <c r="O65" i="40"/>
  <c r="D25" i="46"/>
  <c r="A26" i="46"/>
  <c r="N62" i="40"/>
  <c r="O63" i="40" s="1"/>
  <c r="I62" i="40"/>
  <c r="H62" i="40"/>
  <c r="G62" i="40"/>
  <c r="H245" i="16"/>
  <c r="F245" i="16"/>
  <c r="I245" i="16" s="1"/>
  <c r="J245" i="16" s="1"/>
  <c r="E245" i="16"/>
  <c r="F361" i="46" l="1"/>
  <c r="A363" i="46"/>
  <c r="E362" i="46"/>
  <c r="B362" i="46"/>
  <c r="C362" i="46" s="1"/>
  <c r="D362" i="46"/>
  <c r="D26" i="46"/>
  <c r="A27" i="46"/>
  <c r="H244" i="16"/>
  <c r="F244" i="16"/>
  <c r="I244" i="16" s="1"/>
  <c r="J244" i="16" s="1"/>
  <c r="E244" i="16"/>
  <c r="F362" i="46" l="1"/>
  <c r="E363" i="46"/>
  <c r="D363" i="46"/>
  <c r="B363" i="46"/>
  <c r="C363" i="46" s="1"/>
  <c r="A364" i="46"/>
  <c r="D27" i="46"/>
  <c r="A28" i="46"/>
  <c r="N61" i="40"/>
  <c r="O62" i="40" s="1"/>
  <c r="I61" i="40"/>
  <c r="H61" i="40"/>
  <c r="G61" i="40"/>
  <c r="H243" i="16"/>
  <c r="F243" i="16"/>
  <c r="I243" i="16" s="1"/>
  <c r="J243" i="16" s="1"/>
  <c r="E243" i="16"/>
  <c r="F363" i="46" l="1"/>
  <c r="A365" i="46"/>
  <c r="D364" i="46"/>
  <c r="E364" i="46"/>
  <c r="B364" i="46"/>
  <c r="C364" i="46" s="1"/>
  <c r="D28" i="46"/>
  <c r="A29" i="46"/>
  <c r="N60" i="40"/>
  <c r="I60" i="40"/>
  <c r="H60" i="40"/>
  <c r="G60" i="40"/>
  <c r="H242" i="16"/>
  <c r="F242" i="16"/>
  <c r="I242" i="16" s="1"/>
  <c r="J242" i="16" s="1"/>
  <c r="E242" i="16"/>
  <c r="F364" i="46" l="1"/>
  <c r="E365" i="46"/>
  <c r="A366" i="46"/>
  <c r="D365" i="46"/>
  <c r="B365" i="46"/>
  <c r="C365" i="46" s="1"/>
  <c r="O61" i="40"/>
  <c r="D29" i="46"/>
  <c r="A30" i="46"/>
  <c r="N59" i="40"/>
  <c r="I59" i="40"/>
  <c r="H59" i="40"/>
  <c r="G59" i="40"/>
  <c r="H241" i="16"/>
  <c r="F241" i="16"/>
  <c r="I241" i="16" s="1"/>
  <c r="J241" i="16" s="1"/>
  <c r="E241" i="16"/>
  <c r="F365" i="46" l="1"/>
  <c r="A367" i="46"/>
  <c r="B366" i="46"/>
  <c r="C366" i="46" s="1"/>
  <c r="D366" i="46"/>
  <c r="E366" i="46"/>
  <c r="O60" i="40"/>
  <c r="D30" i="46"/>
  <c r="A31" i="46"/>
  <c r="H58" i="40"/>
  <c r="G58" i="40"/>
  <c r="I58" i="40"/>
  <c r="H240" i="16"/>
  <c r="F240" i="16"/>
  <c r="I240" i="16" s="1"/>
  <c r="J240" i="16" s="1"/>
  <c r="E240" i="16"/>
  <c r="N57" i="40"/>
  <c r="I57" i="40"/>
  <c r="H57" i="40"/>
  <c r="G57" i="40"/>
  <c r="H239" i="16"/>
  <c r="F239" i="16"/>
  <c r="E239" i="16"/>
  <c r="F366" i="46" l="1"/>
  <c r="E367" i="46"/>
  <c r="B367" i="46"/>
  <c r="C367" i="46" s="1"/>
  <c r="A368" i="46"/>
  <c r="D367" i="46"/>
  <c r="I239" i="16"/>
  <c r="J239" i="16" s="1"/>
  <c r="D31" i="46"/>
  <c r="A32" i="46"/>
  <c r="N58" i="40"/>
  <c r="I31" i="18"/>
  <c r="J31" i="18"/>
  <c r="K31" i="18" s="1"/>
  <c r="F367" i="46" l="1"/>
  <c r="A369" i="46"/>
  <c r="E368" i="46"/>
  <c r="D368" i="46"/>
  <c r="B368" i="46"/>
  <c r="C368" i="46" s="1"/>
  <c r="O58" i="40"/>
  <c r="O59" i="40"/>
  <c r="D32" i="46"/>
  <c r="A33" i="46"/>
  <c r="H238" i="16"/>
  <c r="F238" i="16"/>
  <c r="I238" i="16" s="1"/>
  <c r="J238" i="16" s="1"/>
  <c r="E238" i="16"/>
  <c r="F368" i="46" l="1"/>
  <c r="E369" i="46"/>
  <c r="A370" i="46"/>
  <c r="B369" i="46"/>
  <c r="C369" i="46" s="1"/>
  <c r="D369" i="46"/>
  <c r="D33" i="46"/>
  <c r="A34" i="46"/>
  <c r="H56" i="40"/>
  <c r="G56" i="40"/>
  <c r="N56" i="40"/>
  <c r="H237" i="16"/>
  <c r="F237" i="16"/>
  <c r="I237" i="16" s="1"/>
  <c r="J237" i="16" s="1"/>
  <c r="E237" i="16"/>
  <c r="F369" i="46" l="1"/>
  <c r="A371" i="46"/>
  <c r="E370" i="46"/>
  <c r="D370" i="46"/>
  <c r="B370" i="46"/>
  <c r="C370" i="46" s="1"/>
  <c r="O57" i="40"/>
  <c r="D34" i="46"/>
  <c r="A35" i="46"/>
  <c r="I56" i="40"/>
  <c r="H236" i="16"/>
  <c r="F236" i="16"/>
  <c r="I236" i="16" s="1"/>
  <c r="J236" i="16" s="1"/>
  <c r="E236" i="16"/>
  <c r="F370" i="46" l="1"/>
  <c r="E371" i="46"/>
  <c r="D371" i="46"/>
  <c r="B371" i="46"/>
  <c r="C371" i="46" s="1"/>
  <c r="A372" i="46"/>
  <c r="D35" i="46"/>
  <c r="A36" i="46"/>
  <c r="H55" i="40"/>
  <c r="G55" i="40"/>
  <c r="N55" i="40"/>
  <c r="H235" i="16"/>
  <c r="F235" i="16"/>
  <c r="I235" i="16" s="1"/>
  <c r="J235" i="16" s="1"/>
  <c r="E235" i="16"/>
  <c r="F371" i="46" l="1"/>
  <c r="A373" i="46"/>
  <c r="D372" i="46"/>
  <c r="E372" i="46"/>
  <c r="B372" i="46"/>
  <c r="C372" i="46" s="1"/>
  <c r="O56" i="40"/>
  <c r="D36" i="46"/>
  <c r="A37" i="46"/>
  <c r="I55" i="40"/>
  <c r="H54" i="40"/>
  <c r="G54" i="40"/>
  <c r="N54" i="40"/>
  <c r="H234" i="16"/>
  <c r="F234" i="16"/>
  <c r="I234" i="16" s="1"/>
  <c r="J234" i="16" s="1"/>
  <c r="E234" i="16"/>
  <c r="H233" i="16"/>
  <c r="F233" i="16"/>
  <c r="I233" i="16" s="1"/>
  <c r="J233" i="16" s="1"/>
  <c r="E233" i="16"/>
  <c r="F372" i="46" l="1"/>
  <c r="E373" i="46"/>
  <c r="A374" i="46"/>
  <c r="D373" i="46"/>
  <c r="B373" i="46"/>
  <c r="C373" i="46" s="1"/>
  <c r="O55" i="40"/>
  <c r="D37" i="46"/>
  <c r="A38" i="46"/>
  <c r="I54" i="40"/>
  <c r="F373" i="46" l="1"/>
  <c r="A375" i="46"/>
  <c r="B374" i="46"/>
  <c r="C374" i="46" s="1"/>
  <c r="D374" i="46"/>
  <c r="E374" i="46"/>
  <c r="D38" i="46"/>
  <c r="A39" i="46"/>
  <c r="H53" i="40"/>
  <c r="G53" i="40"/>
  <c r="N53" i="40"/>
  <c r="H52" i="40"/>
  <c r="G52" i="40"/>
  <c r="N52" i="40"/>
  <c r="H232" i="16"/>
  <c r="F232" i="16"/>
  <c r="I232" i="16" s="1"/>
  <c r="J232" i="16" s="1"/>
  <c r="E232" i="16"/>
  <c r="F374" i="46" l="1"/>
  <c r="E375" i="46"/>
  <c r="A376" i="46"/>
  <c r="D375" i="46"/>
  <c r="B375" i="46"/>
  <c r="C375" i="46" s="1"/>
  <c r="O53" i="40"/>
  <c r="O54" i="40"/>
  <c r="D39" i="46"/>
  <c r="A40" i="46"/>
  <c r="I53" i="40"/>
  <c r="I52" i="40"/>
  <c r="H231" i="16"/>
  <c r="F231" i="16"/>
  <c r="I231" i="16" s="1"/>
  <c r="J231" i="16" s="1"/>
  <c r="E231" i="16"/>
  <c r="H230" i="16"/>
  <c r="F230" i="16"/>
  <c r="E230" i="16"/>
  <c r="F375" i="46" l="1"/>
  <c r="A377" i="46"/>
  <c r="E376" i="46"/>
  <c r="D376" i="46"/>
  <c r="B376" i="46"/>
  <c r="C376" i="46" s="1"/>
  <c r="I230" i="16"/>
  <c r="J230" i="16" s="1"/>
  <c r="D40" i="46"/>
  <c r="A41" i="46"/>
  <c r="H229" i="16"/>
  <c r="F229" i="16"/>
  <c r="I229" i="16" s="1"/>
  <c r="J229" i="16" s="1"/>
  <c r="E229" i="16"/>
  <c r="F376" i="46" l="1"/>
  <c r="E377" i="46"/>
  <c r="A378" i="46"/>
  <c r="B377" i="46"/>
  <c r="C377" i="46" s="1"/>
  <c r="D377" i="46"/>
  <c r="D41" i="46"/>
  <c r="A42" i="46"/>
  <c r="H51" i="40"/>
  <c r="G51" i="40"/>
  <c r="N51" i="40"/>
  <c r="H228" i="16"/>
  <c r="F228" i="16"/>
  <c r="I228" i="16" s="1"/>
  <c r="J228" i="16" s="1"/>
  <c r="E228" i="16"/>
  <c r="F377" i="46" l="1"/>
  <c r="A379" i="46"/>
  <c r="E378" i="46"/>
  <c r="D378" i="46"/>
  <c r="B378" i="46"/>
  <c r="C378" i="46" s="1"/>
  <c r="O52" i="40"/>
  <c r="D42" i="46"/>
  <c r="A43" i="46"/>
  <c r="I51" i="40"/>
  <c r="H50" i="40"/>
  <c r="G50" i="40"/>
  <c r="N50" i="40"/>
  <c r="H227" i="16"/>
  <c r="F227" i="16"/>
  <c r="E227" i="16"/>
  <c r="F378" i="46" l="1"/>
  <c r="E379" i="46"/>
  <c r="D379" i="46"/>
  <c r="B379" i="46"/>
  <c r="C379" i="46" s="1"/>
  <c r="A380" i="46"/>
  <c r="O51" i="40"/>
  <c r="D43" i="46"/>
  <c r="A44" i="46"/>
  <c r="I227" i="16"/>
  <c r="J227" i="16" s="1"/>
  <c r="I50" i="40"/>
  <c r="H49" i="40"/>
  <c r="G49" i="40"/>
  <c r="N49" i="40"/>
  <c r="F379" i="46" l="1"/>
  <c r="A381" i="46"/>
  <c r="D380" i="46"/>
  <c r="E380" i="46"/>
  <c r="B380" i="46"/>
  <c r="C380" i="46" s="1"/>
  <c r="O50" i="40"/>
  <c r="D44" i="46"/>
  <c r="A45" i="46"/>
  <c r="I49" i="40"/>
  <c r="H226" i="16"/>
  <c r="F226" i="16"/>
  <c r="I226" i="16" s="1"/>
  <c r="J226" i="16" s="1"/>
  <c r="E226" i="16"/>
  <c r="F380" i="46" l="1"/>
  <c r="E381" i="46"/>
  <c r="D381" i="46"/>
  <c r="A382" i="46"/>
  <c r="B381" i="46"/>
  <c r="C381" i="46" s="1"/>
  <c r="D45" i="46"/>
  <c r="A46" i="46"/>
  <c r="I30" i="18"/>
  <c r="J30" i="18"/>
  <c r="K30" i="18" s="1"/>
  <c r="F381" i="46" l="1"/>
  <c r="A383" i="46"/>
  <c r="D382" i="46"/>
  <c r="B382" i="46"/>
  <c r="C382" i="46" s="1"/>
  <c r="E382" i="46"/>
  <c r="D46" i="46"/>
  <c r="A47" i="46"/>
  <c r="N48" i="40"/>
  <c r="O49" i="40" s="1"/>
  <c r="I48" i="40"/>
  <c r="H48" i="40"/>
  <c r="G48" i="40"/>
  <c r="F225" i="16"/>
  <c r="I225" i="16" s="1"/>
  <c r="J225" i="16" s="1"/>
  <c r="H225" i="16"/>
  <c r="E225" i="16"/>
  <c r="F382" i="46" l="1"/>
  <c r="E383" i="46"/>
  <c r="D383" i="46"/>
  <c r="A384" i="46"/>
  <c r="B383" i="46"/>
  <c r="C383" i="46" s="1"/>
  <c r="D47" i="46"/>
  <c r="A48" i="46"/>
  <c r="AU7" i="44"/>
  <c r="AU6" i="44"/>
  <c r="F383" i="46" l="1"/>
  <c r="A385" i="46"/>
  <c r="E384" i="46"/>
  <c r="D384" i="46"/>
  <c r="B384" i="46"/>
  <c r="C384" i="46" s="1"/>
  <c r="D48" i="46"/>
  <c r="A49" i="46"/>
  <c r="H47" i="40"/>
  <c r="G47" i="40"/>
  <c r="N47" i="40"/>
  <c r="H224" i="16"/>
  <c r="F224" i="16"/>
  <c r="I224" i="16" s="1"/>
  <c r="J224" i="16" s="1"/>
  <c r="E224" i="16"/>
  <c r="F384" i="46" l="1"/>
  <c r="E385" i="46"/>
  <c r="D385" i="46"/>
  <c r="B385" i="46"/>
  <c r="C385" i="46" s="1"/>
  <c r="A386" i="46"/>
  <c r="O48" i="40"/>
  <c r="D49" i="46"/>
  <c r="A50" i="46"/>
  <c r="I47" i="40"/>
  <c r="H46" i="40"/>
  <c r="G46" i="40"/>
  <c r="I46" i="40"/>
  <c r="H223" i="16"/>
  <c r="F223" i="16"/>
  <c r="I223" i="16" s="1"/>
  <c r="J223" i="16" s="1"/>
  <c r="E223" i="16"/>
  <c r="F385" i="46" l="1"/>
  <c r="A387" i="46"/>
  <c r="D386" i="46"/>
  <c r="E386" i="46"/>
  <c r="B386" i="46"/>
  <c r="C386" i="46" s="1"/>
  <c r="D50" i="46"/>
  <c r="A51" i="46"/>
  <c r="N46" i="40"/>
  <c r="H222" i="16"/>
  <c r="F222" i="16"/>
  <c r="I222" i="16" s="1"/>
  <c r="J222" i="16" s="1"/>
  <c r="E222" i="16"/>
  <c r="H45" i="40"/>
  <c r="G45" i="40"/>
  <c r="N45" i="40"/>
  <c r="F386" i="46" l="1"/>
  <c r="E387" i="46"/>
  <c r="D387" i="46"/>
  <c r="A388" i="46"/>
  <c r="B387" i="46"/>
  <c r="C387" i="46" s="1"/>
  <c r="O46" i="40"/>
  <c r="O47" i="40"/>
  <c r="D51" i="46"/>
  <c r="A52" i="46"/>
  <c r="I45" i="40"/>
  <c r="H221" i="16"/>
  <c r="F221" i="16"/>
  <c r="I221" i="16" s="1"/>
  <c r="J221" i="16" s="1"/>
  <c r="E221" i="16"/>
  <c r="F387" i="46" l="1"/>
  <c r="A389" i="46"/>
  <c r="D388" i="46"/>
  <c r="B388" i="46"/>
  <c r="C388" i="46" s="1"/>
  <c r="E388" i="46"/>
  <c r="D52" i="46"/>
  <c r="A53" i="46"/>
  <c r="I44" i="40"/>
  <c r="H44" i="40"/>
  <c r="G44" i="40"/>
  <c r="N44" i="40"/>
  <c r="O45" i="40" s="1"/>
  <c r="H220" i="16"/>
  <c r="F220" i="16"/>
  <c r="E220" i="16"/>
  <c r="I29" i="18"/>
  <c r="J29" i="18"/>
  <c r="K29" i="18" s="1"/>
  <c r="I43" i="40"/>
  <c r="H43" i="40"/>
  <c r="G43" i="40"/>
  <c r="N43" i="40"/>
  <c r="H219" i="16"/>
  <c r="F219" i="16"/>
  <c r="I219" i="16" s="1"/>
  <c r="J219" i="16" s="1"/>
  <c r="E219" i="16"/>
  <c r="F388" i="46" l="1"/>
  <c r="E389" i="46"/>
  <c r="D389" i="46"/>
  <c r="B389" i="46"/>
  <c r="C389" i="46" s="1"/>
  <c r="A390" i="46"/>
  <c r="O44" i="40"/>
  <c r="I220" i="16"/>
  <c r="J220" i="16" s="1"/>
  <c r="D53" i="46"/>
  <c r="A54" i="46"/>
  <c r="N42" i="40"/>
  <c r="I42" i="40"/>
  <c r="H42" i="40"/>
  <c r="G42" i="40"/>
  <c r="H218" i="16"/>
  <c r="F218" i="16"/>
  <c r="I218" i="16" s="1"/>
  <c r="J218" i="16" s="1"/>
  <c r="E218" i="16"/>
  <c r="L218" i="16"/>
  <c r="F389" i="46" l="1"/>
  <c r="A391" i="46"/>
  <c r="E390" i="46"/>
  <c r="D390" i="46"/>
  <c r="B390" i="46"/>
  <c r="C390" i="46" s="1"/>
  <c r="O43" i="40"/>
  <c r="D54" i="46"/>
  <c r="A55" i="46"/>
  <c r="M6" i="13"/>
  <c r="I41" i="40"/>
  <c r="H41" i="40"/>
  <c r="G41" i="40"/>
  <c r="N41" i="40"/>
  <c r="O42" i="40" s="1"/>
  <c r="H217" i="16"/>
  <c r="F217" i="16"/>
  <c r="I217" i="16" s="1"/>
  <c r="J217" i="16" s="1"/>
  <c r="E217" i="16"/>
  <c r="F390" i="46" l="1"/>
  <c r="E391" i="46"/>
  <c r="D391" i="46"/>
  <c r="B391" i="46"/>
  <c r="C391" i="46" s="1"/>
  <c r="A392" i="46"/>
  <c r="D55" i="46"/>
  <c r="A56" i="46"/>
  <c r="H40" i="40"/>
  <c r="G40" i="40"/>
  <c r="N40" i="40"/>
  <c r="H216" i="16"/>
  <c r="F216" i="16"/>
  <c r="I216" i="16" s="1"/>
  <c r="J216" i="16" s="1"/>
  <c r="E216" i="16"/>
  <c r="F391" i="46" l="1"/>
  <c r="A393" i="46"/>
  <c r="D392" i="46"/>
  <c r="E392" i="46"/>
  <c r="B392" i="46"/>
  <c r="C392" i="46" s="1"/>
  <c r="O41" i="40"/>
  <c r="D56" i="46"/>
  <c r="A57" i="46"/>
  <c r="I40" i="40"/>
  <c r="H215" i="16"/>
  <c r="F215" i="16"/>
  <c r="I215" i="16" s="1"/>
  <c r="J215" i="16" s="1"/>
  <c r="E215" i="16"/>
  <c r="H39" i="40"/>
  <c r="G39" i="40"/>
  <c r="I39" i="40"/>
  <c r="F392" i="46" l="1"/>
  <c r="E393" i="46"/>
  <c r="D393" i="46"/>
  <c r="B393" i="46"/>
  <c r="C393" i="46" s="1"/>
  <c r="A394" i="46"/>
  <c r="D57" i="46"/>
  <c r="A58" i="46"/>
  <c r="N39" i="40"/>
  <c r="N38" i="40"/>
  <c r="I38" i="40"/>
  <c r="H38" i="40"/>
  <c r="G38" i="40"/>
  <c r="H214" i="16"/>
  <c r="F214" i="16"/>
  <c r="I214" i="16" s="1"/>
  <c r="J214" i="16" s="1"/>
  <c r="E214" i="16"/>
  <c r="F393" i="46" l="1"/>
  <c r="A395" i="46"/>
  <c r="E394" i="46"/>
  <c r="D394" i="46"/>
  <c r="B394" i="46"/>
  <c r="C394" i="46" s="1"/>
  <c r="O39" i="40"/>
  <c r="O40" i="40"/>
  <c r="D58" i="46"/>
  <c r="A59" i="46"/>
  <c r="I37" i="40"/>
  <c r="H37" i="40"/>
  <c r="G37" i="40"/>
  <c r="N37" i="40"/>
  <c r="O38" i="40" s="1"/>
  <c r="H213" i="16"/>
  <c r="F213" i="16"/>
  <c r="I213" i="16" s="1"/>
  <c r="J213" i="16" s="1"/>
  <c r="E213" i="16"/>
  <c r="F394" i="46" l="1"/>
  <c r="E395" i="46"/>
  <c r="D395" i="46"/>
  <c r="B395" i="46"/>
  <c r="C395" i="46" s="1"/>
  <c r="A396" i="46"/>
  <c r="D59" i="46"/>
  <c r="A60" i="46"/>
  <c r="H36" i="40"/>
  <c r="G36" i="40"/>
  <c r="N36" i="40"/>
  <c r="H212" i="16"/>
  <c r="F212" i="16"/>
  <c r="I212" i="16" s="1"/>
  <c r="J212" i="16" s="1"/>
  <c r="E212" i="16"/>
  <c r="F395" i="46" l="1"/>
  <c r="A397" i="46"/>
  <c r="B396" i="46"/>
  <c r="C396" i="46" s="1"/>
  <c r="E396" i="46"/>
  <c r="D396" i="46"/>
  <c r="O37" i="40"/>
  <c r="D60" i="46"/>
  <c r="A61" i="46"/>
  <c r="I36" i="40"/>
  <c r="H211" i="16"/>
  <c r="F211" i="16"/>
  <c r="I211" i="16" s="1"/>
  <c r="J211" i="16" s="1"/>
  <c r="E211" i="16"/>
  <c r="I35" i="40"/>
  <c r="H35" i="40"/>
  <c r="G35" i="40"/>
  <c r="N35" i="40"/>
  <c r="O36" i="40" s="1"/>
  <c r="F396" i="46" l="1"/>
  <c r="E397" i="46"/>
  <c r="D397" i="46"/>
  <c r="B397" i="46"/>
  <c r="C397" i="46" s="1"/>
  <c r="A398" i="46"/>
  <c r="D61" i="46"/>
  <c r="A62" i="46"/>
  <c r="I34" i="40"/>
  <c r="H34" i="40"/>
  <c r="G34" i="40"/>
  <c r="N34" i="40"/>
  <c r="O35" i="40" s="1"/>
  <c r="H210" i="16"/>
  <c r="F210" i="16"/>
  <c r="I210" i="16" s="1"/>
  <c r="J210" i="16" s="1"/>
  <c r="E210" i="16"/>
  <c r="F397" i="46" l="1"/>
  <c r="A399" i="46"/>
  <c r="B398" i="46"/>
  <c r="C398" i="46" s="1"/>
  <c r="D398" i="46"/>
  <c r="E398" i="46"/>
  <c r="D62" i="46"/>
  <c r="A63" i="46"/>
  <c r="G40" i="37"/>
  <c r="K40" i="37" s="1"/>
  <c r="G39" i="37"/>
  <c r="K39" i="37" s="1"/>
  <c r="G38" i="37"/>
  <c r="K38" i="37" s="1"/>
  <c r="G37" i="37"/>
  <c r="K37" i="37" s="1"/>
  <c r="G36" i="37"/>
  <c r="K36" i="37" s="1"/>
  <c r="G35" i="37"/>
  <c r="K35" i="37" s="1"/>
  <c r="G34" i="37"/>
  <c r="G33" i="37"/>
  <c r="K33" i="37" s="1"/>
  <c r="G32" i="37"/>
  <c r="I32" i="37" s="1"/>
  <c r="G31" i="37"/>
  <c r="I31" i="37" s="1"/>
  <c r="G30" i="37"/>
  <c r="I30" i="37" s="1"/>
  <c r="G29" i="37"/>
  <c r="G28" i="37"/>
  <c r="G27" i="37"/>
  <c r="G26" i="37"/>
  <c r="G25" i="37"/>
  <c r="G24" i="37"/>
  <c r="G23" i="37"/>
  <c r="G22" i="37"/>
  <c r="G21" i="37"/>
  <c r="G20" i="37"/>
  <c r="G19" i="37"/>
  <c r="G18" i="37"/>
  <c r="I18" i="37" s="1"/>
  <c r="G17" i="37"/>
  <c r="G16" i="37"/>
  <c r="G15" i="37"/>
  <c r="G14" i="37"/>
  <c r="G13" i="37"/>
  <c r="G12" i="37"/>
  <c r="G11" i="37"/>
  <c r="G10" i="37"/>
  <c r="G9" i="37"/>
  <c r="G8" i="37"/>
  <c r="G7" i="37"/>
  <c r="F40" i="37"/>
  <c r="J40" i="37" s="1"/>
  <c r="F39" i="37"/>
  <c r="F38" i="37"/>
  <c r="F37" i="37"/>
  <c r="F36" i="37"/>
  <c r="F35" i="37"/>
  <c r="F34" i="37"/>
  <c r="H34" i="37" s="1"/>
  <c r="F33" i="37"/>
  <c r="F32" i="37"/>
  <c r="H32" i="37" s="1"/>
  <c r="F31" i="37"/>
  <c r="H31" i="37" s="1"/>
  <c r="F30" i="37"/>
  <c r="H30" i="37" s="1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E6" i="37"/>
  <c r="G6" i="37"/>
  <c r="K6" i="37" s="1"/>
  <c r="F398" i="46" l="1"/>
  <c r="E399" i="46"/>
  <c r="D399" i="46"/>
  <c r="B399" i="46"/>
  <c r="C399" i="46" s="1"/>
  <c r="A400" i="46"/>
  <c r="D63" i="46"/>
  <c r="A64" i="46"/>
  <c r="I20" i="37"/>
  <c r="H8" i="37"/>
  <c r="I22" i="37"/>
  <c r="K11" i="37"/>
  <c r="K12" i="37"/>
  <c r="J12" i="37"/>
  <c r="J24" i="37"/>
  <c r="J36" i="37"/>
  <c r="K14" i="37"/>
  <c r="K26" i="37"/>
  <c r="I7" i="37"/>
  <c r="H19" i="37"/>
  <c r="H20" i="37"/>
  <c r="K31" i="37"/>
  <c r="H10" i="37"/>
  <c r="K25" i="37"/>
  <c r="J37" i="37"/>
  <c r="K15" i="37"/>
  <c r="K27" i="37"/>
  <c r="H18" i="37"/>
  <c r="K21" i="37"/>
  <c r="K13" i="37"/>
  <c r="J26" i="37"/>
  <c r="J38" i="37"/>
  <c r="K16" i="37"/>
  <c r="K28" i="37"/>
  <c r="I19" i="37"/>
  <c r="I8" i="37"/>
  <c r="I6" i="37"/>
  <c r="K7" i="37"/>
  <c r="K23" i="37"/>
  <c r="K24" i="37"/>
  <c r="J39" i="37"/>
  <c r="I17" i="37"/>
  <c r="I29" i="37"/>
  <c r="K30" i="37"/>
  <c r="I9" i="37"/>
  <c r="I21" i="37"/>
  <c r="I33" i="37"/>
  <c r="K17" i="37"/>
  <c r="K29" i="37"/>
  <c r="I10" i="37"/>
  <c r="I12" i="37"/>
  <c r="I24" i="37"/>
  <c r="K8" i="37"/>
  <c r="K20" i="37"/>
  <c r="K32" i="37"/>
  <c r="I11" i="37"/>
  <c r="H6" i="37"/>
  <c r="I13" i="37"/>
  <c r="I25" i="37"/>
  <c r="K9" i="37"/>
  <c r="J17" i="37"/>
  <c r="I26" i="37"/>
  <c r="K10" i="37"/>
  <c r="K34" i="37"/>
  <c r="K18" i="37"/>
  <c r="I23" i="37"/>
  <c r="J25" i="37"/>
  <c r="J15" i="37"/>
  <c r="I14" i="37"/>
  <c r="K22" i="37"/>
  <c r="H7" i="37"/>
  <c r="I15" i="37"/>
  <c r="I27" i="37"/>
  <c r="K19" i="37"/>
  <c r="J27" i="37"/>
  <c r="J29" i="37"/>
  <c r="I34" i="37"/>
  <c r="J14" i="37"/>
  <c r="I28" i="37"/>
  <c r="J6" i="37"/>
  <c r="H12" i="37"/>
  <c r="J21" i="37"/>
  <c r="H28" i="37"/>
  <c r="J34" i="37"/>
  <c r="J13" i="37"/>
  <c r="I16" i="37"/>
  <c r="H22" i="37"/>
  <c r="J11" i="37"/>
  <c r="H17" i="37"/>
  <c r="J23" i="37"/>
  <c r="H29" i="37"/>
  <c r="J35" i="37"/>
  <c r="H9" i="37"/>
  <c r="H21" i="37"/>
  <c r="H33" i="37"/>
  <c r="J16" i="37"/>
  <c r="J28" i="37"/>
  <c r="H23" i="37"/>
  <c r="H24" i="37"/>
  <c r="J31" i="37"/>
  <c r="H13" i="37"/>
  <c r="J8" i="37"/>
  <c r="J20" i="37"/>
  <c r="J32" i="37"/>
  <c r="H11" i="37"/>
  <c r="J30" i="37"/>
  <c r="J7" i="37"/>
  <c r="H25" i="37"/>
  <c r="H26" i="37"/>
  <c r="J9" i="37"/>
  <c r="J33" i="37"/>
  <c r="H15" i="37"/>
  <c r="H27" i="37"/>
  <c r="J10" i="37"/>
  <c r="J22" i="37"/>
  <c r="J18" i="37"/>
  <c r="J19" i="37"/>
  <c r="H14" i="37"/>
  <c r="H16" i="37"/>
  <c r="I33" i="40"/>
  <c r="H33" i="40"/>
  <c r="G33" i="40"/>
  <c r="N33" i="40"/>
  <c r="O34" i="40" s="1"/>
  <c r="H209" i="16"/>
  <c r="F209" i="16"/>
  <c r="I209" i="16" s="1"/>
  <c r="J209" i="16" s="1"/>
  <c r="E209" i="16"/>
  <c r="F399" i="46" l="1"/>
  <c r="A401" i="46"/>
  <c r="E400" i="46"/>
  <c r="D400" i="46"/>
  <c r="B400" i="46"/>
  <c r="C400" i="46" s="1"/>
  <c r="D64" i="46"/>
  <c r="A65" i="46"/>
  <c r="J2" i="40"/>
  <c r="K2" i="40" s="1"/>
  <c r="I32" i="40"/>
  <c r="H32" i="40"/>
  <c r="G32" i="40"/>
  <c r="N32" i="40"/>
  <c r="O33" i="40" s="1"/>
  <c r="H208" i="16"/>
  <c r="F208" i="16"/>
  <c r="I208" i="16" s="1"/>
  <c r="J208" i="16" s="1"/>
  <c r="E208" i="16"/>
  <c r="F400" i="46" l="1"/>
  <c r="E401" i="46"/>
  <c r="D401" i="46"/>
  <c r="B401" i="46"/>
  <c r="C401" i="46" s="1"/>
  <c r="A402" i="46"/>
  <c r="D65" i="46"/>
  <c r="A66" i="46"/>
  <c r="I31" i="40"/>
  <c r="H31" i="40"/>
  <c r="G31" i="40"/>
  <c r="N31" i="40"/>
  <c r="O32" i="40" s="1"/>
  <c r="H207" i="16"/>
  <c r="F207" i="16"/>
  <c r="I207" i="16" s="1"/>
  <c r="J207" i="16" s="1"/>
  <c r="E207" i="16"/>
  <c r="F401" i="46" l="1"/>
  <c r="A403" i="46"/>
  <c r="E402" i="46"/>
  <c r="D402" i="46"/>
  <c r="B402" i="46"/>
  <c r="C402" i="46" s="1"/>
  <c r="D66" i="46"/>
  <c r="A67" i="46"/>
  <c r="N30" i="40"/>
  <c r="I30" i="40"/>
  <c r="H30" i="40"/>
  <c r="G30" i="40"/>
  <c r="H206" i="16"/>
  <c r="F206" i="16"/>
  <c r="I206" i="16" s="1"/>
  <c r="J206" i="16" s="1"/>
  <c r="E206" i="16"/>
  <c r="F402" i="46" l="1"/>
  <c r="E403" i="46"/>
  <c r="D403" i="46"/>
  <c r="B403" i="46"/>
  <c r="C403" i="46" s="1"/>
  <c r="A404" i="46"/>
  <c r="O31" i="40"/>
  <c r="D67" i="46"/>
  <c r="A68" i="46"/>
  <c r="I29" i="40"/>
  <c r="H29" i="40"/>
  <c r="G29" i="40"/>
  <c r="N29" i="40"/>
  <c r="O30" i="40" s="1"/>
  <c r="H205" i="16"/>
  <c r="F205" i="16"/>
  <c r="I205" i="16" s="1"/>
  <c r="J205" i="16" s="1"/>
  <c r="E205" i="16"/>
  <c r="I28" i="40"/>
  <c r="H28" i="40"/>
  <c r="G28" i="40"/>
  <c r="N28" i="40"/>
  <c r="H204" i="16"/>
  <c r="F204" i="16"/>
  <c r="I204" i="16" s="1"/>
  <c r="J204" i="16" s="1"/>
  <c r="E204" i="16"/>
  <c r="I28" i="18"/>
  <c r="J28" i="18"/>
  <c r="K28" i="18" s="1"/>
  <c r="F403" i="46" l="1"/>
  <c r="A405" i="46"/>
  <c r="E404" i="46"/>
  <c r="D404" i="46"/>
  <c r="B404" i="46"/>
  <c r="C404" i="46" s="1"/>
  <c r="O29" i="40"/>
  <c r="D68" i="46"/>
  <c r="A69" i="46"/>
  <c r="H203" i="16"/>
  <c r="F203" i="16"/>
  <c r="I203" i="16" s="1"/>
  <c r="J203" i="16" s="1"/>
  <c r="E203" i="16"/>
  <c r="I27" i="40"/>
  <c r="H27" i="40"/>
  <c r="G27" i="40"/>
  <c r="N27" i="40"/>
  <c r="F404" i="46" l="1"/>
  <c r="E405" i="46"/>
  <c r="D405" i="46"/>
  <c r="B405" i="46"/>
  <c r="C405" i="46" s="1"/>
  <c r="A406" i="46"/>
  <c r="O28" i="40"/>
  <c r="D69" i="46"/>
  <c r="A70" i="46"/>
  <c r="H202" i="16"/>
  <c r="F202" i="16"/>
  <c r="I202" i="16" s="1"/>
  <c r="J202" i="16" s="1"/>
  <c r="E202" i="16"/>
  <c r="F405" i="46" l="1"/>
  <c r="A407" i="46"/>
  <c r="E406" i="46"/>
  <c r="B406" i="46"/>
  <c r="C406" i="46" s="1"/>
  <c r="D406" i="46"/>
  <c r="D70" i="46"/>
  <c r="A71" i="46"/>
  <c r="H201" i="16"/>
  <c r="F201" i="16"/>
  <c r="I201" i="16" s="1"/>
  <c r="J201" i="16" s="1"/>
  <c r="E201" i="16"/>
  <c r="F406" i="46" l="1"/>
  <c r="E407" i="46"/>
  <c r="D407" i="46"/>
  <c r="B407" i="46"/>
  <c r="C407" i="46" s="1"/>
  <c r="A408" i="46"/>
  <c r="D71" i="46"/>
  <c r="A72" i="46"/>
  <c r="H200" i="16"/>
  <c r="F200" i="16"/>
  <c r="I200" i="16" s="1"/>
  <c r="J200" i="16" s="1"/>
  <c r="E200" i="16"/>
  <c r="H199" i="16"/>
  <c r="F199" i="16"/>
  <c r="I199" i="16" s="1"/>
  <c r="J199" i="16" s="1"/>
  <c r="E199" i="16"/>
  <c r="F407" i="46" l="1"/>
  <c r="A409" i="46"/>
  <c r="D408" i="46"/>
  <c r="B408" i="46"/>
  <c r="C408" i="46" s="1"/>
  <c r="E408" i="46"/>
  <c r="D72" i="46"/>
  <c r="A73" i="46"/>
  <c r="H198" i="16"/>
  <c r="F198" i="16"/>
  <c r="I198" i="16" s="1"/>
  <c r="J198" i="16" s="1"/>
  <c r="E198" i="16"/>
  <c r="F408" i="46" l="1"/>
  <c r="E409" i="46"/>
  <c r="D409" i="46"/>
  <c r="B409" i="46"/>
  <c r="C409" i="46" s="1"/>
  <c r="A410" i="46"/>
  <c r="D73" i="46"/>
  <c r="A74" i="46"/>
  <c r="I26" i="40"/>
  <c r="H26" i="40"/>
  <c r="G26" i="40"/>
  <c r="N26" i="40"/>
  <c r="O27" i="40" s="1"/>
  <c r="F409" i="46" l="1"/>
  <c r="A411" i="46"/>
  <c r="E410" i="46"/>
  <c r="D410" i="46"/>
  <c r="B410" i="46"/>
  <c r="C410" i="46" s="1"/>
  <c r="D74" i="46"/>
  <c r="A75" i="46"/>
  <c r="H197" i="16"/>
  <c r="F197" i="16"/>
  <c r="E197" i="16"/>
  <c r="H196" i="16"/>
  <c r="F196" i="16"/>
  <c r="I196" i="16" s="1"/>
  <c r="J196" i="16" s="1"/>
  <c r="E196" i="16"/>
  <c r="F410" i="46" l="1"/>
  <c r="E411" i="46"/>
  <c r="D411" i="46"/>
  <c r="B411" i="46"/>
  <c r="C411" i="46" s="1"/>
  <c r="A412" i="46"/>
  <c r="I197" i="16"/>
  <c r="J197" i="16" s="1"/>
  <c r="D75" i="46"/>
  <c r="A76" i="46"/>
  <c r="H195" i="16"/>
  <c r="F195" i="16"/>
  <c r="I195" i="16" s="1"/>
  <c r="J195" i="16" s="1"/>
  <c r="E195" i="16"/>
  <c r="F411" i="46" l="1"/>
  <c r="A413" i="46"/>
  <c r="B412" i="46"/>
  <c r="C412" i="46" s="1"/>
  <c r="E412" i="46"/>
  <c r="D412" i="46"/>
  <c r="D76" i="46"/>
  <c r="A77" i="46"/>
  <c r="H194" i="16"/>
  <c r="F194" i="16"/>
  <c r="I194" i="16" s="1"/>
  <c r="J194" i="16" s="1"/>
  <c r="E194" i="16"/>
  <c r="F412" i="46" l="1"/>
  <c r="E413" i="46"/>
  <c r="D413" i="46"/>
  <c r="B413" i="46"/>
  <c r="C413" i="46" s="1"/>
  <c r="A414" i="46"/>
  <c r="D77" i="46"/>
  <c r="A78" i="46"/>
  <c r="F413" i="46" l="1"/>
  <c r="A415" i="46"/>
  <c r="E414" i="46"/>
  <c r="D414" i="46"/>
  <c r="B414" i="46"/>
  <c r="C414" i="46" s="1"/>
  <c r="D78" i="46"/>
  <c r="A79" i="46"/>
  <c r="I25" i="40"/>
  <c r="H25" i="40"/>
  <c r="G25" i="40"/>
  <c r="N25" i="40"/>
  <c r="O26" i="40" s="1"/>
  <c r="H193" i="16"/>
  <c r="F193" i="16"/>
  <c r="H192" i="16"/>
  <c r="F192" i="16"/>
  <c r="I192" i="16" s="1"/>
  <c r="J192" i="16" s="1"/>
  <c r="E193" i="16"/>
  <c r="E192" i="16"/>
  <c r="F414" i="46" l="1"/>
  <c r="E415" i="46"/>
  <c r="D415" i="46"/>
  <c r="B415" i="46"/>
  <c r="C415" i="46" s="1"/>
  <c r="A416" i="46"/>
  <c r="I193" i="16"/>
  <c r="J193" i="16" s="1"/>
  <c r="D79" i="46"/>
  <c r="A80" i="46"/>
  <c r="H191" i="16"/>
  <c r="F191" i="16"/>
  <c r="I191" i="16" s="1"/>
  <c r="J191" i="16" s="1"/>
  <c r="F415" i="46" l="1"/>
  <c r="A417" i="46"/>
  <c r="D416" i="46"/>
  <c r="E416" i="46"/>
  <c r="B416" i="46"/>
  <c r="C416" i="46" s="1"/>
  <c r="D80" i="46"/>
  <c r="A81" i="46"/>
  <c r="H24" i="40"/>
  <c r="G24" i="40"/>
  <c r="N24" i="40"/>
  <c r="E191" i="16"/>
  <c r="F416" i="46" l="1"/>
  <c r="E417" i="46"/>
  <c r="D417" i="46"/>
  <c r="B417" i="46"/>
  <c r="C417" i="46" s="1"/>
  <c r="A418" i="46"/>
  <c r="O25" i="40"/>
  <c r="D81" i="46"/>
  <c r="A82" i="46"/>
  <c r="I24" i="40"/>
  <c r="I23" i="40"/>
  <c r="H23" i="40"/>
  <c r="G23" i="40"/>
  <c r="N23" i="40"/>
  <c r="F417" i="46" l="1"/>
  <c r="A419" i="46"/>
  <c r="E418" i="46"/>
  <c r="D418" i="46"/>
  <c r="B418" i="46"/>
  <c r="C418" i="46" s="1"/>
  <c r="O24" i="40"/>
  <c r="D82" i="46"/>
  <c r="A83" i="46"/>
  <c r="H190" i="16"/>
  <c r="F190" i="16"/>
  <c r="I190" i="16" s="1"/>
  <c r="J190" i="16" s="1"/>
  <c r="E190" i="16"/>
  <c r="F418" i="46" l="1"/>
  <c r="E419" i="46"/>
  <c r="D419" i="46"/>
  <c r="B419" i="46"/>
  <c r="C419" i="46" s="1"/>
  <c r="A420" i="46"/>
  <c r="D83" i="46"/>
  <c r="A84" i="46"/>
  <c r="H189" i="16"/>
  <c r="F189" i="16"/>
  <c r="I189" i="16" s="1"/>
  <c r="J189" i="16" s="1"/>
  <c r="E189" i="16"/>
  <c r="F419" i="46" l="1"/>
  <c r="A421" i="46"/>
  <c r="D420" i="46"/>
  <c r="E420" i="46"/>
  <c r="B420" i="46"/>
  <c r="C420" i="46" s="1"/>
  <c r="D84" i="46"/>
  <c r="A85" i="46"/>
  <c r="H188" i="16"/>
  <c r="F188" i="16"/>
  <c r="I188" i="16" s="1"/>
  <c r="J188" i="16" s="1"/>
  <c r="E188" i="16"/>
  <c r="F420" i="46" l="1"/>
  <c r="E421" i="46"/>
  <c r="D421" i="46"/>
  <c r="B421" i="46"/>
  <c r="C421" i="46" s="1"/>
  <c r="A422" i="46"/>
  <c r="D85" i="46"/>
  <c r="A86" i="46"/>
  <c r="H187" i="16"/>
  <c r="F187" i="16"/>
  <c r="I187" i="16" s="1"/>
  <c r="J187" i="16" s="1"/>
  <c r="E187" i="16"/>
  <c r="N22" i="40"/>
  <c r="I22" i="40"/>
  <c r="H22" i="40"/>
  <c r="G22" i="40"/>
  <c r="H21" i="40"/>
  <c r="G21" i="40"/>
  <c r="N21" i="40"/>
  <c r="H186" i="16"/>
  <c r="F186" i="16"/>
  <c r="I186" i="16" s="1"/>
  <c r="J186" i="16" s="1"/>
  <c r="H185" i="16"/>
  <c r="F185" i="16"/>
  <c r="I185" i="16" s="1"/>
  <c r="J185" i="16" s="1"/>
  <c r="E186" i="16"/>
  <c r="F421" i="46" l="1"/>
  <c r="A423" i="46"/>
  <c r="E422" i="46"/>
  <c r="D422" i="46"/>
  <c r="B422" i="46"/>
  <c r="C422" i="46" s="1"/>
  <c r="O22" i="40"/>
  <c r="O23" i="40"/>
  <c r="D86" i="46"/>
  <c r="A87" i="46"/>
  <c r="I21" i="40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F422" i="46" l="1"/>
  <c r="E423" i="46"/>
  <c r="D423" i="46"/>
  <c r="B423" i="46"/>
  <c r="C423" i="46" s="1"/>
  <c r="A424" i="46"/>
  <c r="D87" i="46"/>
  <c r="A88" i="46"/>
  <c r="E185" i="16"/>
  <c r="H184" i="16"/>
  <c r="F184" i="16"/>
  <c r="I184" i="16" s="1"/>
  <c r="J184" i="16" s="1"/>
  <c r="E184" i="16"/>
  <c r="F423" i="46" l="1"/>
  <c r="A425" i="46"/>
  <c r="D424" i="46"/>
  <c r="E424" i="46"/>
  <c r="B424" i="46"/>
  <c r="C424" i="46" s="1"/>
  <c r="D88" i="46"/>
  <c r="A89" i="46"/>
  <c r="I27" i="18"/>
  <c r="J27" i="18"/>
  <c r="K27" i="18" s="1"/>
  <c r="H20" i="40"/>
  <c r="G20" i="40"/>
  <c r="I20" i="40"/>
  <c r="H183" i="16"/>
  <c r="F183" i="16"/>
  <c r="I183" i="16" s="1"/>
  <c r="J183" i="16" s="1"/>
  <c r="E183" i="16"/>
  <c r="F424" i="46" l="1"/>
  <c r="E425" i="46"/>
  <c r="D425" i="46"/>
  <c r="B425" i="46"/>
  <c r="C425" i="46" s="1"/>
  <c r="A426" i="46"/>
  <c r="D89" i="46"/>
  <c r="A90" i="46"/>
  <c r="N20" i="40"/>
  <c r="I19" i="40"/>
  <c r="H19" i="40"/>
  <c r="G19" i="40"/>
  <c r="N19" i="40"/>
  <c r="H182" i="16"/>
  <c r="F182" i="16"/>
  <c r="E182" i="16"/>
  <c r="F425" i="46" l="1"/>
  <c r="A427" i="46"/>
  <c r="D426" i="46"/>
  <c r="E426" i="46"/>
  <c r="B426" i="46"/>
  <c r="C426" i="46" s="1"/>
  <c r="O20" i="40"/>
  <c r="O21" i="40"/>
  <c r="I182" i="16"/>
  <c r="J182" i="16" s="1"/>
  <c r="D90" i="46"/>
  <c r="A91" i="46"/>
  <c r="I18" i="40"/>
  <c r="H18" i="40"/>
  <c r="G18" i="40"/>
  <c r="N18" i="40"/>
  <c r="O19" i="40" s="1"/>
  <c r="H181" i="16"/>
  <c r="F181" i="16"/>
  <c r="E181" i="16"/>
  <c r="F426" i="46" l="1"/>
  <c r="E427" i="46"/>
  <c r="D427" i="46"/>
  <c r="B427" i="46"/>
  <c r="C427" i="46" s="1"/>
  <c r="A428" i="46"/>
  <c r="I181" i="16"/>
  <c r="J181" i="16" s="1"/>
  <c r="D91" i="46"/>
  <c r="A92" i="46"/>
  <c r="H17" i="40"/>
  <c r="G17" i="40"/>
  <c r="I17" i="40"/>
  <c r="H180" i="16"/>
  <c r="F180" i="16"/>
  <c r="E180" i="16"/>
  <c r="F427" i="46" l="1"/>
  <c r="A429" i="46"/>
  <c r="D428" i="46"/>
  <c r="E428" i="46"/>
  <c r="B428" i="46"/>
  <c r="C428" i="46" s="1"/>
  <c r="I180" i="16"/>
  <c r="J180" i="16" s="1"/>
  <c r="D92" i="46"/>
  <c r="A93" i="46"/>
  <c r="N17" i="40"/>
  <c r="I16" i="40"/>
  <c r="H16" i="40"/>
  <c r="G16" i="40"/>
  <c r="I15" i="40"/>
  <c r="H15" i="40"/>
  <c r="G15" i="40"/>
  <c r="N15" i="40"/>
  <c r="N16" i="40"/>
  <c r="H179" i="16"/>
  <c r="F179" i="16"/>
  <c r="I179" i="16" s="1"/>
  <c r="J179" i="16" s="1"/>
  <c r="E179" i="16"/>
  <c r="F428" i="46" l="1"/>
  <c r="O16" i="40"/>
  <c r="E429" i="46"/>
  <c r="D429" i="46"/>
  <c r="B429" i="46"/>
  <c r="C429" i="46" s="1"/>
  <c r="A430" i="46"/>
  <c r="O18" i="40"/>
  <c r="O17" i="40"/>
  <c r="D93" i="46"/>
  <c r="A94" i="46"/>
  <c r="H178" i="16"/>
  <c r="F178" i="16"/>
  <c r="I178" i="16" s="1"/>
  <c r="J178" i="16" s="1"/>
  <c r="H177" i="16"/>
  <c r="F177" i="16"/>
  <c r="I177" i="16" s="1"/>
  <c r="J177" i="16" s="1"/>
  <c r="H176" i="16"/>
  <c r="F176" i="16"/>
  <c r="I176" i="16" s="1"/>
  <c r="J176" i="16" s="1"/>
  <c r="E178" i="16"/>
  <c r="E177" i="16"/>
  <c r="E176" i="16"/>
  <c r="I26" i="18"/>
  <c r="J26" i="18"/>
  <c r="K26" i="18" s="1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25" i="18"/>
  <c r="AX7" i="44"/>
  <c r="F429" i="46" l="1"/>
  <c r="A431" i="46"/>
  <c r="D430" i="46"/>
  <c r="E430" i="46"/>
  <c r="B430" i="46"/>
  <c r="C430" i="46" s="1"/>
  <c r="BG10" i="44"/>
  <c r="BG11" i="44" s="1"/>
  <c r="BF10" i="44"/>
  <c r="BF11" i="44" s="1"/>
  <c r="BE10" i="44"/>
  <c r="BE11" i="44" s="1"/>
  <c r="BD10" i="44"/>
  <c r="BD11" i="44" s="1"/>
  <c r="D94" i="46"/>
  <c r="A95" i="46"/>
  <c r="H175" i="16"/>
  <c r="F175" i="16"/>
  <c r="I175" i="16" s="1"/>
  <c r="J175" i="16" s="1"/>
  <c r="E175" i="16"/>
  <c r="H14" i="40"/>
  <c r="G14" i="40"/>
  <c r="N14" i="40"/>
  <c r="O15" i="40" s="1"/>
  <c r="H174" i="16"/>
  <c r="F174" i="16"/>
  <c r="I174" i="16" s="1"/>
  <c r="J174" i="16" s="1"/>
  <c r="E174" i="16"/>
  <c r="F430" i="46" l="1"/>
  <c r="E431" i="46"/>
  <c r="D431" i="46"/>
  <c r="B431" i="46"/>
  <c r="C431" i="46" s="1"/>
  <c r="A432" i="46"/>
  <c r="D95" i="46"/>
  <c r="A96" i="46"/>
  <c r="AU21" i="41"/>
  <c r="AI12" i="42"/>
  <c r="AI11" i="42"/>
  <c r="AI10" i="42"/>
  <c r="AI9" i="42"/>
  <c r="AI8" i="42"/>
  <c r="AI7" i="42"/>
  <c r="AI6" i="42"/>
  <c r="AI5" i="42"/>
  <c r="AY11" i="44"/>
  <c r="AY10" i="44"/>
  <c r="AX10" i="44"/>
  <c r="AY9" i="44"/>
  <c r="AX11" i="44"/>
  <c r="AX9" i="44"/>
  <c r="AV11" i="44"/>
  <c r="AU11" i="44"/>
  <c r="AV10" i="44"/>
  <c r="AU10" i="44"/>
  <c r="AV9" i="44"/>
  <c r="AU9" i="44"/>
  <c r="AY7" i="44"/>
  <c r="AZ7" i="44"/>
  <c r="AX6" i="44"/>
  <c r="AV7" i="44"/>
  <c r="AY6" i="44"/>
  <c r="AV6" i="44"/>
  <c r="AW6" i="44"/>
  <c r="AY4" i="44"/>
  <c r="AX4" i="44"/>
  <c r="AV4" i="44"/>
  <c r="AU4" i="44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H13" i="40"/>
  <c r="G13" i="40"/>
  <c r="N13" i="40"/>
  <c r="O14" i="40" s="1"/>
  <c r="H173" i="16"/>
  <c r="F173" i="16"/>
  <c r="I173" i="16" s="1"/>
  <c r="J173" i="16" s="1"/>
  <c r="E173" i="16"/>
  <c r="F431" i="46" l="1"/>
  <c r="A433" i="46"/>
  <c r="D432" i="46"/>
  <c r="B432" i="46"/>
  <c r="C432" i="46" s="1"/>
  <c r="E432" i="46"/>
  <c r="AZ4" i="44"/>
  <c r="BD5" i="44"/>
  <c r="BD6" i="44" s="1"/>
  <c r="BC5" i="44"/>
  <c r="BF5" i="44"/>
  <c r="BF6" i="44" s="1"/>
  <c r="BG5" i="44"/>
  <c r="BG6" i="44" s="1"/>
  <c r="BE5" i="44"/>
  <c r="BE6" i="44" s="1"/>
  <c r="AZ9" i="44"/>
  <c r="BD12" i="44"/>
  <c r="BD13" i="44" s="1"/>
  <c r="BF12" i="44"/>
  <c r="BF13" i="44" s="1"/>
  <c r="BE12" i="44"/>
  <c r="BE13" i="44" s="1"/>
  <c r="BG12" i="44"/>
  <c r="BG13" i="44" s="1"/>
  <c r="AZ11" i="44"/>
  <c r="AZ6" i="44"/>
  <c r="BG7" i="44"/>
  <c r="BG8" i="44" s="1"/>
  <c r="BF7" i="44"/>
  <c r="BF8" i="44" s="1"/>
  <c r="BE7" i="44"/>
  <c r="BE8" i="44" s="1"/>
  <c r="BD7" i="44"/>
  <c r="BD8" i="44" s="1"/>
  <c r="BC7" i="44"/>
  <c r="AZ10" i="44"/>
  <c r="BF15" i="44"/>
  <c r="BF16" i="44" s="1"/>
  <c r="BG15" i="44"/>
  <c r="BG16" i="44" s="1"/>
  <c r="BE15" i="44"/>
  <c r="BE16" i="44" s="1"/>
  <c r="BD15" i="44"/>
  <c r="BD16" i="44" s="1"/>
  <c r="D96" i="46"/>
  <c r="A97" i="46"/>
  <c r="AW11" i="44"/>
  <c r="AW7" i="44"/>
  <c r="AW4" i="44"/>
  <c r="AW9" i="44"/>
  <c r="AW10" i="44"/>
  <c r="BC9" i="44"/>
  <c r="BC10" i="44" s="1"/>
  <c r="BC4" i="44"/>
  <c r="BC14" i="44"/>
  <c r="BC15" i="44" s="1"/>
  <c r="BC20" i="44"/>
  <c r="BC21" i="44"/>
  <c r="BC22" i="44" s="1"/>
  <c r="AZ17" i="41"/>
  <c r="AZ9" i="41"/>
  <c r="I14" i="40"/>
  <c r="BC23" i="44"/>
  <c r="AZ14" i="41"/>
  <c r="H172" i="16"/>
  <c r="F172" i="16"/>
  <c r="I172" i="16" s="1"/>
  <c r="J172" i="16" s="1"/>
  <c r="BC12" i="44" l="1"/>
  <c r="BC13" i="44" s="1"/>
  <c r="F432" i="46"/>
  <c r="E433" i="46"/>
  <c r="D433" i="46"/>
  <c r="B433" i="46"/>
  <c r="C433" i="46" s="1"/>
  <c r="A434" i="46"/>
  <c r="D97" i="46"/>
  <c r="A98" i="46"/>
  <c r="BH17" i="44"/>
  <c r="BH5" i="44"/>
  <c r="BH14" i="44"/>
  <c r="BH9" i="44"/>
  <c r="BH4" i="44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H12" i="40"/>
  <c r="G12" i="40"/>
  <c r="H171" i="16"/>
  <c r="F171" i="16"/>
  <c r="I171" i="16" s="1"/>
  <c r="J171" i="16" s="1"/>
  <c r="E171" i="16"/>
  <c r="AA4" i="42"/>
  <c r="Z4" i="42"/>
  <c r="Y4" i="42"/>
  <c r="X4" i="42"/>
  <c r="F433" i="46" l="1"/>
  <c r="A435" i="46"/>
  <c r="D434" i="46"/>
  <c r="B434" i="46"/>
  <c r="C434" i="46" s="1"/>
  <c r="E434" i="46"/>
  <c r="D98" i="46"/>
  <c r="A99" i="46"/>
  <c r="BH15" i="44"/>
  <c r="BC16" i="44"/>
  <c r="BH16" i="44" s="1"/>
  <c r="N12" i="40"/>
  <c r="I13" i="40"/>
  <c r="BH7" i="44"/>
  <c r="BH10" i="44"/>
  <c r="BC6" i="44"/>
  <c r="BH6" i="44" s="1"/>
  <c r="BH13" i="44"/>
  <c r="BH12" i="44"/>
  <c r="BC11" i="44"/>
  <c r="BC8" i="44"/>
  <c r="BH8" i="44" s="1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F434" i="46" l="1"/>
  <c r="E435" i="46"/>
  <c r="D435" i="46"/>
  <c r="B435" i="46"/>
  <c r="C435" i="46" s="1"/>
  <c r="A436" i="46"/>
  <c r="D99" i="46"/>
  <c r="A100" i="46"/>
  <c r="O13" i="40"/>
  <c r="BH11" i="44"/>
  <c r="AI4" i="42"/>
  <c r="AD6" i="42"/>
  <c r="AD12" i="42"/>
  <c r="AD9" i="42"/>
  <c r="AH6" i="42"/>
  <c r="AH12" i="42"/>
  <c r="H170" i="16"/>
  <c r="F170" i="16"/>
  <c r="I170" i="16" s="1"/>
  <c r="J170" i="16" s="1"/>
  <c r="E170" i="16"/>
  <c r="H11" i="40"/>
  <c r="G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F435" i="46" l="1"/>
  <c r="A437" i="46"/>
  <c r="D436" i="46"/>
  <c r="E436" i="46"/>
  <c r="B436" i="46"/>
  <c r="C436" i="46" s="1"/>
  <c r="D100" i="46"/>
  <c r="A101" i="46"/>
  <c r="N11" i="40"/>
  <c r="I12" i="40"/>
  <c r="AP11" i="41"/>
  <c r="AP6" i="41"/>
  <c r="F436" i="46" l="1"/>
  <c r="E437" i="46"/>
  <c r="D437" i="46"/>
  <c r="B437" i="46"/>
  <c r="C437" i="46" s="1"/>
  <c r="A438" i="46"/>
  <c r="D101" i="46"/>
  <c r="A102" i="46"/>
  <c r="O12" i="40"/>
  <c r="AU19" i="41"/>
  <c r="AR6" i="41"/>
  <c r="AR11" i="41"/>
  <c r="AP8" i="41"/>
  <c r="F54" i="9"/>
  <c r="AO5" i="41"/>
  <c r="AO4" i="41"/>
  <c r="AP10" i="41"/>
  <c r="AP9" i="41"/>
  <c r="AP5" i="41"/>
  <c r="H10" i="40"/>
  <c r="G10" i="40"/>
  <c r="I11" i="40"/>
  <c r="N10" i="40"/>
  <c r="O11" i="40" s="1"/>
  <c r="H169" i="16"/>
  <c r="F169" i="16"/>
  <c r="I169" i="16" s="1"/>
  <c r="J169" i="16" s="1"/>
  <c r="E169" i="16"/>
  <c r="F437" i="46" l="1"/>
  <c r="A439" i="46"/>
  <c r="D438" i="46"/>
  <c r="E438" i="46"/>
  <c r="B438" i="46"/>
  <c r="C438" i="46" s="1"/>
  <c r="D102" i="46"/>
  <c r="A103" i="46"/>
  <c r="AP4" i="4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H9" i="40"/>
  <c r="G9" i="40"/>
  <c r="N9" i="40"/>
  <c r="O10" i="40" s="1"/>
  <c r="H168" i="16"/>
  <c r="F168" i="16"/>
  <c r="E168" i="16"/>
  <c r="F438" i="46" l="1"/>
  <c r="E439" i="46"/>
  <c r="D439" i="46"/>
  <c r="B439" i="46"/>
  <c r="C439" i="46" s="1"/>
  <c r="A440" i="46"/>
  <c r="I168" i="16"/>
  <c r="J168" i="16" s="1"/>
  <c r="D103" i="46"/>
  <c r="A104" i="46"/>
  <c r="I10" i="40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H8" i="40"/>
  <c r="G8" i="40"/>
  <c r="N8" i="40"/>
  <c r="O9" i="40" s="1"/>
  <c r="H167" i="16"/>
  <c r="F167" i="16"/>
  <c r="I167" i="16" s="1"/>
  <c r="J167" i="16" s="1"/>
  <c r="E167" i="16"/>
  <c r="F439" i="46" l="1"/>
  <c r="A441" i="46"/>
  <c r="D440" i="46"/>
  <c r="E440" i="46"/>
  <c r="B440" i="46"/>
  <c r="C440" i="46" s="1"/>
  <c r="D104" i="46"/>
  <c r="A105" i="46"/>
  <c r="I9" i="40"/>
  <c r="AZ5" i="41"/>
  <c r="AU6" i="41"/>
  <c r="AZ6" i="41" s="1"/>
  <c r="AZ13" i="41"/>
  <c r="AZ11" i="41"/>
  <c r="H7" i="40"/>
  <c r="G7" i="40"/>
  <c r="I8" i="40"/>
  <c r="H166" i="16"/>
  <c r="F166" i="16"/>
  <c r="I166" i="16" s="1"/>
  <c r="J166" i="16" s="1"/>
  <c r="E166" i="16"/>
  <c r="F440" i="46" l="1"/>
  <c r="E441" i="46"/>
  <c r="D441" i="46"/>
  <c r="B441" i="46"/>
  <c r="C441" i="46" s="1"/>
  <c r="A442" i="46"/>
  <c r="D105" i="46"/>
  <c r="A106" i="46"/>
  <c r="N7" i="40"/>
  <c r="H6" i="40"/>
  <c r="G6" i="40"/>
  <c r="N6" i="40"/>
  <c r="H165" i="16"/>
  <c r="F165" i="16"/>
  <c r="I165" i="16" s="1"/>
  <c r="J165" i="16" s="1"/>
  <c r="E165" i="16"/>
  <c r="F441" i="46" l="1"/>
  <c r="A443" i="46"/>
  <c r="D442" i="46"/>
  <c r="E442" i="46"/>
  <c r="B442" i="46"/>
  <c r="C442" i="46" s="1"/>
  <c r="D106" i="46"/>
  <c r="A107" i="46"/>
  <c r="O8" i="40"/>
  <c r="O7" i="40"/>
  <c r="I7" i="40"/>
  <c r="H5" i="40"/>
  <c r="G5" i="40"/>
  <c r="N5" i="40"/>
  <c r="O6" i="40" s="1"/>
  <c r="H164" i="16"/>
  <c r="F164" i="16"/>
  <c r="E164" i="16"/>
  <c r="F442" i="46" l="1"/>
  <c r="E443" i="46"/>
  <c r="D443" i="46"/>
  <c r="B443" i="46"/>
  <c r="C443" i="46" s="1"/>
  <c r="A444" i="46"/>
  <c r="I164" i="16"/>
  <c r="J164" i="16" s="1"/>
  <c r="D107" i="46"/>
  <c r="A108" i="46"/>
  <c r="I6" i="40"/>
  <c r="F443" i="46" l="1"/>
  <c r="A445" i="46"/>
  <c r="D444" i="46"/>
  <c r="B444" i="46"/>
  <c r="C444" i="46" s="1"/>
  <c r="E444" i="46"/>
  <c r="D108" i="46"/>
  <c r="A109" i="46"/>
  <c r="H4" i="40"/>
  <c r="G4" i="40"/>
  <c r="H163" i="16"/>
  <c r="F163" i="16"/>
  <c r="I163" i="16" s="1"/>
  <c r="J163" i="16" s="1"/>
  <c r="E163" i="16"/>
  <c r="F444" i="46" l="1"/>
  <c r="E445" i="46"/>
  <c r="D445" i="46"/>
  <c r="B445" i="46"/>
  <c r="C445" i="46" s="1"/>
  <c r="A446" i="46"/>
  <c r="D109" i="46"/>
  <c r="A110" i="46"/>
  <c r="N4" i="40"/>
  <c r="I5" i="40"/>
  <c r="H3" i="40"/>
  <c r="G3" i="40"/>
  <c r="N3" i="40"/>
  <c r="F445" i="46" l="1"/>
  <c r="A447" i="46"/>
  <c r="D446" i="46"/>
  <c r="E446" i="46"/>
  <c r="B446" i="46"/>
  <c r="C446" i="46" s="1"/>
  <c r="D110" i="46"/>
  <c r="A111" i="46"/>
  <c r="I4" i="40"/>
  <c r="O4" i="40"/>
  <c r="O5" i="40"/>
  <c r="I3" i="40"/>
  <c r="J146" i="40" l="1"/>
  <c r="J188" i="40"/>
  <c r="J189" i="40"/>
  <c r="J187" i="40"/>
  <c r="J186" i="40"/>
  <c r="J185" i="40"/>
  <c r="J184" i="40"/>
  <c r="J176" i="40"/>
  <c r="J181" i="40"/>
  <c r="J165" i="40"/>
  <c r="J182" i="40"/>
  <c r="J180" i="40"/>
  <c r="J169" i="40"/>
  <c r="J179" i="40"/>
  <c r="K179" i="40" s="1"/>
  <c r="D326" i="46" s="1"/>
  <c r="F326" i="46" s="1"/>
  <c r="J174" i="40"/>
  <c r="J183" i="40"/>
  <c r="J178" i="40"/>
  <c r="J168" i="40"/>
  <c r="J177" i="40"/>
  <c r="J175" i="40"/>
  <c r="J173" i="40"/>
  <c r="J171" i="40"/>
  <c r="J167" i="40"/>
  <c r="J166" i="40"/>
  <c r="J172" i="40"/>
  <c r="J170" i="40"/>
  <c r="J164" i="40"/>
  <c r="J162" i="40"/>
  <c r="J157" i="40"/>
  <c r="J159" i="40"/>
  <c r="J160" i="40"/>
  <c r="J161" i="40"/>
  <c r="J158" i="40"/>
  <c r="J152" i="40"/>
  <c r="J149" i="40"/>
  <c r="J163" i="40"/>
  <c r="J148" i="40"/>
  <c r="J147" i="40"/>
  <c r="J156" i="40"/>
  <c r="J155" i="40"/>
  <c r="J153" i="40"/>
  <c r="J154" i="40"/>
  <c r="J151" i="40"/>
  <c r="J150" i="40"/>
  <c r="F446" i="46"/>
  <c r="J144" i="40"/>
  <c r="J145" i="40"/>
  <c r="J142" i="40"/>
  <c r="J143" i="40"/>
  <c r="J140" i="40"/>
  <c r="J141" i="40"/>
  <c r="J138" i="40"/>
  <c r="J139" i="40"/>
  <c r="J136" i="40"/>
  <c r="J137" i="40"/>
  <c r="J134" i="40"/>
  <c r="J135" i="40"/>
  <c r="J132" i="40"/>
  <c r="J133" i="40"/>
  <c r="J130" i="40"/>
  <c r="J131" i="40"/>
  <c r="E447" i="46"/>
  <c r="D447" i="46"/>
  <c r="B447" i="46"/>
  <c r="C447" i="46" s="1"/>
  <c r="A448" i="46"/>
  <c r="J128" i="40"/>
  <c r="J129" i="40"/>
  <c r="J127" i="40"/>
  <c r="J126" i="40"/>
  <c r="J124" i="40"/>
  <c r="J122" i="40"/>
  <c r="J123" i="40"/>
  <c r="J121" i="40"/>
  <c r="J117" i="40"/>
  <c r="J119" i="40"/>
  <c r="J125" i="40"/>
  <c r="J116" i="40"/>
  <c r="J118" i="40"/>
  <c r="J120" i="40"/>
  <c r="J115" i="40"/>
  <c r="J114" i="40"/>
  <c r="J112" i="40"/>
  <c r="K146" i="40" s="1"/>
  <c r="J113" i="40"/>
  <c r="J111" i="40"/>
  <c r="J110" i="40"/>
  <c r="J109" i="40"/>
  <c r="J108" i="40"/>
  <c r="J106" i="40"/>
  <c r="J107" i="40"/>
  <c r="J104" i="40"/>
  <c r="J105" i="40"/>
  <c r="J103" i="40"/>
  <c r="J102" i="40"/>
  <c r="J101" i="40"/>
  <c r="J99" i="40"/>
  <c r="J100" i="40"/>
  <c r="J98" i="40"/>
  <c r="J97" i="40"/>
  <c r="J96" i="40"/>
  <c r="J94" i="40"/>
  <c r="J95" i="40"/>
  <c r="J93" i="40"/>
  <c r="J92" i="40"/>
  <c r="J91" i="40"/>
  <c r="J90" i="40"/>
  <c r="J89" i="40"/>
  <c r="J87" i="40"/>
  <c r="J88" i="40"/>
  <c r="J86" i="40"/>
  <c r="J85" i="40"/>
  <c r="J84" i="40"/>
  <c r="J83" i="40"/>
  <c r="J82" i="40"/>
  <c r="J81" i="40"/>
  <c r="J80" i="40"/>
  <c r="J79" i="40"/>
  <c r="J78" i="40"/>
  <c r="J76" i="40"/>
  <c r="J77" i="40"/>
  <c r="J74" i="40"/>
  <c r="J75" i="40"/>
  <c r="J73" i="40"/>
  <c r="J72" i="40"/>
  <c r="J71" i="40"/>
  <c r="J70" i="40"/>
  <c r="J68" i="40"/>
  <c r="J69" i="40"/>
  <c r="J67" i="40"/>
  <c r="J66" i="40"/>
  <c r="J65" i="40"/>
  <c r="J64" i="40"/>
  <c r="J63" i="40"/>
  <c r="J62" i="40"/>
  <c r="J61" i="40"/>
  <c r="J60" i="40"/>
  <c r="J59" i="40"/>
  <c r="J57" i="40"/>
  <c r="J58" i="40"/>
  <c r="J56" i="40"/>
  <c r="J55" i="40"/>
  <c r="J54" i="40"/>
  <c r="J52" i="40"/>
  <c r="J53" i="40"/>
  <c r="J51" i="40"/>
  <c r="J50" i="40"/>
  <c r="J49" i="40"/>
  <c r="J48" i="40"/>
  <c r="J46" i="40"/>
  <c r="J47" i="40"/>
  <c r="J45" i="40"/>
  <c r="J43" i="40"/>
  <c r="J44" i="40"/>
  <c r="J42" i="40"/>
  <c r="J41" i="40"/>
  <c r="J39" i="40"/>
  <c r="J40" i="40"/>
  <c r="J38" i="40"/>
  <c r="J37" i="40"/>
  <c r="J35" i="40"/>
  <c r="J36" i="40"/>
  <c r="J34" i="40"/>
  <c r="J33" i="40"/>
  <c r="J22" i="40"/>
  <c r="K22" i="40" s="1"/>
  <c r="J10" i="40"/>
  <c r="K10" i="40" s="1"/>
  <c r="J21" i="40"/>
  <c r="K21" i="40" s="1"/>
  <c r="J9" i="40"/>
  <c r="K9" i="40" s="1"/>
  <c r="J20" i="40"/>
  <c r="K20" i="40" s="1"/>
  <c r="J8" i="40"/>
  <c r="K8" i="40" s="1"/>
  <c r="J19" i="40"/>
  <c r="K19" i="40" s="1"/>
  <c r="J5" i="40"/>
  <c r="K5" i="40" s="1"/>
  <c r="J17" i="40"/>
  <c r="K17" i="40" s="1"/>
  <c r="J26" i="40"/>
  <c r="K26" i="40" s="1"/>
  <c r="J11" i="40"/>
  <c r="K11" i="40" s="1"/>
  <c r="J32" i="40"/>
  <c r="K32" i="40" s="1"/>
  <c r="J7" i="40"/>
  <c r="K7" i="40" s="1"/>
  <c r="J15" i="40"/>
  <c r="K15" i="40" s="1"/>
  <c r="J24" i="40"/>
  <c r="K24" i="40" s="1"/>
  <c r="J31" i="40"/>
  <c r="K31" i="40" s="1"/>
  <c r="J29" i="40"/>
  <c r="K29" i="40" s="1"/>
  <c r="J4" i="40"/>
  <c r="K4" i="40" s="1"/>
  <c r="J14" i="40"/>
  <c r="K14" i="40" s="1"/>
  <c r="J23" i="40"/>
  <c r="K23" i="40" s="1"/>
  <c r="J30" i="40"/>
  <c r="K30" i="40" s="1"/>
  <c r="J18" i="40"/>
  <c r="K18" i="40" s="1"/>
  <c r="J27" i="40"/>
  <c r="K27" i="40" s="1"/>
  <c r="J13" i="40"/>
  <c r="K13" i="40" s="1"/>
  <c r="J28" i="40"/>
  <c r="K28" i="40" s="1"/>
  <c r="J16" i="40"/>
  <c r="K16" i="40" s="1"/>
  <c r="J3" i="40"/>
  <c r="K3" i="40" s="1"/>
  <c r="J6" i="40"/>
  <c r="K6" i="40" s="1"/>
  <c r="J12" i="40"/>
  <c r="K12" i="40" s="1"/>
  <c r="J25" i="40"/>
  <c r="K25" i="40" s="1"/>
  <c r="D111" i="46"/>
  <c r="A112" i="46"/>
  <c r="N2" i="40"/>
  <c r="O3" i="40" s="1"/>
  <c r="E162" i="16"/>
  <c r="H162" i="16"/>
  <c r="F162" i="16"/>
  <c r="I162" i="16" s="1"/>
  <c r="J162" i="16" s="1"/>
  <c r="K163" i="40" l="1"/>
  <c r="K166" i="40"/>
  <c r="D315" i="46" s="1"/>
  <c r="F315" i="46" s="1"/>
  <c r="K180" i="40"/>
  <c r="D327" i="46" s="1"/>
  <c r="F327" i="46" s="1"/>
  <c r="K149" i="40"/>
  <c r="K167" i="40"/>
  <c r="D316" i="46" s="1"/>
  <c r="F316" i="46" s="1"/>
  <c r="K182" i="40"/>
  <c r="K152" i="40"/>
  <c r="K171" i="40"/>
  <c r="D319" i="46" s="1"/>
  <c r="F319" i="46" s="1"/>
  <c r="K165" i="40"/>
  <c r="D314" i="46" s="1"/>
  <c r="F314" i="46" s="1"/>
  <c r="K158" i="40"/>
  <c r="D305" i="46" s="1"/>
  <c r="F305" i="46" s="1"/>
  <c r="K173" i="40"/>
  <c r="D321" i="46" s="1"/>
  <c r="F321" i="46" s="1"/>
  <c r="K181" i="40"/>
  <c r="D328" i="46" s="1"/>
  <c r="F328" i="46" s="1"/>
  <c r="K150" i="40"/>
  <c r="K161" i="40"/>
  <c r="D309" i="46" s="1"/>
  <c r="F309" i="46" s="1"/>
  <c r="K175" i="40"/>
  <c r="D322" i="46" s="1"/>
  <c r="F322" i="46" s="1"/>
  <c r="K176" i="40"/>
  <c r="D323" i="46" s="1"/>
  <c r="F323" i="46" s="1"/>
  <c r="K151" i="40"/>
  <c r="K160" i="40"/>
  <c r="D308" i="46" s="1"/>
  <c r="F308" i="46" s="1"/>
  <c r="K177" i="40"/>
  <c r="D324" i="46" s="1"/>
  <c r="F324" i="46" s="1"/>
  <c r="K184" i="40"/>
  <c r="K154" i="40"/>
  <c r="K159" i="40"/>
  <c r="K168" i="40"/>
  <c r="D317" i="46" s="1"/>
  <c r="F317" i="46" s="1"/>
  <c r="K185" i="40"/>
  <c r="K153" i="40"/>
  <c r="K157" i="40"/>
  <c r="D304" i="46" s="1"/>
  <c r="F304" i="46" s="1"/>
  <c r="K178" i="40"/>
  <c r="D325" i="46" s="1"/>
  <c r="F325" i="46" s="1"/>
  <c r="K186" i="40"/>
  <c r="D336" i="46" s="1"/>
  <c r="F336" i="46" s="1"/>
  <c r="K155" i="40"/>
  <c r="D303" i="46" s="1"/>
  <c r="F303" i="46" s="1"/>
  <c r="K162" i="40"/>
  <c r="D310" i="46" s="1"/>
  <c r="F310" i="46" s="1"/>
  <c r="K183" i="40"/>
  <c r="D331" i="46" s="1"/>
  <c r="F331" i="46" s="1"/>
  <c r="K187" i="40"/>
  <c r="D337" i="46" s="1"/>
  <c r="F337" i="46" s="1"/>
  <c r="K156" i="40"/>
  <c r="K164" i="40"/>
  <c r="D313" i="46" s="1"/>
  <c r="F313" i="46" s="1"/>
  <c r="K174" i="40"/>
  <c r="K189" i="40"/>
  <c r="D339" i="46" s="1"/>
  <c r="F339" i="46" s="1"/>
  <c r="K147" i="40"/>
  <c r="K170" i="40"/>
  <c r="D318" i="46" s="1"/>
  <c r="F318" i="46" s="1"/>
  <c r="K188" i="40"/>
  <c r="D338" i="46" s="1"/>
  <c r="F338" i="46" s="1"/>
  <c r="K148" i="40"/>
  <c r="K172" i="40"/>
  <c r="D320" i="46" s="1"/>
  <c r="F320" i="46" s="1"/>
  <c r="K169" i="40"/>
  <c r="F447" i="46"/>
  <c r="K144" i="40"/>
  <c r="K145" i="40"/>
  <c r="K143" i="40"/>
  <c r="K132" i="40"/>
  <c r="K140" i="40"/>
  <c r="K142" i="40"/>
  <c r="K141" i="40"/>
  <c r="K138" i="40"/>
  <c r="K136" i="40"/>
  <c r="K139" i="40"/>
  <c r="K134" i="40"/>
  <c r="K137" i="40"/>
  <c r="K135" i="40"/>
  <c r="K130" i="40"/>
  <c r="K66" i="40"/>
  <c r="K133" i="40"/>
  <c r="K78" i="40"/>
  <c r="K52" i="40"/>
  <c r="K65" i="40"/>
  <c r="K131" i="40"/>
  <c r="K101" i="40"/>
  <c r="K40" i="40"/>
  <c r="K51" i="40"/>
  <c r="K63" i="40"/>
  <c r="K46" i="40"/>
  <c r="K49" i="40"/>
  <c r="K41" i="40"/>
  <c r="K112" i="40"/>
  <c r="K42" i="40"/>
  <c r="K90" i="40"/>
  <c r="K59" i="40"/>
  <c r="K83" i="40"/>
  <c r="K94" i="40"/>
  <c r="K106" i="40"/>
  <c r="K61" i="40"/>
  <c r="A449" i="46"/>
  <c r="D448" i="46"/>
  <c r="E448" i="46"/>
  <c r="B448" i="46"/>
  <c r="C448" i="46" s="1"/>
  <c r="K125" i="40"/>
  <c r="K97" i="40"/>
  <c r="K109" i="40"/>
  <c r="K74" i="40"/>
  <c r="K88" i="40"/>
  <c r="K100" i="40"/>
  <c r="K111" i="40"/>
  <c r="K102" i="40"/>
  <c r="K114" i="40"/>
  <c r="K126" i="40"/>
  <c r="K44" i="40"/>
  <c r="K67" i="40"/>
  <c r="K43" i="40"/>
  <c r="K105" i="40"/>
  <c r="K129" i="40"/>
  <c r="K54" i="40"/>
  <c r="K80" i="40"/>
  <c r="K34" i="40"/>
  <c r="K47" i="40"/>
  <c r="K57" i="40"/>
  <c r="K70" i="40"/>
  <c r="K82" i="40"/>
  <c r="K95" i="40"/>
  <c r="K107" i="40"/>
  <c r="K116" i="40"/>
  <c r="K35" i="40"/>
  <c r="K48" i="40"/>
  <c r="K60" i="40"/>
  <c r="K72" i="40"/>
  <c r="K84" i="40"/>
  <c r="K96" i="40"/>
  <c r="K108" i="40"/>
  <c r="K119" i="40"/>
  <c r="K36" i="40"/>
  <c r="K71" i="40"/>
  <c r="K85" i="40"/>
  <c r="K117" i="40"/>
  <c r="K37" i="40"/>
  <c r="K73" i="40"/>
  <c r="K38" i="40"/>
  <c r="K50" i="40"/>
  <c r="K62" i="40"/>
  <c r="K75" i="40"/>
  <c r="K86" i="40"/>
  <c r="K98" i="40"/>
  <c r="K110" i="40"/>
  <c r="K121" i="40"/>
  <c r="K123" i="40"/>
  <c r="K39" i="40"/>
  <c r="K53" i="40"/>
  <c r="K64" i="40"/>
  <c r="K77" i="40"/>
  <c r="K87" i="40"/>
  <c r="K99" i="40"/>
  <c r="K113" i="40"/>
  <c r="K122" i="40"/>
  <c r="K76" i="40"/>
  <c r="K89" i="40"/>
  <c r="K124" i="40"/>
  <c r="K55" i="40"/>
  <c r="K79" i="40"/>
  <c r="K91" i="40"/>
  <c r="K103" i="40"/>
  <c r="K115" i="40"/>
  <c r="K127" i="40"/>
  <c r="K120" i="40"/>
  <c r="K56" i="40"/>
  <c r="K69" i="40"/>
  <c r="K92" i="40"/>
  <c r="K33" i="40"/>
  <c r="K45" i="40"/>
  <c r="K58" i="40"/>
  <c r="K68" i="40"/>
  <c r="K81" i="40"/>
  <c r="K93" i="40"/>
  <c r="K104" i="40"/>
  <c r="K118" i="40"/>
  <c r="K128" i="40"/>
  <c r="D112" i="46"/>
  <c r="A113" i="46"/>
  <c r="H161" i="16"/>
  <c r="F161" i="16"/>
  <c r="I161" i="16" s="1"/>
  <c r="J161" i="16" s="1"/>
  <c r="E161" i="16"/>
  <c r="D334" i="46" l="1"/>
  <c r="F334" i="46" s="1"/>
  <c r="D335" i="46"/>
  <c r="F335" i="46" s="1"/>
  <c r="D306" i="46"/>
  <c r="F306" i="46" s="1"/>
  <c r="D307" i="46"/>
  <c r="F307" i="46" s="1"/>
  <c r="D332" i="46"/>
  <c r="F332" i="46" s="1"/>
  <c r="D333" i="46"/>
  <c r="F333" i="46" s="1"/>
  <c r="D329" i="46"/>
  <c r="F329" i="46" s="1"/>
  <c r="D330" i="46"/>
  <c r="F330" i="46" s="1"/>
  <c r="D311" i="46"/>
  <c r="F311" i="46" s="1"/>
  <c r="D312" i="46"/>
  <c r="F312" i="46" s="1"/>
  <c r="F448" i="46"/>
  <c r="E449" i="46"/>
  <c r="D449" i="46"/>
  <c r="B449" i="46"/>
  <c r="C449" i="46" s="1"/>
  <c r="A450" i="46"/>
  <c r="D113" i="46"/>
  <c r="A114" i="46"/>
  <c r="H160" i="16"/>
  <c r="F160" i="16"/>
  <c r="I160" i="16" s="1"/>
  <c r="J160" i="16" s="1"/>
  <c r="E160" i="16"/>
  <c r="H159" i="16"/>
  <c r="F159" i="16"/>
  <c r="I159" i="16" s="1"/>
  <c r="J159" i="16" s="1"/>
  <c r="E159" i="16"/>
  <c r="F449" i="46" l="1"/>
  <c r="A451" i="46"/>
  <c r="D450" i="46"/>
  <c r="E450" i="46"/>
  <c r="B450" i="46"/>
  <c r="C450" i="46" s="1"/>
  <c r="D114" i="46"/>
  <c r="A115" i="46"/>
  <c r="H158" i="16"/>
  <c r="F158" i="16"/>
  <c r="I158" i="16" s="1"/>
  <c r="J158" i="16" s="1"/>
  <c r="E158" i="16"/>
  <c r="F450" i="46" l="1"/>
  <c r="E451" i="46"/>
  <c r="D451" i="46"/>
  <c r="B451" i="46"/>
  <c r="C451" i="46" s="1"/>
  <c r="A452" i="46"/>
  <c r="D115" i="46"/>
  <c r="A116" i="46"/>
  <c r="H157" i="16"/>
  <c r="F157" i="16"/>
  <c r="I157" i="16" s="1"/>
  <c r="J157" i="16" s="1"/>
  <c r="E157" i="16"/>
  <c r="I25" i="18"/>
  <c r="J25" i="18"/>
  <c r="K25" i="18" s="1"/>
  <c r="F451" i="46" l="1"/>
  <c r="A453" i="46"/>
  <c r="D452" i="46"/>
  <c r="E452" i="46"/>
  <c r="B452" i="46"/>
  <c r="C452" i="46" s="1"/>
  <c r="D116" i="46"/>
  <c r="A117" i="46"/>
  <c r="H156" i="16"/>
  <c r="F156" i="16"/>
  <c r="E156" i="16"/>
  <c r="F452" i="46" l="1"/>
  <c r="E453" i="46"/>
  <c r="D453" i="46"/>
  <c r="B453" i="46"/>
  <c r="C453" i="46" s="1"/>
  <c r="A454" i="46"/>
  <c r="D117" i="46"/>
  <c r="A118" i="46"/>
  <c r="I156" i="16"/>
  <c r="J156" i="16" s="1"/>
  <c r="H155" i="16"/>
  <c r="F155" i="16"/>
  <c r="I155" i="16" s="1"/>
  <c r="J155" i="16" s="1"/>
  <c r="E155" i="16"/>
  <c r="F453" i="46" l="1"/>
  <c r="A455" i="46"/>
  <c r="D454" i="46"/>
  <c r="E454" i="46"/>
  <c r="B454" i="46"/>
  <c r="C454" i="46" s="1"/>
  <c r="D118" i="46"/>
  <c r="A119" i="46"/>
  <c r="H154" i="16"/>
  <c r="F154" i="16"/>
  <c r="I154" i="16" s="1"/>
  <c r="J154" i="16" s="1"/>
  <c r="E154" i="16"/>
  <c r="F454" i="46" l="1"/>
  <c r="E455" i="46"/>
  <c r="D455" i="46"/>
  <c r="B455" i="46"/>
  <c r="C455" i="46" s="1"/>
  <c r="A456" i="46"/>
  <c r="D119" i="46"/>
  <c r="A120" i="46"/>
  <c r="H153" i="16"/>
  <c r="F153" i="16"/>
  <c r="I153" i="16" s="1"/>
  <c r="J153" i="16" s="1"/>
  <c r="E153" i="16"/>
  <c r="F455" i="46" l="1"/>
  <c r="A457" i="46"/>
  <c r="D456" i="46"/>
  <c r="E456" i="46"/>
  <c r="B456" i="46"/>
  <c r="C456" i="46" s="1"/>
  <c r="D120" i="46"/>
  <c r="A121" i="46"/>
  <c r="H152" i="16"/>
  <c r="F152" i="16"/>
  <c r="I152" i="16" s="1"/>
  <c r="J152" i="16" s="1"/>
  <c r="E152" i="16"/>
  <c r="H151" i="16"/>
  <c r="F151" i="16"/>
  <c r="I151" i="16" s="1"/>
  <c r="J151" i="16" s="1"/>
  <c r="E151" i="16"/>
  <c r="F456" i="46" l="1"/>
  <c r="E457" i="46"/>
  <c r="D457" i="46"/>
  <c r="B457" i="46"/>
  <c r="C457" i="46" s="1"/>
  <c r="A458" i="46"/>
  <c r="D121" i="46"/>
  <c r="A122" i="46"/>
  <c r="H150" i="16"/>
  <c r="F150" i="16"/>
  <c r="I150" i="16" s="1"/>
  <c r="J150" i="16" s="1"/>
  <c r="E150" i="16"/>
  <c r="F457" i="46" l="1"/>
  <c r="A459" i="46"/>
  <c r="D458" i="46"/>
  <c r="E458" i="46"/>
  <c r="B458" i="46"/>
  <c r="C458" i="46" s="1"/>
  <c r="D122" i="46"/>
  <c r="A123" i="46"/>
  <c r="H149" i="16"/>
  <c r="F149" i="16"/>
  <c r="I149" i="16" s="1"/>
  <c r="J149" i="16" s="1"/>
  <c r="E149" i="16"/>
  <c r="F458" i="46" l="1"/>
  <c r="E459" i="46"/>
  <c r="D459" i="46"/>
  <c r="B459" i="46"/>
  <c r="C459" i="46" s="1"/>
  <c r="A460" i="46"/>
  <c r="D123" i="46"/>
  <c r="A124" i="46"/>
  <c r="H148" i="16"/>
  <c r="F148" i="16"/>
  <c r="I148" i="16" s="1"/>
  <c r="J148" i="16" s="1"/>
  <c r="E148" i="16"/>
  <c r="F459" i="46" l="1"/>
  <c r="A461" i="46"/>
  <c r="D460" i="46"/>
  <c r="E460" i="46"/>
  <c r="B460" i="46"/>
  <c r="C460" i="46" s="1"/>
  <c r="D124" i="46"/>
  <c r="A125" i="46"/>
  <c r="H147" i="16"/>
  <c r="F147" i="16"/>
  <c r="I147" i="16" s="1"/>
  <c r="J147" i="16" s="1"/>
  <c r="E147" i="16"/>
  <c r="F460" i="46" l="1"/>
  <c r="E461" i="46"/>
  <c r="D461" i="46"/>
  <c r="B461" i="46"/>
  <c r="C461" i="46" s="1"/>
  <c r="A462" i="46"/>
  <c r="D125" i="46"/>
  <c r="A126" i="46"/>
  <c r="M5" i="13"/>
  <c r="M4" i="13"/>
  <c r="M3" i="13"/>
  <c r="M2" i="13"/>
  <c r="F461" i="46" l="1"/>
  <c r="A463" i="46"/>
  <c r="D462" i="46"/>
  <c r="E462" i="46"/>
  <c r="B462" i="46"/>
  <c r="C462" i="46" s="1"/>
  <c r="D126" i="46"/>
  <c r="A127" i="46"/>
  <c r="H146" i="16"/>
  <c r="F146" i="16"/>
  <c r="E146" i="16"/>
  <c r="F462" i="46" l="1"/>
  <c r="E463" i="46"/>
  <c r="D463" i="46"/>
  <c r="B463" i="46"/>
  <c r="C463" i="46" s="1"/>
  <c r="A464" i="46"/>
  <c r="D127" i="46"/>
  <c r="A128" i="46"/>
  <c r="I146" i="16"/>
  <c r="J146" i="16" s="1"/>
  <c r="I24" i="18"/>
  <c r="J24" i="18"/>
  <c r="K24" i="18" s="1"/>
  <c r="F463" i="46" l="1"/>
  <c r="A465" i="46"/>
  <c r="D464" i="46"/>
  <c r="E464" i="46"/>
  <c r="B464" i="46"/>
  <c r="C464" i="46" s="1"/>
  <c r="D128" i="46"/>
  <c r="A129" i="46"/>
  <c r="H145" i="16"/>
  <c r="F145" i="16"/>
  <c r="F464" i="46" l="1"/>
  <c r="E465" i="46"/>
  <c r="D465" i="46"/>
  <c r="B465" i="46"/>
  <c r="C465" i="46" s="1"/>
  <c r="A466" i="46"/>
  <c r="D129" i="46"/>
  <c r="A130" i="46"/>
  <c r="I145" i="16"/>
  <c r="J145" i="16" s="1"/>
  <c r="E145" i="16"/>
  <c r="F465" i="46" l="1"/>
  <c r="A467" i="46"/>
  <c r="D466" i="46"/>
  <c r="E466" i="46"/>
  <c r="B466" i="46"/>
  <c r="C466" i="46" s="1"/>
  <c r="D130" i="46"/>
  <c r="A131" i="46"/>
  <c r="H144" i="16"/>
  <c r="F144" i="16"/>
  <c r="E144" i="16"/>
  <c r="F466" i="46" l="1"/>
  <c r="E467" i="46"/>
  <c r="D467" i="46"/>
  <c r="B467" i="46"/>
  <c r="C467" i="46" s="1"/>
  <c r="A468" i="46"/>
  <c r="D131" i="46"/>
  <c r="A132" i="46"/>
  <c r="I144" i="16"/>
  <c r="J144" i="16" s="1"/>
  <c r="H143" i="16"/>
  <c r="F143" i="16"/>
  <c r="I143" i="16" s="1"/>
  <c r="J143" i="16" s="1"/>
  <c r="E143" i="16"/>
  <c r="F467" i="46" l="1"/>
  <c r="A469" i="46"/>
  <c r="D468" i="46"/>
  <c r="E468" i="46"/>
  <c r="B468" i="46"/>
  <c r="C468" i="46" s="1"/>
  <c r="D132" i="46"/>
  <c r="A133" i="46"/>
  <c r="H142" i="16"/>
  <c r="F142" i="16"/>
  <c r="E142" i="16"/>
  <c r="F468" i="46" l="1"/>
  <c r="E469" i="46"/>
  <c r="D469" i="46"/>
  <c r="B469" i="46"/>
  <c r="C469" i="46" s="1"/>
  <c r="A470" i="46"/>
  <c r="D133" i="46"/>
  <c r="A134" i="46"/>
  <c r="I142" i="16"/>
  <c r="J142" i="16" s="1"/>
  <c r="H141" i="16"/>
  <c r="F141" i="16"/>
  <c r="I141" i="16" s="1"/>
  <c r="J141" i="16" s="1"/>
  <c r="E141" i="16"/>
  <c r="F469" i="46" l="1"/>
  <c r="A471" i="46"/>
  <c r="D470" i="46"/>
  <c r="E470" i="46"/>
  <c r="B470" i="46"/>
  <c r="C470" i="46" s="1"/>
  <c r="D134" i="46"/>
  <c r="A135" i="46"/>
  <c r="H140" i="16"/>
  <c r="F140" i="16"/>
  <c r="I140" i="16" s="1"/>
  <c r="J140" i="16" s="1"/>
  <c r="E140" i="16"/>
  <c r="F470" i="46" l="1"/>
  <c r="E471" i="46"/>
  <c r="D471" i="46"/>
  <c r="B471" i="46"/>
  <c r="C471" i="46" s="1"/>
  <c r="A472" i="46"/>
  <c r="D135" i="46"/>
  <c r="A136" i="46"/>
  <c r="H139" i="16"/>
  <c r="F139" i="16"/>
  <c r="I139" i="16" s="1"/>
  <c r="J139" i="16" s="1"/>
  <c r="E139" i="16"/>
  <c r="F471" i="46" l="1"/>
  <c r="A473" i="46"/>
  <c r="D472" i="46"/>
  <c r="E472" i="46"/>
  <c r="B472" i="46"/>
  <c r="C472" i="46" s="1"/>
  <c r="D136" i="46"/>
  <c r="A137" i="46"/>
  <c r="E138" i="16"/>
  <c r="H138" i="16"/>
  <c r="F138" i="16"/>
  <c r="F472" i="46" l="1"/>
  <c r="E473" i="46"/>
  <c r="D473" i="46"/>
  <c r="B473" i="46"/>
  <c r="C473" i="46" s="1"/>
  <c r="A474" i="46"/>
  <c r="D137" i="46"/>
  <c r="A138" i="46"/>
  <c r="I138" i="16"/>
  <c r="J138" i="16" s="1"/>
  <c r="H137" i="16"/>
  <c r="F137" i="16"/>
  <c r="E137" i="16"/>
  <c r="F473" i="46" l="1"/>
  <c r="A475" i="46"/>
  <c r="D474" i="46"/>
  <c r="B474" i="46"/>
  <c r="C474" i="46" s="1"/>
  <c r="E474" i="46"/>
  <c r="D138" i="46"/>
  <c r="A139" i="46"/>
  <c r="I137" i="16"/>
  <c r="J137" i="16" s="1"/>
  <c r="H136" i="16"/>
  <c r="F136" i="16"/>
  <c r="I136" i="16" s="1"/>
  <c r="J136" i="16" s="1"/>
  <c r="E136" i="16"/>
  <c r="F474" i="46" l="1"/>
  <c r="E475" i="46"/>
  <c r="D475" i="46"/>
  <c r="B475" i="46"/>
  <c r="C475" i="46" s="1"/>
  <c r="A476" i="46"/>
  <c r="D139" i="46"/>
  <c r="A140" i="46"/>
  <c r="H135" i="16"/>
  <c r="F135" i="16"/>
  <c r="I135" i="16" s="1"/>
  <c r="J135" i="16" s="1"/>
  <c r="E135" i="16"/>
  <c r="H134" i="16"/>
  <c r="F134" i="16"/>
  <c r="I134" i="16" s="1"/>
  <c r="J134" i="16" s="1"/>
  <c r="E134" i="16"/>
  <c r="F475" i="46" l="1"/>
  <c r="A477" i="46"/>
  <c r="D476" i="46"/>
  <c r="E476" i="46"/>
  <c r="B476" i="46"/>
  <c r="C476" i="46" s="1"/>
  <c r="D140" i="46"/>
  <c r="A141" i="46"/>
  <c r="I23" i="18"/>
  <c r="J23" i="18"/>
  <c r="K23" i="18" s="1"/>
  <c r="F476" i="46" l="1"/>
  <c r="E477" i="46"/>
  <c r="D477" i="46"/>
  <c r="B477" i="46"/>
  <c r="C477" i="46" s="1"/>
  <c r="A478" i="46"/>
  <c r="D141" i="46"/>
  <c r="A142" i="46"/>
  <c r="H133" i="16"/>
  <c r="F133" i="16"/>
  <c r="E133" i="16"/>
  <c r="F477" i="46" l="1"/>
  <c r="A479" i="46"/>
  <c r="D478" i="46"/>
  <c r="E478" i="46"/>
  <c r="B478" i="46"/>
  <c r="C478" i="46" s="1"/>
  <c r="D142" i="46"/>
  <c r="A143" i="46"/>
  <c r="I133" i="16"/>
  <c r="J133" i="16" s="1"/>
  <c r="F478" i="46" l="1"/>
  <c r="E479" i="46"/>
  <c r="D479" i="46"/>
  <c r="B479" i="46"/>
  <c r="C479" i="46" s="1"/>
  <c r="A480" i="46"/>
  <c r="D143" i="46"/>
  <c r="A144" i="46"/>
  <c r="H132" i="16"/>
  <c r="F132" i="16"/>
  <c r="I132" i="16" s="1"/>
  <c r="J132" i="16" s="1"/>
  <c r="E132" i="16"/>
  <c r="F479" i="46" l="1"/>
  <c r="A481" i="46"/>
  <c r="D480" i="46"/>
  <c r="E480" i="46"/>
  <c r="B480" i="46"/>
  <c r="C480" i="46" s="1"/>
  <c r="D144" i="46"/>
  <c r="A145" i="46"/>
  <c r="H131" i="16"/>
  <c r="F131" i="16"/>
  <c r="I131" i="16" s="1"/>
  <c r="J131" i="16" s="1"/>
  <c r="E131" i="16"/>
  <c r="F480" i="46" l="1"/>
  <c r="E481" i="46"/>
  <c r="D481" i="46"/>
  <c r="B481" i="46"/>
  <c r="C481" i="46" s="1"/>
  <c r="A482" i="46"/>
  <c r="D145" i="46"/>
  <c r="A146" i="46"/>
  <c r="H130" i="16"/>
  <c r="F130" i="16"/>
  <c r="I130" i="16" s="1"/>
  <c r="J130" i="16" s="1"/>
  <c r="E130" i="16"/>
  <c r="F481" i="46" l="1"/>
  <c r="A483" i="46"/>
  <c r="D482" i="46"/>
  <c r="E482" i="46"/>
  <c r="B482" i="46"/>
  <c r="C482" i="46" s="1"/>
  <c r="D146" i="46"/>
  <c r="A147" i="46"/>
  <c r="H129" i="16"/>
  <c r="F129" i="16"/>
  <c r="I129" i="16" s="1"/>
  <c r="J129" i="16" s="1"/>
  <c r="E129" i="16"/>
  <c r="F482" i="46" l="1"/>
  <c r="E483" i="46"/>
  <c r="D483" i="46"/>
  <c r="B483" i="46"/>
  <c r="C483" i="46" s="1"/>
  <c r="A484" i="46"/>
  <c r="D147" i="46"/>
  <c r="A148" i="46"/>
  <c r="H128" i="16"/>
  <c r="F128" i="16"/>
  <c r="I128" i="16" s="1"/>
  <c r="J128" i="16" s="1"/>
  <c r="E128" i="16"/>
  <c r="F483" i="46" l="1"/>
  <c r="A485" i="46"/>
  <c r="D484" i="46"/>
  <c r="E484" i="46"/>
  <c r="B484" i="46"/>
  <c r="C484" i="46" s="1"/>
  <c r="D148" i="46"/>
  <c r="A149" i="46"/>
  <c r="H127" i="16"/>
  <c r="F127" i="16"/>
  <c r="E127" i="16"/>
  <c r="F484" i="46" l="1"/>
  <c r="E485" i="46"/>
  <c r="D485" i="46"/>
  <c r="B485" i="46"/>
  <c r="C485" i="46" s="1"/>
  <c r="A486" i="46"/>
  <c r="D149" i="46"/>
  <c r="A150" i="46"/>
  <c r="I127" i="16"/>
  <c r="J127" i="16" s="1"/>
  <c r="H126" i="16"/>
  <c r="F126" i="16"/>
  <c r="I126" i="16" s="1"/>
  <c r="J126" i="16" s="1"/>
  <c r="E126" i="16"/>
  <c r="F485" i="46" l="1"/>
  <c r="A487" i="46"/>
  <c r="D486" i="46"/>
  <c r="E486" i="46"/>
  <c r="B486" i="46"/>
  <c r="C486" i="46" s="1"/>
  <c r="D150" i="46"/>
  <c r="A151" i="46"/>
  <c r="H125" i="16"/>
  <c r="F125" i="16"/>
  <c r="E125" i="16"/>
  <c r="F486" i="46" l="1"/>
  <c r="E487" i="46"/>
  <c r="D487" i="46"/>
  <c r="B487" i="46"/>
  <c r="C487" i="46" s="1"/>
  <c r="A488" i="46"/>
  <c r="D151" i="46"/>
  <c r="A152" i="46"/>
  <c r="I125" i="16"/>
  <c r="J125" i="16" s="1"/>
  <c r="F487" i="46" l="1"/>
  <c r="A489" i="46"/>
  <c r="D488" i="46"/>
  <c r="E488" i="46"/>
  <c r="B488" i="46"/>
  <c r="C488" i="46" s="1"/>
  <c r="D152" i="46"/>
  <c r="A153" i="46"/>
  <c r="H124" i="16"/>
  <c r="F124" i="16"/>
  <c r="I124" i="16" s="1"/>
  <c r="J124" i="16" s="1"/>
  <c r="H123" i="16"/>
  <c r="F123" i="16"/>
  <c r="I123" i="16" s="1"/>
  <c r="J123" i="16" s="1"/>
  <c r="E123" i="16"/>
  <c r="E124" i="16"/>
  <c r="J22" i="18"/>
  <c r="K22" i="18" s="1"/>
  <c r="I22" i="18"/>
  <c r="F488" i="46" l="1"/>
  <c r="E489" i="46"/>
  <c r="D489" i="46"/>
  <c r="B489" i="46"/>
  <c r="C489" i="46" s="1"/>
  <c r="A490" i="46"/>
  <c r="D153" i="46"/>
  <c r="A154" i="46"/>
  <c r="H122" i="16"/>
  <c r="F122" i="16"/>
  <c r="I122" i="16" s="1"/>
  <c r="J122" i="16" s="1"/>
  <c r="E122" i="16"/>
  <c r="F489" i="46" l="1"/>
  <c r="A491" i="46"/>
  <c r="D490" i="46"/>
  <c r="E490" i="46"/>
  <c r="B490" i="46"/>
  <c r="C490" i="46" s="1"/>
  <c r="D154" i="46"/>
  <c r="A155" i="46"/>
  <c r="H121" i="16"/>
  <c r="F121" i="16"/>
  <c r="E121" i="16"/>
  <c r="F490" i="46" l="1"/>
  <c r="E491" i="46"/>
  <c r="D491" i="46"/>
  <c r="B491" i="46"/>
  <c r="C491" i="46" s="1"/>
  <c r="A492" i="46"/>
  <c r="D155" i="46"/>
  <c r="A156" i="46"/>
  <c r="I121" i="16"/>
  <c r="J121" i="16" s="1"/>
  <c r="H120" i="16"/>
  <c r="F120" i="16"/>
  <c r="E120" i="16"/>
  <c r="F491" i="46" l="1"/>
  <c r="A493" i="46"/>
  <c r="D492" i="46"/>
  <c r="E492" i="46"/>
  <c r="B492" i="46"/>
  <c r="C492" i="46" s="1"/>
  <c r="D156" i="46"/>
  <c r="A157" i="46"/>
  <c r="I120" i="16"/>
  <c r="J120" i="16" s="1"/>
  <c r="H119" i="16"/>
  <c r="F119" i="16"/>
  <c r="E119" i="16"/>
  <c r="F492" i="46" l="1"/>
  <c r="E493" i="46"/>
  <c r="D493" i="46"/>
  <c r="B493" i="46"/>
  <c r="C493" i="46" s="1"/>
  <c r="A494" i="46"/>
  <c r="D157" i="46"/>
  <c r="A158" i="46"/>
  <c r="I119" i="16"/>
  <c r="J119" i="16" s="1"/>
  <c r="H118" i="16"/>
  <c r="F118" i="16"/>
  <c r="E118" i="16"/>
  <c r="F493" i="46" l="1"/>
  <c r="A495" i="46"/>
  <c r="D494" i="46"/>
  <c r="E494" i="46"/>
  <c r="B494" i="46"/>
  <c r="C494" i="46" s="1"/>
  <c r="I118" i="16"/>
  <c r="J118" i="16" s="1"/>
  <c r="D158" i="46"/>
  <c r="A159" i="46"/>
  <c r="H117" i="16"/>
  <c r="F117" i="16"/>
  <c r="I117" i="16" s="1"/>
  <c r="J117" i="16" s="1"/>
  <c r="E117" i="16"/>
  <c r="F494" i="46" l="1"/>
  <c r="E495" i="46"/>
  <c r="D495" i="46"/>
  <c r="B495" i="46"/>
  <c r="C495" i="46" s="1"/>
  <c r="A496" i="46"/>
  <c r="D159" i="46"/>
  <c r="A160" i="46"/>
  <c r="H116" i="16"/>
  <c r="F116" i="16"/>
  <c r="I116" i="16" s="1"/>
  <c r="J116" i="16" s="1"/>
  <c r="E116" i="16"/>
  <c r="F495" i="46" l="1"/>
  <c r="A497" i="46"/>
  <c r="D496" i="46"/>
  <c r="E496" i="46"/>
  <c r="B496" i="46"/>
  <c r="C496" i="46" s="1"/>
  <c r="D160" i="46"/>
  <c r="A161" i="46"/>
  <c r="H115" i="16"/>
  <c r="F115" i="16"/>
  <c r="E115" i="16"/>
  <c r="F496" i="46" l="1"/>
  <c r="E497" i="46"/>
  <c r="D497" i="46"/>
  <c r="B497" i="46"/>
  <c r="C497" i="46" s="1"/>
  <c r="D161" i="46"/>
  <c r="A162" i="46"/>
  <c r="I115" i="16"/>
  <c r="J115" i="16" s="1"/>
  <c r="H114" i="16"/>
  <c r="F114" i="16"/>
  <c r="I114" i="16" s="1"/>
  <c r="J114" i="16" s="1"/>
  <c r="E114" i="16"/>
  <c r="F497" i="46" l="1"/>
  <c r="D162" i="46"/>
  <c r="A163" i="46"/>
  <c r="H113" i="16"/>
  <c r="F113" i="16"/>
  <c r="I113" i="16" s="1"/>
  <c r="J113" i="16" s="1"/>
  <c r="E113" i="16"/>
  <c r="J20" i="18"/>
  <c r="K20" i="18" s="1"/>
  <c r="J13" i="18"/>
  <c r="K13" i="18" s="1"/>
  <c r="J21" i="18"/>
  <c r="K21" i="18" s="1"/>
  <c r="J19" i="18"/>
  <c r="K19" i="18" s="1"/>
  <c r="J18" i="18"/>
  <c r="K18" i="18" s="1"/>
  <c r="J17" i="18"/>
  <c r="K17" i="18" s="1"/>
  <c r="J16" i="18"/>
  <c r="K16" i="18" s="1"/>
  <c r="J15" i="18"/>
  <c r="K15" i="18" s="1"/>
  <c r="J14" i="18"/>
  <c r="K14" i="18" s="1"/>
  <c r="J12" i="18"/>
  <c r="K12" i="18" s="1"/>
  <c r="J11" i="18"/>
  <c r="K11" i="18" s="1"/>
  <c r="J10" i="18"/>
  <c r="K10" i="18" s="1"/>
  <c r="J9" i="18"/>
  <c r="K9" i="18" s="1"/>
  <c r="J8" i="18"/>
  <c r="K8" i="18" s="1"/>
  <c r="J7" i="18"/>
  <c r="K7" i="18" s="1"/>
  <c r="J6" i="18"/>
  <c r="K6" i="18" s="1"/>
  <c r="J5" i="18"/>
  <c r="K5" i="18" s="1"/>
  <c r="J4" i="18"/>
  <c r="K4" i="18" s="1"/>
  <c r="D163" i="46" l="1"/>
  <c r="A164" i="46"/>
  <c r="K2" i="18"/>
  <c r="I21" i="18"/>
  <c r="D164" i="46" l="1"/>
  <c r="A165" i="46"/>
  <c r="H112" i="16"/>
  <c r="F112" i="16"/>
  <c r="E112" i="16"/>
  <c r="D165" i="46" l="1"/>
  <c r="A166" i="46"/>
  <c r="I112" i="16"/>
  <c r="J112" i="16" s="1"/>
  <c r="H111" i="16"/>
  <c r="F111" i="16"/>
  <c r="I111" i="16" s="1"/>
  <c r="J111" i="16" s="1"/>
  <c r="E111" i="16"/>
  <c r="D166" i="46" l="1"/>
  <c r="A167" i="46"/>
  <c r="H110" i="16"/>
  <c r="F110" i="16"/>
  <c r="I110" i="16" s="1"/>
  <c r="J110" i="16" s="1"/>
  <c r="E110" i="16"/>
  <c r="D167" i="46" l="1"/>
  <c r="A168" i="46"/>
  <c r="H109" i="16"/>
  <c r="F109" i="16"/>
  <c r="I109" i="16" s="1"/>
  <c r="J109" i="16" s="1"/>
  <c r="E109" i="16"/>
  <c r="D168" i="46" l="1"/>
  <c r="A169" i="46"/>
  <c r="H108" i="16"/>
  <c r="F108" i="16"/>
  <c r="I108" i="16" s="1"/>
  <c r="J108" i="16" s="1"/>
  <c r="E108" i="16"/>
  <c r="H107" i="16"/>
  <c r="F107" i="16"/>
  <c r="E107" i="16"/>
  <c r="I107" i="16" l="1"/>
  <c r="J107" i="16" s="1"/>
  <c r="D169" i="46"/>
  <c r="A170" i="46"/>
  <c r="H106" i="16"/>
  <c r="I106" i="16" s="1"/>
  <c r="J106" i="16" s="1"/>
  <c r="F106" i="16"/>
  <c r="E106" i="16"/>
  <c r="D170" i="46" l="1"/>
  <c r="A171" i="46"/>
  <c r="H105" i="16"/>
  <c r="F105" i="16"/>
  <c r="E105" i="16"/>
  <c r="I105" i="16" l="1"/>
  <c r="J105" i="16" s="1"/>
  <c r="D171" i="46"/>
  <c r="A172" i="46"/>
  <c r="H104" i="16"/>
  <c r="F104" i="16"/>
  <c r="E104" i="16"/>
  <c r="D172" i="46" l="1"/>
  <c r="A173" i="46"/>
  <c r="I104" i="16"/>
  <c r="J104" i="16" s="1"/>
  <c r="H103" i="16"/>
  <c r="F103" i="16"/>
  <c r="I103" i="16" s="1"/>
  <c r="J103" i="16" s="1"/>
  <c r="E103" i="16"/>
  <c r="D173" i="46" l="1"/>
  <c r="A174" i="46"/>
  <c r="H102" i="16"/>
  <c r="F102" i="16"/>
  <c r="E102" i="16"/>
  <c r="D174" i="46" l="1"/>
  <c r="A175" i="46"/>
  <c r="I102" i="16"/>
  <c r="J102" i="16" s="1"/>
  <c r="H101" i="16"/>
  <c r="F101" i="16"/>
  <c r="E101" i="16"/>
  <c r="I101" i="16" l="1"/>
  <c r="J101" i="16" s="1"/>
  <c r="D175" i="46"/>
  <c r="A176" i="46"/>
  <c r="H100" i="16"/>
  <c r="F100" i="16"/>
  <c r="E100" i="16"/>
  <c r="D176" i="46" l="1"/>
  <c r="A177" i="46"/>
  <c r="I100" i="16"/>
  <c r="J100" i="16" s="1"/>
  <c r="H99" i="16"/>
  <c r="F99" i="16"/>
  <c r="I99" i="16" s="1"/>
  <c r="J99" i="16" s="1"/>
  <c r="E99" i="16"/>
  <c r="I20" i="18"/>
  <c r="D177" i="46" l="1"/>
  <c r="A178" i="46"/>
  <c r="H98" i="16"/>
  <c r="F98" i="16"/>
  <c r="E98" i="16"/>
  <c r="D178" i="46" l="1"/>
  <c r="A179" i="46"/>
  <c r="I98" i="16"/>
  <c r="J98" i="16" s="1"/>
  <c r="F30" i="13"/>
  <c r="E30" i="13"/>
  <c r="F29" i="13"/>
  <c r="E29" i="13"/>
  <c r="F28" i="13"/>
  <c r="E28" i="13"/>
  <c r="F27" i="13"/>
  <c r="E27" i="13"/>
  <c r="F26" i="13"/>
  <c r="E26" i="13"/>
  <c r="F25" i="13"/>
  <c r="E25" i="13"/>
  <c r="F24" i="13"/>
  <c r="E24" i="13"/>
  <c r="F23" i="13"/>
  <c r="E23" i="13"/>
  <c r="F22" i="13"/>
  <c r="E22" i="13"/>
  <c r="F21" i="13"/>
  <c r="E21" i="13"/>
  <c r="F20" i="13"/>
  <c r="E20" i="13"/>
  <c r="F19" i="13"/>
  <c r="E19" i="13"/>
  <c r="F18" i="13"/>
  <c r="E18" i="13"/>
  <c r="F17" i="13"/>
  <c r="E17" i="13"/>
  <c r="F16" i="13"/>
  <c r="E16" i="13"/>
  <c r="F15" i="13"/>
  <c r="E15" i="13"/>
  <c r="F14" i="13"/>
  <c r="E14" i="13"/>
  <c r="F13" i="13"/>
  <c r="E13" i="13"/>
  <c r="F12" i="13"/>
  <c r="E12" i="13"/>
  <c r="F11" i="13"/>
  <c r="E11" i="13"/>
  <c r="F10" i="13"/>
  <c r="E10" i="13"/>
  <c r="F8" i="13"/>
  <c r="E8" i="13"/>
  <c r="F7" i="13"/>
  <c r="E7" i="13"/>
  <c r="F6" i="13"/>
  <c r="E6" i="13"/>
  <c r="F5" i="13"/>
  <c r="E5" i="13"/>
  <c r="F4" i="13"/>
  <c r="E4" i="13"/>
  <c r="F3" i="13"/>
  <c r="E3" i="13"/>
  <c r="F2" i="13"/>
  <c r="E2" i="13"/>
  <c r="F9" i="13"/>
  <c r="E9" i="13"/>
  <c r="G8" i="13"/>
  <c r="G4" i="13"/>
  <c r="D179" i="46" l="1"/>
  <c r="A180" i="46"/>
  <c r="G5" i="13"/>
  <c r="G9" i="13"/>
  <c r="H97" i="16"/>
  <c r="F97" i="16"/>
  <c r="I97" i="16" s="1"/>
  <c r="J97" i="16" s="1"/>
  <c r="E97" i="16"/>
  <c r="D180" i="46" l="1"/>
  <c r="A181" i="46"/>
  <c r="D181" i="46" l="1"/>
  <c r="A182" i="46"/>
  <c r="H96" i="16"/>
  <c r="F96" i="16"/>
  <c r="E96" i="16"/>
  <c r="D182" i="46" l="1"/>
  <c r="A183" i="46"/>
  <c r="I96" i="16"/>
  <c r="J96" i="16" s="1"/>
  <c r="H95" i="16"/>
  <c r="F95" i="16"/>
  <c r="E95" i="16"/>
  <c r="D183" i="46" l="1"/>
  <c r="A184" i="46"/>
  <c r="I95" i="16"/>
  <c r="J95" i="16" s="1"/>
  <c r="H94" i="16"/>
  <c r="F94" i="16"/>
  <c r="E94" i="16"/>
  <c r="D184" i="46" l="1"/>
  <c r="A185" i="46"/>
  <c r="I94" i="16"/>
  <c r="J94" i="16" s="1"/>
  <c r="H93" i="16"/>
  <c r="F93" i="16"/>
  <c r="E93" i="16"/>
  <c r="D185" i="46" l="1"/>
  <c r="A186" i="46"/>
  <c r="I93" i="16"/>
  <c r="J93" i="16" s="1"/>
  <c r="D186" i="46" l="1"/>
  <c r="A187" i="46"/>
  <c r="H92" i="16"/>
  <c r="F92" i="16"/>
  <c r="I92" i="16" s="1"/>
  <c r="J92" i="16" s="1"/>
  <c r="E92" i="16"/>
  <c r="H91" i="16"/>
  <c r="F91" i="16"/>
  <c r="E91" i="16"/>
  <c r="H90" i="16"/>
  <c r="F90" i="16"/>
  <c r="E90" i="16"/>
  <c r="H89" i="16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I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H77" i="16"/>
  <c r="F77" i="16"/>
  <c r="E77" i="16"/>
  <c r="H76" i="16"/>
  <c r="F76" i="16"/>
  <c r="E76" i="16"/>
  <c r="H2" i="18"/>
  <c r="I2" i="18" s="1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I56" i="16" s="1"/>
  <c r="J56" i="16" s="1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I28" i="16" s="1"/>
  <c r="J28" i="16" s="1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F13" i="16"/>
  <c r="H17" i="16"/>
  <c r="F17" i="16"/>
  <c r="E17" i="16"/>
  <c r="H16" i="16"/>
  <c r="I16" i="16" s="1"/>
  <c r="J16" i="16" s="1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D26" i="25"/>
  <c r="D25" i="25"/>
  <c r="D24" i="25"/>
  <c r="D23" i="25"/>
  <c r="D21" i="25"/>
  <c r="D20" i="25"/>
  <c r="D19" i="25"/>
  <c r="D18" i="25"/>
  <c r="D17" i="25"/>
  <c r="D15" i="25"/>
  <c r="M15" i="25" s="1"/>
  <c r="N15" i="25" s="1"/>
  <c r="D14" i="25"/>
  <c r="M14" i="25" s="1"/>
  <c r="N14" i="25" s="1"/>
  <c r="D13" i="25"/>
  <c r="M13" i="25" s="1"/>
  <c r="N13" i="25" s="1"/>
  <c r="D12" i="25"/>
  <c r="M12" i="25" s="1"/>
  <c r="N12" i="25" s="1"/>
  <c r="D8" i="25"/>
  <c r="M8" i="25" s="1"/>
  <c r="N8" i="25" s="1"/>
  <c r="D7" i="25"/>
  <c r="M7" i="25" s="1"/>
  <c r="N7" i="25" s="1"/>
  <c r="D6" i="25"/>
  <c r="M6" i="25" s="1"/>
  <c r="N6" i="25" s="1"/>
  <c r="D5" i="25"/>
  <c r="M5" i="25" s="1"/>
  <c r="N5" i="25" s="1"/>
  <c r="D3" i="25"/>
  <c r="D117" i="25"/>
  <c r="D118" i="25"/>
  <c r="D119" i="25"/>
  <c r="D120" i="25"/>
  <c r="D121" i="25"/>
  <c r="D122" i="25"/>
  <c r="D123" i="25"/>
  <c r="D124" i="25"/>
  <c r="D125" i="25"/>
  <c r="D65" i="25"/>
  <c r="D115" i="25"/>
  <c r="D116" i="25"/>
  <c r="A7" i="37"/>
  <c r="E7" i="37" s="1"/>
  <c r="D114" i="25"/>
  <c r="D113" i="25"/>
  <c r="D112" i="25"/>
  <c r="D111" i="25"/>
  <c r="E110" i="25"/>
  <c r="D99" i="25"/>
  <c r="D98" i="25"/>
  <c r="D97" i="25"/>
  <c r="D96" i="25"/>
  <c r="D95" i="25"/>
  <c r="D94" i="25"/>
  <c r="D93" i="25"/>
  <c r="D92" i="25"/>
  <c r="D91" i="25"/>
  <c r="D90" i="25"/>
  <c r="D89" i="25"/>
  <c r="D88" i="25"/>
  <c r="D85" i="25"/>
  <c r="D84" i="25"/>
  <c r="D83" i="25"/>
  <c r="D79" i="25"/>
  <c r="D4" i="25"/>
  <c r="M4" i="25" s="1"/>
  <c r="N4" i="25" s="1"/>
  <c r="D109" i="25"/>
  <c r="D108" i="25"/>
  <c r="D107" i="25"/>
  <c r="D106" i="25"/>
  <c r="D105" i="25"/>
  <c r="D104" i="25"/>
  <c r="D103" i="25"/>
  <c r="D102" i="25"/>
  <c r="D101" i="25"/>
  <c r="D100" i="25"/>
  <c r="D87" i="25"/>
  <c r="D86" i="25"/>
  <c r="D82" i="25"/>
  <c r="D81" i="25"/>
  <c r="D80" i="25"/>
  <c r="D78" i="25"/>
  <c r="D77" i="25"/>
  <c r="D76" i="25"/>
  <c r="D75" i="25"/>
  <c r="D74" i="25"/>
  <c r="D73" i="25"/>
  <c r="D72" i="25"/>
  <c r="D61" i="25"/>
  <c r="D71" i="25"/>
  <c r="D70" i="25"/>
  <c r="D69" i="25"/>
  <c r="D68" i="25"/>
  <c r="D67" i="25"/>
  <c r="D66" i="25"/>
  <c r="D64" i="25"/>
  <c r="E63" i="25"/>
  <c r="D62" i="25"/>
  <c r="D60" i="25"/>
  <c r="D59" i="25"/>
  <c r="D58" i="25"/>
  <c r="D57" i="25"/>
  <c r="D56" i="25"/>
  <c r="D55" i="25"/>
  <c r="D54" i="25"/>
  <c r="D53" i="25"/>
  <c r="D52" i="25"/>
  <c r="D51" i="25"/>
  <c r="D50" i="25"/>
  <c r="D49" i="25"/>
  <c r="D48" i="25"/>
  <c r="D47" i="25"/>
  <c r="D46" i="25"/>
  <c r="D45" i="25"/>
  <c r="D44" i="25"/>
  <c r="D36" i="25"/>
  <c r="D37" i="25"/>
  <c r="D38" i="25"/>
  <c r="D39" i="25"/>
  <c r="D40" i="25"/>
  <c r="D41" i="25"/>
  <c r="D42" i="25"/>
  <c r="D43" i="25"/>
  <c r="D31" i="25"/>
  <c r="D30" i="25"/>
  <c r="D35" i="25"/>
  <c r="D34" i="25"/>
  <c r="D33" i="25"/>
  <c r="D32" i="25"/>
  <c r="D29" i="25"/>
  <c r="D28" i="25"/>
  <c r="D27" i="25"/>
  <c r="D22" i="25"/>
  <c r="D16" i="25"/>
  <c r="D9" i="25"/>
  <c r="M9" i="25" s="1"/>
  <c r="N9" i="25" s="1"/>
  <c r="D10" i="25"/>
  <c r="M10" i="25" s="1"/>
  <c r="N10" i="25" s="1"/>
  <c r="D11" i="25"/>
  <c r="M11" i="25" s="1"/>
  <c r="N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I41" i="16"/>
  <c r="J41" i="16" s="1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7" i="16"/>
  <c r="K7" i="16" s="1"/>
  <c r="I7" i="16"/>
  <c r="J7" i="16" s="1"/>
  <c r="I51" i="16"/>
  <c r="J51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L134" i="25"/>
  <c r="I130" i="25"/>
  <c r="I126" i="25"/>
  <c r="L135" i="25"/>
  <c r="L136" i="25"/>
  <c r="L137" i="25"/>
  <c r="L138" i="25"/>
  <c r="L139" i="25"/>
  <c r="L133" i="25"/>
  <c r="I127" i="25"/>
  <c r="I128" i="25"/>
  <c r="L132" i="25"/>
  <c r="I129" i="25"/>
  <c r="L126" i="25"/>
  <c r="L127" i="25"/>
  <c r="L128" i="25"/>
  <c r="L129" i="25"/>
  <c r="F126" i="25"/>
  <c r="L130" i="25"/>
  <c r="L131" i="25"/>
  <c r="F127" i="25"/>
  <c r="F128" i="25"/>
  <c r="I131" i="25"/>
  <c r="J131" i="25" l="1"/>
  <c r="K131" i="25" s="1"/>
  <c r="G128" i="25"/>
  <c r="H128" i="25" s="1"/>
  <c r="G127" i="25"/>
  <c r="H127" i="25" s="1"/>
  <c r="M131" i="25"/>
  <c r="N131" i="25" s="1"/>
  <c r="M130" i="25"/>
  <c r="N130" i="25" s="1"/>
  <c r="G126" i="25"/>
  <c r="H126" i="25" s="1"/>
  <c r="M129" i="25"/>
  <c r="N129" i="25" s="1"/>
  <c r="M128" i="25"/>
  <c r="N128" i="25" s="1"/>
  <c r="M127" i="25"/>
  <c r="N127" i="25" s="1"/>
  <c r="M126" i="25"/>
  <c r="N126" i="25" s="1"/>
  <c r="J129" i="25"/>
  <c r="K129" i="25" s="1"/>
  <c r="M132" i="25"/>
  <c r="N132" i="25" s="1"/>
  <c r="J128" i="25"/>
  <c r="K128" i="25" s="1"/>
  <c r="J127" i="25"/>
  <c r="K127" i="25" s="1"/>
  <c r="M133" i="25"/>
  <c r="N133" i="25" s="1"/>
  <c r="M139" i="25"/>
  <c r="N139" i="25" s="1"/>
  <c r="M138" i="25"/>
  <c r="N138" i="25" s="1"/>
  <c r="M137" i="25"/>
  <c r="N137" i="25" s="1"/>
  <c r="M136" i="25"/>
  <c r="N136" i="25" s="1"/>
  <c r="M135" i="25"/>
  <c r="N135" i="25" s="1"/>
  <c r="J126" i="25"/>
  <c r="K126" i="25" s="1"/>
  <c r="J130" i="25"/>
  <c r="K130" i="25" s="1"/>
  <c r="M134" i="25"/>
  <c r="N134" i="25" s="1"/>
  <c r="J3" i="25"/>
  <c r="K3" i="25" s="1"/>
  <c r="M3" i="25"/>
  <c r="N3" i="25" s="1"/>
  <c r="J10" i="25"/>
  <c r="K10" i="25" s="1"/>
  <c r="J9" i="25"/>
  <c r="K9" i="25" s="1"/>
  <c r="J4" i="25"/>
  <c r="K4" i="25" s="1"/>
  <c r="G4" i="25"/>
  <c r="J5" i="25"/>
  <c r="K5" i="25" s="1"/>
  <c r="J6" i="25"/>
  <c r="K6" i="25" s="1"/>
  <c r="J7" i="25"/>
  <c r="K7" i="25" s="1"/>
  <c r="J8" i="25"/>
  <c r="K8" i="25" s="1"/>
  <c r="E10" i="25"/>
  <c r="E47" i="25"/>
  <c r="E72" i="25"/>
  <c r="E100" i="25"/>
  <c r="E97" i="25"/>
  <c r="E125" i="25"/>
  <c r="E7" i="25"/>
  <c r="E24" i="25"/>
  <c r="E60" i="25"/>
  <c r="E101" i="25"/>
  <c r="E84" i="25"/>
  <c r="E25" i="25"/>
  <c r="E9" i="25"/>
  <c r="E73" i="25"/>
  <c r="E8" i="25"/>
  <c r="E16" i="25"/>
  <c r="E42" i="25"/>
  <c r="E49" i="25"/>
  <c r="E62" i="25"/>
  <c r="E74" i="25"/>
  <c r="E102" i="25"/>
  <c r="E85" i="25"/>
  <c r="E123" i="25"/>
  <c r="E12" i="25"/>
  <c r="E26" i="25"/>
  <c r="E22" i="25"/>
  <c r="E50" i="25"/>
  <c r="E75" i="25"/>
  <c r="E103" i="25"/>
  <c r="E122" i="25"/>
  <c r="E13" i="25"/>
  <c r="E43" i="25"/>
  <c r="E124" i="25"/>
  <c r="E27" i="25"/>
  <c r="E40" i="25"/>
  <c r="E51" i="25"/>
  <c r="E64" i="25"/>
  <c r="E76" i="25"/>
  <c r="E104" i="25"/>
  <c r="E111" i="25"/>
  <c r="E14" i="25"/>
  <c r="E28" i="25"/>
  <c r="E39" i="25"/>
  <c r="E52" i="25"/>
  <c r="E66" i="25"/>
  <c r="E77" i="25"/>
  <c r="E105" i="25"/>
  <c r="E90" i="25"/>
  <c r="E112" i="25"/>
  <c r="E120" i="25"/>
  <c r="E15" i="25"/>
  <c r="E53" i="25"/>
  <c r="E67" i="25"/>
  <c r="E78" i="25"/>
  <c r="E106" i="25"/>
  <c r="E113" i="25"/>
  <c r="E119" i="25"/>
  <c r="E17" i="25"/>
  <c r="E32" i="25"/>
  <c r="E37" i="25"/>
  <c r="E54" i="25"/>
  <c r="E68" i="25"/>
  <c r="E80" i="25"/>
  <c r="E107" i="25"/>
  <c r="E92" i="25"/>
  <c r="E114" i="25"/>
  <c r="E118" i="25"/>
  <c r="E18" i="25"/>
  <c r="E33" i="25"/>
  <c r="E108" i="25"/>
  <c r="E93" i="25"/>
  <c r="E19" i="25"/>
  <c r="E34" i="25"/>
  <c r="E44" i="25"/>
  <c r="E56" i="25"/>
  <c r="E70" i="25"/>
  <c r="E82" i="25"/>
  <c r="E109" i="25"/>
  <c r="E94" i="25"/>
  <c r="E116" i="25"/>
  <c r="E20" i="25"/>
  <c r="E45" i="25"/>
  <c r="E57" i="25"/>
  <c r="E71" i="25"/>
  <c r="E86" i="25"/>
  <c r="E4" i="25"/>
  <c r="E95" i="25"/>
  <c r="E115" i="25"/>
  <c r="E5" i="25"/>
  <c r="E21" i="25"/>
  <c r="E11" i="25"/>
  <c r="E30" i="25"/>
  <c r="E46" i="25"/>
  <c r="E58" i="25"/>
  <c r="E61" i="25"/>
  <c r="E87" i="25"/>
  <c r="E79" i="25"/>
  <c r="E96" i="25"/>
  <c r="E65" i="25"/>
  <c r="E6" i="25"/>
  <c r="E23" i="25"/>
  <c r="I13" i="16"/>
  <c r="J13" i="16" s="1"/>
  <c r="I21" i="16"/>
  <c r="J21" i="16" s="1"/>
  <c r="G320" i="16"/>
  <c r="G321" i="16"/>
  <c r="G322" i="16"/>
  <c r="G324" i="16"/>
  <c r="G319" i="16"/>
  <c r="G323" i="16"/>
  <c r="G311" i="16"/>
  <c r="K311" i="16" s="1"/>
  <c r="G312" i="16"/>
  <c r="G314" i="16"/>
  <c r="G313" i="16"/>
  <c r="G309" i="16"/>
  <c r="G310" i="16"/>
  <c r="G307" i="16"/>
  <c r="G317" i="16"/>
  <c r="G308" i="16"/>
  <c r="G316" i="16"/>
  <c r="G318" i="16"/>
  <c r="G315" i="16"/>
  <c r="G306" i="16"/>
  <c r="K306" i="16" s="1"/>
  <c r="G305" i="16"/>
  <c r="G304" i="16"/>
  <c r="G303" i="16"/>
  <c r="G9" i="16"/>
  <c r="K9" i="16" s="1"/>
  <c r="G10" i="16"/>
  <c r="K10" i="16" s="1"/>
  <c r="I40" i="16"/>
  <c r="J40" i="16" s="1"/>
  <c r="G302" i="16"/>
  <c r="G301" i="16"/>
  <c r="G300" i="16"/>
  <c r="G299" i="16"/>
  <c r="G298" i="16"/>
  <c r="G297" i="16"/>
  <c r="G293" i="16"/>
  <c r="G295" i="16"/>
  <c r="G294" i="16"/>
  <c r="G292" i="16"/>
  <c r="G296" i="16"/>
  <c r="G291" i="16"/>
  <c r="G289" i="16"/>
  <c r="G290" i="16"/>
  <c r="G288" i="16"/>
  <c r="G287" i="16"/>
  <c r="G286" i="16"/>
  <c r="G285" i="16"/>
  <c r="G284" i="16"/>
  <c r="G283" i="16"/>
  <c r="G282" i="16"/>
  <c r="G281" i="16"/>
  <c r="G280" i="16"/>
  <c r="G279" i="16"/>
  <c r="G278" i="16"/>
  <c r="G277" i="16"/>
  <c r="G276" i="16"/>
  <c r="G275" i="16"/>
  <c r="G274" i="16"/>
  <c r="G273" i="16"/>
  <c r="G272" i="16"/>
  <c r="G271" i="16"/>
  <c r="G270" i="16"/>
  <c r="G269" i="16"/>
  <c r="G268" i="16"/>
  <c r="G267" i="16"/>
  <c r="G266" i="16"/>
  <c r="G265" i="16"/>
  <c r="G264" i="16"/>
  <c r="G263" i="16"/>
  <c r="G262" i="16"/>
  <c r="G261" i="16"/>
  <c r="G260" i="16"/>
  <c r="G259" i="16"/>
  <c r="G258" i="16"/>
  <c r="G257" i="16"/>
  <c r="G255" i="16"/>
  <c r="G256" i="16"/>
  <c r="G254" i="16"/>
  <c r="G253" i="16"/>
  <c r="G252" i="16"/>
  <c r="G251" i="16"/>
  <c r="G250" i="16"/>
  <c r="G249" i="16"/>
  <c r="G248" i="16"/>
  <c r="G246" i="16"/>
  <c r="G247" i="16"/>
  <c r="G245" i="16"/>
  <c r="G244" i="16"/>
  <c r="G243" i="16"/>
  <c r="G242" i="16"/>
  <c r="G241" i="16"/>
  <c r="G239" i="16"/>
  <c r="G240" i="16"/>
  <c r="G238" i="16"/>
  <c r="G237" i="16"/>
  <c r="G236" i="16"/>
  <c r="G235" i="16"/>
  <c r="G233" i="16"/>
  <c r="G234" i="16"/>
  <c r="G232" i="16"/>
  <c r="G231" i="16"/>
  <c r="G230" i="16"/>
  <c r="G229" i="16"/>
  <c r="G228" i="16"/>
  <c r="G227" i="16"/>
  <c r="G226" i="16"/>
  <c r="G225" i="16"/>
  <c r="G224" i="16"/>
  <c r="G223" i="16"/>
  <c r="G222" i="16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4" i="16"/>
  <c r="G205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6" i="16"/>
  <c r="G187" i="16"/>
  <c r="G185" i="16"/>
  <c r="G184" i="16"/>
  <c r="G183" i="16"/>
  <c r="G182" i="16"/>
  <c r="G181" i="16"/>
  <c r="G180" i="16"/>
  <c r="G179" i="16"/>
  <c r="G176" i="16"/>
  <c r="G177" i="16"/>
  <c r="G178" i="16"/>
  <c r="G174" i="16"/>
  <c r="G175" i="16"/>
  <c r="G173" i="16"/>
  <c r="G172" i="16"/>
  <c r="G171" i="16"/>
  <c r="G170" i="16"/>
  <c r="G169" i="16"/>
  <c r="G168" i="16"/>
  <c r="G167" i="16"/>
  <c r="G166" i="16"/>
  <c r="G165" i="16"/>
  <c r="G164" i="16"/>
  <c r="G163" i="16"/>
  <c r="I78" i="16"/>
  <c r="J78" i="16" s="1"/>
  <c r="I89" i="16"/>
  <c r="J89" i="16" s="1"/>
  <c r="D187" i="46"/>
  <c r="A188" i="46"/>
  <c r="E117" i="25"/>
  <c r="E55" i="25"/>
  <c r="G23" i="16"/>
  <c r="K23" i="16" s="1"/>
  <c r="E99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E31" i="25"/>
  <c r="I91" i="16"/>
  <c r="J91" i="16" s="1"/>
  <c r="G8" i="16"/>
  <c r="K8" i="16" s="1"/>
  <c r="I26" i="16"/>
  <c r="J26" i="16" s="1"/>
  <c r="I30" i="16"/>
  <c r="J30" i="16" s="1"/>
  <c r="I38" i="16"/>
  <c r="J38" i="16" s="1"/>
  <c r="E88" i="25"/>
  <c r="E3" i="25"/>
  <c r="E81" i="25"/>
  <c r="E48" i="25"/>
  <c r="E38" i="25"/>
  <c r="E35" i="25"/>
  <c r="E98" i="25"/>
  <c r="E91" i="25"/>
  <c r="E83" i="25"/>
  <c r="E69" i="25"/>
  <c r="I83" i="16"/>
  <c r="J83" i="16" s="1"/>
  <c r="G14" i="16"/>
  <c r="K14" i="16" s="1"/>
  <c r="G37" i="16"/>
  <c r="K37" i="16" s="1"/>
  <c r="I73" i="16"/>
  <c r="J73" i="16" s="1"/>
  <c r="I85" i="16"/>
  <c r="J85" i="16" s="1"/>
  <c r="G75" i="16"/>
  <c r="G40" i="16"/>
  <c r="K40" i="16" s="1"/>
  <c r="E29" i="25"/>
  <c r="I82" i="16"/>
  <c r="J82" i="16" s="1"/>
  <c r="G30" i="16"/>
  <c r="K30" i="16" s="1"/>
  <c r="I86" i="16"/>
  <c r="J86" i="16" s="1"/>
  <c r="F8" i="28"/>
  <c r="J8" i="28" s="1"/>
  <c r="L8" i="28" s="1"/>
  <c r="F9" i="28"/>
  <c r="J9" i="28" s="1"/>
  <c r="L9" i="28" s="1"/>
  <c r="G9" i="28"/>
  <c r="K9" i="28" s="1"/>
  <c r="M9" i="28" s="1"/>
  <c r="E59" i="25"/>
  <c r="E121" i="25"/>
  <c r="I44" i="16"/>
  <c r="J44" i="16" s="1"/>
  <c r="E36" i="25"/>
  <c r="E89" i="25"/>
  <c r="I12" i="16"/>
  <c r="J12" i="16" s="1"/>
  <c r="E41" i="25"/>
  <c r="G7" i="28"/>
  <c r="K7" i="28" s="1"/>
  <c r="M7" i="28" s="1"/>
  <c r="I14" i="16"/>
  <c r="J14" i="16" s="1"/>
  <c r="I29" i="16"/>
  <c r="J29" i="16" s="1"/>
  <c r="I81" i="16"/>
  <c r="J81" i="16" s="1"/>
  <c r="I84" i="16"/>
  <c r="J84" i="16" s="1"/>
  <c r="G89" i="16"/>
  <c r="F3" i="16" a="1"/>
  <c r="F3" i="16" s="1"/>
  <c r="G90" i="16"/>
  <c r="G150" i="16"/>
  <c r="G149" i="16"/>
  <c r="G148" i="16"/>
  <c r="G147" i="16"/>
  <c r="G146" i="16"/>
  <c r="K146" i="16" s="1"/>
  <c r="G145" i="16"/>
  <c r="G144" i="16"/>
  <c r="G143" i="16"/>
  <c r="G142" i="16"/>
  <c r="G141" i="16"/>
  <c r="G140" i="16"/>
  <c r="G139" i="16"/>
  <c r="G137" i="16"/>
  <c r="G138" i="16"/>
  <c r="K138" i="16" s="1"/>
  <c r="B125" i="46" s="1"/>
  <c r="C125" i="46" s="1"/>
  <c r="F125" i="46" s="1"/>
  <c r="G136" i="16"/>
  <c r="G135" i="16"/>
  <c r="G134" i="16"/>
  <c r="K134" i="16" s="1"/>
  <c r="B121" i="46" s="1"/>
  <c r="C121" i="46" s="1"/>
  <c r="F121" i="46" s="1"/>
  <c r="G133" i="16"/>
  <c r="G132" i="16"/>
  <c r="G131" i="16"/>
  <c r="G130" i="16"/>
  <c r="G129" i="16"/>
  <c r="G128" i="16"/>
  <c r="K128" i="16" s="1"/>
  <c r="B112" i="46" s="1"/>
  <c r="C112" i="46" s="1"/>
  <c r="F112" i="46" s="1"/>
  <c r="G127" i="16"/>
  <c r="K127" i="16" s="1"/>
  <c r="G126" i="16"/>
  <c r="G125" i="16"/>
  <c r="K125" i="16" s="1"/>
  <c r="G124" i="16"/>
  <c r="G123" i="16"/>
  <c r="G122" i="16"/>
  <c r="K122" i="16" s="1"/>
  <c r="G121" i="16"/>
  <c r="G120" i="16"/>
  <c r="G119" i="16"/>
  <c r="G118" i="16"/>
  <c r="G117" i="16"/>
  <c r="G116" i="16"/>
  <c r="G115" i="16"/>
  <c r="K115" i="16" s="1"/>
  <c r="B95" i="46" s="1"/>
  <c r="C95" i="46" s="1"/>
  <c r="F95" i="46" s="1"/>
  <c r="G114" i="16"/>
  <c r="K114" i="16" s="1"/>
  <c r="G113" i="16"/>
  <c r="K113" i="16" s="1"/>
  <c r="B91" i="46" s="1"/>
  <c r="C91" i="46" s="1"/>
  <c r="F91" i="46" s="1"/>
  <c r="G112" i="16"/>
  <c r="G111" i="16"/>
  <c r="G110" i="16"/>
  <c r="G109" i="16"/>
  <c r="G107" i="16"/>
  <c r="G108" i="16"/>
  <c r="G106" i="16"/>
  <c r="G105" i="16"/>
  <c r="G104" i="16"/>
  <c r="G103" i="16"/>
  <c r="K103" i="16" s="1"/>
  <c r="B78" i="46" s="1"/>
  <c r="C78" i="46" s="1"/>
  <c r="F78" i="46" s="1"/>
  <c r="G102" i="16"/>
  <c r="K102" i="16" s="1"/>
  <c r="B77" i="46" s="1"/>
  <c r="C77" i="46" s="1"/>
  <c r="F77" i="46" s="1"/>
  <c r="G101" i="16"/>
  <c r="K101" i="16" s="1"/>
  <c r="B76" i="46" s="1"/>
  <c r="C76" i="46" s="1"/>
  <c r="F76" i="46" s="1"/>
  <c r="G100" i="16"/>
  <c r="G99" i="16"/>
  <c r="G98" i="16"/>
  <c r="K98" i="16" s="1"/>
  <c r="B73" i="46" s="1"/>
  <c r="C73" i="46" s="1"/>
  <c r="F73" i="46" s="1"/>
  <c r="G97" i="16"/>
  <c r="G96" i="16"/>
  <c r="G95" i="16"/>
  <c r="G51" i="16"/>
  <c r="G85" i="16"/>
  <c r="K85" i="16" s="1"/>
  <c r="B59" i="46" s="1"/>
  <c r="C59" i="46" s="1"/>
  <c r="F59" i="46" s="1"/>
  <c r="G82" i="16"/>
  <c r="I10" i="16"/>
  <c r="J10" i="16" s="1"/>
  <c r="G74" i="16"/>
  <c r="G25" i="16"/>
  <c r="K25" i="16" s="1"/>
  <c r="G79" i="16"/>
  <c r="G80" i="16"/>
  <c r="G69" i="16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G28" i="16"/>
  <c r="K28" i="16" s="1"/>
  <c r="G49" i="16"/>
  <c r="G81" i="16"/>
  <c r="G17" i="16"/>
  <c r="K17" i="16" s="1"/>
  <c r="G61" i="16"/>
  <c r="G24" i="16"/>
  <c r="K24" i="16" s="1"/>
  <c r="G91" i="16"/>
  <c r="G15" i="16"/>
  <c r="K15" i="16" s="1"/>
  <c r="G64" i="16"/>
  <c r="K64" i="16" s="1"/>
  <c r="B27" i="46" s="1"/>
  <c r="C27" i="46" s="1"/>
  <c r="F27" i="46" s="1"/>
  <c r="G42" i="16"/>
  <c r="K42" i="16" s="1"/>
  <c r="G20" i="16"/>
  <c r="K20" i="16" s="1"/>
  <c r="G22" i="16"/>
  <c r="K22" i="16" s="1"/>
  <c r="G36" i="16"/>
  <c r="K36" i="16" s="1"/>
  <c r="G94" i="16"/>
  <c r="K94" i="16" s="1"/>
  <c r="B69" i="46" s="1"/>
  <c r="C69" i="46" s="1"/>
  <c r="F69" i="46" s="1"/>
  <c r="G93" i="16"/>
  <c r="G26" i="16"/>
  <c r="K26" i="16" s="1"/>
  <c r="G87" i="16"/>
  <c r="H3" i="16" a="1"/>
  <c r="H3" i="16" s="1"/>
  <c r="G41" i="16"/>
  <c r="K41" i="16" s="1"/>
  <c r="G54" i="16"/>
  <c r="G31" i="16"/>
  <c r="K31" i="16" s="1"/>
  <c r="G21" i="16"/>
  <c r="K21" i="16" s="1"/>
  <c r="G35" i="16"/>
  <c r="K35" i="16" s="1"/>
  <c r="G48" i="16"/>
  <c r="K48" i="16" s="1"/>
  <c r="B6" i="46" s="1"/>
  <c r="C6" i="46" s="1"/>
  <c r="F6" i="46" s="1"/>
  <c r="G52" i="16"/>
  <c r="G27" i="16"/>
  <c r="K27" i="16" s="1"/>
  <c r="G66" i="16"/>
  <c r="K66" i="16" s="1"/>
  <c r="B29" i="46" s="1"/>
  <c r="C29" i="46" s="1"/>
  <c r="F29" i="46" s="1"/>
  <c r="G34" i="16"/>
  <c r="K34" i="16" s="1"/>
  <c r="G60" i="16"/>
  <c r="G38" i="16"/>
  <c r="K38" i="16" s="1"/>
  <c r="G76" i="16"/>
  <c r="G32" i="16"/>
  <c r="K32" i="16" s="1"/>
  <c r="G47" i="16"/>
  <c r="K47" i="16" s="1"/>
  <c r="B5" i="46" s="1"/>
  <c r="C5" i="46" s="1"/>
  <c r="F5" i="46" s="1"/>
  <c r="G73" i="16"/>
  <c r="G53" i="16"/>
  <c r="K53" i="16" s="1"/>
  <c r="G43" i="16"/>
  <c r="K43" i="16" s="1"/>
  <c r="G44" i="16"/>
  <c r="K44" i="16" s="1"/>
  <c r="B2" i="46" s="1"/>
  <c r="C2" i="46" s="1"/>
  <c r="F2" i="46" s="1"/>
  <c r="G33" i="16"/>
  <c r="K33" i="16" s="1"/>
  <c r="G46" i="16"/>
  <c r="K46" i="16" s="1"/>
  <c r="B4" i="46" s="1"/>
  <c r="C4" i="46" s="1"/>
  <c r="F4" i="46" s="1"/>
  <c r="G59" i="16"/>
  <c r="G72" i="16"/>
  <c r="K72" i="16" s="1"/>
  <c r="B40" i="46" s="1"/>
  <c r="C40" i="46" s="1"/>
  <c r="F40" i="46" s="1"/>
  <c r="E3" i="16" a="1"/>
  <c r="E3" i="16" s="1"/>
  <c r="G39" i="16"/>
  <c r="K39" i="16" s="1"/>
  <c r="G78" i="16"/>
  <c r="G56" i="16"/>
  <c r="K56" i="16" s="1"/>
  <c r="B15" i="46" s="1"/>
  <c r="C15" i="46" s="1"/>
  <c r="F15" i="46" s="1"/>
  <c r="G58" i="16"/>
  <c r="G84" i="16"/>
  <c r="G29" i="16"/>
  <c r="K29" i="16" s="1"/>
  <c r="G50" i="16"/>
  <c r="G88" i="16"/>
  <c r="G65" i="16"/>
  <c r="K65" i="16" s="1"/>
  <c r="B28" i="46" s="1"/>
  <c r="C28" i="46" s="1"/>
  <c r="F28" i="46" s="1"/>
  <c r="G55" i="16"/>
  <c r="K55" i="16" s="1"/>
  <c r="B14" i="46" s="1"/>
  <c r="C14" i="46" s="1"/>
  <c r="F14" i="46" s="1"/>
  <c r="G45" i="16"/>
  <c r="K45" i="16" s="1"/>
  <c r="B3" i="46" s="1"/>
  <c r="C3" i="46" s="1"/>
  <c r="F3" i="46" s="1"/>
  <c r="G71" i="16"/>
  <c r="G16" i="16"/>
  <c r="K16" i="16" s="1"/>
  <c r="I3" i="16" a="1"/>
  <c r="I3" i="16" s="1"/>
  <c r="G77" i="16"/>
  <c r="K77" i="16" s="1"/>
  <c r="G67" i="16"/>
  <c r="G68" i="16"/>
  <c r="K68" i="16" s="1"/>
  <c r="B32" i="46" s="1"/>
  <c r="C32" i="46" s="1"/>
  <c r="F32" i="46" s="1"/>
  <c r="G57" i="16"/>
  <c r="G70" i="16"/>
  <c r="G83" i="16"/>
  <c r="G62" i="16"/>
  <c r="A8" i="37"/>
  <c r="E8" i="37" s="1"/>
  <c r="C7" i="37"/>
  <c r="H4" i="25" l="1"/>
  <c r="K258" i="16"/>
  <c r="K303" i="16"/>
  <c r="K313" i="16"/>
  <c r="K304" i="16"/>
  <c r="K314" i="16"/>
  <c r="K164" i="16"/>
  <c r="B158" i="46" s="1"/>
  <c r="C158" i="46" s="1"/>
  <c r="F158" i="46" s="1"/>
  <c r="K188" i="16"/>
  <c r="B176" i="46" s="1"/>
  <c r="C176" i="46" s="1"/>
  <c r="F176" i="46" s="1"/>
  <c r="K200" i="16"/>
  <c r="K212" i="16"/>
  <c r="K224" i="16"/>
  <c r="K236" i="16"/>
  <c r="K248" i="16"/>
  <c r="K260" i="16"/>
  <c r="K272" i="16"/>
  <c r="K284" i="16"/>
  <c r="K293" i="16"/>
  <c r="K305" i="16"/>
  <c r="K312" i="16"/>
  <c r="K96" i="16"/>
  <c r="B71" i="46" s="1"/>
  <c r="C71" i="46" s="1"/>
  <c r="F71" i="46" s="1"/>
  <c r="K132" i="16"/>
  <c r="B117" i="46" s="1"/>
  <c r="C117" i="46" s="1"/>
  <c r="F117" i="46" s="1"/>
  <c r="K154" i="16"/>
  <c r="B147" i="46" s="1"/>
  <c r="C147" i="46" s="1"/>
  <c r="F147" i="46" s="1"/>
  <c r="K190" i="16"/>
  <c r="K202" i="16"/>
  <c r="B183" i="46" s="1"/>
  <c r="C183" i="46" s="1"/>
  <c r="F183" i="46" s="1"/>
  <c r="K226" i="16"/>
  <c r="K238" i="16"/>
  <c r="K250" i="16"/>
  <c r="K274" i="16"/>
  <c r="K286" i="16"/>
  <c r="K315" i="16"/>
  <c r="K323" i="16"/>
  <c r="K81" i="16"/>
  <c r="B54" i="46" s="1"/>
  <c r="C54" i="46" s="1"/>
  <c r="F54" i="46" s="1"/>
  <c r="K80" i="16"/>
  <c r="B53" i="46" s="1"/>
  <c r="C53" i="46" s="1"/>
  <c r="F53" i="46" s="1"/>
  <c r="K97" i="16"/>
  <c r="B72" i="46" s="1"/>
  <c r="C72" i="46" s="1"/>
  <c r="F72" i="46" s="1"/>
  <c r="K133" i="16"/>
  <c r="B118" i="46" s="1"/>
  <c r="C118" i="46" s="1"/>
  <c r="F118" i="46" s="1"/>
  <c r="K227" i="16"/>
  <c r="K251" i="16"/>
  <c r="K275" i="16"/>
  <c r="K287" i="16"/>
  <c r="K318" i="16"/>
  <c r="K319" i="16"/>
  <c r="K83" i="16"/>
  <c r="B56" i="46" s="1"/>
  <c r="C56" i="46" s="1"/>
  <c r="F56" i="46" s="1"/>
  <c r="K79" i="16"/>
  <c r="B52" i="46" s="1"/>
  <c r="C52" i="46" s="1"/>
  <c r="F52" i="46" s="1"/>
  <c r="K156" i="16"/>
  <c r="B149" i="46" s="1"/>
  <c r="C149" i="46" s="1"/>
  <c r="F149" i="46" s="1"/>
  <c r="K316" i="16"/>
  <c r="K324" i="16"/>
  <c r="K62" i="16"/>
  <c r="B24" i="46" s="1"/>
  <c r="C24" i="46" s="1"/>
  <c r="F24" i="46" s="1"/>
  <c r="K88" i="16"/>
  <c r="B63" i="46" s="1"/>
  <c r="C63" i="46" s="1"/>
  <c r="F63" i="46" s="1"/>
  <c r="K49" i="16"/>
  <c r="B7" i="46" s="1"/>
  <c r="C7" i="46" s="1"/>
  <c r="F7" i="46" s="1"/>
  <c r="K50" i="16"/>
  <c r="B8" i="46" s="1"/>
  <c r="C8" i="46" s="1"/>
  <c r="F8" i="46" s="1"/>
  <c r="K52" i="16"/>
  <c r="B10" i="46" s="1"/>
  <c r="C10" i="46" s="1"/>
  <c r="F10" i="46" s="1"/>
  <c r="K99" i="16"/>
  <c r="B74" i="46" s="1"/>
  <c r="C74" i="46" s="1"/>
  <c r="F74" i="46" s="1"/>
  <c r="K123" i="16"/>
  <c r="B104" i="46" s="1"/>
  <c r="C104" i="46" s="1"/>
  <c r="F104" i="46" s="1"/>
  <c r="K217" i="16"/>
  <c r="K265" i="16"/>
  <c r="K277" i="16"/>
  <c r="K308" i="16"/>
  <c r="K322" i="16"/>
  <c r="K317" i="16"/>
  <c r="K321" i="16"/>
  <c r="K84" i="16"/>
  <c r="B58" i="46" s="1"/>
  <c r="C58" i="46" s="1"/>
  <c r="F58" i="46" s="1"/>
  <c r="K307" i="16"/>
  <c r="K320" i="16"/>
  <c r="K67" i="16"/>
  <c r="B31" i="46" s="1"/>
  <c r="C31" i="46" s="1"/>
  <c r="F31" i="46" s="1"/>
  <c r="K126" i="16"/>
  <c r="B109" i="46" s="1"/>
  <c r="C109" i="46" s="1"/>
  <c r="F109" i="46" s="1"/>
  <c r="K150" i="16"/>
  <c r="B142" i="46" s="1"/>
  <c r="C142" i="46" s="1"/>
  <c r="F142" i="46" s="1"/>
  <c r="K310" i="16"/>
  <c r="K309" i="16"/>
  <c r="K106" i="16"/>
  <c r="B82" i="46" s="1"/>
  <c r="C82" i="46" s="1"/>
  <c r="F82" i="46" s="1"/>
  <c r="K130" i="16"/>
  <c r="B115" i="46" s="1"/>
  <c r="C115" i="46" s="1"/>
  <c r="F115" i="46" s="1"/>
  <c r="K60" i="16"/>
  <c r="K87" i="16"/>
  <c r="K61" i="16"/>
  <c r="B23" i="46" s="1"/>
  <c r="C23" i="46" s="1"/>
  <c r="F23" i="46" s="1"/>
  <c r="K95" i="16"/>
  <c r="B70" i="46" s="1"/>
  <c r="C70" i="46" s="1"/>
  <c r="F70" i="46" s="1"/>
  <c r="K108" i="16"/>
  <c r="B84" i="46" s="1"/>
  <c r="C84" i="46" s="1"/>
  <c r="F84" i="46" s="1"/>
  <c r="K119" i="16"/>
  <c r="B100" i="46" s="1"/>
  <c r="C100" i="46" s="1"/>
  <c r="F100" i="46" s="1"/>
  <c r="K131" i="16"/>
  <c r="B116" i="46" s="1"/>
  <c r="C116" i="46" s="1"/>
  <c r="F116" i="46" s="1"/>
  <c r="K143" i="16"/>
  <c r="B131" i="46" s="1"/>
  <c r="C131" i="46" s="1"/>
  <c r="F131" i="46" s="1"/>
  <c r="K153" i="16"/>
  <c r="B146" i="46" s="1"/>
  <c r="C146" i="46" s="1"/>
  <c r="F146" i="46" s="1"/>
  <c r="K163" i="16"/>
  <c r="B157" i="46" s="1"/>
  <c r="C157" i="46" s="1"/>
  <c r="F157" i="46" s="1"/>
  <c r="K174" i="16"/>
  <c r="B167" i="46" s="1"/>
  <c r="C167" i="46" s="1"/>
  <c r="F167" i="46" s="1"/>
  <c r="K186" i="16"/>
  <c r="B175" i="46" s="1"/>
  <c r="C175" i="46" s="1"/>
  <c r="F175" i="46" s="1"/>
  <c r="K199" i="16"/>
  <c r="B181" i="46" s="1"/>
  <c r="C181" i="46" s="1"/>
  <c r="F181" i="46" s="1"/>
  <c r="K211" i="16"/>
  <c r="B188" i="46" s="1"/>
  <c r="C188" i="46" s="1"/>
  <c r="K223" i="16"/>
  <c r="K235" i="16"/>
  <c r="K246" i="16"/>
  <c r="K259" i="16"/>
  <c r="K271" i="16"/>
  <c r="K283" i="16"/>
  <c r="K295" i="16"/>
  <c r="K110" i="16"/>
  <c r="K71" i="16"/>
  <c r="K59" i="16"/>
  <c r="B19" i="46" s="1"/>
  <c r="C19" i="46" s="1"/>
  <c r="F19" i="46" s="1"/>
  <c r="K120" i="16"/>
  <c r="K144" i="16"/>
  <c r="B132" i="46" s="1"/>
  <c r="C132" i="46" s="1"/>
  <c r="F132" i="46" s="1"/>
  <c r="K178" i="16"/>
  <c r="K69" i="16"/>
  <c r="K107" i="16"/>
  <c r="B83" i="46" s="1"/>
  <c r="C83" i="46" s="1"/>
  <c r="F83" i="46" s="1"/>
  <c r="K93" i="16"/>
  <c r="K109" i="16"/>
  <c r="B85" i="46" s="1"/>
  <c r="C85" i="46" s="1"/>
  <c r="F85" i="46" s="1"/>
  <c r="K121" i="16"/>
  <c r="B103" i="46" s="1"/>
  <c r="C103" i="46" s="1"/>
  <c r="F103" i="46" s="1"/>
  <c r="K145" i="16"/>
  <c r="K75" i="16"/>
  <c r="B46" i="46" s="1"/>
  <c r="C46" i="46" s="1"/>
  <c r="F46" i="46" s="1"/>
  <c r="K155" i="16"/>
  <c r="B148" i="46" s="1"/>
  <c r="C148" i="46" s="1"/>
  <c r="F148" i="46" s="1"/>
  <c r="K165" i="16"/>
  <c r="B159" i="46" s="1"/>
  <c r="C159" i="46" s="1"/>
  <c r="F159" i="46" s="1"/>
  <c r="K177" i="16"/>
  <c r="K189" i="16"/>
  <c r="K201" i="16"/>
  <c r="B182" i="46" s="1"/>
  <c r="C182" i="46" s="1"/>
  <c r="F182" i="46" s="1"/>
  <c r="K213" i="16"/>
  <c r="K225" i="16"/>
  <c r="K237" i="16"/>
  <c r="K249" i="16"/>
  <c r="K261" i="16"/>
  <c r="K273" i="16"/>
  <c r="K285" i="16"/>
  <c r="K297" i="16"/>
  <c r="B136" i="46"/>
  <c r="C136" i="46" s="1"/>
  <c r="F136" i="46" s="1"/>
  <c r="B137" i="46"/>
  <c r="C137" i="46" s="1"/>
  <c r="F137" i="46" s="1"/>
  <c r="K166" i="16"/>
  <c r="B160" i="46" s="1"/>
  <c r="C160" i="46" s="1"/>
  <c r="F160" i="46" s="1"/>
  <c r="K176" i="16"/>
  <c r="B168" i="46" s="1"/>
  <c r="C168" i="46" s="1"/>
  <c r="F168" i="46" s="1"/>
  <c r="K214" i="16"/>
  <c r="K262" i="16"/>
  <c r="K298" i="16"/>
  <c r="K157" i="16"/>
  <c r="B150" i="46" s="1"/>
  <c r="C150" i="46" s="1"/>
  <c r="F150" i="46" s="1"/>
  <c r="K167" i="16"/>
  <c r="B161" i="46" s="1"/>
  <c r="C161" i="46" s="1"/>
  <c r="F161" i="46" s="1"/>
  <c r="K179" i="16"/>
  <c r="B169" i="46" s="1"/>
  <c r="C169" i="46" s="1"/>
  <c r="F169" i="46" s="1"/>
  <c r="K191" i="16"/>
  <c r="B177" i="46" s="1"/>
  <c r="C177" i="46" s="1"/>
  <c r="F177" i="46" s="1"/>
  <c r="K203" i="16"/>
  <c r="K215" i="16"/>
  <c r="K240" i="16"/>
  <c r="K263" i="16"/>
  <c r="K299" i="16"/>
  <c r="K70" i="16"/>
  <c r="B37" i="46" s="1"/>
  <c r="C37" i="46" s="1"/>
  <c r="F37" i="46" s="1"/>
  <c r="K111" i="16"/>
  <c r="B88" i="46" s="1"/>
  <c r="C88" i="46" s="1"/>
  <c r="F88" i="46" s="1"/>
  <c r="K135" i="16"/>
  <c r="B122" i="46" s="1"/>
  <c r="C122" i="46" s="1"/>
  <c r="F122" i="46" s="1"/>
  <c r="K147" i="16"/>
  <c r="K57" i="16"/>
  <c r="B16" i="46" s="1"/>
  <c r="C16" i="46" s="1"/>
  <c r="F16" i="46" s="1"/>
  <c r="K86" i="16"/>
  <c r="B60" i="46" s="1"/>
  <c r="C60" i="46" s="1"/>
  <c r="F60" i="46" s="1"/>
  <c r="K74" i="16"/>
  <c r="K100" i="16"/>
  <c r="B75" i="46" s="1"/>
  <c r="C75" i="46" s="1"/>
  <c r="F75" i="46" s="1"/>
  <c r="K112" i="16"/>
  <c r="K124" i="16"/>
  <c r="B106" i="46" s="1"/>
  <c r="C106" i="46" s="1"/>
  <c r="F106" i="46" s="1"/>
  <c r="K136" i="16"/>
  <c r="B123" i="46" s="1"/>
  <c r="C123" i="46" s="1"/>
  <c r="F123" i="46" s="1"/>
  <c r="K148" i="16"/>
  <c r="B140" i="46" s="1"/>
  <c r="C140" i="46" s="1"/>
  <c r="F140" i="46" s="1"/>
  <c r="K89" i="16"/>
  <c r="B64" i="46" s="1"/>
  <c r="C64" i="46" s="1"/>
  <c r="F64" i="46" s="1"/>
  <c r="K158" i="16"/>
  <c r="B151" i="46" s="1"/>
  <c r="C151" i="46" s="1"/>
  <c r="F151" i="46" s="1"/>
  <c r="K168" i="16"/>
  <c r="B162" i="46" s="1"/>
  <c r="C162" i="46" s="1"/>
  <c r="F162" i="46" s="1"/>
  <c r="K180" i="16"/>
  <c r="B170" i="46" s="1"/>
  <c r="C170" i="46" s="1"/>
  <c r="F170" i="46" s="1"/>
  <c r="K192" i="16"/>
  <c r="B178" i="46" s="1"/>
  <c r="C178" i="46" s="1"/>
  <c r="F178" i="46" s="1"/>
  <c r="K205" i="16"/>
  <c r="K216" i="16"/>
  <c r="K228" i="16"/>
  <c r="K239" i="16"/>
  <c r="K252" i="16"/>
  <c r="K264" i="16"/>
  <c r="K276" i="16"/>
  <c r="K288" i="16"/>
  <c r="K300" i="16"/>
  <c r="B12" i="46"/>
  <c r="C12" i="46" s="1"/>
  <c r="F12" i="46" s="1"/>
  <c r="B11" i="46"/>
  <c r="C11" i="46" s="1"/>
  <c r="F11" i="46" s="1"/>
  <c r="B107" i="46"/>
  <c r="C107" i="46" s="1"/>
  <c r="F107" i="46" s="1"/>
  <c r="B108" i="46"/>
  <c r="C108" i="46" s="1"/>
  <c r="F108" i="46" s="1"/>
  <c r="K159" i="16"/>
  <c r="K169" i="16"/>
  <c r="B163" i="46" s="1"/>
  <c r="C163" i="46" s="1"/>
  <c r="F163" i="46" s="1"/>
  <c r="K181" i="16"/>
  <c r="B171" i="46" s="1"/>
  <c r="C171" i="46" s="1"/>
  <c r="F171" i="46" s="1"/>
  <c r="K193" i="16"/>
  <c r="K204" i="16"/>
  <c r="B184" i="46" s="1"/>
  <c r="C184" i="46" s="1"/>
  <c r="F184" i="46" s="1"/>
  <c r="K229" i="16"/>
  <c r="K241" i="16"/>
  <c r="K253" i="16"/>
  <c r="K290" i="16"/>
  <c r="K301" i="16"/>
  <c r="K149" i="16"/>
  <c r="B141" i="46" s="1"/>
  <c r="C141" i="46" s="1"/>
  <c r="F141" i="46" s="1"/>
  <c r="K58" i="16"/>
  <c r="K73" i="16"/>
  <c r="K82" i="16"/>
  <c r="B55" i="46" s="1"/>
  <c r="C55" i="46" s="1"/>
  <c r="F55" i="46" s="1"/>
  <c r="B92" i="46"/>
  <c r="C92" i="46" s="1"/>
  <c r="F92" i="46" s="1"/>
  <c r="B93" i="46"/>
  <c r="C93" i="46" s="1"/>
  <c r="F93" i="46" s="1"/>
  <c r="B94" i="46"/>
  <c r="C94" i="46" s="1"/>
  <c r="F94" i="46" s="1"/>
  <c r="K137" i="16"/>
  <c r="B124" i="46" s="1"/>
  <c r="C124" i="46" s="1"/>
  <c r="F124" i="46" s="1"/>
  <c r="K160" i="16"/>
  <c r="B154" i="46" s="1"/>
  <c r="C154" i="46" s="1"/>
  <c r="F154" i="46" s="1"/>
  <c r="K170" i="16"/>
  <c r="B164" i="46" s="1"/>
  <c r="C164" i="46" s="1"/>
  <c r="F164" i="46" s="1"/>
  <c r="K182" i="16"/>
  <c r="B172" i="46" s="1"/>
  <c r="C172" i="46" s="1"/>
  <c r="F172" i="46" s="1"/>
  <c r="K194" i="16"/>
  <c r="B179" i="46" s="1"/>
  <c r="C179" i="46" s="1"/>
  <c r="F179" i="46" s="1"/>
  <c r="K206" i="16"/>
  <c r="B185" i="46" s="1"/>
  <c r="C185" i="46" s="1"/>
  <c r="F185" i="46" s="1"/>
  <c r="K218" i="16"/>
  <c r="K230" i="16"/>
  <c r="K242" i="16"/>
  <c r="K254" i="16"/>
  <c r="K266" i="16"/>
  <c r="K278" i="16"/>
  <c r="K289" i="16"/>
  <c r="K302" i="16"/>
  <c r="B50" i="46"/>
  <c r="C50" i="46" s="1"/>
  <c r="F50" i="46" s="1"/>
  <c r="B49" i="46"/>
  <c r="C49" i="46" s="1"/>
  <c r="F49" i="46" s="1"/>
  <c r="B110" i="46"/>
  <c r="C110" i="46" s="1"/>
  <c r="F110" i="46" s="1"/>
  <c r="B111" i="46"/>
  <c r="C111" i="46" s="1"/>
  <c r="F111" i="46" s="1"/>
  <c r="K139" i="16"/>
  <c r="B126" i="46" s="1"/>
  <c r="C126" i="46" s="1"/>
  <c r="F126" i="46" s="1"/>
  <c r="K90" i="16"/>
  <c r="B65" i="46" s="1"/>
  <c r="C65" i="46" s="1"/>
  <c r="F65" i="46" s="1"/>
  <c r="K171" i="16"/>
  <c r="B165" i="46" s="1"/>
  <c r="C165" i="46" s="1"/>
  <c r="F165" i="46" s="1"/>
  <c r="K183" i="16"/>
  <c r="B173" i="46" s="1"/>
  <c r="C173" i="46" s="1"/>
  <c r="F173" i="46" s="1"/>
  <c r="K195" i="16"/>
  <c r="K207" i="16"/>
  <c r="K219" i="16"/>
  <c r="K231" i="16"/>
  <c r="K243" i="16"/>
  <c r="K256" i="16"/>
  <c r="K267" i="16"/>
  <c r="K279" i="16"/>
  <c r="K291" i="16"/>
  <c r="B25" i="46"/>
  <c r="C25" i="46" s="1"/>
  <c r="F25" i="46" s="1"/>
  <c r="B26" i="46"/>
  <c r="C26" i="46" s="1"/>
  <c r="F26" i="46" s="1"/>
  <c r="K51" i="16"/>
  <c r="B9" i="46" s="1"/>
  <c r="C9" i="46" s="1"/>
  <c r="F9" i="46" s="1"/>
  <c r="K104" i="16"/>
  <c r="B79" i="46" s="1"/>
  <c r="C79" i="46" s="1"/>
  <c r="F79" i="46" s="1"/>
  <c r="K116" i="16"/>
  <c r="K140" i="16"/>
  <c r="B127" i="46" s="1"/>
  <c r="C127" i="46" s="1"/>
  <c r="F127" i="46" s="1"/>
  <c r="K162" i="16"/>
  <c r="B156" i="46" s="1"/>
  <c r="C156" i="46" s="1"/>
  <c r="F156" i="46" s="1"/>
  <c r="K172" i="16"/>
  <c r="K184" i="16"/>
  <c r="B174" i="46" s="1"/>
  <c r="C174" i="46" s="1"/>
  <c r="F174" i="46" s="1"/>
  <c r="K196" i="16"/>
  <c r="B180" i="46" s="1"/>
  <c r="C180" i="46" s="1"/>
  <c r="F180" i="46" s="1"/>
  <c r="K208" i="16"/>
  <c r="B186" i="46" s="1"/>
  <c r="C186" i="46" s="1"/>
  <c r="F186" i="46" s="1"/>
  <c r="K220" i="16"/>
  <c r="K232" i="16"/>
  <c r="K244" i="16"/>
  <c r="K255" i="16"/>
  <c r="K268" i="16"/>
  <c r="K280" i="16"/>
  <c r="K296" i="16"/>
  <c r="K161" i="16"/>
  <c r="B155" i="46" s="1"/>
  <c r="C155" i="46" s="1"/>
  <c r="F155" i="46" s="1"/>
  <c r="K78" i="16"/>
  <c r="B51" i="46" s="1"/>
  <c r="C51" i="46" s="1"/>
  <c r="F51" i="46" s="1"/>
  <c r="K54" i="16"/>
  <c r="B13" i="46" s="1"/>
  <c r="C13" i="46" s="1"/>
  <c r="F13" i="46" s="1"/>
  <c r="K76" i="16"/>
  <c r="K91" i="16"/>
  <c r="K105" i="16"/>
  <c r="K117" i="16"/>
  <c r="K129" i="16"/>
  <c r="K141" i="16"/>
  <c r="B128" i="46" s="1"/>
  <c r="C128" i="46" s="1"/>
  <c r="F128" i="46" s="1"/>
  <c r="K152" i="16"/>
  <c r="B145" i="46" s="1"/>
  <c r="C145" i="46" s="1"/>
  <c r="F145" i="46" s="1"/>
  <c r="K173" i="16"/>
  <c r="B166" i="46" s="1"/>
  <c r="C166" i="46" s="1"/>
  <c r="F166" i="46" s="1"/>
  <c r="K185" i="16"/>
  <c r="K197" i="16"/>
  <c r="K209" i="16"/>
  <c r="B187" i="46" s="1"/>
  <c r="C187" i="46" s="1"/>
  <c r="F187" i="46" s="1"/>
  <c r="K221" i="16"/>
  <c r="K234" i="16"/>
  <c r="K245" i="16"/>
  <c r="K257" i="16"/>
  <c r="K269" i="16"/>
  <c r="K281" i="16"/>
  <c r="K292" i="16"/>
  <c r="K92" i="16"/>
  <c r="B66" i="46" s="1"/>
  <c r="C66" i="46" s="1"/>
  <c r="F66" i="46" s="1"/>
  <c r="K118" i="16"/>
  <c r="K142" i="16"/>
  <c r="K151" i="16"/>
  <c r="K175" i="16"/>
  <c r="K187" i="16"/>
  <c r="K198" i="16"/>
  <c r="K210" i="16"/>
  <c r="K222" i="16"/>
  <c r="K233" i="16"/>
  <c r="K247" i="16"/>
  <c r="K270" i="16"/>
  <c r="K282" i="16"/>
  <c r="K294" i="16"/>
  <c r="D188" i="46"/>
  <c r="A189" i="46"/>
  <c r="J3" i="16"/>
  <c r="C8" i="37"/>
  <c r="A9" i="37"/>
  <c r="E9" i="37" s="1"/>
  <c r="F188" i="46" l="1"/>
  <c r="B30" i="46"/>
  <c r="C30" i="46" s="1"/>
  <c r="F30" i="46" s="1"/>
  <c r="B105" i="46"/>
  <c r="C105" i="46" s="1"/>
  <c r="F105" i="46" s="1"/>
  <c r="B120" i="46"/>
  <c r="C120" i="46" s="1"/>
  <c r="F120" i="46" s="1"/>
  <c r="B57" i="46"/>
  <c r="C57" i="46" s="1"/>
  <c r="F57" i="46" s="1"/>
  <c r="B119" i="46"/>
  <c r="C119" i="46" s="1"/>
  <c r="F119" i="46" s="1"/>
  <c r="B86" i="46"/>
  <c r="C86" i="46" s="1"/>
  <c r="F86" i="46" s="1"/>
  <c r="B87" i="46"/>
  <c r="C87" i="46" s="1"/>
  <c r="F87" i="46" s="1"/>
  <c r="B113" i="46"/>
  <c r="C113" i="46" s="1"/>
  <c r="F113" i="46" s="1"/>
  <c r="B114" i="46"/>
  <c r="C114" i="46" s="1"/>
  <c r="F114" i="46" s="1"/>
  <c r="B67" i="46"/>
  <c r="C67" i="46" s="1"/>
  <c r="F67" i="46" s="1"/>
  <c r="B68" i="46"/>
  <c r="C68" i="46" s="1"/>
  <c r="F68" i="46" s="1"/>
  <c r="B80" i="46"/>
  <c r="C80" i="46" s="1"/>
  <c r="F80" i="46" s="1"/>
  <c r="B81" i="46"/>
  <c r="C81" i="46" s="1"/>
  <c r="F81" i="46" s="1"/>
  <c r="B41" i="46"/>
  <c r="C41" i="46" s="1"/>
  <c r="F41" i="46" s="1"/>
  <c r="B42" i="46"/>
  <c r="C42" i="46" s="1"/>
  <c r="F42" i="46" s="1"/>
  <c r="B89" i="46"/>
  <c r="C89" i="46" s="1"/>
  <c r="F89" i="46" s="1"/>
  <c r="B90" i="46"/>
  <c r="C90" i="46" s="1"/>
  <c r="F90" i="46" s="1"/>
  <c r="B17" i="46"/>
  <c r="C17" i="46" s="1"/>
  <c r="F17" i="46" s="1"/>
  <c r="B18" i="46"/>
  <c r="C18" i="46" s="1"/>
  <c r="F18" i="46" s="1"/>
  <c r="B35" i="46"/>
  <c r="C35" i="46" s="1"/>
  <c r="F35" i="46" s="1"/>
  <c r="B36" i="46"/>
  <c r="C36" i="46" s="1"/>
  <c r="F36" i="46" s="1"/>
  <c r="B33" i="46"/>
  <c r="C33" i="46" s="1"/>
  <c r="F33" i="46" s="1"/>
  <c r="B34" i="46"/>
  <c r="C34" i="46" s="1"/>
  <c r="F34" i="46" s="1"/>
  <c r="B152" i="46"/>
  <c r="C152" i="46" s="1"/>
  <c r="F152" i="46" s="1"/>
  <c r="B153" i="46"/>
  <c r="C153" i="46" s="1"/>
  <c r="F153" i="46" s="1"/>
  <c r="B44" i="46"/>
  <c r="C44" i="46" s="1"/>
  <c r="F44" i="46" s="1"/>
  <c r="B45" i="46"/>
  <c r="C45" i="46" s="1"/>
  <c r="F45" i="46" s="1"/>
  <c r="B43" i="46"/>
  <c r="C43" i="46" s="1"/>
  <c r="F43" i="46" s="1"/>
  <c r="B101" i="46"/>
  <c r="C101" i="46" s="1"/>
  <c r="F101" i="46" s="1"/>
  <c r="B102" i="46"/>
  <c r="C102" i="46" s="1"/>
  <c r="F102" i="46" s="1"/>
  <c r="B47" i="46"/>
  <c r="C47" i="46" s="1"/>
  <c r="F47" i="46" s="1"/>
  <c r="B48" i="46"/>
  <c r="C48" i="46" s="1"/>
  <c r="F48" i="46" s="1"/>
  <c r="B143" i="46"/>
  <c r="C143" i="46" s="1"/>
  <c r="F143" i="46" s="1"/>
  <c r="B144" i="46"/>
  <c r="C144" i="46" s="1"/>
  <c r="F144" i="46" s="1"/>
  <c r="B138" i="46"/>
  <c r="C138" i="46" s="1"/>
  <c r="F138" i="46" s="1"/>
  <c r="B139" i="46"/>
  <c r="C139" i="46" s="1"/>
  <c r="F139" i="46" s="1"/>
  <c r="B133" i="46"/>
  <c r="C133" i="46" s="1"/>
  <c r="F133" i="46" s="1"/>
  <c r="B134" i="46"/>
  <c r="C134" i="46" s="1"/>
  <c r="F134" i="46" s="1"/>
  <c r="B135" i="46"/>
  <c r="C135" i="46" s="1"/>
  <c r="F135" i="46" s="1"/>
  <c r="B61" i="46"/>
  <c r="C61" i="46" s="1"/>
  <c r="F61" i="46" s="1"/>
  <c r="B62" i="46"/>
  <c r="C62" i="46" s="1"/>
  <c r="F62" i="46" s="1"/>
  <c r="B129" i="46"/>
  <c r="C129" i="46" s="1"/>
  <c r="F129" i="46" s="1"/>
  <c r="B130" i="46"/>
  <c r="C130" i="46" s="1"/>
  <c r="F130" i="46" s="1"/>
  <c r="B38" i="46"/>
  <c r="C38" i="46" s="1"/>
  <c r="F38" i="46" s="1"/>
  <c r="B39" i="46"/>
  <c r="C39" i="46" s="1"/>
  <c r="F39" i="46" s="1"/>
  <c r="B20" i="46"/>
  <c r="C20" i="46" s="1"/>
  <c r="F20" i="46" s="1"/>
  <c r="B21" i="46"/>
  <c r="C21" i="46" s="1"/>
  <c r="F21" i="46" s="1"/>
  <c r="B22" i="46"/>
  <c r="C22" i="46" s="1"/>
  <c r="F22" i="46" s="1"/>
  <c r="B98" i="46"/>
  <c r="C98" i="46" s="1"/>
  <c r="F98" i="46" s="1"/>
  <c r="B99" i="46"/>
  <c r="C99" i="46" s="1"/>
  <c r="F99" i="46" s="1"/>
  <c r="B96" i="46"/>
  <c r="C96" i="46" s="1"/>
  <c r="F96" i="46" s="1"/>
  <c r="B97" i="46"/>
  <c r="C97" i="46" s="1"/>
  <c r="F97" i="46" s="1"/>
  <c r="B189" i="46"/>
  <c r="C189" i="46" s="1"/>
  <c r="D189" i="46"/>
  <c r="A190" i="46"/>
  <c r="A10" i="37"/>
  <c r="E10" i="37" s="1"/>
  <c r="C9" i="37"/>
  <c r="F189" i="46" l="1"/>
  <c r="B190" i="46"/>
  <c r="C190" i="46" s="1"/>
  <c r="D190" i="46"/>
  <c r="A191" i="46"/>
  <c r="C10" i="37"/>
  <c r="A11" i="37"/>
  <c r="E11" i="37" s="1"/>
  <c r="F190" i="46" l="1"/>
  <c r="B191" i="46"/>
  <c r="C191" i="46" s="1"/>
  <c r="D191" i="46"/>
  <c r="A192" i="46"/>
  <c r="C11" i="37"/>
  <c r="A12" i="37"/>
  <c r="E12" i="37" s="1"/>
  <c r="F191" i="46" l="1"/>
  <c r="B192" i="46"/>
  <c r="C192" i="46" s="1"/>
  <c r="D192" i="46"/>
  <c r="A193" i="46"/>
  <c r="C12" i="37"/>
  <c r="A13" i="37"/>
  <c r="E13" i="37" s="1"/>
  <c r="F192" i="46" l="1"/>
  <c r="B193" i="46"/>
  <c r="C193" i="46" s="1"/>
  <c r="D193" i="46"/>
  <c r="A194" i="46"/>
  <c r="C13" i="37"/>
  <c r="A14" i="37"/>
  <c r="E14" i="37" s="1"/>
  <c r="F193" i="46" l="1"/>
  <c r="B194" i="46"/>
  <c r="C194" i="46" s="1"/>
  <c r="D194" i="46"/>
  <c r="A195" i="46"/>
  <c r="C14" i="37"/>
  <c r="A15" i="37"/>
  <c r="E15" i="37" s="1"/>
  <c r="E9" i="28"/>
  <c r="D7" i="28"/>
  <c r="H7" i="28"/>
  <c r="H9" i="28"/>
  <c r="I7" i="28"/>
  <c r="I9" i="28"/>
  <c r="D8" i="28"/>
  <c r="E8" i="28"/>
  <c r="E7" i="28"/>
  <c r="H8" i="28"/>
  <c r="I8" i="28"/>
  <c r="D9" i="28"/>
  <c r="F194" i="46" l="1"/>
  <c r="O9" i="28"/>
  <c r="O8" i="28"/>
  <c r="G3" i="25"/>
  <c r="N7" i="28"/>
  <c r="O7" i="28"/>
  <c r="N8" i="28"/>
  <c r="N9" i="28"/>
  <c r="D195" i="46"/>
  <c r="B195" i="46"/>
  <c r="C195" i="46" s="1"/>
  <c r="A196" i="46"/>
  <c r="A16" i="37"/>
  <c r="E16" i="37" s="1"/>
  <c r="C15" i="37"/>
  <c r="H3" i="25" l="1"/>
  <c r="F195" i="46"/>
  <c r="B196" i="46"/>
  <c r="C196" i="46" s="1"/>
  <c r="D196" i="46"/>
  <c r="A197" i="46"/>
  <c r="A17" i="37"/>
  <c r="E17" i="37" s="1"/>
  <c r="C16" i="37"/>
  <c r="F196" i="46" l="1"/>
  <c r="D197" i="46"/>
  <c r="B197" i="46"/>
  <c r="C197" i="46" s="1"/>
  <c r="A198" i="46"/>
  <c r="A18" i="37"/>
  <c r="E18" i="37" s="1"/>
  <c r="C17" i="37"/>
  <c r="F197" i="46" l="1"/>
  <c r="D198" i="46"/>
  <c r="B198" i="46"/>
  <c r="C198" i="46" s="1"/>
  <c r="A199" i="46"/>
  <c r="C18" i="37"/>
  <c r="A19" i="37"/>
  <c r="E19" i="37" s="1"/>
  <c r="F198" i="46" l="1"/>
  <c r="D199" i="46"/>
  <c r="B199" i="46"/>
  <c r="C199" i="46" s="1"/>
  <c r="A200" i="46"/>
  <c r="A20" i="37"/>
  <c r="E20" i="37" s="1"/>
  <c r="C19" i="37"/>
  <c r="F199" i="46" l="1"/>
  <c r="B200" i="46"/>
  <c r="C200" i="46" s="1"/>
  <c r="D200" i="46"/>
  <c r="A201" i="46"/>
  <c r="A21" i="37"/>
  <c r="E21" i="37" s="1"/>
  <c r="C20" i="37"/>
  <c r="F200" i="46" l="1"/>
  <c r="B201" i="46"/>
  <c r="C201" i="46" s="1"/>
  <c r="D201" i="46"/>
  <c r="A202" i="46"/>
  <c r="A22" i="37"/>
  <c r="E22" i="37" s="1"/>
  <c r="C21" i="37"/>
  <c r="F201" i="46" l="1"/>
  <c r="B202" i="46"/>
  <c r="C202" i="46" s="1"/>
  <c r="D202" i="46"/>
  <c r="A203" i="46"/>
  <c r="A23" i="37"/>
  <c r="E23" i="37" s="1"/>
  <c r="C22" i="37"/>
  <c r="F202" i="46" l="1"/>
  <c r="B203" i="46"/>
  <c r="C203" i="46" s="1"/>
  <c r="D203" i="46"/>
  <c r="A204" i="46"/>
  <c r="C23" i="37"/>
  <c r="A24" i="37"/>
  <c r="E24" i="37" s="1"/>
  <c r="F203" i="46" l="1"/>
  <c r="B204" i="46"/>
  <c r="C204" i="46" s="1"/>
  <c r="D204" i="46"/>
  <c r="A205" i="46"/>
  <c r="A25" i="37"/>
  <c r="E25" i="37" s="1"/>
  <c r="C24" i="37"/>
  <c r="F204" i="46" l="1"/>
  <c r="B205" i="46"/>
  <c r="C205" i="46" s="1"/>
  <c r="D205" i="46"/>
  <c r="A206" i="46"/>
  <c r="A26" i="37"/>
  <c r="E26" i="37" s="1"/>
  <c r="C25" i="37"/>
  <c r="F205" i="46" l="1"/>
  <c r="B206" i="46"/>
  <c r="C206" i="46" s="1"/>
  <c r="D206" i="46"/>
  <c r="A207" i="46"/>
  <c r="C26" i="37"/>
  <c r="A27" i="37"/>
  <c r="E27" i="37" s="1"/>
  <c r="F206" i="46" l="1"/>
  <c r="D207" i="46"/>
  <c r="B207" i="46"/>
  <c r="C207" i="46" s="1"/>
  <c r="A208" i="46"/>
  <c r="A28" i="37"/>
  <c r="E28" i="37" s="1"/>
  <c r="C27" i="37"/>
  <c r="F207" i="46" l="1"/>
  <c r="B208" i="46"/>
  <c r="C208" i="46" s="1"/>
  <c r="D208" i="46"/>
  <c r="A209" i="46"/>
  <c r="C28" i="37"/>
  <c r="A29" i="37"/>
  <c r="E29" i="37" s="1"/>
  <c r="F208" i="46" l="1"/>
  <c r="D209" i="46"/>
  <c r="B209" i="46"/>
  <c r="C209" i="46" s="1"/>
  <c r="A210" i="46"/>
  <c r="C29" i="37"/>
  <c r="A30" i="37"/>
  <c r="E30" i="37" s="1"/>
  <c r="F209" i="46" l="1"/>
  <c r="D210" i="46"/>
  <c r="B210" i="46"/>
  <c r="C210" i="46" s="1"/>
  <c r="A211" i="46"/>
  <c r="C30" i="37"/>
  <c r="A31" i="37"/>
  <c r="E31" i="37" s="1"/>
  <c r="F210" i="46" l="1"/>
  <c r="D211" i="46"/>
  <c r="B211" i="46"/>
  <c r="C211" i="46" s="1"/>
  <c r="A212" i="46"/>
  <c r="A32" i="37"/>
  <c r="E32" i="37" s="1"/>
  <c r="C31" i="37"/>
  <c r="F211" i="46" l="1"/>
  <c r="B212" i="46"/>
  <c r="C212" i="46" s="1"/>
  <c r="D212" i="46"/>
  <c r="A213" i="46"/>
  <c r="A33" i="37"/>
  <c r="E33" i="37" s="1"/>
  <c r="C32" i="37"/>
  <c r="F212" i="46" l="1"/>
  <c r="B213" i="46"/>
  <c r="C213" i="46" s="1"/>
  <c r="D213" i="46"/>
  <c r="A214" i="46"/>
  <c r="A34" i="37"/>
  <c r="E34" i="37" s="1"/>
  <c r="C33" i="37"/>
  <c r="F213" i="46" l="1"/>
  <c r="B214" i="46"/>
  <c r="C214" i="46" s="1"/>
  <c r="D214" i="46"/>
  <c r="A215" i="46"/>
  <c r="A35" i="37"/>
  <c r="E35" i="37" s="1"/>
  <c r="C34" i="37"/>
  <c r="F214" i="46" l="1"/>
  <c r="B215" i="46"/>
  <c r="C215" i="46" s="1"/>
  <c r="D215" i="46"/>
  <c r="A216" i="46"/>
  <c r="A36" i="37"/>
  <c r="E36" i="37" s="1"/>
  <c r="C35" i="37"/>
  <c r="F215" i="46" l="1"/>
  <c r="D216" i="46"/>
  <c r="B216" i="46"/>
  <c r="C216" i="46" s="1"/>
  <c r="A217" i="46"/>
  <c r="A37" i="37"/>
  <c r="E37" i="37" s="1"/>
  <c r="C36" i="37"/>
  <c r="D1" i="37" s="1"/>
  <c r="F216" i="46" l="1"/>
  <c r="F1" i="37"/>
  <c r="B217" i="46"/>
  <c r="C217" i="46" s="1"/>
  <c r="D217" i="46"/>
  <c r="A218" i="46"/>
  <c r="A38" i="37"/>
  <c r="E38" i="37" s="1"/>
  <c r="C37" i="37"/>
  <c r="F217" i="46" l="1"/>
  <c r="B218" i="46"/>
  <c r="C218" i="46" s="1"/>
  <c r="D218" i="46"/>
  <c r="A219" i="46"/>
  <c r="A39" i="37"/>
  <c r="E39" i="37" s="1"/>
  <c r="C38" i="37"/>
  <c r="F218" i="46" l="1"/>
  <c r="D219" i="46"/>
  <c r="B219" i="46"/>
  <c r="C219" i="46" s="1"/>
  <c r="A220" i="46"/>
  <c r="C39" i="37"/>
  <c r="A40" i="37"/>
  <c r="F219" i="46" l="1"/>
  <c r="B220" i="46"/>
  <c r="C220" i="46" s="1"/>
  <c r="D220" i="46"/>
  <c r="A221" i="46"/>
  <c r="C40" i="37"/>
  <c r="E40" i="37"/>
  <c r="F220" i="46" l="1"/>
  <c r="B221" i="46"/>
  <c r="C221" i="46" s="1"/>
  <c r="D221" i="46"/>
  <c r="A222" i="46"/>
  <c r="F221" i="46" l="1"/>
  <c r="D222" i="46"/>
  <c r="B222" i="46"/>
  <c r="C222" i="46" s="1"/>
  <c r="A223" i="46"/>
  <c r="F222" i="46" l="1"/>
  <c r="D223" i="46"/>
  <c r="B223" i="46"/>
  <c r="C223" i="46" s="1"/>
  <c r="A224" i="46"/>
  <c r="F223" i="46" l="1"/>
  <c r="B224" i="46"/>
  <c r="C224" i="46" s="1"/>
  <c r="D224" i="46"/>
  <c r="A225" i="46"/>
  <c r="F224" i="46" l="1"/>
  <c r="B225" i="46"/>
  <c r="C225" i="46" s="1"/>
  <c r="D225" i="46"/>
  <c r="A226" i="46"/>
  <c r="F225" i="46" l="1"/>
  <c r="B226" i="46"/>
  <c r="C226" i="46" s="1"/>
  <c r="D226" i="46"/>
  <c r="A227" i="46"/>
  <c r="F226" i="46" l="1"/>
  <c r="B227" i="46"/>
  <c r="C227" i="46" s="1"/>
  <c r="D227" i="46"/>
  <c r="A228" i="46"/>
  <c r="F227" i="46" l="1"/>
  <c r="B228" i="46"/>
  <c r="C228" i="46" s="1"/>
  <c r="D228" i="46"/>
  <c r="A229" i="46"/>
  <c r="F228" i="46" l="1"/>
  <c r="B229" i="46"/>
  <c r="C229" i="46" s="1"/>
  <c r="D229" i="46"/>
  <c r="A230" i="46"/>
  <c r="F229" i="46" l="1"/>
  <c r="B230" i="46"/>
  <c r="C230" i="46" s="1"/>
  <c r="D230" i="46"/>
  <c r="A231" i="46"/>
  <c r="F230" i="46" l="1"/>
  <c r="D231" i="46"/>
  <c r="B231" i="46"/>
  <c r="C231" i="46" s="1"/>
  <c r="A232" i="46"/>
  <c r="F231" i="46" l="1"/>
  <c r="B232" i="46"/>
  <c r="C232" i="46" s="1"/>
  <c r="D232" i="46"/>
  <c r="A233" i="46"/>
  <c r="F232" i="46" l="1"/>
  <c r="D233" i="46"/>
  <c r="B233" i="46"/>
  <c r="C233" i="46" s="1"/>
  <c r="A234" i="46"/>
  <c r="F233" i="46" l="1"/>
  <c r="B234" i="46"/>
  <c r="C234" i="46" s="1"/>
  <c r="D234" i="46"/>
  <c r="A235" i="46"/>
  <c r="F234" i="46" l="1"/>
  <c r="D235" i="46"/>
  <c r="A236" i="46"/>
  <c r="B235" i="46"/>
  <c r="C235" i="46" s="1"/>
  <c r="F235" i="46" l="1"/>
  <c r="B236" i="46"/>
  <c r="C236" i="46" s="1"/>
  <c r="A237" i="46"/>
  <c r="D236" i="46"/>
  <c r="F236" i="46" l="1"/>
  <c r="B237" i="46"/>
  <c r="C237" i="46" s="1"/>
  <c r="A238" i="46"/>
  <c r="D237" i="46"/>
  <c r="F237" i="46" l="1"/>
  <c r="D238" i="46"/>
  <c r="A239" i="46"/>
  <c r="B238" i="46"/>
  <c r="C238" i="46" s="1"/>
  <c r="F238" i="46" l="1"/>
  <c r="B239" i="46"/>
  <c r="C239" i="46" s="1"/>
  <c r="D239" i="46"/>
  <c r="A240" i="46"/>
  <c r="F239" i="46" l="1"/>
  <c r="A241" i="46"/>
  <c r="B240" i="46"/>
  <c r="C240" i="46" s="1"/>
  <c r="D240" i="46"/>
  <c r="F240" i="46" l="1"/>
  <c r="B241" i="46"/>
  <c r="C241" i="46" s="1"/>
  <c r="D241" i="46"/>
  <c r="A242" i="46"/>
  <c r="F241" i="46" l="1"/>
  <c r="D242" i="46"/>
  <c r="B242" i="46"/>
  <c r="C242" i="46" s="1"/>
  <c r="A243" i="46"/>
  <c r="F242" i="46" l="1"/>
  <c r="D243" i="46"/>
  <c r="A244" i="46"/>
  <c r="B243" i="46"/>
  <c r="C243" i="46" s="1"/>
  <c r="F243" i="46" l="1"/>
  <c r="B244" i="46"/>
  <c r="C244" i="46" s="1"/>
  <c r="D244" i="46"/>
  <c r="A245" i="46"/>
  <c r="F244" i="46" l="1"/>
  <c r="A246" i="46"/>
  <c r="B245" i="46"/>
  <c r="C245" i="46" s="1"/>
  <c r="D245" i="46"/>
  <c r="F245" i="46" l="1"/>
  <c r="B246" i="46"/>
  <c r="C246" i="46" s="1"/>
  <c r="D246" i="46"/>
  <c r="A247" i="46"/>
  <c r="F246" i="46" l="1"/>
  <c r="D247" i="46"/>
  <c r="B247" i="46"/>
  <c r="C247" i="46" s="1"/>
  <c r="A248" i="46"/>
  <c r="F247" i="46" l="1"/>
  <c r="B248" i="46"/>
  <c r="C248" i="46" s="1"/>
  <c r="D248" i="46"/>
  <c r="A249" i="46"/>
  <c r="F248" i="46" l="1"/>
  <c r="A250" i="46"/>
  <c r="B249" i="46"/>
  <c r="C249" i="46" s="1"/>
  <c r="D249" i="46"/>
  <c r="F249" i="46" l="1"/>
  <c r="A251" i="46"/>
  <c r="B250" i="46"/>
  <c r="C250" i="46" s="1"/>
  <c r="D250" i="46"/>
  <c r="F250" i="46" l="1"/>
  <c r="B251" i="46"/>
  <c r="C251" i="46" s="1"/>
  <c r="D251" i="46"/>
  <c r="A252" i="46"/>
  <c r="F251" i="46" l="1"/>
  <c r="A253" i="46"/>
  <c r="B252" i="46"/>
  <c r="C252" i="46" s="1"/>
  <c r="D252" i="46"/>
  <c r="F252" i="46" l="1"/>
  <c r="B253" i="46"/>
  <c r="C253" i="46" s="1"/>
  <c r="D253" i="46"/>
  <c r="A254" i="46"/>
  <c r="F253" i="46" l="1"/>
  <c r="B254" i="46"/>
  <c r="C254" i="46" s="1"/>
  <c r="D254" i="46"/>
  <c r="A255" i="46"/>
  <c r="F254" i="46" l="1"/>
  <c r="D255" i="46"/>
  <c r="A256" i="46"/>
  <c r="B255" i="46"/>
  <c r="C255" i="46" s="1"/>
  <c r="F255" i="46" l="1"/>
  <c r="A257" i="46"/>
  <c r="B256" i="46"/>
  <c r="C256" i="46" s="1"/>
  <c r="D256" i="46"/>
  <c r="F256" i="46" l="1"/>
  <c r="A258" i="46"/>
  <c r="B257" i="46"/>
  <c r="C257" i="46" s="1"/>
  <c r="D257" i="46"/>
  <c r="F257" i="46" l="1"/>
  <c r="B258" i="46"/>
  <c r="C258" i="46" s="1"/>
  <c r="A259" i="46"/>
  <c r="D258" i="46"/>
  <c r="F258" i="46" l="1"/>
  <c r="D259" i="46"/>
  <c r="A260" i="46"/>
  <c r="B259" i="46"/>
  <c r="C259" i="46" s="1"/>
  <c r="F259" i="46" l="1"/>
  <c r="B260" i="46"/>
  <c r="C260" i="46" s="1"/>
  <c r="A261" i="46"/>
  <c r="D260" i="46"/>
  <c r="F260" i="46" l="1"/>
  <c r="B261" i="46"/>
  <c r="C261" i="46" s="1"/>
  <c r="A262" i="46"/>
  <c r="D261" i="46"/>
  <c r="F261" i="46" l="1"/>
  <c r="D262" i="46"/>
  <c r="A263" i="46"/>
  <c r="B262" i="46"/>
  <c r="C262" i="46" s="1"/>
  <c r="F262" i="46" l="1"/>
  <c r="B263" i="46"/>
  <c r="C263" i="46" s="1"/>
  <c r="D263" i="46"/>
  <c r="A264" i="46"/>
  <c r="F263" i="46" l="1"/>
  <c r="B264" i="46"/>
  <c r="C264" i="46" s="1"/>
  <c r="D264" i="46"/>
  <c r="A265" i="46"/>
  <c r="F264" i="46" l="1"/>
  <c r="B265" i="46"/>
  <c r="C265" i="46" s="1"/>
  <c r="A266" i="46"/>
  <c r="D265" i="46"/>
  <c r="F265" i="46" l="1"/>
  <c r="D266" i="46"/>
  <c r="B266" i="46"/>
  <c r="C266" i="46" s="1"/>
  <c r="A267" i="46"/>
  <c r="F266" i="46" l="1"/>
  <c r="D267" i="46"/>
  <c r="A268" i="46"/>
  <c r="B267" i="46"/>
  <c r="C267" i="46" s="1"/>
  <c r="F267" i="46" l="1"/>
  <c r="A269" i="46"/>
  <c r="B268" i="46"/>
  <c r="C268" i="46" s="1"/>
  <c r="D268" i="46"/>
  <c r="F268" i="46" l="1"/>
  <c r="A270" i="46"/>
  <c r="B269" i="46"/>
  <c r="C269" i="46" s="1"/>
  <c r="D269" i="46"/>
  <c r="F269" i="46" l="1"/>
  <c r="B270" i="46"/>
  <c r="C270" i="46" s="1"/>
  <c r="D270" i="46"/>
  <c r="A271" i="46"/>
  <c r="F270" i="46" l="1"/>
  <c r="D271" i="46"/>
  <c r="B271" i="46"/>
  <c r="C271" i="46" s="1"/>
  <c r="A272" i="46"/>
  <c r="F271" i="46" l="1"/>
  <c r="B272" i="46"/>
  <c r="C272" i="46" s="1"/>
  <c r="D272" i="46"/>
  <c r="A273" i="46"/>
  <c r="F272" i="46" l="1"/>
  <c r="A274" i="46"/>
  <c r="B273" i="46"/>
  <c r="C273" i="46" s="1"/>
  <c r="D273" i="46"/>
  <c r="F273" i="46" l="1"/>
  <c r="D274" i="46"/>
  <c r="A275" i="46"/>
  <c r="B274" i="46"/>
  <c r="C274" i="46" s="1"/>
  <c r="F274" i="46" l="1"/>
  <c r="B275" i="46"/>
  <c r="C275" i="46" s="1"/>
  <c r="A276" i="46"/>
  <c r="D275" i="46"/>
  <c r="F275" i="46" l="1"/>
  <c r="A277" i="46"/>
  <c r="D276" i="46"/>
  <c r="B276" i="46"/>
  <c r="C276" i="46" s="1"/>
  <c r="F276" i="46" l="1"/>
  <c r="B277" i="46"/>
  <c r="C277" i="46" s="1"/>
  <c r="D277" i="46"/>
  <c r="A278" i="46"/>
  <c r="F277" i="46" l="1"/>
  <c r="D278" i="46"/>
  <c r="B278" i="46"/>
  <c r="C278" i="46" s="1"/>
  <c r="A279" i="46"/>
  <c r="F278" i="46" l="1"/>
  <c r="D279" i="46"/>
  <c r="A280" i="46"/>
  <c r="B279" i="46"/>
  <c r="C279" i="46" s="1"/>
  <c r="F279" i="46" l="1"/>
  <c r="B280" i="46"/>
  <c r="C280" i="46" s="1"/>
  <c r="A281" i="46"/>
  <c r="D280" i="46"/>
  <c r="F280" i="46" l="1"/>
  <c r="A282" i="46"/>
  <c r="B281" i="46"/>
  <c r="C281" i="46" s="1"/>
  <c r="D281" i="46"/>
  <c r="F281" i="46" l="1"/>
  <c r="B282" i="46"/>
  <c r="C282" i="46" s="1"/>
  <c r="D282" i="46"/>
  <c r="A283" i="46"/>
  <c r="F282" i="46" l="1"/>
  <c r="D283" i="46"/>
  <c r="B283" i="46"/>
  <c r="C283" i="46" s="1"/>
  <c r="A284" i="46"/>
  <c r="F283" i="46" l="1"/>
  <c r="A285" i="46"/>
  <c r="B284" i="46"/>
  <c r="C284" i="46" s="1"/>
  <c r="D284" i="46"/>
  <c r="F284" i="46" l="1"/>
  <c r="A286" i="46"/>
  <c r="B285" i="46"/>
  <c r="C285" i="46" s="1"/>
  <c r="D285" i="46"/>
  <c r="F285" i="46" l="1"/>
  <c r="D286" i="46"/>
  <c r="A287" i="46"/>
  <c r="B286" i="46"/>
  <c r="C286" i="46" s="1"/>
  <c r="F286" i="46" l="1"/>
  <c r="B287" i="46"/>
  <c r="C287" i="46" s="1"/>
  <c r="D287" i="46"/>
  <c r="A288" i="46"/>
  <c r="F287" i="46" l="1"/>
  <c r="B288" i="46"/>
  <c r="C288" i="46" s="1"/>
  <c r="A289" i="46"/>
  <c r="D288" i="46"/>
  <c r="F288" i="46" l="1"/>
  <c r="B289" i="46"/>
  <c r="C289" i="46" s="1"/>
  <c r="D289" i="46"/>
  <c r="A290" i="46"/>
  <c r="F289" i="46" l="1"/>
  <c r="D290" i="46"/>
  <c r="B290" i="46"/>
  <c r="C290" i="46" s="1"/>
  <c r="A291" i="46"/>
  <c r="F290" i="46" l="1"/>
  <c r="D291" i="46"/>
  <c r="A292" i="46"/>
  <c r="B291" i="46"/>
  <c r="C291" i="46" s="1"/>
  <c r="F291" i="46" l="1"/>
  <c r="B292" i="46"/>
  <c r="C292" i="46" s="1"/>
  <c r="D292" i="46"/>
  <c r="A293" i="46"/>
  <c r="F292" i="46" l="1"/>
  <c r="A294" i="46"/>
  <c r="B293" i="46"/>
  <c r="C293" i="46" s="1"/>
  <c r="D293" i="46"/>
  <c r="F293" i="46" l="1"/>
  <c r="B294" i="46"/>
  <c r="C294" i="46" s="1"/>
  <c r="D294" i="46"/>
  <c r="A295" i="46"/>
  <c r="F294" i="46" l="1"/>
  <c r="B295" i="46"/>
  <c r="C295" i="46" s="1"/>
  <c r="D295" i="46"/>
  <c r="A296" i="46"/>
  <c r="F295" i="46" l="1"/>
  <c r="B296" i="46"/>
  <c r="C296" i="46" s="1"/>
  <c r="A297" i="46"/>
  <c r="D296" i="46"/>
  <c r="F296" i="46" l="1"/>
  <c r="B297" i="46"/>
  <c r="C297" i="46" s="1"/>
  <c r="A298" i="46"/>
  <c r="D297" i="46"/>
  <c r="F297" i="46" l="1"/>
  <c r="D298" i="46"/>
  <c r="A299" i="46"/>
  <c r="B298" i="46"/>
  <c r="C298" i="46" s="1"/>
  <c r="F298" i="46" l="1"/>
  <c r="B299" i="46"/>
  <c r="C299" i="46" s="1"/>
  <c r="D299" i="46"/>
  <c r="A300" i="46"/>
  <c r="F299" i="46" l="1"/>
  <c r="A301" i="46"/>
  <c r="B300" i="46"/>
  <c r="C300" i="46" s="1"/>
  <c r="D300" i="46"/>
  <c r="F300" i="46" l="1"/>
  <c r="B301" i="46"/>
  <c r="C301" i="46" s="1"/>
  <c r="D301" i="46"/>
  <c r="A302" i="46"/>
  <c r="F301" i="46" l="1"/>
  <c r="B302" i="46"/>
  <c r="C302" i="46" s="1"/>
  <c r="D302" i="46"/>
  <c r="F302" i="46" l="1"/>
  <c r="I125" i="25"/>
  <c r="I124" i="25"/>
  <c r="I123" i="25"/>
  <c r="I122" i="25"/>
  <c r="I121" i="25"/>
  <c r="I120" i="25"/>
  <c r="I119" i="25"/>
  <c r="I118" i="25"/>
  <c r="I117" i="25"/>
  <c r="I116" i="25"/>
  <c r="I115" i="25"/>
  <c r="I114" i="25"/>
  <c r="I113" i="25"/>
  <c r="I112" i="25"/>
  <c r="I111" i="25"/>
  <c r="I110" i="25"/>
  <c r="I109" i="25"/>
  <c r="I108" i="25"/>
  <c r="I107" i="25"/>
  <c r="I106" i="25"/>
  <c r="I105" i="25"/>
  <c r="I104" i="25"/>
  <c r="I103" i="25"/>
  <c r="I102" i="25"/>
  <c r="I101" i="25"/>
  <c r="I100" i="25"/>
  <c r="I99" i="25"/>
  <c r="I98" i="25"/>
  <c r="I97" i="25"/>
  <c r="I96" i="25"/>
  <c r="I95" i="25"/>
  <c r="I94" i="25"/>
  <c r="I93" i="25"/>
  <c r="I92" i="25"/>
  <c r="I91" i="25"/>
  <c r="I90" i="25"/>
  <c r="I89" i="25"/>
  <c r="I88" i="25"/>
  <c r="I87" i="25"/>
  <c r="I86" i="25"/>
  <c r="I85" i="25"/>
  <c r="I84" i="25"/>
  <c r="I83" i="25"/>
  <c r="I82" i="25"/>
  <c r="I81" i="25"/>
  <c r="I80" i="25"/>
  <c r="I79" i="25"/>
  <c r="I78" i="25"/>
  <c r="I77" i="25"/>
  <c r="I76" i="25"/>
  <c r="I75" i="25"/>
  <c r="I74" i="25"/>
  <c r="I73" i="25"/>
  <c r="I72" i="25"/>
  <c r="I71" i="25"/>
  <c r="I70" i="25"/>
  <c r="I69" i="25"/>
  <c r="I68" i="25"/>
  <c r="I67" i="25"/>
  <c r="I66" i="25"/>
  <c r="I65" i="25"/>
  <c r="I64" i="25"/>
  <c r="I63" i="25"/>
  <c r="I62" i="25"/>
  <c r="I61" i="25"/>
  <c r="I60" i="25"/>
  <c r="I59" i="25"/>
  <c r="I58" i="25"/>
  <c r="I57" i="25"/>
  <c r="I56" i="25"/>
  <c r="I55" i="25"/>
  <c r="I54" i="25"/>
  <c r="I53" i="25"/>
  <c r="I52" i="25"/>
  <c r="I51" i="25"/>
  <c r="I50" i="25"/>
  <c r="I49" i="25"/>
  <c r="I48" i="25"/>
  <c r="I47" i="25"/>
  <c r="I46" i="25"/>
  <c r="I45" i="25"/>
  <c r="I44" i="25"/>
  <c r="I43" i="25"/>
  <c r="I42" i="25"/>
  <c r="I41" i="25"/>
  <c r="I40" i="25"/>
  <c r="I39" i="25"/>
  <c r="I38" i="25"/>
  <c r="I37" i="25"/>
  <c r="I36" i="25"/>
  <c r="I35" i="25"/>
  <c r="I34" i="25"/>
  <c r="I33" i="25"/>
  <c r="I32" i="25"/>
  <c r="I31" i="25"/>
  <c r="I30" i="25"/>
  <c r="I29" i="25"/>
  <c r="I28" i="25"/>
  <c r="I27" i="25"/>
  <c r="I26" i="25"/>
  <c r="I25" i="25"/>
  <c r="I24" i="25"/>
  <c r="I23" i="25"/>
  <c r="I22" i="25"/>
  <c r="I21" i="25"/>
  <c r="I20" i="25"/>
  <c r="I19" i="25"/>
  <c r="I18" i="25"/>
  <c r="I17" i="25"/>
  <c r="I16" i="25"/>
  <c r="I15" i="25"/>
  <c r="I14" i="25"/>
  <c r="I13" i="25"/>
  <c r="I12" i="25"/>
  <c r="I11" i="25"/>
  <c r="F125" i="25"/>
  <c r="F124" i="25"/>
  <c r="F123" i="25"/>
  <c r="F122" i="25"/>
  <c r="F121" i="25"/>
  <c r="F120" i="25"/>
  <c r="F119" i="25"/>
  <c r="F118" i="25"/>
  <c r="F117" i="25"/>
  <c r="F116" i="25"/>
  <c r="F115" i="25"/>
  <c r="F114" i="25"/>
  <c r="F113" i="25"/>
  <c r="F112" i="25"/>
  <c r="F111" i="25"/>
  <c r="F110" i="25"/>
  <c r="F109" i="25"/>
  <c r="F108" i="25"/>
  <c r="F107" i="25"/>
  <c r="F106" i="25"/>
  <c r="F105" i="25"/>
  <c r="F104" i="25"/>
  <c r="F103" i="25"/>
  <c r="F102" i="25"/>
  <c r="F101" i="25"/>
  <c r="F100" i="25"/>
  <c r="F99" i="25"/>
  <c r="F98" i="25"/>
  <c r="F97" i="25"/>
  <c r="F96" i="25"/>
  <c r="F95" i="25"/>
  <c r="F94" i="25"/>
  <c r="F93" i="25"/>
  <c r="F92" i="25"/>
  <c r="F91" i="25"/>
  <c r="F90" i="25"/>
  <c r="F89" i="25"/>
  <c r="F88" i="25"/>
  <c r="F87" i="25"/>
  <c r="F86" i="25"/>
  <c r="F85" i="25"/>
  <c r="F84" i="25"/>
  <c r="F83" i="25"/>
  <c r="F82" i="25"/>
  <c r="F81" i="25"/>
  <c r="F80" i="25"/>
  <c r="F79" i="25"/>
  <c r="F78" i="25"/>
  <c r="F77" i="25"/>
  <c r="F76" i="25"/>
  <c r="F75" i="25"/>
  <c r="F74" i="25"/>
  <c r="F73" i="25"/>
  <c r="F72" i="25"/>
  <c r="F71" i="25"/>
  <c r="F70" i="25"/>
  <c r="F69" i="25"/>
  <c r="F68" i="25"/>
  <c r="F67" i="25"/>
  <c r="F66" i="25"/>
  <c r="F65" i="25"/>
  <c r="F64" i="25"/>
  <c r="F63" i="25"/>
  <c r="F62" i="25"/>
  <c r="F61" i="25"/>
  <c r="F60" i="25"/>
  <c r="F59" i="25"/>
  <c r="F58" i="25"/>
  <c r="F57" i="25"/>
  <c r="F56" i="25"/>
  <c r="F55" i="25"/>
  <c r="F54" i="25"/>
  <c r="F53" i="25"/>
  <c r="F52" i="25"/>
  <c r="F51" i="25"/>
  <c r="F50" i="25"/>
  <c r="F49" i="25"/>
  <c r="F48" i="25"/>
  <c r="F47" i="25"/>
  <c r="F46" i="25"/>
  <c r="F45" i="25"/>
  <c r="F44" i="25"/>
  <c r="F43" i="25"/>
  <c r="F42" i="25"/>
  <c r="F41" i="25"/>
  <c r="F40" i="25"/>
  <c r="F39" i="25"/>
  <c r="F38" i="25"/>
  <c r="F37" i="25"/>
  <c r="F36" i="25"/>
  <c r="F35" i="25"/>
  <c r="F34" i="25"/>
  <c r="F33" i="25"/>
  <c r="F32" i="25"/>
  <c r="F31" i="25"/>
  <c r="F30" i="25"/>
  <c r="F29" i="25"/>
  <c r="F28" i="25"/>
  <c r="F27" i="25"/>
  <c r="F26" i="25"/>
  <c r="F25" i="25"/>
  <c r="F24" i="25"/>
  <c r="F23" i="25"/>
  <c r="F22" i="25"/>
  <c r="F21" i="25"/>
  <c r="F20" i="25"/>
  <c r="F19" i="25"/>
  <c r="F18" i="25"/>
  <c r="F17" i="25"/>
  <c r="F16" i="25"/>
  <c r="F15" i="25"/>
  <c r="F14" i="25"/>
  <c r="F13" i="25"/>
  <c r="F12" i="25"/>
  <c r="F11" i="25"/>
  <c r="F10" i="25"/>
  <c r="F9" i="25"/>
  <c r="F8" i="25"/>
  <c r="F7" i="25"/>
  <c r="F6" i="25"/>
  <c r="F5" i="25"/>
  <c r="G5" i="25" l="1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G47" i="25"/>
  <c r="G48" i="25"/>
  <c r="G49" i="25"/>
  <c r="G50" i="25"/>
  <c r="G51" i="25"/>
  <c r="G52" i="25"/>
  <c r="G53" i="25"/>
  <c r="G54" i="25"/>
  <c r="G55" i="25"/>
  <c r="G56" i="25"/>
  <c r="G57" i="25"/>
  <c r="G58" i="25"/>
  <c r="G59" i="25"/>
  <c r="G60" i="25"/>
  <c r="G61" i="25"/>
  <c r="G62" i="25"/>
  <c r="G64" i="25"/>
  <c r="G65" i="25"/>
  <c r="G66" i="25"/>
  <c r="G67" i="25"/>
  <c r="G68" i="25"/>
  <c r="G69" i="25"/>
  <c r="G70" i="25"/>
  <c r="G71" i="25"/>
  <c r="G72" i="25"/>
  <c r="G73" i="25"/>
  <c r="G74" i="25"/>
  <c r="G75" i="25"/>
  <c r="G76" i="25"/>
  <c r="G77" i="25"/>
  <c r="G78" i="25"/>
  <c r="G79" i="25"/>
  <c r="G80" i="25"/>
  <c r="G81" i="25"/>
  <c r="G82" i="25"/>
  <c r="G83" i="25"/>
  <c r="G84" i="25"/>
  <c r="G85" i="25"/>
  <c r="G86" i="25"/>
  <c r="G87" i="25"/>
  <c r="G88" i="25"/>
  <c r="G89" i="25"/>
  <c r="G90" i="25"/>
  <c r="G91" i="25"/>
  <c r="G92" i="25"/>
  <c r="G93" i="25"/>
  <c r="G94" i="25"/>
  <c r="G95" i="25"/>
  <c r="G96" i="25"/>
  <c r="G97" i="25"/>
  <c r="G98" i="25"/>
  <c r="G99" i="25"/>
  <c r="G100" i="25"/>
  <c r="G101" i="25"/>
  <c r="G102" i="25"/>
  <c r="G103" i="25"/>
  <c r="G104" i="25"/>
  <c r="G105" i="25"/>
  <c r="G106" i="25"/>
  <c r="G107" i="25"/>
  <c r="G108" i="25"/>
  <c r="G109" i="25"/>
  <c r="G111" i="25"/>
  <c r="G112" i="25"/>
  <c r="G113" i="25"/>
  <c r="G114" i="25"/>
  <c r="G115" i="25"/>
  <c r="G116" i="25"/>
  <c r="G117" i="25"/>
  <c r="G118" i="25"/>
  <c r="G119" i="25"/>
  <c r="G120" i="25"/>
  <c r="G121" i="25"/>
  <c r="G122" i="25"/>
  <c r="G123" i="25"/>
  <c r="G124" i="25"/>
  <c r="G125" i="25"/>
  <c r="J11" i="25"/>
  <c r="K11" i="25" s="1"/>
  <c r="J12" i="25"/>
  <c r="K12" i="25" s="1"/>
  <c r="J13" i="25"/>
  <c r="K13" i="25" s="1"/>
  <c r="J14" i="25"/>
  <c r="K14" i="25" s="1"/>
  <c r="J15" i="25"/>
  <c r="K15" i="25" s="1"/>
  <c r="J16" i="25"/>
  <c r="K16" i="25" s="1"/>
  <c r="J17" i="25"/>
  <c r="K17" i="25" s="1"/>
  <c r="J18" i="25"/>
  <c r="K18" i="25" s="1"/>
  <c r="J19" i="25"/>
  <c r="K19" i="25" s="1"/>
  <c r="J20" i="25"/>
  <c r="K20" i="25" s="1"/>
  <c r="J21" i="25"/>
  <c r="K21" i="25" s="1"/>
  <c r="J22" i="25"/>
  <c r="K22" i="25" s="1"/>
  <c r="J23" i="25"/>
  <c r="K23" i="25" s="1"/>
  <c r="J24" i="25"/>
  <c r="K24" i="25" s="1"/>
  <c r="J25" i="25"/>
  <c r="K25" i="25" s="1"/>
  <c r="J26" i="25"/>
  <c r="K26" i="25" s="1"/>
  <c r="J27" i="25"/>
  <c r="K27" i="25" s="1"/>
  <c r="J28" i="25"/>
  <c r="K28" i="25" s="1"/>
  <c r="J29" i="25"/>
  <c r="K29" i="25" s="1"/>
  <c r="J30" i="25"/>
  <c r="K30" i="25" s="1"/>
  <c r="J31" i="25"/>
  <c r="K31" i="25" s="1"/>
  <c r="J32" i="25"/>
  <c r="K32" i="25" s="1"/>
  <c r="J33" i="25"/>
  <c r="K33" i="25" s="1"/>
  <c r="J34" i="25"/>
  <c r="K34" i="25" s="1"/>
  <c r="J35" i="25"/>
  <c r="K35" i="25" s="1"/>
  <c r="J36" i="25"/>
  <c r="K36" i="25" s="1"/>
  <c r="J37" i="25"/>
  <c r="K37" i="25" s="1"/>
  <c r="J38" i="25"/>
  <c r="K38" i="25" s="1"/>
  <c r="J39" i="25"/>
  <c r="K39" i="25" s="1"/>
  <c r="J40" i="25"/>
  <c r="K40" i="25" s="1"/>
  <c r="J41" i="25"/>
  <c r="K41" i="25" s="1"/>
  <c r="J42" i="25"/>
  <c r="K42" i="25" s="1"/>
  <c r="J43" i="25"/>
  <c r="K43" i="25" s="1"/>
  <c r="J44" i="25"/>
  <c r="K44" i="25" s="1"/>
  <c r="J45" i="25"/>
  <c r="K45" i="25" s="1"/>
  <c r="J46" i="25"/>
  <c r="K46" i="25" s="1"/>
  <c r="J47" i="25"/>
  <c r="K47" i="25" s="1"/>
  <c r="J48" i="25"/>
  <c r="K48" i="25" s="1"/>
  <c r="J49" i="25"/>
  <c r="K49" i="25" s="1"/>
  <c r="J50" i="25"/>
  <c r="K50" i="25" s="1"/>
  <c r="J51" i="25"/>
  <c r="K51" i="25" s="1"/>
  <c r="J52" i="25"/>
  <c r="K52" i="25" s="1"/>
  <c r="J53" i="25"/>
  <c r="K53" i="25" s="1"/>
  <c r="J54" i="25"/>
  <c r="K54" i="25" s="1"/>
  <c r="J55" i="25"/>
  <c r="K55" i="25" s="1"/>
  <c r="J56" i="25"/>
  <c r="K56" i="25" s="1"/>
  <c r="J57" i="25"/>
  <c r="K57" i="25" s="1"/>
  <c r="J58" i="25"/>
  <c r="K58" i="25" s="1"/>
  <c r="J59" i="25"/>
  <c r="K59" i="25" s="1"/>
  <c r="J60" i="25"/>
  <c r="K60" i="25" s="1"/>
  <c r="J61" i="25"/>
  <c r="K61" i="25" s="1"/>
  <c r="J62" i="25"/>
  <c r="K62" i="25" s="1"/>
  <c r="J64" i="25"/>
  <c r="K64" i="25" s="1"/>
  <c r="J65" i="25"/>
  <c r="K65" i="25" s="1"/>
  <c r="J66" i="25"/>
  <c r="K66" i="25" s="1"/>
  <c r="J67" i="25"/>
  <c r="K67" i="25" s="1"/>
  <c r="J68" i="25"/>
  <c r="K68" i="25" s="1"/>
  <c r="J69" i="25"/>
  <c r="K69" i="25" s="1"/>
  <c r="J70" i="25"/>
  <c r="K70" i="25" s="1"/>
  <c r="J71" i="25"/>
  <c r="K71" i="25" s="1"/>
  <c r="J72" i="25"/>
  <c r="K72" i="25" s="1"/>
  <c r="J73" i="25"/>
  <c r="K73" i="25" s="1"/>
  <c r="J74" i="25"/>
  <c r="K74" i="25" s="1"/>
  <c r="J75" i="25"/>
  <c r="K75" i="25" s="1"/>
  <c r="J76" i="25"/>
  <c r="K76" i="25" s="1"/>
  <c r="J77" i="25"/>
  <c r="K77" i="25" s="1"/>
  <c r="J78" i="25"/>
  <c r="K78" i="25" s="1"/>
  <c r="J79" i="25"/>
  <c r="K79" i="25" s="1"/>
  <c r="J80" i="25"/>
  <c r="K80" i="25" s="1"/>
  <c r="J81" i="25"/>
  <c r="K81" i="25" s="1"/>
  <c r="J82" i="25"/>
  <c r="K82" i="25" s="1"/>
  <c r="J83" i="25"/>
  <c r="K83" i="25" s="1"/>
  <c r="J84" i="25"/>
  <c r="K84" i="25" s="1"/>
  <c r="J85" i="25"/>
  <c r="K85" i="25" s="1"/>
  <c r="J86" i="25"/>
  <c r="K86" i="25" s="1"/>
  <c r="J87" i="25"/>
  <c r="K87" i="25" s="1"/>
  <c r="J88" i="25"/>
  <c r="K88" i="25" s="1"/>
  <c r="J89" i="25"/>
  <c r="K89" i="25" s="1"/>
  <c r="J90" i="25"/>
  <c r="K90" i="25" s="1"/>
  <c r="J91" i="25"/>
  <c r="K91" i="25" s="1"/>
  <c r="J92" i="25"/>
  <c r="K92" i="25" s="1"/>
  <c r="J93" i="25"/>
  <c r="K93" i="25" s="1"/>
  <c r="J94" i="25"/>
  <c r="K94" i="25" s="1"/>
  <c r="J95" i="25"/>
  <c r="K95" i="25" s="1"/>
  <c r="J96" i="25"/>
  <c r="K96" i="25" s="1"/>
  <c r="J97" i="25"/>
  <c r="K97" i="25" s="1"/>
  <c r="J98" i="25"/>
  <c r="K98" i="25" s="1"/>
  <c r="J99" i="25"/>
  <c r="K99" i="25" s="1"/>
  <c r="J100" i="25"/>
  <c r="K100" i="25" s="1"/>
  <c r="J101" i="25"/>
  <c r="K101" i="25" s="1"/>
  <c r="J102" i="25"/>
  <c r="K102" i="25" s="1"/>
  <c r="J103" i="25"/>
  <c r="K103" i="25" s="1"/>
  <c r="J104" i="25"/>
  <c r="K104" i="25" s="1"/>
  <c r="J105" i="25"/>
  <c r="K105" i="25" s="1"/>
  <c r="J106" i="25"/>
  <c r="K106" i="25" s="1"/>
  <c r="J107" i="25"/>
  <c r="K107" i="25" s="1"/>
  <c r="J108" i="25"/>
  <c r="K108" i="25" s="1"/>
  <c r="J109" i="25"/>
  <c r="K109" i="25" s="1"/>
  <c r="J111" i="25"/>
  <c r="K111" i="25" s="1"/>
  <c r="J112" i="25"/>
  <c r="K112" i="25" s="1"/>
  <c r="J113" i="25"/>
  <c r="K113" i="25" s="1"/>
  <c r="J114" i="25"/>
  <c r="K114" i="25" s="1"/>
  <c r="J115" i="25"/>
  <c r="K115" i="25" s="1"/>
  <c r="J116" i="25"/>
  <c r="K116" i="25" s="1"/>
  <c r="J117" i="25"/>
  <c r="K117" i="25" s="1"/>
  <c r="J118" i="25"/>
  <c r="K118" i="25" s="1"/>
  <c r="J119" i="25"/>
  <c r="K119" i="25" s="1"/>
  <c r="J120" i="25"/>
  <c r="K120" i="25" s="1"/>
  <c r="J121" i="25"/>
  <c r="K121" i="25" s="1"/>
  <c r="J122" i="25"/>
  <c r="K122" i="25" s="1"/>
  <c r="J123" i="25"/>
  <c r="K123" i="25" s="1"/>
  <c r="J124" i="25"/>
  <c r="K124" i="25" s="1"/>
  <c r="J125" i="25"/>
  <c r="K125" i="25" s="1"/>
  <c r="J110" i="25"/>
  <c r="K110" i="25" s="1"/>
  <c r="G110" i="25"/>
  <c r="H88" i="25" l="1"/>
  <c r="H114" i="25"/>
  <c r="H101" i="25"/>
  <c r="H89" i="25"/>
  <c r="H77" i="25"/>
  <c r="H65" i="25"/>
  <c r="H52" i="25"/>
  <c r="H40" i="25"/>
  <c r="H28" i="25"/>
  <c r="H16" i="25"/>
  <c r="H125" i="25"/>
  <c r="H51" i="25"/>
  <c r="H124" i="25"/>
  <c r="H112" i="25"/>
  <c r="H99" i="25"/>
  <c r="H87" i="25"/>
  <c r="H75" i="25"/>
  <c r="H62" i="25"/>
  <c r="H50" i="25"/>
  <c r="H38" i="25"/>
  <c r="H26" i="25"/>
  <c r="H14" i="25"/>
  <c r="H39" i="25"/>
  <c r="H123" i="25"/>
  <c r="H111" i="25"/>
  <c r="H98" i="25"/>
  <c r="H86" i="25"/>
  <c r="H74" i="25"/>
  <c r="H61" i="25"/>
  <c r="H49" i="25"/>
  <c r="H37" i="25"/>
  <c r="H25" i="25"/>
  <c r="H13" i="25"/>
  <c r="H76" i="25"/>
  <c r="H122" i="25"/>
  <c r="H109" i="25"/>
  <c r="H97" i="25"/>
  <c r="H85" i="25"/>
  <c r="H73" i="25"/>
  <c r="H60" i="25"/>
  <c r="H48" i="25"/>
  <c r="H36" i="25"/>
  <c r="H24" i="25"/>
  <c r="H12" i="25"/>
  <c r="H15" i="25"/>
  <c r="H121" i="25"/>
  <c r="H108" i="25"/>
  <c r="H96" i="25"/>
  <c r="H84" i="25"/>
  <c r="H72" i="25"/>
  <c r="H59" i="25"/>
  <c r="H47" i="25"/>
  <c r="H35" i="25"/>
  <c r="H23" i="25"/>
  <c r="H11" i="25"/>
  <c r="H113" i="25"/>
  <c r="H27" i="25"/>
  <c r="H120" i="25"/>
  <c r="H107" i="25"/>
  <c r="H95" i="25"/>
  <c r="H83" i="25"/>
  <c r="H71" i="25"/>
  <c r="H58" i="25"/>
  <c r="H46" i="25"/>
  <c r="H34" i="25"/>
  <c r="H22" i="25"/>
  <c r="H10" i="25"/>
  <c r="H100" i="25"/>
  <c r="H64" i="25"/>
  <c r="H119" i="25"/>
  <c r="H106" i="25"/>
  <c r="H94" i="25"/>
  <c r="H82" i="25"/>
  <c r="H70" i="25"/>
  <c r="H57" i="25"/>
  <c r="H45" i="25"/>
  <c r="H33" i="25"/>
  <c r="H21" i="25"/>
  <c r="H9" i="25"/>
  <c r="H118" i="25"/>
  <c r="H105" i="25"/>
  <c r="H93" i="25"/>
  <c r="H81" i="25"/>
  <c r="H69" i="25"/>
  <c r="H56" i="25"/>
  <c r="H44" i="25"/>
  <c r="H32" i="25"/>
  <c r="H20" i="25"/>
  <c r="H8" i="25"/>
  <c r="H117" i="25"/>
  <c r="H104" i="25"/>
  <c r="H92" i="25"/>
  <c r="H80" i="25"/>
  <c r="H68" i="25"/>
  <c r="H55" i="25"/>
  <c r="H43" i="25"/>
  <c r="H31" i="25"/>
  <c r="H19" i="25"/>
  <c r="H7" i="25"/>
  <c r="H116" i="25"/>
  <c r="H103" i="25"/>
  <c r="H91" i="25"/>
  <c r="H79" i="25"/>
  <c r="H67" i="25"/>
  <c r="H54" i="25"/>
  <c r="H42" i="25"/>
  <c r="H30" i="25"/>
  <c r="H18" i="25"/>
  <c r="H6" i="25"/>
  <c r="H115" i="25"/>
  <c r="H102" i="25"/>
  <c r="H90" i="25"/>
  <c r="H78" i="25"/>
  <c r="H66" i="25"/>
  <c r="H53" i="25"/>
  <c r="H41" i="25"/>
  <c r="H29" i="25"/>
  <c r="H17" i="25"/>
  <c r="H5" i="25"/>
  <c r="H110" i="25"/>
  <c r="J63" i="25"/>
  <c r="K63" i="25" s="1"/>
  <c r="G63" i="25"/>
  <c r="H63" i="25" s="1"/>
  <c r="L125" i="25"/>
  <c r="L124" i="25"/>
  <c r="L123" i="25"/>
  <c r="L122" i="25"/>
  <c r="L121" i="25"/>
  <c r="L120" i="25"/>
  <c r="L119" i="25"/>
  <c r="L118" i="25"/>
  <c r="L117" i="25"/>
  <c r="L116" i="25"/>
  <c r="L115" i="25"/>
  <c r="L114" i="25"/>
  <c r="L113" i="25"/>
  <c r="L112" i="25"/>
  <c r="L111" i="25"/>
  <c r="L110" i="25"/>
  <c r="L109" i="25"/>
  <c r="L108" i="25"/>
  <c r="L107" i="25"/>
  <c r="L106" i="25"/>
  <c r="L105" i="25"/>
  <c r="L104" i="25"/>
  <c r="L103" i="25"/>
  <c r="L102" i="25"/>
  <c r="L101" i="25"/>
  <c r="L100" i="25"/>
  <c r="L99" i="25"/>
  <c r="L98" i="25"/>
  <c r="L97" i="25"/>
  <c r="L96" i="25"/>
  <c r="L95" i="25"/>
  <c r="L94" i="25"/>
  <c r="L93" i="25"/>
  <c r="L92" i="25"/>
  <c r="L91" i="25"/>
  <c r="L90" i="25"/>
  <c r="L89" i="25"/>
  <c r="L88" i="25"/>
  <c r="L87" i="25"/>
  <c r="L86" i="25"/>
  <c r="L85" i="25"/>
  <c r="L84" i="25"/>
  <c r="L83" i="25"/>
  <c r="L82" i="25"/>
  <c r="L81" i="25"/>
  <c r="L80" i="25"/>
  <c r="L79" i="25"/>
  <c r="L78" i="25"/>
  <c r="L77" i="25"/>
  <c r="L76" i="25"/>
  <c r="L75" i="25"/>
  <c r="L74" i="25"/>
  <c r="L73" i="25"/>
  <c r="L72" i="25"/>
  <c r="L71" i="25"/>
  <c r="L70" i="25"/>
  <c r="L69" i="25"/>
  <c r="L68" i="25"/>
  <c r="L67" i="25"/>
  <c r="L66" i="25"/>
  <c r="L65" i="25"/>
  <c r="L64" i="25"/>
  <c r="L63" i="25"/>
  <c r="L62" i="25"/>
  <c r="L61" i="25"/>
  <c r="L60" i="25"/>
  <c r="L59" i="25"/>
  <c r="L58" i="25"/>
  <c r="L57" i="25"/>
  <c r="L56" i="25"/>
  <c r="L55" i="25"/>
  <c r="L54" i="25"/>
  <c r="L53" i="25"/>
  <c r="L52" i="25"/>
  <c r="L51" i="25"/>
  <c r="L50" i="25"/>
  <c r="L49" i="25"/>
  <c r="L48" i="25"/>
  <c r="L47" i="25"/>
  <c r="L46" i="25"/>
  <c r="L45" i="25"/>
  <c r="L44" i="25"/>
  <c r="L43" i="25"/>
  <c r="L42" i="25"/>
  <c r="L41" i="25"/>
  <c r="L40" i="25"/>
  <c r="L39" i="25"/>
  <c r="L38" i="25"/>
  <c r="L37" i="25"/>
  <c r="L36" i="25"/>
  <c r="L35" i="25"/>
  <c r="L34" i="25"/>
  <c r="L33" i="25"/>
  <c r="L32" i="25"/>
  <c r="L31" i="25"/>
  <c r="L30" i="25"/>
  <c r="L29" i="25"/>
  <c r="L28" i="25"/>
  <c r="L27" i="25"/>
  <c r="L26" i="25"/>
  <c r="L25" i="25"/>
  <c r="L24" i="25"/>
  <c r="L23" i="25"/>
  <c r="L22" i="25"/>
  <c r="L21" i="25"/>
  <c r="L20" i="25"/>
  <c r="L19" i="25"/>
  <c r="L18" i="25"/>
  <c r="L17" i="25"/>
  <c r="L16" i="25"/>
  <c r="M110" i="25"/>
  <c r="N110" i="25" s="1"/>
  <c r="M63" i="25"/>
  <c r="N63" i="25" s="1"/>
  <c r="M23" i="25"/>
  <c r="N23" i="25" s="1"/>
  <c r="M65" i="25"/>
  <c r="N65" i="25" s="1"/>
  <c r="M96" i="25"/>
  <c r="N96" i="25" s="1"/>
  <c r="M79" i="25"/>
  <c r="N79" i="25" s="1"/>
  <c r="M87" i="25"/>
  <c r="N87" i="25" s="1"/>
  <c r="M61" i="25"/>
  <c r="N61" i="25" s="1"/>
  <c r="M58" i="25"/>
  <c r="N58" i="25" s="1"/>
  <c r="M46" i="25"/>
  <c r="N46" i="25" s="1"/>
  <c r="M30" i="25"/>
  <c r="N30" i="25" s="1"/>
  <c r="M26" i="25"/>
  <c r="N26" i="25" s="1"/>
  <c r="M60" i="25"/>
  <c r="N60" i="25" s="1"/>
  <c r="M21" i="25"/>
  <c r="N21" i="25" s="1"/>
  <c r="M95" i="25"/>
  <c r="N95" i="25" s="1"/>
  <c r="M86" i="25"/>
  <c r="N86" i="25" s="1"/>
  <c r="M71" i="25"/>
  <c r="N71" i="25" s="1"/>
  <c r="M57" i="25"/>
  <c r="N57" i="25" s="1"/>
  <c r="M45" i="25"/>
  <c r="N45" i="25" s="1"/>
  <c r="M35" i="25"/>
  <c r="N35" i="25" s="1"/>
  <c r="M20" i="25"/>
  <c r="N20" i="25" s="1"/>
  <c r="M116" i="25"/>
  <c r="N116" i="25" s="1"/>
  <c r="M94" i="25"/>
  <c r="N94" i="25" s="1"/>
  <c r="M109" i="25"/>
  <c r="N109" i="25" s="1"/>
  <c r="M82" i="25"/>
  <c r="N82" i="25" s="1"/>
  <c r="M70" i="25"/>
  <c r="N70" i="25" s="1"/>
  <c r="M56" i="25"/>
  <c r="N56" i="25" s="1"/>
  <c r="M44" i="25"/>
  <c r="N44" i="25" s="1"/>
  <c r="M34" i="25"/>
  <c r="N34" i="25" s="1"/>
  <c r="M16" i="25"/>
  <c r="N16" i="25" s="1"/>
  <c r="M98" i="25"/>
  <c r="N98" i="25" s="1"/>
  <c r="M19" i="25"/>
  <c r="N19" i="25" s="1"/>
  <c r="M93" i="25"/>
  <c r="N93" i="25" s="1"/>
  <c r="M108" i="25"/>
  <c r="N108" i="25" s="1"/>
  <c r="M81" i="25"/>
  <c r="N81" i="25" s="1"/>
  <c r="M69" i="25"/>
  <c r="N69" i="25" s="1"/>
  <c r="M55" i="25"/>
  <c r="N55" i="25" s="1"/>
  <c r="M36" i="25"/>
  <c r="N36" i="25" s="1"/>
  <c r="M33" i="25"/>
  <c r="N33" i="25" s="1"/>
  <c r="M74" i="25"/>
  <c r="N74" i="25" s="1"/>
  <c r="M124" i="25"/>
  <c r="N124" i="25" s="1"/>
  <c r="M18" i="25"/>
  <c r="N18" i="25" s="1"/>
  <c r="M92" i="25"/>
  <c r="N92" i="25" s="1"/>
  <c r="M107" i="25"/>
  <c r="N107" i="25" s="1"/>
  <c r="M80" i="25"/>
  <c r="N80" i="25" s="1"/>
  <c r="M68" i="25"/>
  <c r="N68" i="25" s="1"/>
  <c r="M54" i="25"/>
  <c r="N54" i="25" s="1"/>
  <c r="M37" i="25"/>
  <c r="N37" i="25" s="1"/>
  <c r="M32" i="25"/>
  <c r="N32" i="25" s="1"/>
  <c r="M42" i="25"/>
  <c r="N42" i="25" s="1"/>
  <c r="M43" i="25"/>
  <c r="N43" i="25" s="1"/>
  <c r="M17" i="25"/>
  <c r="N17" i="25" s="1"/>
  <c r="M91" i="25"/>
  <c r="N91" i="25" s="1"/>
  <c r="M106" i="25"/>
  <c r="N106" i="25" s="1"/>
  <c r="M78" i="25"/>
  <c r="N78" i="25" s="1"/>
  <c r="M67" i="25"/>
  <c r="N67" i="25" s="1"/>
  <c r="M53" i="25"/>
  <c r="N53" i="25" s="1"/>
  <c r="M38" i="25"/>
  <c r="N38" i="25" s="1"/>
  <c r="M29" i="25"/>
  <c r="N29" i="25" s="1"/>
  <c r="M102" i="25"/>
  <c r="N102" i="25" s="1"/>
  <c r="M84" i="25"/>
  <c r="N84" i="25" s="1"/>
  <c r="M112" i="25"/>
  <c r="N112" i="25" s="1"/>
  <c r="M90" i="25"/>
  <c r="N90" i="25" s="1"/>
  <c r="M77" i="25"/>
  <c r="N77" i="25" s="1"/>
  <c r="M66" i="25"/>
  <c r="N66" i="25" s="1"/>
  <c r="M52" i="25"/>
  <c r="N52" i="25" s="1"/>
  <c r="M39" i="25"/>
  <c r="N39" i="25" s="1"/>
  <c r="M28" i="25"/>
  <c r="N28" i="25" s="1"/>
  <c r="M85" i="25"/>
  <c r="N85" i="25" s="1"/>
  <c r="M25" i="25"/>
  <c r="N25" i="25" s="1"/>
  <c r="M89" i="25"/>
  <c r="N89" i="25" s="1"/>
  <c r="M104" i="25"/>
  <c r="N104" i="25" s="1"/>
  <c r="M76" i="25"/>
  <c r="N76" i="25" s="1"/>
  <c r="M64" i="25"/>
  <c r="N64" i="25" s="1"/>
  <c r="M51" i="25"/>
  <c r="N51" i="25" s="1"/>
  <c r="M40" i="25"/>
  <c r="N40" i="25" s="1"/>
  <c r="M27" i="25"/>
  <c r="N27" i="25" s="1"/>
  <c r="M99" i="25"/>
  <c r="N99" i="25" s="1"/>
  <c r="M101" i="25"/>
  <c r="N101" i="25" s="1"/>
  <c r="M122" i="25"/>
  <c r="N122" i="25" s="1"/>
  <c r="M88" i="25"/>
  <c r="N88" i="25"/>
  <c r="M103" i="25"/>
  <c r="N103" i="25" s="1"/>
  <c r="M75" i="25"/>
  <c r="N75" i="25" s="1"/>
  <c r="M50" i="25"/>
  <c r="N50" i="25" s="1"/>
  <c r="M41" i="25"/>
  <c r="N41" i="25" s="1"/>
  <c r="M22" i="25"/>
  <c r="N22" i="25" s="1"/>
  <c r="M49" i="25"/>
  <c r="N49" i="25" s="1"/>
  <c r="M48" i="25"/>
  <c r="N48" i="25" s="1"/>
  <c r="M24" i="25"/>
  <c r="N24" i="25" s="1"/>
  <c r="M97" i="25"/>
  <c r="N97" i="25" s="1"/>
  <c r="M83" i="25"/>
  <c r="N83" i="25" s="1"/>
  <c r="M100" i="25"/>
  <c r="N100" i="25" s="1"/>
  <c r="M72" i="25"/>
  <c r="N72" i="25" s="1"/>
  <c r="M59" i="25"/>
  <c r="N59" i="25" s="1"/>
  <c r="M47" i="25"/>
  <c r="N47" i="25" s="1"/>
  <c r="M31" i="25"/>
  <c r="N31" i="25" s="1"/>
  <c r="M62" i="25"/>
  <c r="N62" i="25" s="1"/>
  <c r="M73" i="25"/>
  <c r="N73" i="25" s="1"/>
  <c r="M111" i="25"/>
  <c r="N111" i="25" s="1"/>
  <c r="M115" i="25"/>
  <c r="N115" i="25" s="1"/>
  <c r="M121" i="25"/>
  <c r="N121" i="25" s="1"/>
  <c r="M105" i="25"/>
  <c r="N105" i="25" s="1"/>
  <c r="M125" i="25"/>
  <c r="N125" i="25" s="1"/>
  <c r="M120" i="25"/>
  <c r="N120" i="25" s="1"/>
  <c r="M113" i="25"/>
  <c r="N113" i="25" s="1"/>
  <c r="M119" i="25"/>
  <c r="N119" i="25" s="1"/>
  <c r="M114" i="25"/>
  <c r="N114" i="25" s="1"/>
  <c r="M118" i="25"/>
  <c r="N118" i="25" s="1"/>
  <c r="M117" i="25"/>
  <c r="N117" i="25" s="1"/>
  <c r="M123" i="25"/>
  <c r="N123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<sst xmlns="http://schemas.openxmlformats.org/spreadsheetml/2006/main" count="1934" uniqueCount="464">
  <si>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</si>
  <si>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</si>
  <si>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</si>
  <si>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</si>
  <si>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</si>
  <si>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</si>
  <si>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</si>
  <si>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</si>
  <si>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</si>
  <si>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</si>
  <si>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</si>
  <si>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</si>
  <si>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</si>
  <si>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</si>
  <si>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</si>
  <si>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</si>
  <si>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</si>
  <si>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</si>
  <si>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</si>
  <si>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</si>
  <si>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</si>
  <si>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</si>
  <si>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</si>
  <si>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</si>
  <si>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</si>
  <si>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</si>
  <si>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</si>
  <si>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</si>
  <si>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</si>
  <si>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</si>
  <si>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</si>
  <si>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</si>
  <si>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</si>
  <si>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</si>
  <si>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</si>
  <si>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</si>
  <si>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</si>
  <si>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</si>
  <si>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</si>
  <si>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</si>
  <si>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</si>
  <si>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</si>
  <si>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</si>
  <si>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</si>
  <si>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</si>
  <si>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</si>
  <si>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</si>
  <si>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</si>
  <si>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</si>
  <si>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</si>
  <si>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</si>
  <si>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</si>
  <si>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</si>
  <si>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</si>
  <si>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</si>
  <si>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</si>
  <si>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</si>
  <si>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</si>
  <si>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</si>
  <si>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</si>
  <si>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</si>
  <si>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</si>
  <si>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</si>
  <si>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</si>
  <si>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</si>
  <si>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</si>
  <si>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</si>
  <si>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</si>
  <si>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</si>
  <si>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</si>
  <si>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</si>
  <si>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</si>
  <si>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</si>
  <si>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</si>
  <si>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</si>
  <si>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</si>
  <si>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</si>
  <si>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</si>
  <si>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</si>
  <si>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</si>
  <si>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</si>
  <si>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</si>
  <si>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</si>
  <si>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</si>
  <si>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</si>
  <si>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</si>
  <si>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</si>
  <si>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</si>
  <si>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</si>
  <si>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</si>
  <si>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</si>
  <si>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</si>
  <si>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</si>
  <si>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</si>
  <si>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</si>
  <si>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</si>
  <si>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</si>
  <si>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</si>
  <si>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</si>
  <si>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</si>
  <si>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</si>
  <si>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</si>
  <si>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</si>
  <si>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</si>
  <si>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</si>
  <si>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</si>
  <si>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</si>
  <si>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</si>
  <si>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</si>
  <si>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</si>
  <si>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</si>
  <si>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</si>
  <si>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</si>
  <si>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</si>
  <si>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</si>
  <si>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</si>
  <si>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</si>
  <si>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</si>
  <si>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</si>
  <si>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</si>
  <si>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</si>
  <si>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</si>
  <si>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瑪斯</t>
  </si>
  <si>
    <t>抽/日</t>
  </si>
  <si>
    <t>總抽</t>
  </si>
  <si>
    <t>補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</si>
  <si>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</si>
  <si>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</si>
  <si>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</si>
  <si>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</si>
  <si>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</si>
  <si>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</si>
  <si>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</si>
  <si>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</si>
  <si>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</si>
  <si>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</si>
  <si>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</si>
  <si>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</si>
  <si>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</si>
  <si>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</si>
  <si>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</si>
  <si>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</si>
  <si>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</si>
  <si>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</si>
  <si>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</si>
  <si>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月包、4單</t>
  </si>
  <si>
    <t>★5 %</t>
  </si>
  <si>
    <t>平均抽數</t>
  </si>
  <si>
    <t>MH凡妮莎、MH狂戰</t>
  </si>
  <si>
    <t>MH妹弓、黑炎龍</t>
  </si>
  <si>
    <t>廚師刀、咕嚕曼</t>
  </si>
  <si>
    <t>弗爾提、由里烏斯、阿薩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</si>
  <si>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</si>
  <si>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</si>
  <si>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</si>
  <si>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</si>
  <si>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</si>
  <si>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</si>
  <si>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</si>
  <si>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</si>
  <si>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</si>
  <si>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</si>
  <si>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</si>
  <si>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</si>
  <si>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</si>
  <si>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</si>
  <si>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</si>
  <si>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</si>
  <si>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</si>
  <si>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龍絆日、暗牙共鬥</t>
  </si>
  <si>
    <t>高火牙</t>
  </si>
  <si>
    <t>Start</t>
  </si>
  <si>
    <t>End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</si>
  <si>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</si>
  <si>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</si>
  <si>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</si>
  <si>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</si>
  <si>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</si>
  <si>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</si>
  <si>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</si>
  <si>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</si>
  <si>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</si>
  <si>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</si>
  <si>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</si>
  <si>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</si>
  <si>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</si>
  <si>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</si>
  <si>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</si>
  <si>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</si>
  <si>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</si>
  <si>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</si>
  <si>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</si>
  <si>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</si>
  <si>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</si>
  <si>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</si>
  <si>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</si>
  <si>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</si>
  <si>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</si>
  <si>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</si>
  <si>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</si>
  <si>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</si>
  <si>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</si>
  <si>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</si>
  <si>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</si>
  <si>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</si>
  <si>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</si>
  <si>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</si>
  <si>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</si>
  <si>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</si>
  <si>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</si>
  <si>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</si>
  <si>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</si>
  <si>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</si>
  <si>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</si>
  <si>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</si>
  <si>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</si>
  <si>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</si>
  <si>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</si>
  <si>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</si>
  <si>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</si>
  <si>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</si>
  <si>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</si>
  <si>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</si>
  <si>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</si>
  <si>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</si>
  <si>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</si>
  <si>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</si>
  <si>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</si>
  <si>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</si>
  <si>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</si>
  <si>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</si>
  <si>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</si>
  <si>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</si>
  <si>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</si>
  <si>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</si>
  <si>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</si>
  <si>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</si>
  <si>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</si>
  <si>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</si>
  <si>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</si>
  <si>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</si>
  <si>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</si>
  <si>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</si>
  <si>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</si>
  <si>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</si>
  <si>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</si>
  <si>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</si>
  <si>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</si>
  <si>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</si>
  <si>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</si>
  <si>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</si>
  <si>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</si>
  <si>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</si>
  <si>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</si>
  <si>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</si>
  <si>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</si>
  <si>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</si>
  <si>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</si>
  <si>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</si>
  <si>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</si>
  <si>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</si>
  <si>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</si>
  <si>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</si>
  <si>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</si>
  <si>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</si>
  <si>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</si>
  <si>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</si>
  <si>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</si>
  <si>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</si>
  <si>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</si>
  <si>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</si>
  <si>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</si>
  <si>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</si>
  <si>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</si>
  <si>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</si>
  <si>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</si>
  <si>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</si>
  <si>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</si>
  <si>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</si>
  <si>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</si>
  <si>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</si>
  <si>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</si>
  <si>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</si>
  <si>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</si>
  <si>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</si>
  <si>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</si>
  <si>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</si>
  <si>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</si>
  <si>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</si>
  <si>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</si>
  <si>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</si>
  <si>
    <t>鑽包、體毛包</t>
  </si>
  <si>
    <t>月贈送抽</t>
  </si>
  <si>
    <t>月贈送+</t>
  </si>
  <si>
    <t>升等需求</t>
  </si>
  <si>
    <t>逆引 (30)</t>
  </si>
  <si>
    <t>逆引 (35)</t>
  </si>
  <si>
    <t>耗時 (30)</t>
  </si>
  <si>
    <t>耗時 (35)</t>
  </si>
  <si>
    <t>升等耗時</t>
  </si>
  <si>
    <t>圖書館系列活動復刻</t>
  </si>
  <si>
    <t>C16-N</t>
  </si>
  <si>
    <t>C16-H/VH</t>
  </si>
  <si>
    <t>超火牙</t>
  </si>
  <si>
    <t>怪盜龍絆日</t>
  </si>
  <si>
    <t>掛超火牙</t>
  </si>
  <si>
    <t>掛高暗牙</t>
  </si>
  <si>
    <t>歌劇海盜、鯨魚</t>
  </si>
  <si>
    <t>掛高暗牙、歌劇海盜</t>
  </si>
  <si>
    <t>兩倍包、每日包</t>
  </si>
  <si>
    <t>迎擊戰</t>
  </si>
  <si>
    <t>禮服池、掛高火牙</t>
  </si>
  <si>
    <t>體毛包、兩倍包</t>
  </si>
  <si>
    <t>中水牙、每日包、兩倍包</t>
  </si>
  <si>
    <t>版本更新</t>
  </si>
  <si>
    <t>絕風牙、新舊趣</t>
  </si>
  <si>
    <t>龍絆日大哥</t>
  </si>
  <si>
    <t>舊趣活動</t>
  </si>
  <si>
    <t>兩倍包、每日包、舊趣</t>
  </si>
  <si>
    <t>精煉 2</t>
  </si>
  <si>
    <t>9 突</t>
  </si>
  <si>
    <t>9突</t>
  </si>
  <si>
    <t>精煉2</t>
  </si>
  <si>
    <t>需頭</t>
  </si>
  <si>
    <t>最終目標</t>
  </si>
  <si>
    <t>頭</t>
  </si>
  <si>
    <t>絕級</t>
  </si>
  <si>
    <t>∞</t>
  </si>
  <si>
    <t>場次(絕)</t>
  </si>
  <si>
    <t>PCR 連動</t>
  </si>
  <si>
    <t>新活動</t>
  </si>
  <si>
    <t>PCR</t>
  </si>
  <si>
    <t>預期 ★5%</t>
  </si>
  <si>
    <t>★5% 差異</t>
  </si>
  <si>
    <r>
      <t>涅因、琵儂、</t>
    </r>
    <r>
      <rPr>
        <sz val="11"/>
        <color rgb="FF7030A0"/>
        <rFont val="Calibri"/>
        <family val="2"/>
        <scheme val="minor"/>
      </rPr>
      <t>索爾(x2)</t>
    </r>
    <r>
      <rPr>
        <sz val="11"/>
        <color theme="1"/>
        <rFont val="Calibri"/>
        <family val="2"/>
        <scheme val="minor"/>
      </rPr>
      <t>、雷米爾</t>
    </r>
  </si>
  <si>
    <r>
      <rPr>
        <sz val="9"/>
        <color rgb="FFFF0000"/>
        <rFont val="Calibri"/>
        <family val="2"/>
        <scheme val="minor"/>
      </rPr>
      <t>龍絆拉契希</t>
    </r>
    <r>
      <rPr>
        <sz val="9"/>
        <color theme="1"/>
        <rFont val="Calibri"/>
        <family val="2"/>
        <scheme val="minor"/>
      </rPr>
      <t>、泳裝花開、泳裝筱雅、泳裝諾斯敦</t>
    </r>
  </si>
  <si>
    <r>
      <t>泳裝尊、</t>
    </r>
    <r>
      <rPr>
        <sz val="11"/>
        <color rgb="FFFF0000"/>
        <rFont val="Calibri"/>
        <family val="2"/>
        <scheme val="minor"/>
      </rPr>
      <t>泳裝副團</t>
    </r>
  </si>
  <si>
    <r>
      <rPr>
        <sz val="11"/>
        <color rgb="FF7030A0"/>
        <rFont val="Calibri"/>
        <family val="2"/>
        <scheme val="minor"/>
      </rPr>
      <t>凱特西</t>
    </r>
    <r>
      <rPr>
        <sz val="11"/>
        <color theme="1"/>
        <rFont val="Calibri"/>
        <family val="2"/>
        <scheme val="minor"/>
      </rPr>
      <t>、綠頭、鑽頭</t>
    </r>
  </si>
  <si>
    <r>
      <t>李弗、三藏、八戒、</t>
    </r>
    <r>
      <rPr>
        <sz val="11"/>
        <color rgb="FFFF0000"/>
        <rFont val="Calibri"/>
        <family val="2"/>
        <scheme val="minor"/>
      </rPr>
      <t>鐵扇</t>
    </r>
  </si>
  <si>
    <r>
      <t>庫洛武、</t>
    </r>
    <r>
      <rPr>
        <sz val="11"/>
        <color rgb="FF7030A0"/>
        <rFont val="Calibri"/>
        <family val="2"/>
        <scheme val="minor"/>
      </rPr>
      <t>皮亞妮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7G</t>
    </r>
  </si>
  <si>
    <r>
      <t>拉茲莉、</t>
    </r>
    <r>
      <rPr>
        <sz val="11"/>
        <color rgb="FF7030A0"/>
        <rFont val="Calibri"/>
        <family val="2"/>
        <scheme val="minor"/>
      </rPr>
      <t>兔龍</t>
    </r>
  </si>
  <si>
    <r>
      <rPr>
        <sz val="11"/>
        <color rgb="FF7030A0"/>
        <rFont val="Calibri"/>
        <family val="2"/>
        <scheme val="minor"/>
      </rPr>
      <t>貝莉娜</t>
    </r>
    <r>
      <rPr>
        <sz val="11"/>
        <color theme="1"/>
        <rFont val="Calibri"/>
        <family val="2"/>
        <scheme val="minor"/>
      </rPr>
      <t>、安朵美達</t>
    </r>
  </si>
  <si>
    <r>
      <rPr>
        <sz val="11"/>
        <color rgb="FFFF0000"/>
        <rFont val="Calibri"/>
        <family val="2"/>
        <scheme val="minor"/>
      </rPr>
      <t>特萊茲</t>
    </r>
    <r>
      <rPr>
        <sz val="11"/>
        <color theme="1"/>
        <rFont val="Calibri"/>
        <family val="2"/>
        <scheme val="minor"/>
      </rPr>
      <t>、亞列爾</t>
    </r>
  </si>
  <si>
    <r>
      <rPr>
        <sz val="11"/>
        <color rgb="FFFF0000"/>
        <rFont val="Calibri"/>
        <family val="2"/>
        <scheme val="minor"/>
      </rPr>
      <t>女僕斧</t>
    </r>
    <r>
      <rPr>
        <sz val="11"/>
        <color theme="1"/>
        <rFont val="Calibri"/>
        <family val="2"/>
        <scheme val="minor"/>
      </rPr>
      <t>、黑人弓</t>
    </r>
  </si>
  <si>
    <t>月鑽量</t>
  </si>
  <si>
    <t>卷 / Tickets</t>
  </si>
  <si>
    <t>鑽 / Wyrmites</t>
  </si>
  <si>
    <t>總量 / Sum</t>
  </si>
  <si>
    <t>星龍莉莉、星龍禿頭</t>
  </si>
  <si>
    <t>星龍</t>
  </si>
  <si>
    <t>刷$</t>
  </si>
  <si>
    <t>雷鷹．勇</t>
  </si>
  <si>
    <t>雷勇</t>
  </si>
  <si>
    <t>義經</t>
  </si>
  <si>
    <t>晴明、牛頭天王</t>
  </si>
  <si>
    <t>晴明</t>
  </si>
  <si>
    <t>新春禮包</t>
  </si>
  <si>
    <t>s</t>
  </si>
  <si>
    <t>累計 (30)</t>
  </si>
  <si>
    <t>中暗牙</t>
  </si>
  <si>
    <t>中光牙</t>
  </si>
  <si>
    <t>中火牙、中水牙</t>
  </si>
  <si>
    <t>中火牙</t>
  </si>
  <si>
    <t>中水牙</t>
  </si>
  <si>
    <t>中風牙</t>
  </si>
  <si>
    <t>和服耶魯、和服琉卡</t>
  </si>
  <si>
    <t>P/M</t>
  </si>
  <si>
    <t>每日鑽包、體毛包</t>
  </si>
  <si>
    <t>黃鑽 / Diams</t>
  </si>
  <si>
    <t>彩鑽 / Mites</t>
  </si>
  <si>
    <t>單抽卷 / Tickets</t>
  </si>
  <si>
    <t>十抽卷 / Tenfolds</t>
  </si>
  <si>
    <t>補 / Additional</t>
  </si>
  <si>
    <t>總抽 / Total</t>
  </si>
  <si>
    <t>前 / Before</t>
  </si>
  <si>
    <t>後 / After</t>
  </si>
  <si>
    <r>
      <t>和服耶魯、</t>
    </r>
    <r>
      <rPr>
        <sz val="11"/>
        <color rgb="FFFF0000"/>
        <rFont val="Calibri"/>
        <family val="2"/>
        <scheme val="minor"/>
      </rPr>
      <t>和服琉卡</t>
    </r>
  </si>
  <si>
    <t>新物件</t>
  </si>
  <si>
    <t>讀故事</t>
  </si>
  <si>
    <t>當日免費</t>
  </si>
  <si>
    <t>免費 / Free</t>
  </si>
  <si>
    <t>月免費抽</t>
  </si>
  <si>
    <t>月免費+</t>
  </si>
  <si>
    <t>每日鑽包、兩倍包</t>
  </si>
  <si>
    <t>龍絆日謝斯</t>
  </si>
  <si>
    <t>PANTHER</t>
  </si>
  <si>
    <t>Joker Part 1</t>
  </si>
  <si>
    <t>P5S 禮包</t>
  </si>
  <si>
    <t>P5S 活動</t>
  </si>
  <si>
    <t>P5S 農</t>
  </si>
  <si>
    <r>
      <rPr>
        <sz val="11"/>
        <color rgb="FFFF0000"/>
        <rFont val="Calibri"/>
        <family val="2"/>
        <scheme val="minor"/>
      </rPr>
      <t>佩可</t>
    </r>
    <r>
      <rPr>
        <sz val="11"/>
        <color theme="1"/>
        <rFont val="Calibri"/>
        <family val="2"/>
        <scheme val="minor"/>
      </rPr>
      <t>、野食三葉、潘朵拉</t>
    </r>
  </si>
  <si>
    <r>
      <rPr>
        <sz val="11"/>
        <color rgb="FFFF0000"/>
        <rFont val="Calibri"/>
        <family val="2"/>
        <scheme val="minor"/>
      </rPr>
      <t>龍絆潔那</t>
    </r>
    <r>
      <rPr>
        <sz val="11"/>
        <color theme="1"/>
        <rFont val="Calibri"/>
        <family val="2"/>
        <scheme val="minor"/>
      </rPr>
      <t>、梅涅、</t>
    </r>
    <r>
      <rPr>
        <sz val="11"/>
        <color rgb="FF7030A0"/>
        <rFont val="Calibri"/>
        <family val="2"/>
        <scheme val="minor"/>
      </rPr>
      <t>耶夢零</t>
    </r>
  </si>
  <si>
    <r>
      <rPr>
        <sz val="11"/>
        <color rgb="FF7030A0"/>
        <rFont val="Calibri"/>
        <family val="2"/>
        <scheme val="minor"/>
      </rPr>
      <t>拉碧絲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波勇</t>
    </r>
  </si>
  <si>
    <r>
      <t>禮服諾艾兒、</t>
    </r>
    <r>
      <rPr>
        <sz val="11"/>
        <color rgb="FF7030A0"/>
        <rFont val="Calibri"/>
        <family val="2"/>
        <scheme val="minor"/>
      </rPr>
      <t>禮服約爾希姆</t>
    </r>
  </si>
  <si>
    <t>P5S Part 1</t>
  </si>
  <si>
    <t>P5S Part 2</t>
  </si>
  <si>
    <t>天井 %</t>
  </si>
  <si>
    <t>月包</t>
  </si>
  <si>
    <t>情人雀兒喜</t>
  </si>
  <si>
    <t>情人雀兒喜、墨諾提俄斯</t>
  </si>
  <si>
    <r>
      <t>JOKER、</t>
    </r>
    <r>
      <rPr>
        <sz val="11"/>
        <color rgb="FF7030A0"/>
        <rFont val="Calibri"/>
        <family val="2"/>
        <scheme val="minor"/>
      </rPr>
      <t>MONA</t>
    </r>
    <r>
      <rPr>
        <sz val="11"/>
        <color theme="1"/>
        <rFont val="Calibri"/>
        <family val="2"/>
        <scheme val="minor"/>
      </rPr>
      <t>、</t>
    </r>
    <r>
      <rPr>
        <sz val="11"/>
        <color rgb="FF7030A0"/>
        <rFont val="Calibri"/>
        <family val="2"/>
        <scheme val="minor"/>
      </rPr>
      <t>亞森</t>
    </r>
  </si>
  <si>
    <t>每日鑽包</t>
  </si>
  <si>
    <t>C18 前半</t>
  </si>
  <si>
    <t>每日包</t>
  </si>
  <si>
    <r>
      <t>理薩、</t>
    </r>
    <r>
      <rPr>
        <sz val="11"/>
        <color rgb="FFFF0000"/>
        <rFont val="Calibri"/>
        <family val="2"/>
        <scheme val="minor"/>
      </rPr>
      <t>貞德．勇</t>
    </r>
  </si>
  <si>
    <t>貞德．勇</t>
  </si>
  <si>
    <t>法朗斯、加百列</t>
  </si>
  <si>
    <t>法朗斯 / 加百列</t>
  </si>
  <si>
    <t>限突 1</t>
  </si>
  <si>
    <t>限突 2</t>
  </si>
  <si>
    <t>限突 3</t>
  </si>
  <si>
    <t>限突 4</t>
  </si>
  <si>
    <t>護符</t>
  </si>
  <si>
    <t>目標持有</t>
  </si>
  <si>
    <t>階段</t>
  </si>
  <si>
    <t>當前持有</t>
  </si>
  <si>
    <t>限突 0</t>
  </si>
  <si>
    <t>需特</t>
  </si>
  <si>
    <t>通用銀</t>
  </si>
  <si>
    <t>通用金</t>
  </si>
  <si>
    <t>素材量</t>
  </si>
  <si>
    <t>深愛-雙刀</t>
  </si>
  <si>
    <t>王冠-蛇頭</t>
  </si>
  <si>
    <t>德菲-狗頭</t>
  </si>
  <si>
    <t>面具-三叉</t>
  </si>
  <si>
    <t>深愛-王冠</t>
  </si>
  <si>
    <t>面具-弓箭</t>
  </si>
  <si>
    <t>鑽</t>
  </si>
  <si>
    <t>前</t>
  </si>
  <si>
    <t>後</t>
  </si>
  <si>
    <t>單場 AP</t>
  </si>
  <si>
    <t>級</t>
  </si>
  <si>
    <t>中</t>
  </si>
  <si>
    <t>高</t>
  </si>
  <si>
    <t>模式</t>
  </si>
  <si>
    <t>超</t>
  </si>
  <si>
    <t>素材需求一覽</t>
  </si>
  <si>
    <t>艾零、菲霓</t>
  </si>
  <si>
    <t>配重</t>
  </si>
  <si>
    <t>素材配重</t>
  </si>
  <si>
    <t>素材</t>
  </si>
  <si>
    <t>槽位</t>
  </si>
  <si>
    <t>實際</t>
  </si>
  <si>
    <t>比重</t>
  </si>
  <si>
    <t>代碼</t>
  </si>
  <si>
    <t>杖</t>
  </si>
  <si>
    <t>護符強化</t>
  </si>
  <si>
    <t>武器</t>
  </si>
  <si>
    <t xml:space="preserve"> </t>
  </si>
  <si>
    <t>莉莉絲 超級</t>
  </si>
  <si>
    <t>升等素材量 (護符)</t>
  </si>
  <si>
    <t>農中級</t>
  </si>
  <si>
    <t>農等級</t>
  </si>
  <si>
    <t>娜姆、慕慕潔安</t>
  </si>
  <si>
    <t>農等級、那姆 / 慕慕潔安</t>
  </si>
  <si>
    <t>那姆 / 慕慕潔安</t>
  </si>
  <si>
    <t>農等級、兩倍包</t>
  </si>
  <si>
    <t>場</t>
  </si>
  <si>
    <t>阿爾博流斯、真．普魯托</t>
  </si>
  <si>
    <t>農等級、兩倍包、鑽包</t>
  </si>
  <si>
    <t>兩倍包、鑽包</t>
  </si>
  <si>
    <t>正太蘭叔、人形墨丘利</t>
  </si>
  <si>
    <t>C19</t>
  </si>
  <si>
    <t>週期 (時)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</si>
</sst>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  <numFmt numFmtId="184" formatCode="[h]:mm"/>
    <numFmt numFmtId="185" formatCode="[Color50]\+0.00%;[Red]\-0.00%;0.00%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70C0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000322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F0E03"/>
        <bgColor indexed="64"/>
      </patternFill>
    </fill>
    <fill>
      <patternFill patternType="solid">
        <fgColor rgb="FF07111B"/>
        <bgColor indexed="64"/>
      </patternFill>
    </fill>
    <fill>
      <patternFill patternType="solid">
        <fgColor rgb="FF221A00"/>
        <bgColor indexed="64"/>
      </patternFill>
    </fill>
    <fill>
      <patternFill patternType="solid">
        <fgColor rgb="FF232200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6091F"/>
        <bgColor indexed="64"/>
      </patternFill>
    </fill>
    <fill>
      <patternFill patternType="solid">
        <fgColor rgb="FF0B050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401C06"/>
        <bgColor indexed="64"/>
      </patternFill>
    </fill>
    <fill>
      <patternFill patternType="solid">
        <fgColor rgb="FF3231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3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29" fillId="16" borderId="25" xfId="0" applyFont="1" applyFill="1" applyBorder="1" applyAlignment="1">
      <alignment horizontal="center" vertical="center"/>
    </xf>
    <xf numFmtId="0" fontId="32" fillId="16" borderId="25" xfId="0" applyFont="1" applyFill="1" applyBorder="1" applyAlignment="1">
      <alignment horizontal="center" vertical="center"/>
    </xf>
    <xf numFmtId="0" fontId="33" fillId="16" borderId="25" xfId="0" applyFont="1" applyFill="1" applyBorder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46" fontId="32" fillId="16" borderId="25" xfId="0" applyNumberFormat="1" applyFont="1" applyFill="1" applyBorder="1" applyAlignment="1">
      <alignment horizontal="center" vertical="center"/>
    </xf>
    <xf numFmtId="1" fontId="32" fillId="16" borderId="25" xfId="0" applyNumberFormat="1" applyFont="1" applyFill="1" applyBorder="1" applyAlignment="1">
      <alignment horizontal="center" vertical="center"/>
    </xf>
    <xf numFmtId="0" fontId="32" fillId="17" borderId="25" xfId="0" applyFont="1" applyFill="1" applyBorder="1" applyAlignment="1">
      <alignment horizontal="center" vertical="center"/>
    </xf>
    <xf numFmtId="0" fontId="32" fillId="18" borderId="25" xfId="0" applyFont="1" applyFill="1" applyBorder="1" applyAlignment="1">
      <alignment horizontal="center" vertical="center"/>
    </xf>
    <xf numFmtId="0" fontId="32" fillId="19" borderId="25" xfId="0" applyFont="1" applyFill="1" applyBorder="1" applyAlignment="1">
      <alignment horizontal="center" vertical="center"/>
    </xf>
    <xf numFmtId="1" fontId="28" fillId="20" borderId="25" xfId="0" applyNumberFormat="1" applyFont="1" applyFill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/>
    </xf>
    <xf numFmtId="0" fontId="32" fillId="21" borderId="25" xfId="0" applyFont="1" applyFill="1" applyBorder="1" applyAlignment="1">
      <alignment horizontal="center" vertical="center"/>
    </xf>
    <xf numFmtId="20" fontId="32" fillId="21" borderId="25" xfId="0" applyNumberFormat="1" applyFont="1" applyFill="1" applyBorder="1" applyAlignment="1">
      <alignment horizontal="center" vertical="center"/>
    </xf>
    <xf numFmtId="0" fontId="32" fillId="22" borderId="25" xfId="0" applyFont="1" applyFill="1" applyBorder="1" applyAlignment="1">
      <alignment horizontal="center" vertical="center"/>
    </xf>
    <xf numFmtId="20" fontId="32" fillId="22" borderId="25" xfId="0" applyNumberFormat="1" applyFont="1" applyFill="1" applyBorder="1" applyAlignment="1">
      <alignment horizontal="center" vertical="center"/>
    </xf>
    <xf numFmtId="0" fontId="32" fillId="23" borderId="25" xfId="0" applyFont="1" applyFill="1" applyBorder="1" applyAlignment="1">
      <alignment horizontal="center" vertical="center"/>
    </xf>
    <xf numFmtId="184" fontId="32" fillId="23" borderId="25" xfId="0" applyNumberFormat="1" applyFont="1" applyFill="1" applyBorder="1" applyAlignment="1">
      <alignment horizontal="center" vertical="center"/>
    </xf>
    <xf numFmtId="184" fontId="32" fillId="19" borderId="25" xfId="0" applyNumberFormat="1" applyFont="1" applyFill="1" applyBorder="1" applyAlignment="1">
      <alignment horizontal="center" vertical="center"/>
    </xf>
    <xf numFmtId="0" fontId="32" fillId="24" borderId="25" xfId="0" applyFont="1" applyFill="1" applyBorder="1" applyAlignment="1">
      <alignment horizontal="center" vertical="center"/>
    </xf>
    <xf numFmtId="184" fontId="32" fillId="24" borderId="25" xfId="0" applyNumberFormat="1" applyFont="1" applyFill="1" applyBorder="1" applyAlignment="1">
      <alignment horizontal="center" vertical="center"/>
    </xf>
    <xf numFmtId="0" fontId="32" fillId="25" borderId="25" xfId="0" applyFont="1" applyFill="1" applyBorder="1" applyAlignment="1">
      <alignment horizontal="center" vertical="center"/>
    </xf>
    <xf numFmtId="184" fontId="32" fillId="25" borderId="2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1" fontId="36" fillId="0" borderId="1" xfId="0" applyNumberFormat="1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22" fillId="9" borderId="2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185" fontId="0" fillId="0" borderId="0" xfId="0" applyNumberFormat="1" applyBorder="1" applyAlignment="1">
      <alignment horizontal="center" vertical="center"/>
    </xf>
    <xf numFmtId="185" fontId="3" fillId="0" borderId="3" xfId="0" applyNumberFormat="1" applyFont="1" applyBorder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9" fontId="3" fillId="0" borderId="0" xfId="1" applyNumberFormat="1" applyFont="1" applyBorder="1" applyAlignment="1">
      <alignment horizontal="center" vertical="center"/>
    </xf>
    <xf numFmtId="9" fontId="0" fillId="0" borderId="0" xfId="1" applyNumberFormat="1" applyFont="1" applyBorder="1" applyAlignment="1">
      <alignment horizontal="center" vertical="center"/>
    </xf>
    <xf numFmtId="9" fontId="3" fillId="0" borderId="3" xfId="1" applyNumberFormat="1" applyFont="1" applyBorder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2" fillId="26" borderId="25" xfId="0" applyFont="1" applyFill="1" applyBorder="1" applyAlignment="1">
      <alignment horizontal="center" vertical="center"/>
    </xf>
    <xf numFmtId="0" fontId="28" fillId="26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183" fontId="32" fillId="27" borderId="25" xfId="0" applyNumberFormat="1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166" fontId="32" fillId="22" borderId="25" xfId="0" applyNumberFormat="1" applyFont="1" applyFill="1" applyBorder="1" applyAlignment="1">
      <alignment horizontal="center" vertical="center"/>
    </xf>
    <xf numFmtId="1" fontId="32" fillId="22" borderId="25" xfId="0" applyNumberFormat="1" applyFont="1" applyFill="1" applyBorder="1" applyAlignment="1">
      <alignment horizontal="center" vertical="center"/>
    </xf>
    <xf numFmtId="177" fontId="32" fillId="22" borderId="25" xfId="0" applyNumberFormat="1" applyFont="1" applyFill="1" applyBorder="1" applyAlignment="1">
      <alignment horizontal="center" vertical="center"/>
    </xf>
    <xf numFmtId="166" fontId="28" fillId="22" borderId="25" xfId="0" applyNumberFormat="1" applyFont="1" applyFill="1" applyBorder="1" applyAlignment="1">
      <alignment horizontal="center" vertical="center"/>
    </xf>
    <xf numFmtId="1" fontId="28" fillId="22" borderId="25" xfId="0" applyNumberFormat="1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30" borderId="25" xfId="0" applyFont="1" applyFill="1" applyBorder="1" applyAlignment="1">
      <alignment horizontal="center" vertical="center"/>
    </xf>
    <xf numFmtId="177" fontId="28" fillId="30" borderId="28" xfId="0" applyNumberFormat="1" applyFont="1" applyFill="1" applyBorder="1" applyAlignment="1">
      <alignment horizontal="center" vertical="center"/>
    </xf>
    <xf numFmtId="177" fontId="28" fillId="30" borderId="25" xfId="0" applyNumberFormat="1" applyFont="1" applyFill="1" applyBorder="1" applyAlignment="1">
      <alignment horizontal="center" vertical="center"/>
    </xf>
    <xf numFmtId="1" fontId="32" fillId="29" borderId="25" xfId="0" applyNumberFormat="1" applyFont="1" applyFill="1" applyBorder="1" applyAlignment="1">
      <alignment horizontal="center" vertical="center"/>
    </xf>
    <xf numFmtId="1" fontId="28" fillId="30" borderId="28" xfId="0" applyNumberFormat="1" applyFont="1" applyFill="1" applyBorder="1" applyAlignment="1">
      <alignment horizontal="center" vertical="center"/>
    </xf>
    <xf numFmtId="1" fontId="32" fillId="27" borderId="25" xfId="0" applyNumberFormat="1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32" fillId="27" borderId="25" xfId="0" applyNumberFormat="1" applyFont="1" applyFill="1" applyBorder="1" applyAlignment="1">
      <alignment horizontal="center" vertical="center"/>
    </xf>
    <xf numFmtId="0" fontId="28" fillId="29" borderId="25" xfId="0" applyFont="1" applyFill="1" applyBorder="1" applyAlignment="1">
      <alignment horizontal="center" vertical="center"/>
    </xf>
    <xf numFmtId="0" fontId="28" fillId="29" borderId="25" xfId="0" applyNumberFormat="1" applyFont="1" applyFill="1" applyBorder="1" applyAlignment="1">
      <alignment horizontal="center" vertical="center"/>
    </xf>
    <xf numFmtId="0" fontId="32" fillId="29" borderId="25" xfId="0" applyNumberFormat="1" applyFont="1" applyFill="1" applyBorder="1" applyAlignment="1">
      <alignment horizontal="center" vertical="center"/>
    </xf>
    <xf numFmtId="0" fontId="32" fillId="29" borderId="25" xfId="0" applyFont="1" applyFill="1" applyBorder="1" applyAlignment="1">
      <alignment horizontal="center" vertical="center"/>
    </xf>
    <xf numFmtId="0" fontId="38" fillId="22" borderId="25" xfId="0" applyFont="1" applyFill="1" applyBorder="1" applyAlignment="1">
      <alignment horizontal="center" vertical="center"/>
    </xf>
    <xf numFmtId="0" fontId="28" fillId="33" borderId="25" xfId="0" applyFont="1" applyFill="1" applyBorder="1" applyAlignment="1">
      <alignment horizontal="center" vertical="center"/>
    </xf>
    <xf numFmtId="0" fontId="32" fillId="33" borderId="25" xfId="0" applyFont="1" applyFill="1" applyBorder="1" applyAlignment="1">
      <alignment horizontal="center" vertical="center"/>
    </xf>
    <xf numFmtId="0" fontId="28" fillId="34" borderId="25" xfId="0" applyFont="1" applyFill="1" applyBorder="1" applyAlignment="1">
      <alignment horizontal="center" vertical="center"/>
    </xf>
    <xf numFmtId="0" fontId="32" fillId="3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 vertical="center"/>
    </xf>
    <xf numFmtId="0" fontId="10" fillId="2" borderId="6" xfId="2" applyNumberFormat="1" applyFon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83" fontId="5" fillId="2" borderId="7" xfId="2" applyNumberFormat="1" applyFont="1" applyFill="1" applyBorder="1" applyAlignment="1">
      <alignment horizontal="center" vertical="center"/>
    </xf>
    <xf numFmtId="183" fontId="5" fillId="2" borderId="11" xfId="2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28" fillId="33" borderId="28" xfId="0" applyFont="1" applyFill="1" applyBorder="1" applyAlignment="1">
      <alignment horizontal="center" vertical="center"/>
    </xf>
    <xf numFmtId="0" fontId="28" fillId="33" borderId="18" xfId="0" applyFont="1" applyFill="1" applyBorder="1" applyAlignment="1">
      <alignment horizontal="center" vertical="center"/>
    </xf>
    <xf numFmtId="0" fontId="28" fillId="33" borderId="29" xfId="0" applyFont="1" applyFill="1" applyBorder="1" applyAlignment="1">
      <alignment horizontal="center" vertical="center"/>
    </xf>
    <xf numFmtId="0" fontId="32" fillId="33" borderId="28" xfId="0" applyFont="1" applyFill="1" applyBorder="1" applyAlignment="1">
      <alignment horizontal="center" vertical="center"/>
    </xf>
    <xf numFmtId="0" fontId="32" fillId="33" borderId="18" xfId="0" applyFont="1" applyFill="1" applyBorder="1" applyAlignment="1">
      <alignment horizontal="center" vertical="center"/>
    </xf>
    <xf numFmtId="0" fontId="32" fillId="33" borderId="29" xfId="0" applyFont="1" applyFill="1" applyBorder="1" applyAlignment="1">
      <alignment horizontal="center" vertical="center"/>
    </xf>
    <xf numFmtId="0" fontId="28" fillId="25" borderId="28" xfId="0" applyFont="1" applyFill="1" applyBorder="1" applyAlignment="1">
      <alignment horizontal="center" vertical="center"/>
    </xf>
    <xf numFmtId="0" fontId="28" fillId="25" borderId="18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28" fillId="25" borderId="30" xfId="0" applyFont="1" applyFill="1" applyBorder="1" applyAlignment="1">
      <alignment horizontal="center" vertical="center" textRotation="255"/>
    </xf>
    <xf numFmtId="0" fontId="28" fillId="25" borderId="31" xfId="0" applyFont="1" applyFill="1" applyBorder="1" applyAlignment="1">
      <alignment horizontal="center" vertical="center" textRotation="255"/>
    </xf>
    <xf numFmtId="0" fontId="28" fillId="25" borderId="32" xfId="0" applyFont="1" applyFill="1" applyBorder="1" applyAlignment="1">
      <alignment horizontal="center" vertical="center" textRotation="255"/>
    </xf>
    <xf numFmtId="1" fontId="28" fillId="31" borderId="30" xfId="0" applyNumberFormat="1" applyFont="1" applyFill="1" applyBorder="1" applyAlignment="1">
      <alignment horizontal="center" vertical="center"/>
    </xf>
    <xf numFmtId="1" fontId="28" fillId="31" borderId="32" xfId="0" applyNumberFormat="1" applyFont="1" applyFill="1" applyBorder="1" applyAlignment="1">
      <alignment horizontal="center" vertical="center"/>
    </xf>
    <xf numFmtId="1" fontId="28" fillId="32" borderId="30" xfId="0" applyNumberFormat="1" applyFont="1" applyFill="1" applyBorder="1" applyAlignment="1">
      <alignment horizontal="center" vertical="center"/>
    </xf>
    <xf numFmtId="1" fontId="28" fillId="32" borderId="32" xfId="0" applyNumberFormat="1" applyFont="1" applyFill="1" applyBorder="1" applyAlignment="1">
      <alignment horizontal="center" vertical="center"/>
    </xf>
    <xf numFmtId="1" fontId="28" fillId="29" borderId="28" xfId="0" applyNumberFormat="1" applyFont="1" applyFill="1" applyBorder="1" applyAlignment="1">
      <alignment horizontal="center" vertical="center"/>
    </xf>
    <xf numFmtId="1" fontId="28" fillId="29" borderId="18" xfId="0" applyNumberFormat="1" applyFont="1" applyFill="1" applyBorder="1" applyAlignment="1">
      <alignment horizontal="center" vertical="center"/>
    </xf>
    <xf numFmtId="1" fontId="28" fillId="29" borderId="29" xfId="0" applyNumberFormat="1" applyFont="1" applyFill="1" applyBorder="1" applyAlignment="1">
      <alignment horizontal="center" vertical="center"/>
    </xf>
    <xf numFmtId="0" fontId="28" fillId="29" borderId="28" xfId="0" applyFont="1" applyFill="1" applyBorder="1" applyAlignment="1">
      <alignment horizontal="center" vertical="center"/>
    </xf>
    <xf numFmtId="0" fontId="28" fillId="29" borderId="18" xfId="0" applyFont="1" applyFill="1" applyBorder="1" applyAlignment="1">
      <alignment horizontal="center" vertical="center"/>
    </xf>
    <xf numFmtId="0" fontId="28" fillId="29" borderId="29" xfId="0" applyFont="1" applyFill="1" applyBorder="1" applyAlignment="1">
      <alignment horizontal="center" vertical="center"/>
    </xf>
    <xf numFmtId="0" fontId="28" fillId="29" borderId="13" xfId="0" applyFont="1" applyFill="1" applyBorder="1" applyAlignment="1">
      <alignment horizontal="center" vertical="center"/>
    </xf>
    <xf numFmtId="0" fontId="28" fillId="29" borderId="33" xfId="0" applyFont="1" applyFill="1" applyBorder="1" applyAlignment="1">
      <alignment horizontal="center" vertical="center"/>
    </xf>
    <xf numFmtId="0" fontId="32" fillId="29" borderId="28" xfId="0" applyFont="1" applyFill="1" applyBorder="1" applyAlignment="1">
      <alignment horizontal="center" vertical="center"/>
    </xf>
    <xf numFmtId="0" fontId="32" fillId="29" borderId="18" xfId="0" applyFont="1" applyFill="1" applyBorder="1" applyAlignment="1">
      <alignment horizontal="center" vertical="center"/>
    </xf>
    <xf numFmtId="0" fontId="32" fillId="29" borderId="29" xfId="0" applyFont="1" applyFill="1" applyBorder="1" applyAlignment="1">
      <alignment horizontal="center" vertical="center"/>
    </xf>
    <xf numFmtId="1" fontId="39" fillId="29" borderId="28" xfId="0" applyNumberFormat="1" applyFont="1" applyFill="1" applyBorder="1" applyAlignment="1">
      <alignment horizontal="center" vertical="center"/>
    </xf>
    <xf numFmtId="1" fontId="39" fillId="29" borderId="29" xfId="0" applyNumberFormat="1" applyFont="1" applyFill="1" applyBorder="1" applyAlignment="1">
      <alignment horizontal="center" vertical="center"/>
    </xf>
    <xf numFmtId="177" fontId="28" fillId="30" borderId="30" xfId="0" applyNumberFormat="1" applyFont="1" applyFill="1" applyBorder="1" applyAlignment="1">
      <alignment horizontal="center" vertical="center"/>
    </xf>
    <xf numFmtId="177" fontId="28" fillId="30" borderId="32" xfId="0" applyNumberFormat="1" applyFont="1" applyFill="1" applyBorder="1" applyAlignment="1">
      <alignment horizontal="center" vertical="center"/>
    </xf>
    <xf numFmtId="0" fontId="32" fillId="28" borderId="28" xfId="0" applyFont="1" applyFill="1" applyBorder="1" applyAlignment="1">
      <alignment horizontal="center" vertical="center"/>
    </xf>
    <xf numFmtId="0" fontId="32" fillId="28" borderId="29" xfId="0" applyFont="1" applyFill="1" applyBorder="1" applyAlignment="1">
      <alignment horizontal="center" vertical="center"/>
    </xf>
    <xf numFmtId="0" fontId="28" fillId="30" borderId="30" xfId="0" applyFont="1" applyFill="1" applyBorder="1" applyAlignment="1">
      <alignment horizontal="center" vertical="center" textRotation="255"/>
    </xf>
    <xf numFmtId="0" fontId="28" fillId="30" borderId="31" xfId="0" applyFont="1" applyFill="1" applyBorder="1" applyAlignment="1">
      <alignment horizontal="center" vertical="center" textRotation="255"/>
    </xf>
    <xf numFmtId="0" fontId="28" fillId="30" borderId="32" xfId="0" applyFont="1" applyFill="1" applyBorder="1" applyAlignment="1">
      <alignment horizontal="center" vertical="center" textRotation="255"/>
    </xf>
    <xf numFmtId="0" fontId="32" fillId="31" borderId="28" xfId="0" applyFont="1" applyFill="1" applyBorder="1" applyAlignment="1">
      <alignment horizontal="center" vertical="center"/>
    </xf>
    <xf numFmtId="0" fontId="32" fillId="31" borderId="29" xfId="0" applyFont="1" applyFill="1" applyBorder="1" applyAlignment="1">
      <alignment horizontal="center" vertical="center"/>
    </xf>
    <xf numFmtId="0" fontId="32" fillId="32" borderId="28" xfId="0" applyFont="1" applyFill="1" applyBorder="1" applyAlignment="1">
      <alignment horizontal="center" vertical="center"/>
    </xf>
    <xf numFmtId="0" fontId="32" fillId="32" borderId="29" xfId="0" applyFont="1" applyFill="1" applyBorder="1" applyAlignment="1">
      <alignment horizontal="center" vertical="center"/>
    </xf>
    <xf numFmtId="1" fontId="39" fillId="29" borderId="34" xfId="0" applyNumberFormat="1" applyFont="1" applyFill="1" applyBorder="1" applyAlignment="1">
      <alignment horizontal="center" vertical="center"/>
    </xf>
    <xf numFmtId="1" fontId="39" fillId="29" borderId="35" xfId="0" applyNumberFormat="1" applyFont="1" applyFill="1" applyBorder="1" applyAlignment="1">
      <alignment horizontal="center" vertical="center"/>
    </xf>
    <xf numFmtId="0" fontId="32" fillId="31" borderId="34" xfId="0" applyFont="1" applyFill="1" applyBorder="1" applyAlignment="1">
      <alignment horizontal="center" vertical="center"/>
    </xf>
    <xf numFmtId="0" fontId="32" fillId="31" borderId="35" xfId="0" applyFont="1" applyFill="1" applyBorder="1" applyAlignment="1">
      <alignment horizontal="center" vertical="center"/>
    </xf>
    <xf numFmtId="0" fontId="32" fillId="32" borderId="34" xfId="0" applyFont="1" applyFill="1" applyBorder="1" applyAlignment="1">
      <alignment horizontal="center" vertical="center"/>
    </xf>
    <xf numFmtId="0" fontId="32" fillId="32" borderId="35" xfId="0" applyFont="1" applyFill="1" applyBorder="1" applyAlignment="1">
      <alignment horizontal="center" vertical="center"/>
    </xf>
    <xf numFmtId="0" fontId="32" fillId="28" borderId="34" xfId="0" applyFont="1" applyFill="1" applyBorder="1" applyAlignment="1">
      <alignment horizontal="center" vertical="center"/>
    </xf>
    <xf numFmtId="0" fontId="32" fillId="28" borderId="35" xfId="0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38" fillId="27" borderId="28" xfId="0" applyFont="1" applyFill="1" applyBorder="1" applyAlignment="1">
      <alignment horizontal="center" vertical="center"/>
    </xf>
    <xf numFmtId="0" fontId="38" fillId="27" borderId="18" xfId="0" applyFont="1" applyFill="1" applyBorder="1" applyAlignment="1">
      <alignment horizontal="center" vertical="center"/>
    </xf>
    <xf numFmtId="0" fontId="38" fillId="27" borderId="29" xfId="0" applyFont="1" applyFill="1" applyBorder="1" applyAlignment="1">
      <alignment horizontal="center" vertical="center"/>
    </xf>
    <xf numFmtId="0" fontId="38" fillId="26" borderId="28" xfId="0" applyFont="1" applyFill="1" applyBorder="1" applyAlignment="1">
      <alignment horizontal="center" vertical="center"/>
    </xf>
    <xf numFmtId="0" fontId="38" fillId="26" borderId="18" xfId="0" applyFont="1" applyFill="1" applyBorder="1" applyAlignment="1">
      <alignment horizontal="center" vertical="center"/>
    </xf>
    <xf numFmtId="0" fontId="38" fillId="26" borderId="29" xfId="0" applyFont="1" applyFill="1" applyBorder="1" applyAlignment="1">
      <alignment horizontal="center" vertical="center"/>
    </xf>
    <xf numFmtId="0" fontId="28" fillId="24" borderId="28" xfId="0" applyFont="1" applyFill="1" applyBorder="1" applyAlignment="1">
      <alignment horizontal="center" vertical="center"/>
    </xf>
    <xf numFmtId="0" fontId="28" fillId="24" borderId="18" xfId="0" applyFont="1" applyFill="1" applyBorder="1" applyAlignment="1">
      <alignment horizontal="center" vertical="center"/>
    </xf>
    <xf numFmtId="0" fontId="28" fillId="24" borderId="29" xfId="0" applyFont="1" applyFill="1" applyBorder="1" applyAlignment="1">
      <alignment horizontal="center" vertical="center"/>
    </xf>
    <xf numFmtId="0" fontId="28" fillId="21" borderId="28" xfId="0" applyFont="1" applyFill="1" applyBorder="1" applyAlignment="1">
      <alignment horizontal="center" vertical="center"/>
    </xf>
    <xf numFmtId="0" fontId="28" fillId="21" borderId="18" xfId="0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1" fontId="30" fillId="16" borderId="25" xfId="0" applyNumberFormat="1" applyFont="1" applyFill="1" applyBorder="1" applyAlignment="1">
      <alignment horizontal="center" vertical="center"/>
    </xf>
    <xf numFmtId="10" fontId="31" fillId="16" borderId="25" xfId="1" applyNumberFormat="1" applyFont="1" applyFill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58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401C06"/>
      <color rgb="FF1F0E03"/>
      <color rgb="FF323100"/>
      <color rgb="FF2E1404"/>
      <color rgb="FF07111B"/>
      <color rgb="FF16091F"/>
      <color rgb="FF0B050F"/>
      <color rgb="FF00220F"/>
      <color rgb="FFBCA5EB"/>
      <color rgb="FFFBA5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6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1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5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4.xml"/><Relationship Id="rId20" Type="http://schemas.openxmlformats.org/officeDocument/2006/relationships/chartsheet" Target="chartsheets/sheet3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24" Type="http://schemas.openxmlformats.org/officeDocument/2006/relationships/worksheet" Target="worksheets/sheet19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chartsheet" Target="chartsheets/sheet5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2.xml"/><Relationship Id="rId22" Type="http://schemas.openxmlformats.org/officeDocument/2006/relationships/chartsheet" Target="chartsheets/sheet4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鑽量!$A$6:$A$10000</c:f>
              <c:numCache>
                <c:formatCode>yyyy\-mm\-dd\ hh:mm</c:formatCode>
                <c:ptCount val="9995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  <c:pt idx="271">
                  <c:v>44185.538194444445</c:v>
                </c:pt>
                <c:pt idx="272">
                  <c:v>44186.543055555558</c:v>
                </c:pt>
                <c:pt idx="273">
                  <c:v>44187.379861111112</c:v>
                </c:pt>
                <c:pt idx="274">
                  <c:v>44188.379861111112</c:v>
                </c:pt>
                <c:pt idx="275">
                  <c:v>44189.761111111111</c:v>
                </c:pt>
                <c:pt idx="276">
                  <c:v>44190.740277777775</c:v>
                </c:pt>
                <c:pt idx="277">
                  <c:v>44191.968055555553</c:v>
                </c:pt>
                <c:pt idx="278">
                  <c:v>44192.4</c:v>
                </c:pt>
                <c:pt idx="279">
                  <c:v>44192.609027777777</c:v>
                </c:pt>
                <c:pt idx="280">
                  <c:v>44193.339583333334</c:v>
                </c:pt>
                <c:pt idx="281">
                  <c:v>44193.428472222222</c:v>
                </c:pt>
                <c:pt idx="282">
                  <c:v>44193.46597222222</c:v>
                </c:pt>
                <c:pt idx="283">
                  <c:v>44194.430555555555</c:v>
                </c:pt>
                <c:pt idx="284">
                  <c:v>44194.45</c:v>
                </c:pt>
                <c:pt idx="285">
                  <c:v>44195.634027777778</c:v>
                </c:pt>
                <c:pt idx="286">
                  <c:v>44196.003472222219</c:v>
                </c:pt>
                <c:pt idx="287">
                  <c:v>44196.034722222219</c:v>
                </c:pt>
                <c:pt idx="288">
                  <c:v>44196.243055555555</c:v>
                </c:pt>
                <c:pt idx="289">
                  <c:v>44196.245833333334</c:v>
                </c:pt>
                <c:pt idx="290">
                  <c:v>44197.0625</c:v>
                </c:pt>
                <c:pt idx="291">
                  <c:v>44199.209722222222</c:v>
                </c:pt>
                <c:pt idx="292">
                  <c:v>44200.943055555559</c:v>
                </c:pt>
                <c:pt idx="293">
                  <c:v>44201.058333333334</c:v>
                </c:pt>
                <c:pt idx="294">
                  <c:v>44201.163194444445</c:v>
                </c:pt>
                <c:pt idx="295">
                  <c:v>44201.974999999999</c:v>
                </c:pt>
                <c:pt idx="296">
                  <c:v>44202.138888888891</c:v>
                </c:pt>
                <c:pt idx="297">
                  <c:v>44203.302083333336</c:v>
                </c:pt>
                <c:pt idx="298">
                  <c:v>44204.001388888886</c:v>
                </c:pt>
                <c:pt idx="299">
                  <c:v>44204.022222222222</c:v>
                </c:pt>
                <c:pt idx="300">
                  <c:v>44205.086111111108</c:v>
                </c:pt>
                <c:pt idx="301">
                  <c:v>44205.164583333331</c:v>
                </c:pt>
                <c:pt idx="302">
                  <c:v>44206.24722222222</c:v>
                </c:pt>
                <c:pt idx="303">
                  <c:v>44206.253472222219</c:v>
                </c:pt>
                <c:pt idx="304">
                  <c:v>44207.566666666666</c:v>
                </c:pt>
                <c:pt idx="305">
                  <c:v>44207.609027777777</c:v>
                </c:pt>
                <c:pt idx="306">
                  <c:v>44208.493055555555</c:v>
                </c:pt>
                <c:pt idx="307">
                  <c:v>44208.863194444442</c:v>
                </c:pt>
                <c:pt idx="308">
                  <c:v>44208.904861111114</c:v>
                </c:pt>
                <c:pt idx="309">
                  <c:v>44209.324999999997</c:v>
                </c:pt>
                <c:pt idx="310">
                  <c:v>44210.00277777778</c:v>
                </c:pt>
                <c:pt idx="311">
                  <c:v>44210.013888888891</c:v>
                </c:pt>
                <c:pt idx="312">
                  <c:v>44211.109027777777</c:v>
                </c:pt>
                <c:pt idx="313">
                  <c:v>44211.945138888892</c:v>
                </c:pt>
                <c:pt idx="314">
                  <c:v>44212.011805555558</c:v>
                </c:pt>
                <c:pt idx="315">
                  <c:v>44213.213888888888</c:v>
                </c:pt>
                <c:pt idx="316">
                  <c:v>44214.208333333336</c:v>
                </c:pt>
                <c:pt idx="317">
                  <c:v>44215.931250000001</c:v>
                </c:pt>
                <c:pt idx="318">
                  <c:v>44216.05</c:v>
                </c:pt>
                <c:pt idx="319">
                  <c:v>44217.148611111108</c:v>
                </c:pt>
                <c:pt idx="320">
                  <c:v>44218.18472222222</c:v>
                </c:pt>
                <c:pt idx="321">
                  <c:v>44219.36041666667</c:v>
                </c:pt>
                <c:pt idx="322">
                  <c:v>44220.511805555558</c:v>
                </c:pt>
                <c:pt idx="323">
                  <c:v>44221.515972222223</c:v>
                </c:pt>
                <c:pt idx="324">
                  <c:v>44222.856249999997</c:v>
                </c:pt>
                <c:pt idx="325">
                  <c:v>44223.73333333333</c:v>
                </c:pt>
                <c:pt idx="326">
                  <c:v>44223.900694444441</c:v>
                </c:pt>
                <c:pt idx="327">
                  <c:v>44224.669444444444</c:v>
                </c:pt>
                <c:pt idx="328">
                  <c:v>44225.34097222222</c:v>
                </c:pt>
                <c:pt idx="329">
                  <c:v>44225.702777777777</c:v>
                </c:pt>
                <c:pt idx="330">
                  <c:v>44226.591666666667</c:v>
                </c:pt>
                <c:pt idx="331">
                  <c:v>44227</c:v>
                </c:pt>
                <c:pt idx="332">
                  <c:v>44227.008333333331</c:v>
                </c:pt>
                <c:pt idx="333">
                  <c:v>44227.566666666666</c:v>
                </c:pt>
                <c:pt idx="334">
                  <c:v>44228.770138888889</c:v>
                </c:pt>
                <c:pt idx="335">
                  <c:v>44228.779861111114</c:v>
                </c:pt>
                <c:pt idx="336">
                  <c:v>44229.037499999999</c:v>
                </c:pt>
                <c:pt idx="337">
                  <c:v>44229.04583333333</c:v>
                </c:pt>
                <c:pt idx="338">
                  <c:v>44230.195833333331</c:v>
                </c:pt>
                <c:pt idx="339">
                  <c:v>44230.200694444444</c:v>
                </c:pt>
                <c:pt idx="340">
                  <c:v>44231.001388888886</c:v>
                </c:pt>
                <c:pt idx="341">
                  <c:v>44231.020138888889</c:v>
                </c:pt>
                <c:pt idx="342">
                  <c:v>44232.088888888888</c:v>
                </c:pt>
                <c:pt idx="343">
                  <c:v>44233.002083333333</c:v>
                </c:pt>
                <c:pt idx="344">
                  <c:v>44233.006249999999</c:v>
                </c:pt>
                <c:pt idx="345">
                  <c:v>44233.186111111114</c:v>
                </c:pt>
                <c:pt idx="346">
                  <c:v>44234.268055555556</c:v>
                </c:pt>
                <c:pt idx="347">
                  <c:v>44234.291666666664</c:v>
                </c:pt>
                <c:pt idx="348">
                  <c:v>44235.772916666669</c:v>
                </c:pt>
                <c:pt idx="349">
                  <c:v>44235.793749999997</c:v>
                </c:pt>
                <c:pt idx="350">
                  <c:v>44236.84375</c:v>
                </c:pt>
                <c:pt idx="351">
                  <c:v>44237.717361111114</c:v>
                </c:pt>
                <c:pt idx="352">
                  <c:v>44238.354166666664</c:v>
                </c:pt>
                <c:pt idx="353">
                  <c:v>44239.012499999997</c:v>
                </c:pt>
                <c:pt idx="354">
                  <c:v>44239.591666666667</c:v>
                </c:pt>
                <c:pt idx="355">
                  <c:v>44240.034722222219</c:v>
                </c:pt>
                <c:pt idx="356">
                  <c:v>44241.740277777775</c:v>
                </c:pt>
                <c:pt idx="357">
                  <c:v>44243.201388888891</c:v>
                </c:pt>
                <c:pt idx="358">
                  <c:v>44244.09375</c:v>
                </c:pt>
                <c:pt idx="359">
                  <c:v>44245.219444444447</c:v>
                </c:pt>
                <c:pt idx="360">
                  <c:v>44246.790972222225</c:v>
                </c:pt>
                <c:pt idx="361">
                  <c:v>44247</c:v>
                </c:pt>
                <c:pt idx="362">
                  <c:v>44248.703472222223</c:v>
                </c:pt>
                <c:pt idx="363">
                  <c:v>44249.054166666669</c:v>
                </c:pt>
                <c:pt idx="364">
                  <c:v>44250.185416666667</c:v>
                </c:pt>
                <c:pt idx="365">
                  <c:v>44251.03125</c:v>
                </c:pt>
                <c:pt idx="366">
                  <c:v>44252.364583333336</c:v>
                </c:pt>
                <c:pt idx="367">
                  <c:v>44253.297222222223</c:v>
                </c:pt>
                <c:pt idx="368">
                  <c:v>44254.041666666664</c:v>
                </c:pt>
                <c:pt idx="369">
                  <c:v>44254.092361111114</c:v>
                </c:pt>
                <c:pt idx="370">
                  <c:v>44255.447916666664</c:v>
                </c:pt>
                <c:pt idx="371">
                  <c:v>44256.033333333333</c:v>
                </c:pt>
                <c:pt idx="372">
                  <c:v>44257.306944444441</c:v>
                </c:pt>
                <c:pt idx="373">
                  <c:v>44257.997916666667</c:v>
                </c:pt>
                <c:pt idx="374">
                  <c:v>44258.081944444442</c:v>
                </c:pt>
                <c:pt idx="375">
                  <c:v>44258.311805555553</c:v>
                </c:pt>
                <c:pt idx="376">
                  <c:v>44259.277777777781</c:v>
                </c:pt>
                <c:pt idx="377">
                  <c:v>44260.643055555556</c:v>
                </c:pt>
                <c:pt idx="378">
                  <c:v>44261.158333333333</c:v>
                </c:pt>
                <c:pt idx="379">
                  <c:v>44262.569444444445</c:v>
                </c:pt>
                <c:pt idx="380">
                  <c:v>44263.268750000003</c:v>
                </c:pt>
                <c:pt idx="381">
                  <c:v>44264.314583333333</c:v>
                </c:pt>
                <c:pt idx="382">
                  <c:v>44266.184027777781</c:v>
                </c:pt>
                <c:pt idx="383">
                  <c:v>44267.856249999997</c:v>
                </c:pt>
                <c:pt idx="384">
                  <c:v>44267.859027777777</c:v>
                </c:pt>
                <c:pt idx="385">
                  <c:v>44269.583333333336</c:v>
                </c:pt>
                <c:pt idx="386">
                  <c:v>44269.606944444444</c:v>
                </c:pt>
                <c:pt idx="387">
                  <c:v>44271.02847222222</c:v>
                </c:pt>
                <c:pt idx="388">
                  <c:v>44271.05972222222</c:v>
                </c:pt>
                <c:pt idx="389">
                  <c:v>44272.517361111109</c:v>
                </c:pt>
                <c:pt idx="390">
                  <c:v>44273.064583333333</c:v>
                </c:pt>
                <c:pt idx="391">
                  <c:v>44273.092361111114</c:v>
                </c:pt>
                <c:pt idx="392">
                  <c:v>44274.817361111112</c:v>
                </c:pt>
                <c:pt idx="393">
                  <c:v>44275.719444444447</c:v>
                </c:pt>
                <c:pt idx="394">
                  <c:v>44277.259722222225</c:v>
                </c:pt>
                <c:pt idx="395">
                  <c:v>44278.275694444441</c:v>
                </c:pt>
                <c:pt idx="396">
                  <c:v>44279.157638888886</c:v>
                </c:pt>
                <c:pt idx="397">
                  <c:v>44280.430555555555</c:v>
                </c:pt>
                <c:pt idx="398">
                  <c:v>44280.436805555553</c:v>
                </c:pt>
                <c:pt idx="399">
                  <c:v>44281.54583333333</c:v>
                </c:pt>
                <c:pt idx="400">
                  <c:v>44281.582638888889</c:v>
                </c:pt>
                <c:pt idx="401">
                  <c:v>44282.04791666667</c:v>
                </c:pt>
                <c:pt idx="402">
                  <c:v>44282.118750000001</c:v>
                </c:pt>
                <c:pt idx="403">
                  <c:v>44282.140277777777</c:v>
                </c:pt>
                <c:pt idx="404">
                  <c:v>44282.529861111114</c:v>
                </c:pt>
                <c:pt idx="405">
                  <c:v>44283.461111111108</c:v>
                </c:pt>
                <c:pt idx="406">
                  <c:v>44283.854861111111</c:v>
                </c:pt>
                <c:pt idx="407">
                  <c:v>44283.859027777777</c:v>
                </c:pt>
                <c:pt idx="408">
                  <c:v>44284.052777777775</c:v>
                </c:pt>
                <c:pt idx="409">
                  <c:v>44284.081250000003</c:v>
                </c:pt>
                <c:pt idx="410">
                  <c:v>44285.261805555558</c:v>
                </c:pt>
                <c:pt idx="411">
                  <c:v>44285.328472222223</c:v>
                </c:pt>
                <c:pt idx="412">
                  <c:v>44285.367361111108</c:v>
                </c:pt>
                <c:pt idx="413">
                  <c:v>44285.387499999997</c:v>
                </c:pt>
                <c:pt idx="414">
                  <c:v>44285.779861111114</c:v>
                </c:pt>
                <c:pt idx="415">
                  <c:v>44286.531944444447</c:v>
                </c:pt>
                <c:pt idx="416">
                  <c:v>44286.548611111109</c:v>
                </c:pt>
                <c:pt idx="417">
                  <c:v>44286.967361111114</c:v>
                </c:pt>
                <c:pt idx="418">
                  <c:v>44286.990277777775</c:v>
                </c:pt>
                <c:pt idx="419">
                  <c:v>44287.239583333336</c:v>
                </c:pt>
                <c:pt idx="420">
                  <c:v>44287.259722222225</c:v>
                </c:pt>
                <c:pt idx="421">
                  <c:v>44288.043749999997</c:v>
                </c:pt>
                <c:pt idx="422">
                  <c:v>44288.120833333334</c:v>
                </c:pt>
                <c:pt idx="423">
                  <c:v>44288.162499999999</c:v>
                </c:pt>
                <c:pt idx="424">
                  <c:v>44288.37777777778</c:v>
                </c:pt>
                <c:pt idx="425">
                  <c:v>44288.381944444445</c:v>
                </c:pt>
                <c:pt idx="426">
                  <c:v>44289.047222222223</c:v>
                </c:pt>
                <c:pt idx="427">
                  <c:v>44289.057638888888</c:v>
                </c:pt>
                <c:pt idx="428">
                  <c:v>44289.20416666667</c:v>
                </c:pt>
                <c:pt idx="429">
                  <c:v>44290.125694444447</c:v>
                </c:pt>
                <c:pt idx="430">
                  <c:v>44290.151388888888</c:v>
                </c:pt>
                <c:pt idx="431">
                  <c:v>44291.063888888886</c:v>
                </c:pt>
                <c:pt idx="432">
                  <c:v>44291.071527777778</c:v>
                </c:pt>
                <c:pt idx="433">
                  <c:v>44292.044444444444</c:v>
                </c:pt>
                <c:pt idx="434">
                  <c:v>44292.132638888892</c:v>
                </c:pt>
                <c:pt idx="435">
                  <c:v>44293.052777777775</c:v>
                </c:pt>
                <c:pt idx="436">
                  <c:v>44293.115972222222</c:v>
                </c:pt>
                <c:pt idx="437">
                  <c:v>44294.320138888892</c:v>
                </c:pt>
                <c:pt idx="438">
                  <c:v>44294.902777777781</c:v>
                </c:pt>
                <c:pt idx="439">
                  <c:v>44296.038888888892</c:v>
                </c:pt>
                <c:pt idx="440">
                  <c:v>44296.064583333333</c:v>
                </c:pt>
                <c:pt idx="441">
                  <c:v>44297.570833333331</c:v>
                </c:pt>
                <c:pt idx="442">
                  <c:v>44297.584027777775</c:v>
                </c:pt>
                <c:pt idx="443">
                  <c:v>44298.450694444444</c:v>
                </c:pt>
                <c:pt idx="444">
                  <c:v>44298.5</c:v>
                </c:pt>
                <c:pt idx="445">
                  <c:v>44299.320138888892</c:v>
                </c:pt>
                <c:pt idx="446">
                  <c:v>44299.34097222222</c:v>
                </c:pt>
                <c:pt idx="447">
                  <c:v>44300.244444444441</c:v>
                </c:pt>
                <c:pt idx="448">
                  <c:v>44300.308333333334</c:v>
                </c:pt>
                <c:pt idx="449">
                  <c:v>44301.044444444444</c:v>
                </c:pt>
                <c:pt idx="450">
                  <c:v>44301.17083333333</c:v>
                </c:pt>
                <c:pt idx="451">
                  <c:v>44301.171527777777</c:v>
                </c:pt>
                <c:pt idx="452">
                  <c:v>44302.367361111108</c:v>
                </c:pt>
                <c:pt idx="453">
                  <c:v>44302.394444444442</c:v>
                </c:pt>
                <c:pt idx="454">
                  <c:v>44303.520138888889</c:v>
                </c:pt>
                <c:pt idx="455">
                  <c:v>44303.540277777778</c:v>
                </c:pt>
                <c:pt idx="456">
                  <c:v>44304.81527777778</c:v>
                </c:pt>
                <c:pt idx="457">
                  <c:v>44304.845138888886</c:v>
                </c:pt>
                <c:pt idx="458">
                  <c:v>44305.080555555556</c:v>
                </c:pt>
                <c:pt idx="459">
                  <c:v>44305.089583333334</c:v>
                </c:pt>
                <c:pt idx="460">
                  <c:v>44306.711805555555</c:v>
                </c:pt>
                <c:pt idx="461">
                  <c:v>44306.736111111109</c:v>
                </c:pt>
                <c:pt idx="462">
                  <c:v>44307.042361111111</c:v>
                </c:pt>
                <c:pt idx="463">
                  <c:v>44307.044444444444</c:v>
                </c:pt>
                <c:pt idx="464">
                  <c:v>44307.606249999997</c:v>
                </c:pt>
                <c:pt idx="465">
                  <c:v>44307.613888888889</c:v>
                </c:pt>
                <c:pt idx="466">
                  <c:v>44308.229861111111</c:v>
                </c:pt>
                <c:pt idx="467">
                  <c:v>44308.231944444444</c:v>
                </c:pt>
                <c:pt idx="468">
                  <c:v>44308.530555555553</c:v>
                </c:pt>
                <c:pt idx="469">
                  <c:v>44308.572222222225</c:v>
                </c:pt>
                <c:pt idx="470">
                  <c:v>44309.434027777781</c:v>
                </c:pt>
                <c:pt idx="471">
                  <c:v>44309.434027777781</c:v>
                </c:pt>
                <c:pt idx="472">
                  <c:v>44310.176388888889</c:v>
                </c:pt>
                <c:pt idx="473">
                  <c:v>44310.190972222219</c:v>
                </c:pt>
                <c:pt idx="474">
                  <c:v>44310.190972222219</c:v>
                </c:pt>
                <c:pt idx="475">
                  <c:v>44311.665972222225</c:v>
                </c:pt>
                <c:pt idx="476">
                  <c:v>44311.666666666664</c:v>
                </c:pt>
                <c:pt idx="477">
                  <c:v>44311.756944444445</c:v>
                </c:pt>
                <c:pt idx="478">
                  <c:v>44311.769444444442</c:v>
                </c:pt>
                <c:pt idx="479">
                  <c:v>44312.938194444447</c:v>
                </c:pt>
                <c:pt idx="480">
                  <c:v>44312.954861111109</c:v>
                </c:pt>
              </c:numCache>
            </c:numRef>
          </c:xVal>
          <c:yVal>
            <c:numRef>
              <c:f>鑽量!$I$6:$I$10000</c:f>
              <c:numCache>
                <c:formatCode>[Color50]\+0;[Red]\-0;0</c:formatCode>
                <c:ptCount val="9995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  <c:pt idx="200">
                  <c:v>130</c:v>
                </c:pt>
                <c:pt idx="201">
                  <c:v>925</c:v>
                </c:pt>
                <c:pt idx="202">
                  <c:v>460</c:v>
                </c:pt>
                <c:pt idx="203">
                  <c:v>50</c:v>
                </c:pt>
                <c:pt idx="204">
                  <c:v>2470</c:v>
                </c:pt>
                <c:pt idx="205">
                  <c:v>95</c:v>
                </c:pt>
                <c:pt idx="206">
                  <c:v>195</c:v>
                </c:pt>
                <c:pt idx="207">
                  <c:v>570</c:v>
                </c:pt>
                <c:pt idx="208">
                  <c:v>345</c:v>
                </c:pt>
                <c:pt idx="209">
                  <c:v>325</c:v>
                </c:pt>
                <c:pt idx="210">
                  <c:v>685</c:v>
                </c:pt>
                <c:pt idx="211">
                  <c:v>14690</c:v>
                </c:pt>
                <c:pt idx="212">
                  <c:v>18020</c:v>
                </c:pt>
                <c:pt idx="213">
                  <c:v>145</c:v>
                </c:pt>
                <c:pt idx="214">
                  <c:v>-33630</c:v>
                </c:pt>
                <c:pt idx="215">
                  <c:v>280</c:v>
                </c:pt>
                <c:pt idx="216">
                  <c:v>-1340</c:v>
                </c:pt>
                <c:pt idx="217">
                  <c:v>595</c:v>
                </c:pt>
                <c:pt idx="218">
                  <c:v>535</c:v>
                </c:pt>
                <c:pt idx="219">
                  <c:v>70</c:v>
                </c:pt>
                <c:pt idx="220">
                  <c:v>-17170</c:v>
                </c:pt>
                <c:pt idx="221">
                  <c:v>150</c:v>
                </c:pt>
                <c:pt idx="222">
                  <c:v>820</c:v>
                </c:pt>
                <c:pt idx="223">
                  <c:v>315</c:v>
                </c:pt>
                <c:pt idx="224">
                  <c:v>137800</c:v>
                </c:pt>
                <c:pt idx="225">
                  <c:v>70</c:v>
                </c:pt>
                <c:pt idx="226">
                  <c:v>-830</c:v>
                </c:pt>
                <c:pt idx="227">
                  <c:v>-630</c:v>
                </c:pt>
                <c:pt idx="228">
                  <c:v>440</c:v>
                </c:pt>
                <c:pt idx="229">
                  <c:v>65</c:v>
                </c:pt>
                <c:pt idx="230">
                  <c:v>-480</c:v>
                </c:pt>
                <c:pt idx="231">
                  <c:v>890</c:v>
                </c:pt>
                <c:pt idx="232">
                  <c:v>-330</c:v>
                </c:pt>
                <c:pt idx="233">
                  <c:v>-20845</c:v>
                </c:pt>
                <c:pt idx="234">
                  <c:v>395</c:v>
                </c:pt>
                <c:pt idx="235">
                  <c:v>280</c:v>
                </c:pt>
                <c:pt idx="236">
                  <c:v>995</c:v>
                </c:pt>
                <c:pt idx="237">
                  <c:v>150</c:v>
                </c:pt>
                <c:pt idx="238">
                  <c:v>320</c:v>
                </c:pt>
                <c:pt idx="239">
                  <c:v>170</c:v>
                </c:pt>
                <c:pt idx="240">
                  <c:v>145</c:v>
                </c:pt>
                <c:pt idx="241">
                  <c:v>445</c:v>
                </c:pt>
                <c:pt idx="242">
                  <c:v>595</c:v>
                </c:pt>
                <c:pt idx="243">
                  <c:v>-1300</c:v>
                </c:pt>
                <c:pt idx="244">
                  <c:v>195</c:v>
                </c:pt>
                <c:pt idx="245">
                  <c:v>370</c:v>
                </c:pt>
                <c:pt idx="246">
                  <c:v>350</c:v>
                </c:pt>
                <c:pt idx="247">
                  <c:v>-2440</c:v>
                </c:pt>
                <c:pt idx="248">
                  <c:v>-14925</c:v>
                </c:pt>
                <c:pt idx="249">
                  <c:v>30645</c:v>
                </c:pt>
                <c:pt idx="250">
                  <c:v>-37230</c:v>
                </c:pt>
                <c:pt idx="251">
                  <c:v>1300</c:v>
                </c:pt>
                <c:pt idx="252">
                  <c:v>590</c:v>
                </c:pt>
                <c:pt idx="253">
                  <c:v>470</c:v>
                </c:pt>
                <c:pt idx="254">
                  <c:v>120</c:v>
                </c:pt>
                <c:pt idx="255">
                  <c:v>470</c:v>
                </c:pt>
                <c:pt idx="256">
                  <c:v>1775</c:v>
                </c:pt>
                <c:pt idx="257">
                  <c:v>395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1125</c:v>
                </c:pt>
                <c:pt idx="263">
                  <c:v>70</c:v>
                </c:pt>
                <c:pt idx="264">
                  <c:v>70</c:v>
                </c:pt>
                <c:pt idx="265">
                  <c:v>765</c:v>
                </c:pt>
                <c:pt idx="266">
                  <c:v>-20870</c:v>
                </c:pt>
                <c:pt idx="267">
                  <c:v>2250</c:v>
                </c:pt>
                <c:pt idx="268">
                  <c:v>420</c:v>
                </c:pt>
                <c:pt idx="269">
                  <c:v>450</c:v>
                </c:pt>
                <c:pt idx="270">
                  <c:v>1085</c:v>
                </c:pt>
                <c:pt idx="271">
                  <c:v>150</c:v>
                </c:pt>
                <c:pt idx="272">
                  <c:v>1070</c:v>
                </c:pt>
                <c:pt idx="273">
                  <c:v>130</c:v>
                </c:pt>
                <c:pt idx="274">
                  <c:v>335</c:v>
                </c:pt>
                <c:pt idx="275">
                  <c:v>105</c:v>
                </c:pt>
                <c:pt idx="276">
                  <c:v>1930</c:v>
                </c:pt>
                <c:pt idx="277">
                  <c:v>135</c:v>
                </c:pt>
                <c:pt idx="278">
                  <c:v>-195</c:v>
                </c:pt>
                <c:pt idx="279">
                  <c:v>350</c:v>
                </c:pt>
                <c:pt idx="280">
                  <c:v>-1770</c:v>
                </c:pt>
                <c:pt idx="281">
                  <c:v>-16830</c:v>
                </c:pt>
                <c:pt idx="282">
                  <c:v>250</c:v>
                </c:pt>
                <c:pt idx="283">
                  <c:v>-2910</c:v>
                </c:pt>
                <c:pt idx="284">
                  <c:v>29325</c:v>
                </c:pt>
                <c:pt idx="285">
                  <c:v>-4260</c:v>
                </c:pt>
                <c:pt idx="286">
                  <c:v>-1180</c:v>
                </c:pt>
                <c:pt idx="287">
                  <c:v>-22830</c:v>
                </c:pt>
                <c:pt idx="288">
                  <c:v>425</c:v>
                </c:pt>
                <c:pt idx="289">
                  <c:v>20400</c:v>
                </c:pt>
                <c:pt idx="290">
                  <c:v>2120</c:v>
                </c:pt>
                <c:pt idx="291">
                  <c:v>140</c:v>
                </c:pt>
                <c:pt idx="292">
                  <c:v>125</c:v>
                </c:pt>
                <c:pt idx="293">
                  <c:v>-240</c:v>
                </c:pt>
                <c:pt idx="294">
                  <c:v>370</c:v>
                </c:pt>
                <c:pt idx="295">
                  <c:v>-90</c:v>
                </c:pt>
                <c:pt idx="296">
                  <c:v>370</c:v>
                </c:pt>
                <c:pt idx="297">
                  <c:v>-3155</c:v>
                </c:pt>
                <c:pt idx="298">
                  <c:v>-1380</c:v>
                </c:pt>
                <c:pt idx="299">
                  <c:v>1025</c:v>
                </c:pt>
                <c:pt idx="300">
                  <c:v>-1440</c:v>
                </c:pt>
                <c:pt idx="301">
                  <c:v>70</c:v>
                </c:pt>
                <c:pt idx="302">
                  <c:v>-1290</c:v>
                </c:pt>
                <c:pt idx="303">
                  <c:v>600</c:v>
                </c:pt>
                <c:pt idx="304">
                  <c:v>-930</c:v>
                </c:pt>
                <c:pt idx="305">
                  <c:v>70</c:v>
                </c:pt>
                <c:pt idx="306">
                  <c:v>-480</c:v>
                </c:pt>
                <c:pt idx="307">
                  <c:v>70</c:v>
                </c:pt>
                <c:pt idx="308">
                  <c:v>-60</c:v>
                </c:pt>
                <c:pt idx="309">
                  <c:v>1210</c:v>
                </c:pt>
                <c:pt idx="310">
                  <c:v>0</c:v>
                </c:pt>
                <c:pt idx="311">
                  <c:v>-13230</c:v>
                </c:pt>
                <c:pt idx="312">
                  <c:v>360</c:v>
                </c:pt>
                <c:pt idx="313">
                  <c:v>350</c:v>
                </c:pt>
                <c:pt idx="314">
                  <c:v>420</c:v>
                </c:pt>
                <c:pt idx="315">
                  <c:v>80</c:v>
                </c:pt>
                <c:pt idx="316">
                  <c:v>170</c:v>
                </c:pt>
                <c:pt idx="317">
                  <c:v>80</c:v>
                </c:pt>
                <c:pt idx="318">
                  <c:v>1390</c:v>
                </c:pt>
                <c:pt idx="319">
                  <c:v>695</c:v>
                </c:pt>
                <c:pt idx="320">
                  <c:v>675</c:v>
                </c:pt>
                <c:pt idx="321">
                  <c:v>120</c:v>
                </c:pt>
                <c:pt idx="322">
                  <c:v>120</c:v>
                </c:pt>
                <c:pt idx="323">
                  <c:v>540</c:v>
                </c:pt>
                <c:pt idx="324">
                  <c:v>470</c:v>
                </c:pt>
                <c:pt idx="325">
                  <c:v>-7680</c:v>
                </c:pt>
                <c:pt idx="326">
                  <c:v>400</c:v>
                </c:pt>
                <c:pt idx="327">
                  <c:v>200</c:v>
                </c:pt>
                <c:pt idx="328">
                  <c:v>565</c:v>
                </c:pt>
                <c:pt idx="329">
                  <c:v>16770</c:v>
                </c:pt>
                <c:pt idx="330">
                  <c:v>120</c:v>
                </c:pt>
                <c:pt idx="331">
                  <c:v>14130</c:v>
                </c:pt>
                <c:pt idx="332">
                  <c:v>-15960</c:v>
                </c:pt>
                <c:pt idx="333">
                  <c:v>675</c:v>
                </c:pt>
                <c:pt idx="334">
                  <c:v>-3600</c:v>
                </c:pt>
                <c:pt idx="335">
                  <c:v>1655</c:v>
                </c:pt>
                <c:pt idx="336">
                  <c:v>-480</c:v>
                </c:pt>
                <c:pt idx="337">
                  <c:v>70</c:v>
                </c:pt>
                <c:pt idx="338">
                  <c:v>-5760</c:v>
                </c:pt>
                <c:pt idx="339">
                  <c:v>100</c:v>
                </c:pt>
                <c:pt idx="340">
                  <c:v>-30</c:v>
                </c:pt>
                <c:pt idx="341">
                  <c:v>545</c:v>
                </c:pt>
                <c:pt idx="342">
                  <c:v>380</c:v>
                </c:pt>
                <c:pt idx="343">
                  <c:v>1200</c:v>
                </c:pt>
                <c:pt idx="344">
                  <c:v>0</c:v>
                </c:pt>
                <c:pt idx="345">
                  <c:v>395</c:v>
                </c:pt>
                <c:pt idx="346">
                  <c:v>-2160</c:v>
                </c:pt>
                <c:pt idx="347">
                  <c:v>660</c:v>
                </c:pt>
                <c:pt idx="348">
                  <c:v>-780</c:v>
                </c:pt>
                <c:pt idx="349">
                  <c:v>100</c:v>
                </c:pt>
                <c:pt idx="350">
                  <c:v>600</c:v>
                </c:pt>
                <c:pt idx="351">
                  <c:v>70</c:v>
                </c:pt>
                <c:pt idx="352">
                  <c:v>1270</c:v>
                </c:pt>
                <c:pt idx="353">
                  <c:v>-16830</c:v>
                </c:pt>
                <c:pt idx="354">
                  <c:v>655</c:v>
                </c:pt>
                <c:pt idx="355">
                  <c:v>475</c:v>
                </c:pt>
                <c:pt idx="356">
                  <c:v>420</c:v>
                </c:pt>
                <c:pt idx="357">
                  <c:v>1105</c:v>
                </c:pt>
                <c:pt idx="358">
                  <c:v>130</c:v>
                </c:pt>
                <c:pt idx="359">
                  <c:v>335</c:v>
                </c:pt>
                <c:pt idx="360">
                  <c:v>220</c:v>
                </c:pt>
                <c:pt idx="361">
                  <c:v>-355</c:v>
                </c:pt>
                <c:pt idx="362">
                  <c:v>645</c:v>
                </c:pt>
                <c:pt idx="363">
                  <c:v>900</c:v>
                </c:pt>
                <c:pt idx="364">
                  <c:v>170</c:v>
                </c:pt>
                <c:pt idx="365">
                  <c:v>895</c:v>
                </c:pt>
                <c:pt idx="366">
                  <c:v>370</c:v>
                </c:pt>
                <c:pt idx="367">
                  <c:v>-16130</c:v>
                </c:pt>
                <c:pt idx="368">
                  <c:v>-200</c:v>
                </c:pt>
                <c:pt idx="369">
                  <c:v>20</c:v>
                </c:pt>
                <c:pt idx="370">
                  <c:v>680</c:v>
                </c:pt>
                <c:pt idx="371">
                  <c:v>70</c:v>
                </c:pt>
                <c:pt idx="372">
                  <c:v>185</c:v>
                </c:pt>
                <c:pt idx="373">
                  <c:v>0</c:v>
                </c:pt>
                <c:pt idx="374">
                  <c:v>-16830</c:v>
                </c:pt>
                <c:pt idx="375">
                  <c:v>250</c:v>
                </c:pt>
                <c:pt idx="376">
                  <c:v>95</c:v>
                </c:pt>
                <c:pt idx="377">
                  <c:v>70</c:v>
                </c:pt>
                <c:pt idx="378">
                  <c:v>400</c:v>
                </c:pt>
                <c:pt idx="379">
                  <c:v>370</c:v>
                </c:pt>
                <c:pt idx="380">
                  <c:v>70</c:v>
                </c:pt>
                <c:pt idx="381">
                  <c:v>185</c:v>
                </c:pt>
                <c:pt idx="382">
                  <c:v>1035</c:v>
                </c:pt>
                <c:pt idx="383">
                  <c:v>-12040</c:v>
                </c:pt>
                <c:pt idx="384">
                  <c:v>16000</c:v>
                </c:pt>
                <c:pt idx="385">
                  <c:v>-20</c:v>
                </c:pt>
                <c:pt idx="386">
                  <c:v>60</c:v>
                </c:pt>
                <c:pt idx="387">
                  <c:v>80</c:v>
                </c:pt>
                <c:pt idx="388">
                  <c:v>380</c:v>
                </c:pt>
                <c:pt idx="389">
                  <c:v>60</c:v>
                </c:pt>
                <c:pt idx="390">
                  <c:v>-480</c:v>
                </c:pt>
                <c:pt idx="391">
                  <c:v>110</c:v>
                </c:pt>
                <c:pt idx="392">
                  <c:v>845</c:v>
                </c:pt>
                <c:pt idx="393">
                  <c:v>945</c:v>
                </c:pt>
                <c:pt idx="394">
                  <c:v>465</c:v>
                </c:pt>
                <c:pt idx="395">
                  <c:v>95</c:v>
                </c:pt>
                <c:pt idx="396">
                  <c:v>825</c:v>
                </c:pt>
                <c:pt idx="397">
                  <c:v>-1590</c:v>
                </c:pt>
                <c:pt idx="398">
                  <c:v>70</c:v>
                </c:pt>
                <c:pt idx="399">
                  <c:v>-1220</c:v>
                </c:pt>
                <c:pt idx="400">
                  <c:v>165</c:v>
                </c:pt>
                <c:pt idx="401">
                  <c:v>-570</c:v>
                </c:pt>
                <c:pt idx="402">
                  <c:v>-15750</c:v>
                </c:pt>
                <c:pt idx="403">
                  <c:v>825</c:v>
                </c:pt>
                <c:pt idx="404">
                  <c:v>-150</c:v>
                </c:pt>
                <c:pt idx="405">
                  <c:v>-1140</c:v>
                </c:pt>
                <c:pt idx="406">
                  <c:v>245</c:v>
                </c:pt>
                <c:pt idx="407">
                  <c:v>120</c:v>
                </c:pt>
                <c:pt idx="408">
                  <c:v>-480</c:v>
                </c:pt>
                <c:pt idx="409">
                  <c:v>195</c:v>
                </c:pt>
                <c:pt idx="410">
                  <c:v>-1265</c:v>
                </c:pt>
                <c:pt idx="411">
                  <c:v>1555</c:v>
                </c:pt>
                <c:pt idx="412">
                  <c:v>-150</c:v>
                </c:pt>
                <c:pt idx="413">
                  <c:v>470</c:v>
                </c:pt>
                <c:pt idx="414">
                  <c:v>-300</c:v>
                </c:pt>
                <c:pt idx="415">
                  <c:v>-570</c:v>
                </c:pt>
                <c:pt idx="416">
                  <c:v>1185</c:v>
                </c:pt>
                <c:pt idx="417">
                  <c:v>-750</c:v>
                </c:pt>
                <c:pt idx="418">
                  <c:v>770</c:v>
                </c:pt>
                <c:pt idx="419">
                  <c:v>-450</c:v>
                </c:pt>
                <c:pt idx="420">
                  <c:v>370</c:v>
                </c:pt>
                <c:pt idx="421">
                  <c:v>-1860</c:v>
                </c:pt>
                <c:pt idx="422">
                  <c:v>-6030</c:v>
                </c:pt>
                <c:pt idx="423">
                  <c:v>225</c:v>
                </c:pt>
                <c:pt idx="424">
                  <c:v>-600</c:v>
                </c:pt>
                <c:pt idx="425">
                  <c:v>31835</c:v>
                </c:pt>
                <c:pt idx="426">
                  <c:v>-1380</c:v>
                </c:pt>
                <c:pt idx="427">
                  <c:v>2320</c:v>
                </c:pt>
                <c:pt idx="428">
                  <c:v>-630</c:v>
                </c:pt>
                <c:pt idx="429">
                  <c:v>-2910</c:v>
                </c:pt>
                <c:pt idx="430">
                  <c:v>1635</c:v>
                </c:pt>
                <c:pt idx="431">
                  <c:v>-2270</c:v>
                </c:pt>
                <c:pt idx="432">
                  <c:v>320</c:v>
                </c:pt>
                <c:pt idx="433">
                  <c:v>-2160</c:v>
                </c:pt>
                <c:pt idx="434">
                  <c:v>2320</c:v>
                </c:pt>
                <c:pt idx="435">
                  <c:v>-2940</c:v>
                </c:pt>
                <c:pt idx="436">
                  <c:v>545</c:v>
                </c:pt>
                <c:pt idx="437">
                  <c:v>-9000</c:v>
                </c:pt>
                <c:pt idx="438">
                  <c:v>3750</c:v>
                </c:pt>
                <c:pt idx="439">
                  <c:v>-7140</c:v>
                </c:pt>
                <c:pt idx="440">
                  <c:v>415</c:v>
                </c:pt>
                <c:pt idx="441">
                  <c:v>-9360</c:v>
                </c:pt>
                <c:pt idx="442">
                  <c:v>850</c:v>
                </c:pt>
                <c:pt idx="443">
                  <c:v>-3510</c:v>
                </c:pt>
                <c:pt idx="444">
                  <c:v>690</c:v>
                </c:pt>
                <c:pt idx="445">
                  <c:v>-4410</c:v>
                </c:pt>
                <c:pt idx="446">
                  <c:v>315</c:v>
                </c:pt>
                <c:pt idx="447">
                  <c:v>-5700</c:v>
                </c:pt>
                <c:pt idx="448">
                  <c:v>610</c:v>
                </c:pt>
                <c:pt idx="449">
                  <c:v>-4830</c:v>
                </c:pt>
                <c:pt idx="450">
                  <c:v>-30</c:v>
                </c:pt>
                <c:pt idx="451">
                  <c:v>965</c:v>
                </c:pt>
                <c:pt idx="452">
                  <c:v>-4980</c:v>
                </c:pt>
                <c:pt idx="453">
                  <c:v>-10</c:v>
                </c:pt>
                <c:pt idx="454">
                  <c:v>-7290</c:v>
                </c:pt>
                <c:pt idx="455">
                  <c:v>910</c:v>
                </c:pt>
                <c:pt idx="456">
                  <c:v>-7050</c:v>
                </c:pt>
                <c:pt idx="457">
                  <c:v>205</c:v>
                </c:pt>
                <c:pt idx="458">
                  <c:v>-1230</c:v>
                </c:pt>
                <c:pt idx="459">
                  <c:v>270</c:v>
                </c:pt>
                <c:pt idx="460">
                  <c:v>-11430</c:v>
                </c:pt>
                <c:pt idx="461">
                  <c:v>195</c:v>
                </c:pt>
                <c:pt idx="462">
                  <c:v>-2370</c:v>
                </c:pt>
                <c:pt idx="463">
                  <c:v>8925</c:v>
                </c:pt>
                <c:pt idx="464">
                  <c:v>-3900</c:v>
                </c:pt>
                <c:pt idx="465">
                  <c:v>270</c:v>
                </c:pt>
                <c:pt idx="466">
                  <c:v>-4530</c:v>
                </c:pt>
                <c:pt idx="467">
                  <c:v>8400</c:v>
                </c:pt>
                <c:pt idx="468">
                  <c:v>-2340</c:v>
                </c:pt>
                <c:pt idx="469">
                  <c:v>720</c:v>
                </c:pt>
                <c:pt idx="470">
                  <c:v>-7260</c:v>
                </c:pt>
                <c:pt idx="471">
                  <c:v>8880</c:v>
                </c:pt>
                <c:pt idx="472">
                  <c:v>-6795</c:v>
                </c:pt>
                <c:pt idx="473">
                  <c:v>420</c:v>
                </c:pt>
                <c:pt idx="474">
                  <c:v>8400</c:v>
                </c:pt>
                <c:pt idx="475">
                  <c:v>-12000</c:v>
                </c:pt>
                <c:pt idx="476">
                  <c:v>12600</c:v>
                </c:pt>
                <c:pt idx="477">
                  <c:v>-900</c:v>
                </c:pt>
                <c:pt idx="478">
                  <c:v>495</c:v>
                </c:pt>
                <c:pt idx="479">
                  <c:v>-10080</c:v>
                </c:pt>
                <c:pt idx="480">
                  <c:v>10610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  <c:pt idx="271">
                        <c:v>9330</c:v>
                      </c:pt>
                      <c:pt idx="272">
                        <c:v>10380</c:v>
                      </c:pt>
                      <c:pt idx="273">
                        <c:v>10490</c:v>
                      </c:pt>
                      <c:pt idx="274">
                        <c:v>10775</c:v>
                      </c:pt>
                      <c:pt idx="275">
                        <c:v>10860</c:v>
                      </c:pt>
                      <c:pt idx="276">
                        <c:v>12770</c:v>
                      </c:pt>
                      <c:pt idx="277">
                        <c:v>12885</c:v>
                      </c:pt>
                      <c:pt idx="278">
                        <c:v>12145</c:v>
                      </c:pt>
                      <c:pt idx="279">
                        <c:v>12495</c:v>
                      </c:pt>
                      <c:pt idx="280">
                        <c:v>10725</c:v>
                      </c:pt>
                      <c:pt idx="281">
                        <c:v>9525</c:v>
                      </c:pt>
                      <c:pt idx="282">
                        <c:v>9725</c:v>
                      </c:pt>
                      <c:pt idx="283">
                        <c:v>6815</c:v>
                      </c:pt>
                      <c:pt idx="284">
                        <c:v>6965</c:v>
                      </c:pt>
                      <c:pt idx="285">
                        <c:v>2705</c:v>
                      </c:pt>
                      <c:pt idx="286">
                        <c:v>1505</c:v>
                      </c:pt>
                      <c:pt idx="287">
                        <c:v>1505</c:v>
                      </c:pt>
                      <c:pt idx="288">
                        <c:v>1880</c:v>
                      </c:pt>
                      <c:pt idx="289">
                        <c:v>1880</c:v>
                      </c:pt>
                      <c:pt idx="290">
                        <c:v>3980</c:v>
                      </c:pt>
                      <c:pt idx="291">
                        <c:v>4080</c:v>
                      </c:pt>
                      <c:pt idx="292">
                        <c:v>4155</c:v>
                      </c:pt>
                      <c:pt idx="293">
                        <c:v>3915</c:v>
                      </c:pt>
                      <c:pt idx="294">
                        <c:v>4265</c:v>
                      </c:pt>
                      <c:pt idx="295">
                        <c:v>4175</c:v>
                      </c:pt>
                      <c:pt idx="296">
                        <c:v>4525</c:v>
                      </c:pt>
                      <c:pt idx="297">
                        <c:v>4950</c:v>
                      </c:pt>
                      <c:pt idx="298">
                        <c:v>3570</c:v>
                      </c:pt>
                      <c:pt idx="299">
                        <c:v>4020</c:v>
                      </c:pt>
                      <c:pt idx="300">
                        <c:v>2580</c:v>
                      </c:pt>
                      <c:pt idx="301">
                        <c:v>2630</c:v>
                      </c:pt>
                      <c:pt idx="302">
                        <c:v>1340</c:v>
                      </c:pt>
                      <c:pt idx="303">
                        <c:v>1390</c:v>
                      </c:pt>
                      <c:pt idx="304">
                        <c:v>460</c:v>
                      </c:pt>
                      <c:pt idx="305">
                        <c:v>510</c:v>
                      </c:pt>
                      <c:pt idx="306">
                        <c:v>30</c:v>
                      </c:pt>
                      <c:pt idx="307">
                        <c:v>80</c:v>
                      </c:pt>
                      <c:pt idx="308">
                        <c:v>20</c:v>
                      </c:pt>
                      <c:pt idx="309">
                        <c:v>685</c:v>
                      </c:pt>
                      <c:pt idx="310">
                        <c:v>685</c:v>
                      </c:pt>
                      <c:pt idx="311">
                        <c:v>685</c:v>
                      </c:pt>
                      <c:pt idx="312">
                        <c:v>1495</c:v>
                      </c:pt>
                      <c:pt idx="313">
                        <c:v>1795</c:v>
                      </c:pt>
                      <c:pt idx="314">
                        <c:v>2165</c:v>
                      </c:pt>
                      <c:pt idx="315">
                        <c:v>2225</c:v>
                      </c:pt>
                      <c:pt idx="316">
                        <c:v>2375</c:v>
                      </c:pt>
                      <c:pt idx="317">
                        <c:v>2435</c:v>
                      </c:pt>
                      <c:pt idx="318">
                        <c:v>3805</c:v>
                      </c:pt>
                      <c:pt idx="319">
                        <c:v>4480</c:v>
                      </c:pt>
                      <c:pt idx="320">
                        <c:v>4580</c:v>
                      </c:pt>
                      <c:pt idx="321">
                        <c:v>4680</c:v>
                      </c:pt>
                      <c:pt idx="322">
                        <c:v>4780</c:v>
                      </c:pt>
                      <c:pt idx="323">
                        <c:v>5300</c:v>
                      </c:pt>
                      <c:pt idx="324">
                        <c:v>5750</c:v>
                      </c:pt>
                      <c:pt idx="325">
                        <c:v>6450</c:v>
                      </c:pt>
                      <c:pt idx="326">
                        <c:v>6850</c:v>
                      </c:pt>
                      <c:pt idx="327">
                        <c:v>7000</c:v>
                      </c:pt>
                      <c:pt idx="328">
                        <c:v>7565</c:v>
                      </c:pt>
                      <c:pt idx="329">
                        <c:v>7790</c:v>
                      </c:pt>
                      <c:pt idx="330">
                        <c:v>7890</c:v>
                      </c:pt>
                      <c:pt idx="331">
                        <c:v>7890</c:v>
                      </c:pt>
                      <c:pt idx="332">
                        <c:v>7890</c:v>
                      </c:pt>
                      <c:pt idx="333">
                        <c:v>8515</c:v>
                      </c:pt>
                      <c:pt idx="334">
                        <c:v>4915</c:v>
                      </c:pt>
                      <c:pt idx="335">
                        <c:v>6550</c:v>
                      </c:pt>
                      <c:pt idx="336">
                        <c:v>6070</c:v>
                      </c:pt>
                      <c:pt idx="337">
                        <c:v>6120</c:v>
                      </c:pt>
                      <c:pt idx="338">
                        <c:v>360</c:v>
                      </c:pt>
                      <c:pt idx="339">
                        <c:v>410</c:v>
                      </c:pt>
                      <c:pt idx="340">
                        <c:v>380</c:v>
                      </c:pt>
                      <c:pt idx="341">
                        <c:v>905</c:v>
                      </c:pt>
                      <c:pt idx="342">
                        <c:v>1265</c:v>
                      </c:pt>
                      <c:pt idx="343">
                        <c:v>2465</c:v>
                      </c:pt>
                      <c:pt idx="344">
                        <c:v>2465</c:v>
                      </c:pt>
                      <c:pt idx="345">
                        <c:v>2840</c:v>
                      </c:pt>
                      <c:pt idx="346">
                        <c:v>680</c:v>
                      </c:pt>
                      <c:pt idx="347">
                        <c:v>795</c:v>
                      </c:pt>
                      <c:pt idx="348">
                        <c:v>15</c:v>
                      </c:pt>
                      <c:pt idx="349">
                        <c:v>65</c:v>
                      </c:pt>
                      <c:pt idx="350">
                        <c:v>115</c:v>
                      </c:pt>
                      <c:pt idx="351">
                        <c:v>165</c:v>
                      </c:pt>
                      <c:pt idx="352">
                        <c:v>1415</c:v>
                      </c:pt>
                      <c:pt idx="353">
                        <c:v>1415</c:v>
                      </c:pt>
                      <c:pt idx="354">
                        <c:v>2520</c:v>
                      </c:pt>
                      <c:pt idx="355">
                        <c:v>2945</c:v>
                      </c:pt>
                      <c:pt idx="356">
                        <c:v>3345</c:v>
                      </c:pt>
                      <c:pt idx="357">
                        <c:v>4430</c:v>
                      </c:pt>
                      <c:pt idx="358">
                        <c:v>4540</c:v>
                      </c:pt>
                      <c:pt idx="359">
                        <c:v>4825</c:v>
                      </c:pt>
                      <c:pt idx="360">
                        <c:v>5025</c:v>
                      </c:pt>
                      <c:pt idx="361">
                        <c:v>5150</c:v>
                      </c:pt>
                      <c:pt idx="362">
                        <c:v>5250</c:v>
                      </c:pt>
                      <c:pt idx="363">
                        <c:v>5600</c:v>
                      </c:pt>
                      <c:pt idx="364">
                        <c:v>5750</c:v>
                      </c:pt>
                      <c:pt idx="365">
                        <c:v>6100</c:v>
                      </c:pt>
                      <c:pt idx="366">
                        <c:v>6450</c:v>
                      </c:pt>
                      <c:pt idx="367">
                        <c:v>7100</c:v>
                      </c:pt>
                      <c:pt idx="368">
                        <c:v>7400</c:v>
                      </c:pt>
                      <c:pt idx="369">
                        <c:v>7400</c:v>
                      </c:pt>
                      <c:pt idx="370">
                        <c:v>7600</c:v>
                      </c:pt>
                      <c:pt idx="371">
                        <c:v>7650</c:v>
                      </c:pt>
                      <c:pt idx="372">
                        <c:v>7815</c:v>
                      </c:pt>
                      <c:pt idx="373">
                        <c:v>7815</c:v>
                      </c:pt>
                      <c:pt idx="374">
                        <c:v>6615</c:v>
                      </c:pt>
                      <c:pt idx="375">
                        <c:v>6815</c:v>
                      </c:pt>
                      <c:pt idx="376">
                        <c:v>6890</c:v>
                      </c:pt>
                      <c:pt idx="377">
                        <c:v>6940</c:v>
                      </c:pt>
                      <c:pt idx="378">
                        <c:v>7290</c:v>
                      </c:pt>
                      <c:pt idx="379">
                        <c:v>7640</c:v>
                      </c:pt>
                      <c:pt idx="380">
                        <c:v>7690</c:v>
                      </c:pt>
                      <c:pt idx="381">
                        <c:v>7855</c:v>
                      </c:pt>
                      <c:pt idx="382">
                        <c:v>8850</c:v>
                      </c:pt>
                      <c:pt idx="383">
                        <c:v>9435</c:v>
                      </c:pt>
                      <c:pt idx="384">
                        <c:v>9435</c:v>
                      </c:pt>
                      <c:pt idx="385">
                        <c:v>9375</c:v>
                      </c:pt>
                      <c:pt idx="386">
                        <c:v>9435</c:v>
                      </c:pt>
                      <c:pt idx="387">
                        <c:v>9495</c:v>
                      </c:pt>
                      <c:pt idx="388">
                        <c:v>9855</c:v>
                      </c:pt>
                      <c:pt idx="389">
                        <c:v>10395</c:v>
                      </c:pt>
                      <c:pt idx="390">
                        <c:v>9915</c:v>
                      </c:pt>
                      <c:pt idx="391">
                        <c:v>9975</c:v>
                      </c:pt>
                      <c:pt idx="392">
                        <c:v>10800</c:v>
                      </c:pt>
                      <c:pt idx="393">
                        <c:v>11200</c:v>
                      </c:pt>
                      <c:pt idx="394">
                        <c:v>11625</c:v>
                      </c:pt>
                      <c:pt idx="395">
                        <c:v>11700</c:v>
                      </c:pt>
                      <c:pt idx="396">
                        <c:v>11975</c:v>
                      </c:pt>
                      <c:pt idx="397">
                        <c:v>10385</c:v>
                      </c:pt>
                      <c:pt idx="398">
                        <c:v>10435</c:v>
                      </c:pt>
                      <c:pt idx="399">
                        <c:v>9215</c:v>
                      </c:pt>
                      <c:pt idx="400">
                        <c:v>9330</c:v>
                      </c:pt>
                      <c:pt idx="401">
                        <c:v>8790</c:v>
                      </c:pt>
                      <c:pt idx="402">
                        <c:v>8670</c:v>
                      </c:pt>
                      <c:pt idx="403">
                        <c:v>9445</c:v>
                      </c:pt>
                      <c:pt idx="404">
                        <c:v>9295</c:v>
                      </c:pt>
                      <c:pt idx="405">
                        <c:v>8655</c:v>
                      </c:pt>
                      <c:pt idx="406">
                        <c:v>8325</c:v>
                      </c:pt>
                      <c:pt idx="407">
                        <c:v>8475</c:v>
                      </c:pt>
                      <c:pt idx="408">
                        <c:v>7995</c:v>
                      </c:pt>
                      <c:pt idx="409">
                        <c:v>8170</c:v>
                      </c:pt>
                      <c:pt idx="410">
                        <c:v>6905</c:v>
                      </c:pt>
                      <c:pt idx="411">
                        <c:v>7910</c:v>
                      </c:pt>
                      <c:pt idx="412">
                        <c:v>7760</c:v>
                      </c:pt>
                      <c:pt idx="413">
                        <c:v>8230</c:v>
                      </c:pt>
                      <c:pt idx="414">
                        <c:v>7930</c:v>
                      </c:pt>
                      <c:pt idx="415">
                        <c:v>7360</c:v>
                      </c:pt>
                      <c:pt idx="416">
                        <c:v>8525</c:v>
                      </c:pt>
                      <c:pt idx="417">
                        <c:v>7775</c:v>
                      </c:pt>
                      <c:pt idx="418">
                        <c:v>8545</c:v>
                      </c:pt>
                      <c:pt idx="419">
                        <c:v>8095</c:v>
                      </c:pt>
                      <c:pt idx="420">
                        <c:v>8445</c:v>
                      </c:pt>
                      <c:pt idx="421">
                        <c:v>6585</c:v>
                      </c:pt>
                      <c:pt idx="422">
                        <c:v>6585</c:v>
                      </c:pt>
                      <c:pt idx="423">
                        <c:v>6760</c:v>
                      </c:pt>
                      <c:pt idx="424">
                        <c:v>6160</c:v>
                      </c:pt>
                      <c:pt idx="425">
                        <c:v>6210</c:v>
                      </c:pt>
                      <c:pt idx="426">
                        <c:v>4830</c:v>
                      </c:pt>
                      <c:pt idx="427">
                        <c:v>7130</c:v>
                      </c:pt>
                      <c:pt idx="428">
                        <c:v>6500</c:v>
                      </c:pt>
                      <c:pt idx="429">
                        <c:v>3590</c:v>
                      </c:pt>
                      <c:pt idx="430">
                        <c:v>5205</c:v>
                      </c:pt>
                      <c:pt idx="431">
                        <c:v>2955</c:v>
                      </c:pt>
                      <c:pt idx="432">
                        <c:v>3205</c:v>
                      </c:pt>
                      <c:pt idx="433">
                        <c:v>1045</c:v>
                      </c:pt>
                      <c:pt idx="434">
                        <c:v>3345</c:v>
                      </c:pt>
                      <c:pt idx="435">
                        <c:v>405</c:v>
                      </c:pt>
                      <c:pt idx="436">
                        <c:v>930</c:v>
                      </c:pt>
                      <c:pt idx="437">
                        <c:v>0</c:v>
                      </c:pt>
                      <c:pt idx="438">
                        <c:v>3700</c:v>
                      </c:pt>
                      <c:pt idx="439">
                        <c:v>10</c:v>
                      </c:pt>
                      <c:pt idx="440">
                        <c:v>385</c:v>
                      </c:pt>
                      <c:pt idx="441">
                        <c:v>25</c:v>
                      </c:pt>
                      <c:pt idx="442">
                        <c:v>300</c:v>
                      </c:pt>
                      <c:pt idx="443">
                        <c:v>0</c:v>
                      </c:pt>
                      <c:pt idx="444">
                        <c:v>670</c:v>
                      </c:pt>
                      <c:pt idx="445">
                        <c:v>10</c:v>
                      </c:pt>
                      <c:pt idx="446">
                        <c:v>305</c:v>
                      </c:pt>
                      <c:pt idx="447">
                        <c:v>5</c:v>
                      </c:pt>
                      <c:pt idx="448">
                        <c:v>595</c:v>
                      </c:pt>
                      <c:pt idx="449">
                        <c:v>25</c:v>
                      </c:pt>
                      <c:pt idx="450">
                        <c:v>25</c:v>
                      </c:pt>
                      <c:pt idx="451">
                        <c:v>940</c:v>
                      </c:pt>
                      <c:pt idx="452">
                        <c:v>10</c:v>
                      </c:pt>
                      <c:pt idx="453">
                        <c:v>480</c:v>
                      </c:pt>
                      <c:pt idx="454">
                        <c:v>0</c:v>
                      </c:pt>
                      <c:pt idx="455">
                        <c:v>335</c:v>
                      </c:pt>
                      <c:pt idx="456">
                        <c:v>5</c:v>
                      </c:pt>
                      <c:pt idx="457">
                        <c:v>190</c:v>
                      </c:pt>
                      <c:pt idx="458">
                        <c:v>10</c:v>
                      </c:pt>
                      <c:pt idx="459">
                        <c:v>260</c:v>
                      </c:pt>
                      <c:pt idx="460">
                        <c:v>20</c:v>
                      </c:pt>
                      <c:pt idx="461">
                        <c:v>195</c:v>
                      </c:pt>
                      <c:pt idx="462">
                        <c:v>15</c:v>
                      </c:pt>
                      <c:pt idx="463">
                        <c:v>15</c:v>
                      </c:pt>
                      <c:pt idx="464">
                        <c:v>15</c:v>
                      </c:pt>
                      <c:pt idx="465">
                        <c:v>265</c:v>
                      </c:pt>
                      <c:pt idx="466">
                        <c:v>25</c:v>
                      </c:pt>
                      <c:pt idx="467">
                        <c:v>25</c:v>
                      </c:pt>
                      <c:pt idx="468">
                        <c:v>25</c:v>
                      </c:pt>
                      <c:pt idx="469">
                        <c:v>725</c:v>
                      </c:pt>
                      <c:pt idx="470">
                        <c:v>5</c:v>
                      </c:pt>
                      <c:pt idx="471">
                        <c:v>5</c:v>
                      </c:pt>
                      <c:pt idx="472">
                        <c:v>80</c:v>
                      </c:pt>
                      <c:pt idx="473">
                        <c:v>380</c:v>
                      </c:pt>
                      <c:pt idx="474">
                        <c:v>380</c:v>
                      </c:pt>
                      <c:pt idx="475">
                        <c:v>20</c:v>
                      </c:pt>
                      <c:pt idx="476">
                        <c:v>20</c:v>
                      </c:pt>
                      <c:pt idx="477">
                        <c:v>20</c:v>
                      </c:pt>
                      <c:pt idx="478">
                        <c:v>495</c:v>
                      </c:pt>
                      <c:pt idx="479">
                        <c:v>255</c:v>
                      </c:pt>
                      <c:pt idx="480">
                        <c:v>1920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  <c:pt idx="271">
                        <c:v>96650</c:v>
                      </c:pt>
                      <c:pt idx="272">
                        <c:v>96670</c:v>
                      </c:pt>
                      <c:pt idx="273">
                        <c:v>96690</c:v>
                      </c:pt>
                      <c:pt idx="274">
                        <c:v>96740</c:v>
                      </c:pt>
                      <c:pt idx="275">
                        <c:v>96760</c:v>
                      </c:pt>
                      <c:pt idx="276">
                        <c:v>96780</c:v>
                      </c:pt>
                      <c:pt idx="277">
                        <c:v>96800</c:v>
                      </c:pt>
                      <c:pt idx="278">
                        <c:v>97345</c:v>
                      </c:pt>
                      <c:pt idx="279">
                        <c:v>97345</c:v>
                      </c:pt>
                      <c:pt idx="280">
                        <c:v>97345</c:v>
                      </c:pt>
                      <c:pt idx="281">
                        <c:v>81715</c:v>
                      </c:pt>
                      <c:pt idx="282">
                        <c:v>81765</c:v>
                      </c:pt>
                      <c:pt idx="283">
                        <c:v>81765</c:v>
                      </c:pt>
                      <c:pt idx="284">
                        <c:v>110940</c:v>
                      </c:pt>
                      <c:pt idx="285">
                        <c:v>110940</c:v>
                      </c:pt>
                      <c:pt idx="286">
                        <c:v>110960</c:v>
                      </c:pt>
                      <c:pt idx="287">
                        <c:v>88130</c:v>
                      </c:pt>
                      <c:pt idx="288">
                        <c:v>88180</c:v>
                      </c:pt>
                      <c:pt idx="289">
                        <c:v>108580</c:v>
                      </c:pt>
                      <c:pt idx="290">
                        <c:v>108600</c:v>
                      </c:pt>
                      <c:pt idx="291">
                        <c:v>108640</c:v>
                      </c:pt>
                      <c:pt idx="292">
                        <c:v>108690</c:v>
                      </c:pt>
                      <c:pt idx="293">
                        <c:v>108690</c:v>
                      </c:pt>
                      <c:pt idx="294">
                        <c:v>108710</c:v>
                      </c:pt>
                      <c:pt idx="295">
                        <c:v>108710</c:v>
                      </c:pt>
                      <c:pt idx="296">
                        <c:v>108730</c:v>
                      </c:pt>
                      <c:pt idx="297">
                        <c:v>105150</c:v>
                      </c:pt>
                      <c:pt idx="298">
                        <c:v>105150</c:v>
                      </c:pt>
                      <c:pt idx="299">
                        <c:v>105725</c:v>
                      </c:pt>
                      <c:pt idx="300">
                        <c:v>105725</c:v>
                      </c:pt>
                      <c:pt idx="301">
                        <c:v>105745</c:v>
                      </c:pt>
                      <c:pt idx="302">
                        <c:v>105745</c:v>
                      </c:pt>
                      <c:pt idx="303">
                        <c:v>106295</c:v>
                      </c:pt>
                      <c:pt idx="304">
                        <c:v>106295</c:v>
                      </c:pt>
                      <c:pt idx="305">
                        <c:v>106315</c:v>
                      </c:pt>
                      <c:pt idx="306">
                        <c:v>106315</c:v>
                      </c:pt>
                      <c:pt idx="307">
                        <c:v>106335</c:v>
                      </c:pt>
                      <c:pt idx="308">
                        <c:v>106335</c:v>
                      </c:pt>
                      <c:pt idx="309">
                        <c:v>106880</c:v>
                      </c:pt>
                      <c:pt idx="310">
                        <c:v>106880</c:v>
                      </c:pt>
                      <c:pt idx="311">
                        <c:v>93650</c:v>
                      </c:pt>
                      <c:pt idx="312">
                        <c:v>93200</c:v>
                      </c:pt>
                      <c:pt idx="313">
                        <c:v>93250</c:v>
                      </c:pt>
                      <c:pt idx="314">
                        <c:v>93300</c:v>
                      </c:pt>
                      <c:pt idx="315">
                        <c:v>93320</c:v>
                      </c:pt>
                      <c:pt idx="316">
                        <c:v>93340</c:v>
                      </c:pt>
                      <c:pt idx="317">
                        <c:v>93360</c:v>
                      </c:pt>
                      <c:pt idx="318">
                        <c:v>93380</c:v>
                      </c:pt>
                      <c:pt idx="319">
                        <c:v>93400</c:v>
                      </c:pt>
                      <c:pt idx="320">
                        <c:v>93975</c:v>
                      </c:pt>
                      <c:pt idx="321">
                        <c:v>93995</c:v>
                      </c:pt>
                      <c:pt idx="322">
                        <c:v>94015</c:v>
                      </c:pt>
                      <c:pt idx="323">
                        <c:v>94035</c:v>
                      </c:pt>
                      <c:pt idx="324">
                        <c:v>94055</c:v>
                      </c:pt>
                      <c:pt idx="325">
                        <c:v>85675</c:v>
                      </c:pt>
                      <c:pt idx="326">
                        <c:v>85675</c:v>
                      </c:pt>
                      <c:pt idx="327">
                        <c:v>85725</c:v>
                      </c:pt>
                      <c:pt idx="328">
                        <c:v>85725</c:v>
                      </c:pt>
                      <c:pt idx="329">
                        <c:v>102270</c:v>
                      </c:pt>
                      <c:pt idx="330">
                        <c:v>102290</c:v>
                      </c:pt>
                      <c:pt idx="331">
                        <c:v>116420</c:v>
                      </c:pt>
                      <c:pt idx="332">
                        <c:v>100460</c:v>
                      </c:pt>
                      <c:pt idx="333">
                        <c:v>100510</c:v>
                      </c:pt>
                      <c:pt idx="334">
                        <c:v>100510</c:v>
                      </c:pt>
                      <c:pt idx="335">
                        <c:v>100530</c:v>
                      </c:pt>
                      <c:pt idx="336">
                        <c:v>100530</c:v>
                      </c:pt>
                      <c:pt idx="337">
                        <c:v>100550</c:v>
                      </c:pt>
                      <c:pt idx="338">
                        <c:v>100550</c:v>
                      </c:pt>
                      <c:pt idx="339">
                        <c:v>100600</c:v>
                      </c:pt>
                      <c:pt idx="340">
                        <c:v>100600</c:v>
                      </c:pt>
                      <c:pt idx="341">
                        <c:v>100620</c:v>
                      </c:pt>
                      <c:pt idx="342">
                        <c:v>100640</c:v>
                      </c:pt>
                      <c:pt idx="343">
                        <c:v>100640</c:v>
                      </c:pt>
                      <c:pt idx="344">
                        <c:v>100640</c:v>
                      </c:pt>
                      <c:pt idx="345">
                        <c:v>100660</c:v>
                      </c:pt>
                      <c:pt idx="346">
                        <c:v>100660</c:v>
                      </c:pt>
                      <c:pt idx="347">
                        <c:v>101205</c:v>
                      </c:pt>
                      <c:pt idx="348">
                        <c:v>101205</c:v>
                      </c:pt>
                      <c:pt idx="349">
                        <c:v>101255</c:v>
                      </c:pt>
                      <c:pt idx="350">
                        <c:v>101805</c:v>
                      </c:pt>
                      <c:pt idx="351">
                        <c:v>101825</c:v>
                      </c:pt>
                      <c:pt idx="352">
                        <c:v>101845</c:v>
                      </c:pt>
                      <c:pt idx="353">
                        <c:v>85015</c:v>
                      </c:pt>
                      <c:pt idx="354">
                        <c:v>84565</c:v>
                      </c:pt>
                      <c:pt idx="355">
                        <c:v>84615</c:v>
                      </c:pt>
                      <c:pt idx="356">
                        <c:v>84635</c:v>
                      </c:pt>
                      <c:pt idx="357">
                        <c:v>84655</c:v>
                      </c:pt>
                      <c:pt idx="358">
                        <c:v>84675</c:v>
                      </c:pt>
                      <c:pt idx="359">
                        <c:v>84725</c:v>
                      </c:pt>
                      <c:pt idx="360">
                        <c:v>84745</c:v>
                      </c:pt>
                      <c:pt idx="361">
                        <c:v>84265</c:v>
                      </c:pt>
                      <c:pt idx="362">
                        <c:v>84810</c:v>
                      </c:pt>
                      <c:pt idx="363">
                        <c:v>85360</c:v>
                      </c:pt>
                      <c:pt idx="364">
                        <c:v>85380</c:v>
                      </c:pt>
                      <c:pt idx="365">
                        <c:v>85925</c:v>
                      </c:pt>
                      <c:pt idx="366">
                        <c:v>85945</c:v>
                      </c:pt>
                      <c:pt idx="367">
                        <c:v>69165</c:v>
                      </c:pt>
                      <c:pt idx="368">
                        <c:v>68665</c:v>
                      </c:pt>
                      <c:pt idx="369">
                        <c:v>68685</c:v>
                      </c:pt>
                      <c:pt idx="370">
                        <c:v>69165</c:v>
                      </c:pt>
                      <c:pt idx="371">
                        <c:v>69185</c:v>
                      </c:pt>
                      <c:pt idx="372">
                        <c:v>69205</c:v>
                      </c:pt>
                      <c:pt idx="373">
                        <c:v>69205</c:v>
                      </c:pt>
                      <c:pt idx="374">
                        <c:v>53575</c:v>
                      </c:pt>
                      <c:pt idx="375">
                        <c:v>53625</c:v>
                      </c:pt>
                      <c:pt idx="376">
                        <c:v>53645</c:v>
                      </c:pt>
                      <c:pt idx="377">
                        <c:v>53665</c:v>
                      </c:pt>
                      <c:pt idx="378">
                        <c:v>53715</c:v>
                      </c:pt>
                      <c:pt idx="379">
                        <c:v>53735</c:v>
                      </c:pt>
                      <c:pt idx="380">
                        <c:v>53755</c:v>
                      </c:pt>
                      <c:pt idx="381">
                        <c:v>53775</c:v>
                      </c:pt>
                      <c:pt idx="382">
                        <c:v>53815</c:v>
                      </c:pt>
                      <c:pt idx="383">
                        <c:v>41190</c:v>
                      </c:pt>
                      <c:pt idx="384">
                        <c:v>57190</c:v>
                      </c:pt>
                      <c:pt idx="385">
                        <c:v>57230</c:v>
                      </c:pt>
                      <c:pt idx="386">
                        <c:v>57230</c:v>
                      </c:pt>
                      <c:pt idx="387">
                        <c:v>57250</c:v>
                      </c:pt>
                      <c:pt idx="388">
                        <c:v>57270</c:v>
                      </c:pt>
                      <c:pt idx="389">
                        <c:v>56790</c:v>
                      </c:pt>
                      <c:pt idx="390">
                        <c:v>56790</c:v>
                      </c:pt>
                      <c:pt idx="391">
                        <c:v>56840</c:v>
                      </c:pt>
                      <c:pt idx="392">
                        <c:v>56860</c:v>
                      </c:pt>
                      <c:pt idx="393">
                        <c:v>57405</c:v>
                      </c:pt>
                      <c:pt idx="394">
                        <c:v>57445</c:v>
                      </c:pt>
                      <c:pt idx="395">
                        <c:v>57465</c:v>
                      </c:pt>
                      <c:pt idx="396">
                        <c:v>58015</c:v>
                      </c:pt>
                      <c:pt idx="397">
                        <c:v>58015</c:v>
                      </c:pt>
                      <c:pt idx="398">
                        <c:v>58035</c:v>
                      </c:pt>
                      <c:pt idx="399">
                        <c:v>58035</c:v>
                      </c:pt>
                      <c:pt idx="400">
                        <c:v>58085</c:v>
                      </c:pt>
                      <c:pt idx="401">
                        <c:v>58055</c:v>
                      </c:pt>
                      <c:pt idx="402">
                        <c:v>42425</c:v>
                      </c:pt>
                      <c:pt idx="403">
                        <c:v>42475</c:v>
                      </c:pt>
                      <c:pt idx="404">
                        <c:v>42475</c:v>
                      </c:pt>
                      <c:pt idx="405">
                        <c:v>41975</c:v>
                      </c:pt>
                      <c:pt idx="406">
                        <c:v>42550</c:v>
                      </c:pt>
                      <c:pt idx="407">
                        <c:v>42520</c:v>
                      </c:pt>
                      <c:pt idx="408">
                        <c:v>42520</c:v>
                      </c:pt>
                      <c:pt idx="409">
                        <c:v>42540</c:v>
                      </c:pt>
                      <c:pt idx="410">
                        <c:v>42540</c:v>
                      </c:pt>
                      <c:pt idx="411">
                        <c:v>43090</c:v>
                      </c:pt>
                      <c:pt idx="412">
                        <c:v>43090</c:v>
                      </c:pt>
                      <c:pt idx="413">
                        <c:v>43090</c:v>
                      </c:pt>
                      <c:pt idx="414">
                        <c:v>43090</c:v>
                      </c:pt>
                      <c:pt idx="415">
                        <c:v>43090</c:v>
                      </c:pt>
                      <c:pt idx="416">
                        <c:v>43110</c:v>
                      </c:pt>
                      <c:pt idx="417">
                        <c:v>43110</c:v>
                      </c:pt>
                      <c:pt idx="418">
                        <c:v>43110</c:v>
                      </c:pt>
                      <c:pt idx="419">
                        <c:v>43110</c:v>
                      </c:pt>
                      <c:pt idx="420">
                        <c:v>43130</c:v>
                      </c:pt>
                      <c:pt idx="421">
                        <c:v>43130</c:v>
                      </c:pt>
                      <c:pt idx="422">
                        <c:v>37100</c:v>
                      </c:pt>
                      <c:pt idx="423">
                        <c:v>37150</c:v>
                      </c:pt>
                      <c:pt idx="424">
                        <c:v>37150</c:v>
                      </c:pt>
                      <c:pt idx="425">
                        <c:v>68935</c:v>
                      </c:pt>
                      <c:pt idx="426">
                        <c:v>68935</c:v>
                      </c:pt>
                      <c:pt idx="427">
                        <c:v>68955</c:v>
                      </c:pt>
                      <c:pt idx="428">
                        <c:v>68955</c:v>
                      </c:pt>
                      <c:pt idx="429">
                        <c:v>68955</c:v>
                      </c:pt>
                      <c:pt idx="430">
                        <c:v>68975</c:v>
                      </c:pt>
                      <c:pt idx="431">
                        <c:v>68955</c:v>
                      </c:pt>
                      <c:pt idx="432">
                        <c:v>69025</c:v>
                      </c:pt>
                      <c:pt idx="433">
                        <c:v>69025</c:v>
                      </c:pt>
                      <c:pt idx="434">
                        <c:v>69045</c:v>
                      </c:pt>
                      <c:pt idx="435">
                        <c:v>69045</c:v>
                      </c:pt>
                      <c:pt idx="436">
                        <c:v>69065</c:v>
                      </c:pt>
                      <c:pt idx="437">
                        <c:v>60995</c:v>
                      </c:pt>
                      <c:pt idx="438">
                        <c:v>61045</c:v>
                      </c:pt>
                      <c:pt idx="439">
                        <c:v>57595</c:v>
                      </c:pt>
                      <c:pt idx="440">
                        <c:v>57635</c:v>
                      </c:pt>
                      <c:pt idx="441">
                        <c:v>48635</c:v>
                      </c:pt>
                      <c:pt idx="442">
                        <c:v>49210</c:v>
                      </c:pt>
                      <c:pt idx="443">
                        <c:v>46000</c:v>
                      </c:pt>
                      <c:pt idx="444">
                        <c:v>46020</c:v>
                      </c:pt>
                      <c:pt idx="445">
                        <c:v>42270</c:v>
                      </c:pt>
                      <c:pt idx="446">
                        <c:v>42290</c:v>
                      </c:pt>
                      <c:pt idx="447">
                        <c:v>36890</c:v>
                      </c:pt>
                      <c:pt idx="448">
                        <c:v>36910</c:v>
                      </c:pt>
                      <c:pt idx="449">
                        <c:v>32650</c:v>
                      </c:pt>
                      <c:pt idx="450">
                        <c:v>32620</c:v>
                      </c:pt>
                      <c:pt idx="451">
                        <c:v>32670</c:v>
                      </c:pt>
                      <c:pt idx="452">
                        <c:v>28620</c:v>
                      </c:pt>
                      <c:pt idx="453">
                        <c:v>28140</c:v>
                      </c:pt>
                      <c:pt idx="454">
                        <c:v>21330</c:v>
                      </c:pt>
                      <c:pt idx="455">
                        <c:v>21905</c:v>
                      </c:pt>
                      <c:pt idx="456">
                        <c:v>15185</c:v>
                      </c:pt>
                      <c:pt idx="457">
                        <c:v>15205</c:v>
                      </c:pt>
                      <c:pt idx="458">
                        <c:v>14155</c:v>
                      </c:pt>
                      <c:pt idx="459">
                        <c:v>14175</c:v>
                      </c:pt>
                      <c:pt idx="460">
                        <c:v>2985</c:v>
                      </c:pt>
                      <c:pt idx="461">
                        <c:v>3005</c:v>
                      </c:pt>
                      <c:pt idx="462">
                        <c:v>815</c:v>
                      </c:pt>
                      <c:pt idx="463">
                        <c:v>9740</c:v>
                      </c:pt>
                      <c:pt idx="464">
                        <c:v>5840</c:v>
                      </c:pt>
                      <c:pt idx="465">
                        <c:v>5860</c:v>
                      </c:pt>
                      <c:pt idx="466">
                        <c:v>1570</c:v>
                      </c:pt>
                      <c:pt idx="467">
                        <c:v>9970</c:v>
                      </c:pt>
                      <c:pt idx="468">
                        <c:v>7630</c:v>
                      </c:pt>
                      <c:pt idx="469">
                        <c:v>7650</c:v>
                      </c:pt>
                      <c:pt idx="470">
                        <c:v>1110</c:v>
                      </c:pt>
                      <c:pt idx="471">
                        <c:v>9990</c:v>
                      </c:pt>
                      <c:pt idx="472">
                        <c:v>3120</c:v>
                      </c:pt>
                      <c:pt idx="473">
                        <c:v>3240</c:v>
                      </c:pt>
                      <c:pt idx="474">
                        <c:v>11640</c:v>
                      </c:pt>
                      <c:pt idx="475">
                        <c:v>0</c:v>
                      </c:pt>
                      <c:pt idx="476">
                        <c:v>12600</c:v>
                      </c:pt>
                      <c:pt idx="477">
                        <c:v>11700</c:v>
                      </c:pt>
                      <c:pt idx="478">
                        <c:v>11720</c:v>
                      </c:pt>
                      <c:pt idx="479">
                        <c:v>1880</c:v>
                      </c:pt>
                      <c:pt idx="480">
                        <c:v>10825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  <c:pt idx="383">
                        <c:v>44267.856249999997</c:v>
                      </c:pt>
                      <c:pt idx="384">
                        <c:v>44267.859027777777</c:v>
                      </c:pt>
                      <c:pt idx="385">
                        <c:v>44269.583333333336</c:v>
                      </c:pt>
                      <c:pt idx="386">
                        <c:v>44269.606944444444</c:v>
                      </c:pt>
                      <c:pt idx="387">
                        <c:v>44271.02847222222</c:v>
                      </c:pt>
                      <c:pt idx="388">
                        <c:v>44271.05972222222</c:v>
                      </c:pt>
                      <c:pt idx="389">
                        <c:v>44272.517361111109</c:v>
                      </c:pt>
                      <c:pt idx="390">
                        <c:v>44273.064583333333</c:v>
                      </c:pt>
                      <c:pt idx="391">
                        <c:v>44273.092361111114</c:v>
                      </c:pt>
                      <c:pt idx="392">
                        <c:v>44274.817361111112</c:v>
                      </c:pt>
                      <c:pt idx="393">
                        <c:v>44275.719444444447</c:v>
                      </c:pt>
                      <c:pt idx="394">
                        <c:v>44277.259722222225</c:v>
                      </c:pt>
                      <c:pt idx="395">
                        <c:v>44278.275694444441</c:v>
                      </c:pt>
                      <c:pt idx="396">
                        <c:v>44279.157638888886</c:v>
                      </c:pt>
                      <c:pt idx="397">
                        <c:v>44280.430555555555</c:v>
                      </c:pt>
                      <c:pt idx="398">
                        <c:v>44280.436805555553</c:v>
                      </c:pt>
                      <c:pt idx="399">
                        <c:v>44281.54583333333</c:v>
                      </c:pt>
                      <c:pt idx="400">
                        <c:v>44281.582638888889</c:v>
                      </c:pt>
                      <c:pt idx="401">
                        <c:v>44282.04791666667</c:v>
                      </c:pt>
                      <c:pt idx="402">
                        <c:v>44282.118750000001</c:v>
                      </c:pt>
                      <c:pt idx="403">
                        <c:v>44282.140277777777</c:v>
                      </c:pt>
                      <c:pt idx="404">
                        <c:v>44282.529861111114</c:v>
                      </c:pt>
                      <c:pt idx="405">
                        <c:v>44283.461111111108</c:v>
                      </c:pt>
                      <c:pt idx="406">
                        <c:v>44283.854861111111</c:v>
                      </c:pt>
                      <c:pt idx="407">
                        <c:v>44283.859027777777</c:v>
                      </c:pt>
                      <c:pt idx="408">
                        <c:v>44284.052777777775</c:v>
                      </c:pt>
                      <c:pt idx="409">
                        <c:v>44284.081250000003</c:v>
                      </c:pt>
                      <c:pt idx="410">
                        <c:v>44285.261805555558</c:v>
                      </c:pt>
                      <c:pt idx="411">
                        <c:v>44285.328472222223</c:v>
                      </c:pt>
                      <c:pt idx="412">
                        <c:v>44285.367361111108</c:v>
                      </c:pt>
                      <c:pt idx="413">
                        <c:v>44285.387499999997</c:v>
                      </c:pt>
                      <c:pt idx="414">
                        <c:v>44285.779861111114</c:v>
                      </c:pt>
                      <c:pt idx="415">
                        <c:v>44286.531944444447</c:v>
                      </c:pt>
                      <c:pt idx="416">
                        <c:v>44286.548611111109</c:v>
                      </c:pt>
                      <c:pt idx="417">
                        <c:v>44286.967361111114</c:v>
                      </c:pt>
                      <c:pt idx="418">
                        <c:v>44286.990277777775</c:v>
                      </c:pt>
                      <c:pt idx="419">
                        <c:v>44287.239583333336</c:v>
                      </c:pt>
                      <c:pt idx="420">
                        <c:v>44287.259722222225</c:v>
                      </c:pt>
                      <c:pt idx="421">
                        <c:v>44288.043749999997</c:v>
                      </c:pt>
                      <c:pt idx="422">
                        <c:v>44288.120833333334</c:v>
                      </c:pt>
                      <c:pt idx="423">
                        <c:v>44288.162499999999</c:v>
                      </c:pt>
                      <c:pt idx="424">
                        <c:v>44288.37777777778</c:v>
                      </c:pt>
                      <c:pt idx="425">
                        <c:v>44288.381944444445</c:v>
                      </c:pt>
                      <c:pt idx="426">
                        <c:v>44289.047222222223</c:v>
                      </c:pt>
                      <c:pt idx="427">
                        <c:v>44289.057638888888</c:v>
                      </c:pt>
                      <c:pt idx="428">
                        <c:v>44289.20416666667</c:v>
                      </c:pt>
                      <c:pt idx="429">
                        <c:v>44290.125694444447</c:v>
                      </c:pt>
                      <c:pt idx="430">
                        <c:v>44290.151388888888</c:v>
                      </c:pt>
                      <c:pt idx="431">
                        <c:v>44291.063888888886</c:v>
                      </c:pt>
                      <c:pt idx="432">
                        <c:v>44291.071527777778</c:v>
                      </c:pt>
                      <c:pt idx="433">
                        <c:v>44292.044444444444</c:v>
                      </c:pt>
                      <c:pt idx="434">
                        <c:v>44292.132638888892</c:v>
                      </c:pt>
                      <c:pt idx="435">
                        <c:v>44293.052777777775</c:v>
                      </c:pt>
                      <c:pt idx="436">
                        <c:v>44293.115972222222</c:v>
                      </c:pt>
                      <c:pt idx="437">
                        <c:v>44294.320138888892</c:v>
                      </c:pt>
                      <c:pt idx="438">
                        <c:v>44294.902777777781</c:v>
                      </c:pt>
                      <c:pt idx="439">
                        <c:v>44296.038888888892</c:v>
                      </c:pt>
                      <c:pt idx="440">
                        <c:v>44296.064583333333</c:v>
                      </c:pt>
                      <c:pt idx="441">
                        <c:v>44297.570833333331</c:v>
                      </c:pt>
                      <c:pt idx="442">
                        <c:v>44297.584027777775</c:v>
                      </c:pt>
                      <c:pt idx="443">
                        <c:v>44298.450694444444</c:v>
                      </c:pt>
                      <c:pt idx="444">
                        <c:v>44298.5</c:v>
                      </c:pt>
                      <c:pt idx="445">
                        <c:v>44299.320138888892</c:v>
                      </c:pt>
                      <c:pt idx="446">
                        <c:v>44299.34097222222</c:v>
                      </c:pt>
                      <c:pt idx="447">
                        <c:v>44300.244444444441</c:v>
                      </c:pt>
                      <c:pt idx="448">
                        <c:v>44300.308333333334</c:v>
                      </c:pt>
                      <c:pt idx="449">
                        <c:v>44301.044444444444</c:v>
                      </c:pt>
                      <c:pt idx="450">
                        <c:v>44301.17083333333</c:v>
                      </c:pt>
                      <c:pt idx="451">
                        <c:v>44301.171527777777</c:v>
                      </c:pt>
                      <c:pt idx="452">
                        <c:v>44302.367361111108</c:v>
                      </c:pt>
                      <c:pt idx="453">
                        <c:v>44302.394444444442</c:v>
                      </c:pt>
                      <c:pt idx="454">
                        <c:v>44303.520138888889</c:v>
                      </c:pt>
                      <c:pt idx="455">
                        <c:v>44303.540277777778</c:v>
                      </c:pt>
                      <c:pt idx="456">
                        <c:v>44304.81527777778</c:v>
                      </c:pt>
                      <c:pt idx="457">
                        <c:v>44304.845138888886</c:v>
                      </c:pt>
                      <c:pt idx="458">
                        <c:v>44305.080555555556</c:v>
                      </c:pt>
                      <c:pt idx="459">
                        <c:v>44305.089583333334</c:v>
                      </c:pt>
                      <c:pt idx="460">
                        <c:v>44306.711805555555</c:v>
                      </c:pt>
                      <c:pt idx="461">
                        <c:v>44306.736111111109</c:v>
                      </c:pt>
                      <c:pt idx="462">
                        <c:v>44307.042361111111</c:v>
                      </c:pt>
                      <c:pt idx="463">
                        <c:v>44307.044444444444</c:v>
                      </c:pt>
                      <c:pt idx="464">
                        <c:v>44307.606249999997</c:v>
                      </c:pt>
                      <c:pt idx="465">
                        <c:v>44307.613888888889</c:v>
                      </c:pt>
                      <c:pt idx="466">
                        <c:v>44308.229861111111</c:v>
                      </c:pt>
                      <c:pt idx="467">
                        <c:v>44308.231944444444</c:v>
                      </c:pt>
                      <c:pt idx="468">
                        <c:v>44308.530555555553</c:v>
                      </c:pt>
                      <c:pt idx="469">
                        <c:v>44308.572222222225</c:v>
                      </c:pt>
                      <c:pt idx="470">
                        <c:v>44309.434027777781</c:v>
                      </c:pt>
                      <c:pt idx="471">
                        <c:v>44309.434027777781</c:v>
                      </c:pt>
                      <c:pt idx="472">
                        <c:v>44310.176388888889</c:v>
                      </c:pt>
                      <c:pt idx="473">
                        <c:v>44310.190972222219</c:v>
                      </c:pt>
                      <c:pt idx="474">
                        <c:v>44310.190972222219</c:v>
                      </c:pt>
                      <c:pt idx="475">
                        <c:v>44311.665972222225</c:v>
                      </c:pt>
                      <c:pt idx="476">
                        <c:v>44311.666666666664</c:v>
                      </c:pt>
                      <c:pt idx="477">
                        <c:v>44311.756944444445</c:v>
                      </c:pt>
                      <c:pt idx="478">
                        <c:v>44311.769444444442</c:v>
                      </c:pt>
                      <c:pt idx="479">
                        <c:v>44312.938194444447</c:v>
                      </c:pt>
                      <c:pt idx="480">
                        <c:v>44312.954861111109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  <c:pt idx="271">
                        <c:v>105980</c:v>
                      </c:pt>
                      <c:pt idx="272">
                        <c:v>107050</c:v>
                      </c:pt>
                      <c:pt idx="273">
                        <c:v>107180</c:v>
                      </c:pt>
                      <c:pt idx="274">
                        <c:v>107515</c:v>
                      </c:pt>
                      <c:pt idx="275">
                        <c:v>107620</c:v>
                      </c:pt>
                      <c:pt idx="276">
                        <c:v>109550</c:v>
                      </c:pt>
                      <c:pt idx="277">
                        <c:v>109685</c:v>
                      </c:pt>
                      <c:pt idx="278">
                        <c:v>109490</c:v>
                      </c:pt>
                      <c:pt idx="279">
                        <c:v>109840</c:v>
                      </c:pt>
                      <c:pt idx="280">
                        <c:v>108070</c:v>
                      </c:pt>
                      <c:pt idx="281">
                        <c:v>91240</c:v>
                      </c:pt>
                      <c:pt idx="282">
                        <c:v>91490</c:v>
                      </c:pt>
                      <c:pt idx="283">
                        <c:v>88580</c:v>
                      </c:pt>
                      <c:pt idx="284">
                        <c:v>117905</c:v>
                      </c:pt>
                      <c:pt idx="285">
                        <c:v>113645</c:v>
                      </c:pt>
                      <c:pt idx="286">
                        <c:v>112465</c:v>
                      </c:pt>
                      <c:pt idx="287">
                        <c:v>89635</c:v>
                      </c:pt>
                      <c:pt idx="288">
                        <c:v>90060</c:v>
                      </c:pt>
                      <c:pt idx="289">
                        <c:v>110460</c:v>
                      </c:pt>
                      <c:pt idx="290">
                        <c:v>112580</c:v>
                      </c:pt>
                      <c:pt idx="291">
                        <c:v>112720</c:v>
                      </c:pt>
                      <c:pt idx="292">
                        <c:v>112845</c:v>
                      </c:pt>
                      <c:pt idx="293">
                        <c:v>112605</c:v>
                      </c:pt>
                      <c:pt idx="294">
                        <c:v>112975</c:v>
                      </c:pt>
                      <c:pt idx="295">
                        <c:v>112885</c:v>
                      </c:pt>
                      <c:pt idx="296">
                        <c:v>113255</c:v>
                      </c:pt>
                      <c:pt idx="297">
                        <c:v>110100</c:v>
                      </c:pt>
                      <c:pt idx="298">
                        <c:v>108720</c:v>
                      </c:pt>
                      <c:pt idx="299">
                        <c:v>109745</c:v>
                      </c:pt>
                      <c:pt idx="300">
                        <c:v>108305</c:v>
                      </c:pt>
                      <c:pt idx="301">
                        <c:v>108375</c:v>
                      </c:pt>
                      <c:pt idx="302">
                        <c:v>107085</c:v>
                      </c:pt>
                      <c:pt idx="303">
                        <c:v>107685</c:v>
                      </c:pt>
                      <c:pt idx="304">
                        <c:v>106755</c:v>
                      </c:pt>
                      <c:pt idx="305">
                        <c:v>106825</c:v>
                      </c:pt>
                      <c:pt idx="306">
                        <c:v>106345</c:v>
                      </c:pt>
                      <c:pt idx="307">
                        <c:v>106415</c:v>
                      </c:pt>
                      <c:pt idx="308">
                        <c:v>106355</c:v>
                      </c:pt>
                      <c:pt idx="309">
                        <c:v>107565</c:v>
                      </c:pt>
                      <c:pt idx="310">
                        <c:v>107565</c:v>
                      </c:pt>
                      <c:pt idx="311">
                        <c:v>94335</c:v>
                      </c:pt>
                      <c:pt idx="312">
                        <c:v>94695</c:v>
                      </c:pt>
                      <c:pt idx="313">
                        <c:v>95045</c:v>
                      </c:pt>
                      <c:pt idx="314">
                        <c:v>95465</c:v>
                      </c:pt>
                      <c:pt idx="315">
                        <c:v>95545</c:v>
                      </c:pt>
                      <c:pt idx="316">
                        <c:v>95715</c:v>
                      </c:pt>
                      <c:pt idx="317">
                        <c:v>95795</c:v>
                      </c:pt>
                      <c:pt idx="318">
                        <c:v>97185</c:v>
                      </c:pt>
                      <c:pt idx="319">
                        <c:v>97880</c:v>
                      </c:pt>
                      <c:pt idx="320">
                        <c:v>98555</c:v>
                      </c:pt>
                      <c:pt idx="321">
                        <c:v>98675</c:v>
                      </c:pt>
                      <c:pt idx="322">
                        <c:v>98795</c:v>
                      </c:pt>
                      <c:pt idx="323">
                        <c:v>99335</c:v>
                      </c:pt>
                      <c:pt idx="324">
                        <c:v>99805</c:v>
                      </c:pt>
                      <c:pt idx="325">
                        <c:v>92125</c:v>
                      </c:pt>
                      <c:pt idx="326">
                        <c:v>92525</c:v>
                      </c:pt>
                      <c:pt idx="327">
                        <c:v>92725</c:v>
                      </c:pt>
                      <c:pt idx="328">
                        <c:v>93290</c:v>
                      </c:pt>
                      <c:pt idx="329">
                        <c:v>110060</c:v>
                      </c:pt>
                      <c:pt idx="330">
                        <c:v>110180</c:v>
                      </c:pt>
                      <c:pt idx="331">
                        <c:v>124310</c:v>
                      </c:pt>
                      <c:pt idx="332">
                        <c:v>108350</c:v>
                      </c:pt>
                      <c:pt idx="333">
                        <c:v>109025</c:v>
                      </c:pt>
                      <c:pt idx="334">
                        <c:v>105425</c:v>
                      </c:pt>
                      <c:pt idx="335">
                        <c:v>107080</c:v>
                      </c:pt>
                      <c:pt idx="336">
                        <c:v>106600</c:v>
                      </c:pt>
                      <c:pt idx="337">
                        <c:v>106670</c:v>
                      </c:pt>
                      <c:pt idx="338">
                        <c:v>100910</c:v>
                      </c:pt>
                      <c:pt idx="339">
                        <c:v>101010</c:v>
                      </c:pt>
                      <c:pt idx="340">
                        <c:v>100980</c:v>
                      </c:pt>
                      <c:pt idx="341">
                        <c:v>101525</c:v>
                      </c:pt>
                      <c:pt idx="342">
                        <c:v>101905</c:v>
                      </c:pt>
                      <c:pt idx="343">
                        <c:v>103105</c:v>
                      </c:pt>
                      <c:pt idx="344">
                        <c:v>103105</c:v>
                      </c:pt>
                      <c:pt idx="345">
                        <c:v>103500</c:v>
                      </c:pt>
                      <c:pt idx="346">
                        <c:v>101340</c:v>
                      </c:pt>
                      <c:pt idx="347">
                        <c:v>102000</c:v>
                      </c:pt>
                      <c:pt idx="348">
                        <c:v>101220</c:v>
                      </c:pt>
                      <c:pt idx="349">
                        <c:v>101320</c:v>
                      </c:pt>
                      <c:pt idx="350">
                        <c:v>101920</c:v>
                      </c:pt>
                      <c:pt idx="351">
                        <c:v>101990</c:v>
                      </c:pt>
                      <c:pt idx="352">
                        <c:v>103260</c:v>
                      </c:pt>
                      <c:pt idx="353">
                        <c:v>86430</c:v>
                      </c:pt>
                      <c:pt idx="354">
                        <c:v>87085</c:v>
                      </c:pt>
                      <c:pt idx="355">
                        <c:v>87560</c:v>
                      </c:pt>
                      <c:pt idx="356">
                        <c:v>87980</c:v>
                      </c:pt>
                      <c:pt idx="357">
                        <c:v>89085</c:v>
                      </c:pt>
                      <c:pt idx="358">
                        <c:v>89215</c:v>
                      </c:pt>
                      <c:pt idx="359">
                        <c:v>89550</c:v>
                      </c:pt>
                      <c:pt idx="360">
                        <c:v>89770</c:v>
                      </c:pt>
                      <c:pt idx="361">
                        <c:v>89415</c:v>
                      </c:pt>
                      <c:pt idx="362">
                        <c:v>90060</c:v>
                      </c:pt>
                      <c:pt idx="363">
                        <c:v>90960</c:v>
                      </c:pt>
                      <c:pt idx="364">
                        <c:v>91130</c:v>
                      </c:pt>
                      <c:pt idx="365">
                        <c:v>92025</c:v>
                      </c:pt>
                      <c:pt idx="366">
                        <c:v>92395</c:v>
                      </c:pt>
                      <c:pt idx="367">
                        <c:v>76265</c:v>
                      </c:pt>
                      <c:pt idx="368">
                        <c:v>76065</c:v>
                      </c:pt>
                      <c:pt idx="369">
                        <c:v>76085</c:v>
                      </c:pt>
                      <c:pt idx="370">
                        <c:v>76765</c:v>
                      </c:pt>
                      <c:pt idx="371">
                        <c:v>76835</c:v>
                      </c:pt>
                      <c:pt idx="372">
                        <c:v>77020</c:v>
                      </c:pt>
                      <c:pt idx="373">
                        <c:v>77020</c:v>
                      </c:pt>
                      <c:pt idx="374">
                        <c:v>60190</c:v>
                      </c:pt>
                      <c:pt idx="375">
                        <c:v>60440</c:v>
                      </c:pt>
                      <c:pt idx="376">
                        <c:v>60535</c:v>
                      </c:pt>
                      <c:pt idx="377">
                        <c:v>60605</c:v>
                      </c:pt>
                      <c:pt idx="378">
                        <c:v>61005</c:v>
                      </c:pt>
                      <c:pt idx="379">
                        <c:v>61375</c:v>
                      </c:pt>
                      <c:pt idx="380">
                        <c:v>61445</c:v>
                      </c:pt>
                      <c:pt idx="381">
                        <c:v>61630</c:v>
                      </c:pt>
                      <c:pt idx="382">
                        <c:v>62665</c:v>
                      </c:pt>
                      <c:pt idx="383">
                        <c:v>50625</c:v>
                      </c:pt>
                      <c:pt idx="384">
                        <c:v>66625</c:v>
                      </c:pt>
                      <c:pt idx="385">
                        <c:v>66605</c:v>
                      </c:pt>
                      <c:pt idx="386">
                        <c:v>66665</c:v>
                      </c:pt>
                      <c:pt idx="387">
                        <c:v>66745</c:v>
                      </c:pt>
                      <c:pt idx="388">
                        <c:v>67125</c:v>
                      </c:pt>
                      <c:pt idx="389">
                        <c:v>67185</c:v>
                      </c:pt>
                      <c:pt idx="390">
                        <c:v>66705</c:v>
                      </c:pt>
                      <c:pt idx="391">
                        <c:v>66815</c:v>
                      </c:pt>
                      <c:pt idx="392">
                        <c:v>67660</c:v>
                      </c:pt>
                      <c:pt idx="393">
                        <c:v>68605</c:v>
                      </c:pt>
                      <c:pt idx="394">
                        <c:v>69070</c:v>
                      </c:pt>
                      <c:pt idx="395">
                        <c:v>69165</c:v>
                      </c:pt>
                      <c:pt idx="396">
                        <c:v>69990</c:v>
                      </c:pt>
                      <c:pt idx="397">
                        <c:v>68400</c:v>
                      </c:pt>
                      <c:pt idx="398">
                        <c:v>68470</c:v>
                      </c:pt>
                      <c:pt idx="399">
                        <c:v>67250</c:v>
                      </c:pt>
                      <c:pt idx="400">
                        <c:v>67415</c:v>
                      </c:pt>
                      <c:pt idx="401">
                        <c:v>66845</c:v>
                      </c:pt>
                      <c:pt idx="402">
                        <c:v>51095</c:v>
                      </c:pt>
                      <c:pt idx="403">
                        <c:v>51920</c:v>
                      </c:pt>
                      <c:pt idx="404">
                        <c:v>51770</c:v>
                      </c:pt>
                      <c:pt idx="405">
                        <c:v>50630</c:v>
                      </c:pt>
                      <c:pt idx="406">
                        <c:v>50875</c:v>
                      </c:pt>
                      <c:pt idx="407">
                        <c:v>50995</c:v>
                      </c:pt>
                      <c:pt idx="408">
                        <c:v>50515</c:v>
                      </c:pt>
                      <c:pt idx="409">
                        <c:v>50710</c:v>
                      </c:pt>
                      <c:pt idx="410">
                        <c:v>49445</c:v>
                      </c:pt>
                      <c:pt idx="411">
                        <c:v>51000</c:v>
                      </c:pt>
                      <c:pt idx="412">
                        <c:v>50850</c:v>
                      </c:pt>
                      <c:pt idx="413">
                        <c:v>51320</c:v>
                      </c:pt>
                      <c:pt idx="414">
                        <c:v>51020</c:v>
                      </c:pt>
                      <c:pt idx="415">
                        <c:v>50450</c:v>
                      </c:pt>
                      <c:pt idx="416">
                        <c:v>51635</c:v>
                      </c:pt>
                      <c:pt idx="417">
                        <c:v>50885</c:v>
                      </c:pt>
                      <c:pt idx="418">
                        <c:v>51655</c:v>
                      </c:pt>
                      <c:pt idx="419">
                        <c:v>51205</c:v>
                      </c:pt>
                      <c:pt idx="420">
                        <c:v>51575</c:v>
                      </c:pt>
                      <c:pt idx="421">
                        <c:v>49715</c:v>
                      </c:pt>
                      <c:pt idx="422">
                        <c:v>43685</c:v>
                      </c:pt>
                      <c:pt idx="423">
                        <c:v>43910</c:v>
                      </c:pt>
                      <c:pt idx="424">
                        <c:v>43310</c:v>
                      </c:pt>
                      <c:pt idx="425">
                        <c:v>75145</c:v>
                      </c:pt>
                      <c:pt idx="426">
                        <c:v>73765</c:v>
                      </c:pt>
                      <c:pt idx="427">
                        <c:v>76085</c:v>
                      </c:pt>
                      <c:pt idx="428">
                        <c:v>75455</c:v>
                      </c:pt>
                      <c:pt idx="429">
                        <c:v>72545</c:v>
                      </c:pt>
                      <c:pt idx="430">
                        <c:v>74180</c:v>
                      </c:pt>
                      <c:pt idx="431">
                        <c:v>71910</c:v>
                      </c:pt>
                      <c:pt idx="432">
                        <c:v>72230</c:v>
                      </c:pt>
                      <c:pt idx="433">
                        <c:v>70070</c:v>
                      </c:pt>
                      <c:pt idx="434">
                        <c:v>72390</c:v>
                      </c:pt>
                      <c:pt idx="435">
                        <c:v>69450</c:v>
                      </c:pt>
                      <c:pt idx="436">
                        <c:v>69995</c:v>
                      </c:pt>
                      <c:pt idx="437">
                        <c:v>60995</c:v>
                      </c:pt>
                      <c:pt idx="438">
                        <c:v>64745</c:v>
                      </c:pt>
                      <c:pt idx="439">
                        <c:v>57605</c:v>
                      </c:pt>
                      <c:pt idx="440">
                        <c:v>58020</c:v>
                      </c:pt>
                      <c:pt idx="441">
                        <c:v>48660</c:v>
                      </c:pt>
                      <c:pt idx="442">
                        <c:v>49510</c:v>
                      </c:pt>
                      <c:pt idx="443">
                        <c:v>46000</c:v>
                      </c:pt>
                      <c:pt idx="444">
                        <c:v>46690</c:v>
                      </c:pt>
                      <c:pt idx="445">
                        <c:v>42280</c:v>
                      </c:pt>
                      <c:pt idx="446">
                        <c:v>42595</c:v>
                      </c:pt>
                      <c:pt idx="447">
                        <c:v>36895</c:v>
                      </c:pt>
                      <c:pt idx="448">
                        <c:v>37505</c:v>
                      </c:pt>
                      <c:pt idx="449">
                        <c:v>32675</c:v>
                      </c:pt>
                      <c:pt idx="450">
                        <c:v>32645</c:v>
                      </c:pt>
                      <c:pt idx="451">
                        <c:v>33610</c:v>
                      </c:pt>
                      <c:pt idx="452">
                        <c:v>28630</c:v>
                      </c:pt>
                      <c:pt idx="453">
                        <c:v>28620</c:v>
                      </c:pt>
                      <c:pt idx="454">
                        <c:v>21330</c:v>
                      </c:pt>
                      <c:pt idx="455">
                        <c:v>22240</c:v>
                      </c:pt>
                      <c:pt idx="456">
                        <c:v>15190</c:v>
                      </c:pt>
                      <c:pt idx="457">
                        <c:v>15395</c:v>
                      </c:pt>
                      <c:pt idx="458">
                        <c:v>14165</c:v>
                      </c:pt>
                      <c:pt idx="459">
                        <c:v>14435</c:v>
                      </c:pt>
                      <c:pt idx="460">
                        <c:v>3005</c:v>
                      </c:pt>
                      <c:pt idx="461">
                        <c:v>3200</c:v>
                      </c:pt>
                      <c:pt idx="462">
                        <c:v>830</c:v>
                      </c:pt>
                      <c:pt idx="463">
                        <c:v>9755</c:v>
                      </c:pt>
                      <c:pt idx="464">
                        <c:v>5855</c:v>
                      </c:pt>
                      <c:pt idx="465">
                        <c:v>6125</c:v>
                      </c:pt>
                      <c:pt idx="466">
                        <c:v>1595</c:v>
                      </c:pt>
                      <c:pt idx="467">
                        <c:v>9995</c:v>
                      </c:pt>
                      <c:pt idx="468">
                        <c:v>7655</c:v>
                      </c:pt>
                      <c:pt idx="469">
                        <c:v>8375</c:v>
                      </c:pt>
                      <c:pt idx="470">
                        <c:v>1115</c:v>
                      </c:pt>
                      <c:pt idx="471">
                        <c:v>9995</c:v>
                      </c:pt>
                      <c:pt idx="472">
                        <c:v>3200</c:v>
                      </c:pt>
                      <c:pt idx="473">
                        <c:v>3620</c:v>
                      </c:pt>
                      <c:pt idx="474">
                        <c:v>12020</c:v>
                      </c:pt>
                      <c:pt idx="475">
                        <c:v>20</c:v>
                      </c:pt>
                      <c:pt idx="476">
                        <c:v>12620</c:v>
                      </c:pt>
                      <c:pt idx="477">
                        <c:v>11720</c:v>
                      </c:pt>
                      <c:pt idx="478">
                        <c:v>12215</c:v>
                      </c:pt>
                      <c:pt idx="479">
                        <c:v>2135</c:v>
                      </c:pt>
                      <c:pt idx="480">
                        <c:v>12745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r>
              <a:rPr lang="zh-TW" sz="1400" b="0"/>
              <a:t>每月送抽量 </a:t>
            </a:r>
            <a:r>
              <a:rPr lang="en-US" sz="1400" b="0"/>
              <a:t>/</a:t>
            </a:r>
            <a:r>
              <a:rPr lang="zh-TW" sz="1400" b="0"/>
              <a:t> </a:t>
            </a:r>
            <a:r>
              <a:rPr lang="en-US" sz="1400" b="0"/>
              <a:t>Monthly Summoning Gain</a:t>
            </a:r>
            <a:br>
              <a:rPr lang="en-US" sz="1200" b="0"/>
            </a:br>
            <a:r>
              <a:rPr lang="zh-TW" altLang="en-US" sz="1000" b="0"/>
              <a:t>沒有 </a:t>
            </a:r>
            <a:r>
              <a:rPr lang="en-US" altLang="zh-TW" sz="1000" b="0"/>
              <a:t>2020/10/18 </a:t>
            </a:r>
            <a:r>
              <a:rPr lang="zh-TW" altLang="en-US" sz="1000" b="0"/>
              <a:t>前的抽卷資料、</a:t>
            </a:r>
            <a:r>
              <a:rPr lang="en-US" altLang="zh-TW" sz="1000" b="0"/>
              <a:t>2021/01/22 </a:t>
            </a:r>
            <a:r>
              <a:rPr lang="zh-TW" altLang="en-US" sz="1000" b="0"/>
              <a:t>前的免費抽資料</a:t>
            </a:r>
            <a:endParaRPr lang="en-US" altLang="zh-TW" sz="1000" b="0"/>
          </a:p>
          <a:p>
            <a:pPr>
              <a:defRPr/>
            </a:pPr>
            <a:r>
              <a:rPr lang="en-US" altLang="zh-TW" sz="1000" b="0"/>
              <a:t>No data</a:t>
            </a:r>
            <a:r>
              <a:rPr lang="en-US" altLang="zh-TW" sz="1000" b="0" baseline="0"/>
              <a:t> for tickets before 2020/10/18, free summoning before 2021/01/22</a:t>
            </a:r>
            <a:endParaRPr lang="en-US" sz="1200" b="0"/>
          </a:p>
        </c:rich>
      </c:tx>
      <c:layout>
        <c:manualLayout>
          <c:xMode val="edge"/>
          <c:yMode val="edge"/>
          <c:x val="0.23396535102622998"/>
          <c:y val="2.2740124584078347E-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月送抽!$B$1</c:f>
              <c:strCache>
                <c:ptCount val="1"/>
                <c:pt idx="0">
                  <c:v>月鑽量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月送抽!$B$2:$B$503</c:f>
            </c:numRef>
          </c:val>
          <c:smooth val="1"/>
          <c:extLst>
            <c:ext xmlns:c16="http://schemas.microsoft.com/office/drawing/2014/chart" uri="{C3380CC4-5D6E-409C-BE32-E72D297353CC}">
              <c16:uniqueId val="{00000001-238E-439E-BDBC-76207028E3FE}"/>
            </c:ext>
          </c:extLst>
        </c:ser>
        <c:ser>
          <c:idx val="2"/>
          <c:order val="1"/>
          <c:tx>
            <c:strRef>
              <c:f>月送抽!$C$1</c:f>
              <c:strCache>
                <c:ptCount val="1"/>
                <c:pt idx="0">
                  <c:v>鑽 / Wyrmites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月送抽!$C$2:$C$503</c:f>
              <c:numCache>
                <c:formatCode>[Color50]\+0;[Red]\-0;0</c:formatCode>
                <c:ptCount val="502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143.41666666666666</c:v>
                </c:pt>
                <c:pt idx="185">
                  <c:v>142.91666666666666</c:v>
                </c:pt>
                <c:pt idx="186">
                  <c:v>163.45833333333334</c:v>
                </c:pt>
                <c:pt idx="187">
                  <c:v>151.29166666666666</c:v>
                </c:pt>
                <c:pt idx="188">
                  <c:v>155.875</c:v>
                </c:pt>
                <c:pt idx="189">
                  <c:v>154</c:v>
                </c:pt>
                <c:pt idx="190">
                  <c:v>154.20833333333334</c:v>
                </c:pt>
                <c:pt idx="191">
                  <c:v>142.95833333333334</c:v>
                </c:pt>
                <c:pt idx="192">
                  <c:v>142.95833333333334</c:v>
                </c:pt>
                <c:pt idx="193">
                  <c:v>145.25</c:v>
                </c:pt>
                <c:pt idx="194">
                  <c:v>145.66666666666666</c:v>
                </c:pt>
                <c:pt idx="195">
                  <c:v>144.625</c:v>
                </c:pt>
                <c:pt idx="196">
                  <c:v>144.625</c:v>
                </c:pt>
                <c:pt idx="197">
                  <c:v>132.04166666666666</c:v>
                </c:pt>
                <c:pt idx="198">
                  <c:v>111.29166666666667</c:v>
                </c:pt>
                <c:pt idx="199">
                  <c:v>114.54166666666667</c:v>
                </c:pt>
                <c:pt idx="200">
                  <c:v>114.95833333333333</c:v>
                </c:pt>
                <c:pt idx="201">
                  <c:v>114.125</c:v>
                </c:pt>
                <c:pt idx="202">
                  <c:v>86.125</c:v>
                </c:pt>
                <c:pt idx="203">
                  <c:v>88</c:v>
                </c:pt>
                <c:pt idx="204">
                  <c:v>88</c:v>
                </c:pt>
                <c:pt idx="205">
                  <c:v>87.583333333333329</c:v>
                </c:pt>
                <c:pt idx="206">
                  <c:v>87.083333333333329</c:v>
                </c:pt>
                <c:pt idx="207">
                  <c:v>89.916666666666671</c:v>
                </c:pt>
                <c:pt idx="208">
                  <c:v>84.958333333333329</c:v>
                </c:pt>
                <c:pt idx="209">
                  <c:v>84.75</c:v>
                </c:pt>
                <c:pt idx="210">
                  <c:v>77.875</c:v>
                </c:pt>
                <c:pt idx="211">
                  <c:v>77.875</c:v>
                </c:pt>
                <c:pt idx="212">
                  <c:v>84.208333333333329</c:v>
                </c:pt>
                <c:pt idx="213">
                  <c:v>89.333333333333329</c:v>
                </c:pt>
                <c:pt idx="214">
                  <c:v>82.083333333333329</c:v>
                </c:pt>
                <c:pt idx="215">
                  <c:v>64.166666666666671</c:v>
                </c:pt>
                <c:pt idx="216">
                  <c:v>64.791666666666671</c:v>
                </c:pt>
                <c:pt idx="217">
                  <c:v>65.833333333333329</c:v>
                </c:pt>
                <c:pt idx="218">
                  <c:v>63.333333333333336</c:v>
                </c:pt>
                <c:pt idx="219">
                  <c:v>61.041666666666664</c:v>
                </c:pt>
                <c:pt idx="220">
                  <c:v>61.041666666666664</c:v>
                </c:pt>
                <c:pt idx="221">
                  <c:v>60.208333333333336</c:v>
                </c:pt>
                <c:pt idx="222">
                  <c:v>61.541666666666664</c:v>
                </c:pt>
                <c:pt idx="223">
                  <c:v>64.458333333333329</c:v>
                </c:pt>
                <c:pt idx="224">
                  <c:v>58.583333333333336</c:v>
                </c:pt>
                <c:pt idx="225">
                  <c:v>63.375</c:v>
                </c:pt>
                <c:pt idx="226">
                  <c:v>63.375</c:v>
                </c:pt>
                <c:pt idx="227">
                  <c:v>61.708333333333336</c:v>
                </c:pt>
                <c:pt idx="228">
                  <c:v>72.083333333333329</c:v>
                </c:pt>
                <c:pt idx="229">
                  <c:v>75.833333333333329</c:v>
                </c:pt>
                <c:pt idx="230">
                  <c:v>71.958333333333329</c:v>
                </c:pt>
                <c:pt idx="231">
                  <c:v>75.708333333333329</c:v>
                </c:pt>
                <c:pt idx="232">
                  <c:v>90.083333333333329</c:v>
                </c:pt>
                <c:pt idx="233">
                  <c:v>92.375</c:v>
                </c:pt>
                <c:pt idx="234">
                  <c:v>86.125</c:v>
                </c:pt>
                <c:pt idx="235">
                  <c:v>86.125</c:v>
                </c:pt>
                <c:pt idx="236">
                  <c:v>86.541666666666671</c:v>
                </c:pt>
                <c:pt idx="237">
                  <c:v>83.083333333333329</c:v>
                </c:pt>
                <c:pt idx="238">
                  <c:v>83.5</c:v>
                </c:pt>
                <c:pt idx="239">
                  <c:v>81.333333333333329</c:v>
                </c:pt>
                <c:pt idx="240">
                  <c:v>81.75</c:v>
                </c:pt>
                <c:pt idx="241">
                  <c:v>87.958333333333329</c:v>
                </c:pt>
                <c:pt idx="242">
                  <c:v>88.041666666666671</c:v>
                </c:pt>
                <c:pt idx="243">
                  <c:v>100.29166666666667</c:v>
                </c:pt>
                <c:pt idx="244">
                  <c:v>94.416666666666671</c:v>
                </c:pt>
                <c:pt idx="245">
                  <c:v>95.5</c:v>
                </c:pt>
                <c:pt idx="246">
                  <c:v>100</c:v>
                </c:pt>
                <c:pt idx="247">
                  <c:v>98.791666666666671</c:v>
                </c:pt>
                <c:pt idx="248">
                  <c:v>107.54166666666667</c:v>
                </c:pt>
                <c:pt idx="249">
                  <c:v>104.91666666666667</c:v>
                </c:pt>
                <c:pt idx="250">
                  <c:v>106.875</c:v>
                </c:pt>
                <c:pt idx="251">
                  <c:v>106.125</c:v>
                </c:pt>
                <c:pt idx="252">
                  <c:v>122.04166666666667</c:v>
                </c:pt>
                <c:pt idx="253">
                  <c:v>117.16666666666667</c:v>
                </c:pt>
                <c:pt idx="254">
                  <c:v>117.16666666666667</c:v>
                </c:pt>
                <c:pt idx="255">
                  <c:v>114.625</c:v>
                </c:pt>
                <c:pt idx="256">
                  <c:v>110.875</c:v>
                </c:pt>
                <c:pt idx="257">
                  <c:v>106.08333333333333</c:v>
                </c:pt>
                <c:pt idx="258">
                  <c:v>106.08333333333333</c:v>
                </c:pt>
                <c:pt idx="259">
                  <c:v>121.95833333333333</c:v>
                </c:pt>
                <c:pt idx="260">
                  <c:v>118.20833333333333</c:v>
                </c:pt>
                <c:pt idx="261">
                  <c:v>118.20833333333333</c:v>
                </c:pt>
                <c:pt idx="262">
                  <c:v>100.70833333333333</c:v>
                </c:pt>
                <c:pt idx="263">
                  <c:v>100.70833333333333</c:v>
                </c:pt>
                <c:pt idx="264">
                  <c:v>103</c:v>
                </c:pt>
                <c:pt idx="265">
                  <c:v>106.54166666666667</c:v>
                </c:pt>
                <c:pt idx="266">
                  <c:v>106.125</c:v>
                </c:pt>
                <c:pt idx="267">
                  <c:v>109.45833333333333</c:v>
                </c:pt>
                <c:pt idx="268">
                  <c:v>109.45833333333333</c:v>
                </c:pt>
                <c:pt idx="269">
                  <c:v>109.45833333333333</c:v>
                </c:pt>
                <c:pt idx="270">
                  <c:v>109.45833333333333</c:v>
                </c:pt>
                <c:pt idx="271">
                  <c:v>108.79166666666667</c:v>
                </c:pt>
                <c:pt idx="272">
                  <c:v>108.79166666666667</c:v>
                </c:pt>
                <c:pt idx="273">
                  <c:v>115.45833333333333</c:v>
                </c:pt>
                <c:pt idx="274">
                  <c:v>102.45833333333333</c:v>
                </c:pt>
                <c:pt idx="275">
                  <c:v>99.875</c:v>
                </c:pt>
                <c:pt idx="276">
                  <c:v>97.541666666666671</c:v>
                </c:pt>
                <c:pt idx="277">
                  <c:v>92.458333333333329</c:v>
                </c:pt>
                <c:pt idx="278">
                  <c:v>103.875</c:v>
                </c:pt>
                <c:pt idx="279">
                  <c:v>100.75</c:v>
                </c:pt>
                <c:pt idx="280">
                  <c:v>100.66666666666667</c:v>
                </c:pt>
                <c:pt idx="281">
                  <c:v>99.125</c:v>
                </c:pt>
                <c:pt idx="282">
                  <c:v>99.25</c:v>
                </c:pt>
                <c:pt idx="283">
                  <c:v>87.666666666666671</c:v>
                </c:pt>
                <c:pt idx="284">
                  <c:v>87.541666666666671</c:v>
                </c:pt>
                <c:pt idx="285">
                  <c:v>91.708333333333329</c:v>
                </c:pt>
                <c:pt idx="286">
                  <c:v>95.041666666666671</c:v>
                </c:pt>
                <c:pt idx="287">
                  <c:v>99.75</c:v>
                </c:pt>
                <c:pt idx="288">
                  <c:v>99.333333333333329</c:v>
                </c:pt>
                <c:pt idx="289">
                  <c:v>99.333333333333329</c:v>
                </c:pt>
                <c:pt idx="290">
                  <c:v>87.041666666666671</c:v>
                </c:pt>
                <c:pt idx="291">
                  <c:v>100.66666666666667</c:v>
                </c:pt>
                <c:pt idx="292">
                  <c:v>100.25</c:v>
                </c:pt>
                <c:pt idx="293">
                  <c:v>100.04166666666667</c:v>
                </c:pt>
                <c:pt idx="294">
                  <c:v>104.5</c:v>
                </c:pt>
                <c:pt idx="295">
                  <c:v>111.58333333333333</c:v>
                </c:pt>
                <c:pt idx="296">
                  <c:v>107.41666666666667</c:v>
                </c:pt>
                <c:pt idx="297">
                  <c:v>107.95833333333333</c:v>
                </c:pt>
                <c:pt idx="298">
                  <c:v>108.375</c:v>
                </c:pt>
                <c:pt idx="299">
                  <c:v>108.375</c:v>
                </c:pt>
                <c:pt idx="300">
                  <c:v>118.79166666666667</c:v>
                </c:pt>
                <c:pt idx="301">
                  <c:v>118.375</c:v>
                </c:pt>
                <c:pt idx="302">
                  <c:v>125.58333333333333</c:v>
                </c:pt>
                <c:pt idx="303">
                  <c:v>122.16666666666667</c:v>
                </c:pt>
                <c:pt idx="304">
                  <c:v>125.625</c:v>
                </c:pt>
                <c:pt idx="305">
                  <c:v>125.625</c:v>
                </c:pt>
                <c:pt idx="306">
                  <c:v>126.04166666666667</c:v>
                </c:pt>
                <c:pt idx="307">
                  <c:v>127.16666666666667</c:v>
                </c:pt>
                <c:pt idx="308">
                  <c:v>116.91666666666667</c:v>
                </c:pt>
                <c:pt idx="309">
                  <c:v>117.95833333333333</c:v>
                </c:pt>
                <c:pt idx="310">
                  <c:v>112.33333333333333</c:v>
                </c:pt>
                <c:pt idx="311">
                  <c:v>115.25</c:v>
                </c:pt>
                <c:pt idx="312">
                  <c:v>115.66666666666667</c:v>
                </c:pt>
                <c:pt idx="313">
                  <c:v>117.75</c:v>
                </c:pt>
                <c:pt idx="314">
                  <c:v>116.33333333333333</c:v>
                </c:pt>
                <c:pt idx="315">
                  <c:v>118</c:v>
                </c:pt>
                <c:pt idx="316">
                  <c:v>111.33333333333333</c:v>
                </c:pt>
                <c:pt idx="317">
                  <c:v>107.04166666666667</c:v>
                </c:pt>
                <c:pt idx="318">
                  <c:v>105.58333333333333</c:v>
                </c:pt>
                <c:pt idx="319">
                  <c:v>106.125</c:v>
                </c:pt>
                <c:pt idx="320">
                  <c:v>100.91666666666667</c:v>
                </c:pt>
                <c:pt idx="321">
                  <c:v>89.166666666666671</c:v>
                </c:pt>
                <c:pt idx="322">
                  <c:v>89.166666666666671</c:v>
                </c:pt>
                <c:pt idx="323">
                  <c:v>87.708333333333329</c:v>
                </c:pt>
                <c:pt idx="324">
                  <c:v>87.625</c:v>
                </c:pt>
                <c:pt idx="325">
                  <c:v>74.916666666666671</c:v>
                </c:pt>
                <c:pt idx="326">
                  <c:v>75.333333333333329</c:v>
                </c:pt>
                <c:pt idx="327">
                  <c:v>83.208333333333329</c:v>
                </c:pt>
                <c:pt idx="328">
                  <c:v>83.208333333333329</c:v>
                </c:pt>
                <c:pt idx="329">
                  <c:v>87.25</c:v>
                </c:pt>
                <c:pt idx="330">
                  <c:v>76.833333333333329</c:v>
                </c:pt>
                <c:pt idx="331">
                  <c:v>76.833333333333329</c:v>
                </c:pt>
                <c:pt idx="332">
                  <c:v>65.083333333333329</c:v>
                </c:pt>
                <c:pt idx="333">
                  <c:v>65.083333333333329</c:v>
                </c:pt>
                <c:pt idx="334">
                  <c:v>69.25</c:v>
                </c:pt>
                <c:pt idx="335">
                  <c:v>69.25</c:v>
                </c:pt>
                <c:pt idx="336">
                  <c:v>66.666666666666671</c:v>
                </c:pt>
                <c:pt idx="337">
                  <c:v>67.625</c:v>
                </c:pt>
                <c:pt idx="338">
                  <c:v>68.458333333333329</c:v>
                </c:pt>
                <c:pt idx="339">
                  <c:v>68.458333333333329</c:v>
                </c:pt>
                <c:pt idx="340">
                  <c:v>69.083333333333329</c:v>
                </c:pt>
                <c:pt idx="341">
                  <c:v>67.625</c:v>
                </c:pt>
                <c:pt idx="342">
                  <c:v>66.375</c:v>
                </c:pt>
                <c:pt idx="343">
                  <c:v>63.875</c:v>
                </c:pt>
                <c:pt idx="344">
                  <c:v>64.833333333333329</c:v>
                </c:pt>
                <c:pt idx="345">
                  <c:v>62.958333333333336</c:v>
                </c:pt>
                <c:pt idx="346">
                  <c:v>61.708333333333336</c:v>
                </c:pt>
                <c:pt idx="347">
                  <c:v>63.166666666666664</c:v>
                </c:pt>
                <c:pt idx="348">
                  <c:v>73.375</c:v>
                </c:pt>
                <c:pt idx="349">
                  <c:v>89.5</c:v>
                </c:pt>
                <c:pt idx="350">
                  <c:v>91.041666666666671</c:v>
                </c:pt>
                <c:pt idx="351">
                  <c:v>91.25</c:v>
                </c:pt>
                <c:pt idx="352">
                  <c:v>109.79166666666667</c:v>
                </c:pt>
                <c:pt idx="353">
                  <c:v>122.83333333333333</c:v>
                </c:pt>
                <c:pt idx="354">
                  <c:v>122</c:v>
                </c:pt>
                <c:pt idx="355">
                  <c:v>138.25</c:v>
                </c:pt>
                <c:pt idx="356">
                  <c:v>140.83333333333334</c:v>
                </c:pt>
                <c:pt idx="357">
                  <c:v>171.66666666666666</c:v>
                </c:pt>
                <c:pt idx="358">
                  <c:v>171.66666666666666</c:v>
                </c:pt>
                <c:pt idx="359">
                  <c:v>166.5</c:v>
                </c:pt>
                <c:pt idx="360">
                  <c:v>163.91666666666666</c:v>
                </c:pt>
                <c:pt idx="361">
                  <c:v>169.5</c:v>
                </c:pt>
                <c:pt idx="362">
                  <c:v>171.45833333333334</c:v>
                </c:pt>
                <c:pt idx="363">
                  <c:v>175.875</c:v>
                </c:pt>
                <c:pt idx="364">
                  <c:v>180.5</c:v>
                </c:pt>
                <c:pt idx="365">
                  <c:v>179.41666666666666</c:v>
                </c:pt>
                <c:pt idx="366">
                  <c:v>182.20833333333334</c:v>
                </c:pt>
                <c:pt idx="367">
                  <c:v>176.875</c:v>
                </c:pt>
                <c:pt idx="368">
                  <c:v>175.625</c:v>
                </c:pt>
                <c:pt idx="369">
                  <c:v>177.08333333333334</c:v>
                </c:pt>
                <c:pt idx="370">
                  <c:v>175.625</c:v>
                </c:pt>
                <c:pt idx="371">
                  <c:v>178.54166666666666</c:v>
                </c:pt>
                <c:pt idx="372">
                  <c:v>179.16666666666666</c:v>
                </c:pt>
                <c:pt idx="373">
                  <c:v>180.29166666666666</c:v>
                </c:pt>
                <c:pt idx="374">
                  <c:v>177.79166666666666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38E-439E-BDBC-76207028E3FE}"/>
            </c:ext>
          </c:extLst>
        </c:ser>
        <c:ser>
          <c:idx val="4"/>
          <c:order val="2"/>
          <c:tx>
            <c:strRef>
              <c:f>月送抽!$D$1</c:f>
              <c:strCache>
                <c:ptCount val="1"/>
                <c:pt idx="0">
                  <c:v>卷 / Tickets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月送抽!$D$2:$D$503</c:f>
              <c:numCache>
                <c:formatCode>[Color50]\+0;[Red]\-0;0</c:formatCode>
                <c:ptCount val="50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133</c:v>
                </c:pt>
                <c:pt idx="185">
                  <c:v>132</c:v>
                </c:pt>
                <c:pt idx="186">
                  <c:v>141</c:v>
                </c:pt>
                <c:pt idx="187">
                  <c:v>118</c:v>
                </c:pt>
                <c:pt idx="188">
                  <c:v>128</c:v>
                </c:pt>
                <c:pt idx="189">
                  <c:v>122</c:v>
                </c:pt>
                <c:pt idx="190">
                  <c:v>120</c:v>
                </c:pt>
                <c:pt idx="191">
                  <c:v>103</c:v>
                </c:pt>
                <c:pt idx="192">
                  <c:v>103</c:v>
                </c:pt>
                <c:pt idx="193">
                  <c:v>109</c:v>
                </c:pt>
                <c:pt idx="194">
                  <c:v>112</c:v>
                </c:pt>
                <c:pt idx="195">
                  <c:v>122</c:v>
                </c:pt>
                <c:pt idx="196">
                  <c:v>122</c:v>
                </c:pt>
                <c:pt idx="197">
                  <c:v>103</c:v>
                </c:pt>
                <c:pt idx="198">
                  <c:v>83</c:v>
                </c:pt>
                <c:pt idx="199">
                  <c:v>78</c:v>
                </c:pt>
                <c:pt idx="200">
                  <c:v>79</c:v>
                </c:pt>
                <c:pt idx="201">
                  <c:v>76</c:v>
                </c:pt>
                <c:pt idx="202">
                  <c:v>75</c:v>
                </c:pt>
                <c:pt idx="203">
                  <c:v>74</c:v>
                </c:pt>
                <c:pt idx="204">
                  <c:v>74</c:v>
                </c:pt>
                <c:pt idx="205">
                  <c:v>73</c:v>
                </c:pt>
                <c:pt idx="206">
                  <c:v>72</c:v>
                </c:pt>
                <c:pt idx="207">
                  <c:v>73</c:v>
                </c:pt>
                <c:pt idx="208">
                  <c:v>72</c:v>
                </c:pt>
                <c:pt idx="209">
                  <c:v>71</c:v>
                </c:pt>
                <c:pt idx="210">
                  <c:v>71</c:v>
                </c:pt>
                <c:pt idx="211">
                  <c:v>71</c:v>
                </c:pt>
                <c:pt idx="212">
                  <c:v>73</c:v>
                </c:pt>
                <c:pt idx="213">
                  <c:v>82</c:v>
                </c:pt>
                <c:pt idx="214">
                  <c:v>87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70</c:v>
                </c:pt>
                <c:pt idx="219">
                  <c:v>70</c:v>
                </c:pt>
                <c:pt idx="220">
                  <c:v>71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55</c:v>
                </c:pt>
                <c:pt idx="225">
                  <c:v>60</c:v>
                </c:pt>
                <c:pt idx="226">
                  <c:v>45</c:v>
                </c:pt>
                <c:pt idx="227">
                  <c:v>45</c:v>
                </c:pt>
                <c:pt idx="228">
                  <c:v>72</c:v>
                </c:pt>
                <c:pt idx="229">
                  <c:v>72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78</c:v>
                </c:pt>
                <c:pt idx="238">
                  <c:v>78</c:v>
                </c:pt>
                <c:pt idx="239">
                  <c:v>77</c:v>
                </c:pt>
                <c:pt idx="240">
                  <c:v>77</c:v>
                </c:pt>
                <c:pt idx="241">
                  <c:v>78</c:v>
                </c:pt>
                <c:pt idx="242">
                  <c:v>74</c:v>
                </c:pt>
                <c:pt idx="243">
                  <c:v>75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59</c:v>
                </c:pt>
                <c:pt idx="248">
                  <c:v>65</c:v>
                </c:pt>
                <c:pt idx="249">
                  <c:v>76</c:v>
                </c:pt>
                <c:pt idx="250">
                  <c:v>76</c:v>
                </c:pt>
                <c:pt idx="251">
                  <c:v>88</c:v>
                </c:pt>
                <c:pt idx="252">
                  <c:v>88</c:v>
                </c:pt>
                <c:pt idx="253">
                  <c:v>78</c:v>
                </c:pt>
                <c:pt idx="254">
                  <c:v>78</c:v>
                </c:pt>
                <c:pt idx="255">
                  <c:v>73</c:v>
                </c:pt>
                <c:pt idx="256">
                  <c:v>78</c:v>
                </c:pt>
                <c:pt idx="257">
                  <c:v>61</c:v>
                </c:pt>
                <c:pt idx="258">
                  <c:v>61</c:v>
                </c:pt>
                <c:pt idx="259">
                  <c:v>109</c:v>
                </c:pt>
                <c:pt idx="260">
                  <c:v>101</c:v>
                </c:pt>
                <c:pt idx="261">
                  <c:v>101</c:v>
                </c:pt>
                <c:pt idx="262">
                  <c:v>111</c:v>
                </c:pt>
                <c:pt idx="263">
                  <c:v>111</c:v>
                </c:pt>
                <c:pt idx="264">
                  <c:v>111</c:v>
                </c:pt>
                <c:pt idx="265">
                  <c:v>111</c:v>
                </c:pt>
                <c:pt idx="266">
                  <c:v>111</c:v>
                </c:pt>
                <c:pt idx="267">
                  <c:v>111</c:v>
                </c:pt>
                <c:pt idx="268">
                  <c:v>111</c:v>
                </c:pt>
                <c:pt idx="269">
                  <c:v>111</c:v>
                </c:pt>
                <c:pt idx="270">
                  <c:v>111</c:v>
                </c:pt>
                <c:pt idx="271">
                  <c:v>111</c:v>
                </c:pt>
                <c:pt idx="272">
                  <c:v>111</c:v>
                </c:pt>
                <c:pt idx="273">
                  <c:v>114</c:v>
                </c:pt>
                <c:pt idx="274">
                  <c:v>113</c:v>
                </c:pt>
                <c:pt idx="275">
                  <c:v>113</c:v>
                </c:pt>
                <c:pt idx="276">
                  <c:v>113</c:v>
                </c:pt>
                <c:pt idx="277">
                  <c:v>112</c:v>
                </c:pt>
                <c:pt idx="278">
                  <c:v>113</c:v>
                </c:pt>
                <c:pt idx="279">
                  <c:v>119</c:v>
                </c:pt>
                <c:pt idx="280">
                  <c:v>113</c:v>
                </c:pt>
                <c:pt idx="281">
                  <c:v>113</c:v>
                </c:pt>
                <c:pt idx="282">
                  <c:v>101</c:v>
                </c:pt>
                <c:pt idx="283">
                  <c:v>104</c:v>
                </c:pt>
                <c:pt idx="284">
                  <c:v>104</c:v>
                </c:pt>
                <c:pt idx="285">
                  <c:v>104</c:v>
                </c:pt>
                <c:pt idx="286">
                  <c:v>99</c:v>
                </c:pt>
                <c:pt idx="287">
                  <c:v>102</c:v>
                </c:pt>
                <c:pt idx="288">
                  <c:v>90</c:v>
                </c:pt>
                <c:pt idx="289">
                  <c:v>97</c:v>
                </c:pt>
                <c:pt idx="290">
                  <c:v>73</c:v>
                </c:pt>
                <c:pt idx="291">
                  <c:v>73</c:v>
                </c:pt>
                <c:pt idx="292">
                  <c:v>83</c:v>
                </c:pt>
                <c:pt idx="293">
                  <c:v>74</c:v>
                </c:pt>
                <c:pt idx="294">
                  <c:v>75</c:v>
                </c:pt>
                <c:pt idx="295">
                  <c:v>75</c:v>
                </c:pt>
                <c:pt idx="296">
                  <c:v>77</c:v>
                </c:pt>
                <c:pt idx="297">
                  <c:v>78</c:v>
                </c:pt>
                <c:pt idx="298">
                  <c:v>89</c:v>
                </c:pt>
                <c:pt idx="299">
                  <c:v>90</c:v>
                </c:pt>
                <c:pt idx="300">
                  <c:v>91</c:v>
                </c:pt>
                <c:pt idx="301">
                  <c:v>91</c:v>
                </c:pt>
                <c:pt idx="302">
                  <c:v>93</c:v>
                </c:pt>
                <c:pt idx="303">
                  <c:v>91</c:v>
                </c:pt>
                <c:pt idx="304">
                  <c:v>103</c:v>
                </c:pt>
                <c:pt idx="305">
                  <c:v>103</c:v>
                </c:pt>
                <c:pt idx="306">
                  <c:v>108</c:v>
                </c:pt>
                <c:pt idx="307">
                  <c:v>108</c:v>
                </c:pt>
                <c:pt idx="308">
                  <c:v>106</c:v>
                </c:pt>
                <c:pt idx="309">
                  <c:v>92</c:v>
                </c:pt>
                <c:pt idx="310">
                  <c:v>92</c:v>
                </c:pt>
                <c:pt idx="311">
                  <c:v>93</c:v>
                </c:pt>
                <c:pt idx="312">
                  <c:v>92</c:v>
                </c:pt>
                <c:pt idx="313">
                  <c:v>92</c:v>
                </c:pt>
                <c:pt idx="314">
                  <c:v>89</c:v>
                </c:pt>
                <c:pt idx="315">
                  <c:v>89</c:v>
                </c:pt>
                <c:pt idx="316">
                  <c:v>109</c:v>
                </c:pt>
                <c:pt idx="317">
                  <c:v>116</c:v>
                </c:pt>
                <c:pt idx="318">
                  <c:v>121</c:v>
                </c:pt>
                <c:pt idx="319">
                  <c:v>114</c:v>
                </c:pt>
                <c:pt idx="320">
                  <c:v>109</c:v>
                </c:pt>
                <c:pt idx="321">
                  <c:v>93</c:v>
                </c:pt>
                <c:pt idx="322">
                  <c:v>82</c:v>
                </c:pt>
                <c:pt idx="323">
                  <c:v>81</c:v>
                </c:pt>
                <c:pt idx="324">
                  <c:v>80</c:v>
                </c:pt>
                <c:pt idx="325">
                  <c:v>79</c:v>
                </c:pt>
                <c:pt idx="326">
                  <c:v>78</c:v>
                </c:pt>
                <c:pt idx="327">
                  <c:v>78</c:v>
                </c:pt>
                <c:pt idx="328">
                  <c:v>78</c:v>
                </c:pt>
                <c:pt idx="329">
                  <c:v>67</c:v>
                </c:pt>
                <c:pt idx="330">
                  <c:v>67</c:v>
                </c:pt>
                <c:pt idx="331">
                  <c:v>67</c:v>
                </c:pt>
                <c:pt idx="332">
                  <c:v>67</c:v>
                </c:pt>
                <c:pt idx="333">
                  <c:v>67</c:v>
                </c:pt>
                <c:pt idx="334">
                  <c:v>68</c:v>
                </c:pt>
                <c:pt idx="335">
                  <c:v>69</c:v>
                </c:pt>
                <c:pt idx="336">
                  <c:v>69</c:v>
                </c:pt>
                <c:pt idx="337">
                  <c:v>72</c:v>
                </c:pt>
                <c:pt idx="338">
                  <c:v>79</c:v>
                </c:pt>
                <c:pt idx="339">
                  <c:v>79</c:v>
                </c:pt>
                <c:pt idx="340">
                  <c:v>81</c:v>
                </c:pt>
                <c:pt idx="341">
                  <c:v>80</c:v>
                </c:pt>
                <c:pt idx="342">
                  <c:v>92</c:v>
                </c:pt>
                <c:pt idx="343">
                  <c:v>102</c:v>
                </c:pt>
                <c:pt idx="344">
                  <c:v>102</c:v>
                </c:pt>
                <c:pt idx="345">
                  <c:v>103</c:v>
                </c:pt>
                <c:pt idx="346">
                  <c:v>103</c:v>
                </c:pt>
                <c:pt idx="347">
                  <c:v>99</c:v>
                </c:pt>
                <c:pt idx="348">
                  <c:v>94</c:v>
                </c:pt>
                <c:pt idx="349">
                  <c:v>105</c:v>
                </c:pt>
                <c:pt idx="350">
                  <c:v>105</c:v>
                </c:pt>
                <c:pt idx="351">
                  <c:v>141</c:v>
                </c:pt>
                <c:pt idx="352">
                  <c:v>151</c:v>
                </c:pt>
                <c:pt idx="353">
                  <c:v>151</c:v>
                </c:pt>
                <c:pt idx="354">
                  <c:v>177</c:v>
                </c:pt>
                <c:pt idx="355">
                  <c:v>178</c:v>
                </c:pt>
                <c:pt idx="356">
                  <c:v>179</c:v>
                </c:pt>
                <c:pt idx="357">
                  <c:v>179</c:v>
                </c:pt>
                <c:pt idx="358">
                  <c:v>179</c:v>
                </c:pt>
                <c:pt idx="359">
                  <c:v>181</c:v>
                </c:pt>
                <c:pt idx="360">
                  <c:v>181</c:v>
                </c:pt>
                <c:pt idx="361">
                  <c:v>183</c:v>
                </c:pt>
                <c:pt idx="362">
                  <c:v>181</c:v>
                </c:pt>
                <c:pt idx="363">
                  <c:v>180</c:v>
                </c:pt>
                <c:pt idx="364">
                  <c:v>182</c:v>
                </c:pt>
                <c:pt idx="365">
                  <c:v>180</c:v>
                </c:pt>
                <c:pt idx="366">
                  <c:v>162</c:v>
                </c:pt>
                <c:pt idx="367">
                  <c:v>162</c:v>
                </c:pt>
                <c:pt idx="368">
                  <c:v>158</c:v>
                </c:pt>
                <c:pt idx="369">
                  <c:v>151</c:v>
                </c:pt>
                <c:pt idx="370">
                  <c:v>149</c:v>
                </c:pt>
                <c:pt idx="371">
                  <c:v>147</c:v>
                </c:pt>
                <c:pt idx="372">
                  <c:v>147</c:v>
                </c:pt>
                <c:pt idx="373">
                  <c:v>125</c:v>
                </c:pt>
                <c:pt idx="374">
                  <c:v>124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A-4A0B-B900-0789BF864A0C}"/>
            </c:ext>
          </c:extLst>
        </c:ser>
        <c:ser>
          <c:idx val="0"/>
          <c:order val="3"/>
          <c:tx>
            <c:strRef>
              <c:f>月送抽!$E$1</c:f>
              <c:strCache>
                <c:ptCount val="1"/>
                <c:pt idx="0">
                  <c:v>免費 / Free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月送抽!$E$2:$E$503</c:f>
              <c:numCache>
                <c:formatCode>[Color50]\+0;[Red]\-0;0</c:formatCode>
                <c:ptCount val="50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10</c:v>
                </c:pt>
                <c:pt idx="290">
                  <c:v>20</c:v>
                </c:pt>
                <c:pt idx="291">
                  <c:v>30</c:v>
                </c:pt>
                <c:pt idx="292">
                  <c:v>40</c:v>
                </c:pt>
                <c:pt idx="293">
                  <c:v>50</c:v>
                </c:pt>
                <c:pt idx="294">
                  <c:v>60</c:v>
                </c:pt>
                <c:pt idx="295">
                  <c:v>70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70</c:v>
                </c:pt>
                <c:pt idx="302">
                  <c:v>70</c:v>
                </c:pt>
                <c:pt idx="303">
                  <c:v>70</c:v>
                </c:pt>
                <c:pt idx="304">
                  <c:v>70</c:v>
                </c:pt>
                <c:pt idx="305">
                  <c:v>70</c:v>
                </c:pt>
                <c:pt idx="306">
                  <c:v>70</c:v>
                </c:pt>
                <c:pt idx="307">
                  <c:v>70</c:v>
                </c:pt>
                <c:pt idx="308">
                  <c:v>70</c:v>
                </c:pt>
                <c:pt idx="309">
                  <c:v>70</c:v>
                </c:pt>
                <c:pt idx="310">
                  <c:v>70</c:v>
                </c:pt>
                <c:pt idx="311">
                  <c:v>70</c:v>
                </c:pt>
                <c:pt idx="312">
                  <c:v>70</c:v>
                </c:pt>
                <c:pt idx="313">
                  <c:v>70</c:v>
                </c:pt>
                <c:pt idx="314">
                  <c:v>70</c:v>
                </c:pt>
                <c:pt idx="315">
                  <c:v>70</c:v>
                </c:pt>
                <c:pt idx="316">
                  <c:v>70</c:v>
                </c:pt>
                <c:pt idx="317">
                  <c:v>70</c:v>
                </c:pt>
                <c:pt idx="318">
                  <c:v>70</c:v>
                </c:pt>
                <c:pt idx="319">
                  <c:v>60</c:v>
                </c:pt>
                <c:pt idx="320">
                  <c:v>60</c:v>
                </c:pt>
                <c:pt idx="321">
                  <c:v>40</c:v>
                </c:pt>
                <c:pt idx="322">
                  <c:v>30</c:v>
                </c:pt>
                <c:pt idx="323">
                  <c:v>20</c:v>
                </c:pt>
                <c:pt idx="324">
                  <c:v>10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10</c:v>
                </c:pt>
                <c:pt idx="345">
                  <c:v>20</c:v>
                </c:pt>
                <c:pt idx="346">
                  <c:v>30</c:v>
                </c:pt>
                <c:pt idx="347">
                  <c:v>40</c:v>
                </c:pt>
                <c:pt idx="348">
                  <c:v>50</c:v>
                </c:pt>
                <c:pt idx="349">
                  <c:v>60</c:v>
                </c:pt>
                <c:pt idx="350">
                  <c:v>70</c:v>
                </c:pt>
                <c:pt idx="351">
                  <c:v>80</c:v>
                </c:pt>
                <c:pt idx="352">
                  <c:v>90</c:v>
                </c:pt>
                <c:pt idx="353">
                  <c:v>90</c:v>
                </c:pt>
                <c:pt idx="354">
                  <c:v>90</c:v>
                </c:pt>
                <c:pt idx="355">
                  <c:v>90</c:v>
                </c:pt>
                <c:pt idx="356">
                  <c:v>90</c:v>
                </c:pt>
                <c:pt idx="357">
                  <c:v>90</c:v>
                </c:pt>
                <c:pt idx="358">
                  <c:v>90</c:v>
                </c:pt>
                <c:pt idx="359">
                  <c:v>90</c:v>
                </c:pt>
                <c:pt idx="360">
                  <c:v>90</c:v>
                </c:pt>
                <c:pt idx="361">
                  <c:v>90</c:v>
                </c:pt>
                <c:pt idx="362">
                  <c:v>90</c:v>
                </c:pt>
                <c:pt idx="363">
                  <c:v>90</c:v>
                </c:pt>
                <c:pt idx="364">
                  <c:v>90</c:v>
                </c:pt>
                <c:pt idx="365">
                  <c:v>90</c:v>
                </c:pt>
                <c:pt idx="366">
                  <c:v>90</c:v>
                </c:pt>
                <c:pt idx="367">
                  <c:v>90</c:v>
                </c:pt>
                <c:pt idx="368">
                  <c:v>90</c:v>
                </c:pt>
                <c:pt idx="369">
                  <c:v>90</c:v>
                </c:pt>
                <c:pt idx="370">
                  <c:v>90</c:v>
                </c:pt>
                <c:pt idx="371">
                  <c:v>90</c:v>
                </c:pt>
                <c:pt idx="372">
                  <c:v>90</c:v>
                </c:pt>
                <c:pt idx="373">
                  <c:v>90</c:v>
                </c:pt>
                <c:pt idx="374">
                  <c:v>80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38E-439E-BDBC-76207028E3FE}"/>
            </c:ext>
          </c:extLst>
        </c:ser>
        <c:ser>
          <c:idx val="3"/>
          <c:order val="4"/>
          <c:tx>
            <c:strRef>
              <c:f>月送抽!$F$1</c:f>
              <c:strCache>
                <c:ptCount val="1"/>
                <c:pt idx="0">
                  <c:v>總量 / Sum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月送抽!$F$2:$F$503</c:f>
              <c:numCache>
                <c:formatCode>0.00</c:formatCode>
                <c:ptCount val="502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276.41666666666663</c:v>
                </c:pt>
                <c:pt idx="185">
                  <c:v>274.91666666666663</c:v>
                </c:pt>
                <c:pt idx="186">
                  <c:v>304.45833333333337</c:v>
                </c:pt>
                <c:pt idx="187">
                  <c:v>269.29166666666663</c:v>
                </c:pt>
                <c:pt idx="188">
                  <c:v>283.875</c:v>
                </c:pt>
                <c:pt idx="189">
                  <c:v>276</c:v>
                </c:pt>
                <c:pt idx="190">
                  <c:v>274.20833333333337</c:v>
                </c:pt>
                <c:pt idx="191">
                  <c:v>245.95833333333334</c:v>
                </c:pt>
                <c:pt idx="192">
                  <c:v>245.95833333333334</c:v>
                </c:pt>
                <c:pt idx="193">
                  <c:v>254.25</c:v>
                </c:pt>
                <c:pt idx="194">
                  <c:v>257.66666666666663</c:v>
                </c:pt>
                <c:pt idx="195">
                  <c:v>266.625</c:v>
                </c:pt>
                <c:pt idx="196">
                  <c:v>266.625</c:v>
                </c:pt>
                <c:pt idx="197">
                  <c:v>235.04166666666666</c:v>
                </c:pt>
                <c:pt idx="198">
                  <c:v>194.29166666666669</c:v>
                </c:pt>
                <c:pt idx="199">
                  <c:v>192.54166666666669</c:v>
                </c:pt>
                <c:pt idx="200">
                  <c:v>193.95833333333331</c:v>
                </c:pt>
                <c:pt idx="201">
                  <c:v>190.125</c:v>
                </c:pt>
                <c:pt idx="202">
                  <c:v>161.125</c:v>
                </c:pt>
                <c:pt idx="203">
                  <c:v>162</c:v>
                </c:pt>
                <c:pt idx="204">
                  <c:v>162</c:v>
                </c:pt>
                <c:pt idx="205">
                  <c:v>160.58333333333331</c:v>
                </c:pt>
                <c:pt idx="206">
                  <c:v>159.08333333333331</c:v>
                </c:pt>
                <c:pt idx="207">
                  <c:v>162.91666666666669</c:v>
                </c:pt>
                <c:pt idx="208">
                  <c:v>156.95833333333331</c:v>
                </c:pt>
                <c:pt idx="209">
                  <c:v>155.75</c:v>
                </c:pt>
                <c:pt idx="210">
                  <c:v>148.875</c:v>
                </c:pt>
                <c:pt idx="211">
                  <c:v>148.875</c:v>
                </c:pt>
                <c:pt idx="212">
                  <c:v>157.20833333333331</c:v>
                </c:pt>
                <c:pt idx="213">
                  <c:v>171.33333333333331</c:v>
                </c:pt>
                <c:pt idx="214">
                  <c:v>169.08333333333331</c:v>
                </c:pt>
                <c:pt idx="215">
                  <c:v>144.16666666666669</c:v>
                </c:pt>
                <c:pt idx="216">
                  <c:v>144.79166666666669</c:v>
                </c:pt>
                <c:pt idx="217">
                  <c:v>145.83333333333331</c:v>
                </c:pt>
                <c:pt idx="218">
                  <c:v>133.33333333333334</c:v>
                </c:pt>
                <c:pt idx="219">
                  <c:v>131.04166666666666</c:v>
                </c:pt>
                <c:pt idx="220">
                  <c:v>132.04166666666666</c:v>
                </c:pt>
                <c:pt idx="221">
                  <c:v>130.20833333333334</c:v>
                </c:pt>
                <c:pt idx="222">
                  <c:v>131.54166666666666</c:v>
                </c:pt>
                <c:pt idx="223">
                  <c:v>134.45833333333331</c:v>
                </c:pt>
                <c:pt idx="224">
                  <c:v>113.58333333333334</c:v>
                </c:pt>
                <c:pt idx="225">
                  <c:v>123.375</c:v>
                </c:pt>
                <c:pt idx="226">
                  <c:v>108.375</c:v>
                </c:pt>
                <c:pt idx="227">
                  <c:v>106.70833333333334</c:v>
                </c:pt>
                <c:pt idx="228">
                  <c:v>144.08333333333331</c:v>
                </c:pt>
                <c:pt idx="229">
                  <c:v>147.83333333333331</c:v>
                </c:pt>
                <c:pt idx="230">
                  <c:v>151.95833333333331</c:v>
                </c:pt>
                <c:pt idx="231">
                  <c:v>155.70833333333331</c:v>
                </c:pt>
                <c:pt idx="232">
                  <c:v>170.08333333333331</c:v>
                </c:pt>
                <c:pt idx="233">
                  <c:v>172.375</c:v>
                </c:pt>
                <c:pt idx="234">
                  <c:v>166.125</c:v>
                </c:pt>
                <c:pt idx="235">
                  <c:v>166.125</c:v>
                </c:pt>
                <c:pt idx="236">
                  <c:v>166.54166666666669</c:v>
                </c:pt>
                <c:pt idx="237">
                  <c:v>161.08333333333331</c:v>
                </c:pt>
                <c:pt idx="238">
                  <c:v>161.5</c:v>
                </c:pt>
                <c:pt idx="239">
                  <c:v>158.33333333333331</c:v>
                </c:pt>
                <c:pt idx="240">
                  <c:v>158.75</c:v>
                </c:pt>
                <c:pt idx="241">
                  <c:v>165.95833333333331</c:v>
                </c:pt>
                <c:pt idx="242">
                  <c:v>162.04166666666669</c:v>
                </c:pt>
                <c:pt idx="243">
                  <c:v>175.29166666666669</c:v>
                </c:pt>
                <c:pt idx="244">
                  <c:v>153.41666666666669</c:v>
                </c:pt>
                <c:pt idx="245">
                  <c:v>155.5</c:v>
                </c:pt>
                <c:pt idx="246">
                  <c:v>161</c:v>
                </c:pt>
                <c:pt idx="247">
                  <c:v>157.79166666666669</c:v>
                </c:pt>
                <c:pt idx="248">
                  <c:v>172.54166666666669</c:v>
                </c:pt>
                <c:pt idx="249">
                  <c:v>180.91666666666669</c:v>
                </c:pt>
                <c:pt idx="250">
                  <c:v>182.875</c:v>
                </c:pt>
                <c:pt idx="251">
                  <c:v>194.125</c:v>
                </c:pt>
                <c:pt idx="252">
                  <c:v>210.04166666666669</c:v>
                </c:pt>
                <c:pt idx="253">
                  <c:v>195.16666666666669</c:v>
                </c:pt>
                <c:pt idx="254">
                  <c:v>195.16666666666669</c:v>
                </c:pt>
                <c:pt idx="255">
                  <c:v>187.625</c:v>
                </c:pt>
                <c:pt idx="256">
                  <c:v>188.875</c:v>
                </c:pt>
                <c:pt idx="257">
                  <c:v>167.08333333333331</c:v>
                </c:pt>
                <c:pt idx="258">
                  <c:v>167.08333333333331</c:v>
                </c:pt>
                <c:pt idx="259">
                  <c:v>230.95833333333331</c:v>
                </c:pt>
                <c:pt idx="260">
                  <c:v>219.20833333333331</c:v>
                </c:pt>
                <c:pt idx="261">
                  <c:v>219.20833333333331</c:v>
                </c:pt>
                <c:pt idx="262">
                  <c:v>211.70833333333331</c:v>
                </c:pt>
                <c:pt idx="263">
                  <c:v>211.70833333333331</c:v>
                </c:pt>
                <c:pt idx="264">
                  <c:v>214</c:v>
                </c:pt>
                <c:pt idx="265">
                  <c:v>217.54166666666669</c:v>
                </c:pt>
                <c:pt idx="266">
                  <c:v>217.125</c:v>
                </c:pt>
                <c:pt idx="267">
                  <c:v>220.45833333333331</c:v>
                </c:pt>
                <c:pt idx="268">
                  <c:v>220.45833333333331</c:v>
                </c:pt>
                <c:pt idx="269">
                  <c:v>220.45833333333331</c:v>
                </c:pt>
                <c:pt idx="270">
                  <c:v>220.45833333333331</c:v>
                </c:pt>
                <c:pt idx="271">
                  <c:v>219.79166666666669</c:v>
                </c:pt>
                <c:pt idx="272">
                  <c:v>219.79166666666669</c:v>
                </c:pt>
                <c:pt idx="273">
                  <c:v>229.45833333333331</c:v>
                </c:pt>
                <c:pt idx="274">
                  <c:v>215.45833333333331</c:v>
                </c:pt>
                <c:pt idx="275">
                  <c:v>212.875</c:v>
                </c:pt>
                <c:pt idx="276">
                  <c:v>210.54166666666669</c:v>
                </c:pt>
                <c:pt idx="277">
                  <c:v>204.45833333333331</c:v>
                </c:pt>
                <c:pt idx="278">
                  <c:v>216.875</c:v>
                </c:pt>
                <c:pt idx="279">
                  <c:v>219.75</c:v>
                </c:pt>
                <c:pt idx="280">
                  <c:v>213.66666666666669</c:v>
                </c:pt>
                <c:pt idx="281">
                  <c:v>212.125</c:v>
                </c:pt>
                <c:pt idx="282">
                  <c:v>200.25</c:v>
                </c:pt>
                <c:pt idx="283">
                  <c:v>191.66666666666669</c:v>
                </c:pt>
                <c:pt idx="284">
                  <c:v>191.54166666666669</c:v>
                </c:pt>
                <c:pt idx="285">
                  <c:v>195.70833333333331</c:v>
                </c:pt>
                <c:pt idx="286">
                  <c:v>194.04166666666669</c:v>
                </c:pt>
                <c:pt idx="287">
                  <c:v>201.75</c:v>
                </c:pt>
                <c:pt idx="288">
                  <c:v>189.33333333333331</c:v>
                </c:pt>
                <c:pt idx="289">
                  <c:v>206.33333333333331</c:v>
                </c:pt>
                <c:pt idx="290">
                  <c:v>180.04166666666669</c:v>
                </c:pt>
                <c:pt idx="291">
                  <c:v>203.66666666666669</c:v>
                </c:pt>
                <c:pt idx="292">
                  <c:v>223.25</c:v>
                </c:pt>
                <c:pt idx="293">
                  <c:v>224.04166666666669</c:v>
                </c:pt>
                <c:pt idx="294">
                  <c:v>239.5</c:v>
                </c:pt>
                <c:pt idx="295">
                  <c:v>256.58333333333331</c:v>
                </c:pt>
                <c:pt idx="296">
                  <c:v>254.41666666666669</c:v>
                </c:pt>
                <c:pt idx="297">
                  <c:v>255.95833333333331</c:v>
                </c:pt>
                <c:pt idx="298">
                  <c:v>267.375</c:v>
                </c:pt>
                <c:pt idx="299">
                  <c:v>268.375</c:v>
                </c:pt>
                <c:pt idx="300">
                  <c:v>279.79166666666669</c:v>
                </c:pt>
                <c:pt idx="301">
                  <c:v>279.375</c:v>
                </c:pt>
                <c:pt idx="302">
                  <c:v>288.58333333333331</c:v>
                </c:pt>
                <c:pt idx="303">
                  <c:v>283.16666666666669</c:v>
                </c:pt>
                <c:pt idx="304">
                  <c:v>298.625</c:v>
                </c:pt>
                <c:pt idx="305">
                  <c:v>298.625</c:v>
                </c:pt>
                <c:pt idx="306">
                  <c:v>304.04166666666669</c:v>
                </c:pt>
                <c:pt idx="307">
                  <c:v>305.16666666666669</c:v>
                </c:pt>
                <c:pt idx="308">
                  <c:v>292.91666666666669</c:v>
                </c:pt>
                <c:pt idx="309">
                  <c:v>279.95833333333331</c:v>
                </c:pt>
                <c:pt idx="310">
                  <c:v>274.33333333333331</c:v>
                </c:pt>
                <c:pt idx="311">
                  <c:v>278.25</c:v>
                </c:pt>
                <c:pt idx="312">
                  <c:v>277.66666666666669</c:v>
                </c:pt>
                <c:pt idx="313">
                  <c:v>279.75</c:v>
                </c:pt>
                <c:pt idx="314">
                  <c:v>275.33333333333331</c:v>
                </c:pt>
                <c:pt idx="315">
                  <c:v>277</c:v>
                </c:pt>
                <c:pt idx="316">
                  <c:v>290.33333333333331</c:v>
                </c:pt>
                <c:pt idx="317">
                  <c:v>293.04166666666669</c:v>
                </c:pt>
                <c:pt idx="318">
                  <c:v>296.58333333333331</c:v>
                </c:pt>
                <c:pt idx="319">
                  <c:v>280.125</c:v>
                </c:pt>
                <c:pt idx="320">
                  <c:v>269.91666666666669</c:v>
                </c:pt>
                <c:pt idx="321">
                  <c:v>222.16666666666669</c:v>
                </c:pt>
                <c:pt idx="322">
                  <c:v>201.16666666666669</c:v>
                </c:pt>
                <c:pt idx="323">
                  <c:v>188.70833333333331</c:v>
                </c:pt>
                <c:pt idx="324">
                  <c:v>177.625</c:v>
                </c:pt>
                <c:pt idx="325">
                  <c:v>153.91666666666669</c:v>
                </c:pt>
                <c:pt idx="326">
                  <c:v>153.33333333333331</c:v>
                </c:pt>
                <c:pt idx="327">
                  <c:v>161.20833333333331</c:v>
                </c:pt>
                <c:pt idx="328">
                  <c:v>161.20833333333331</c:v>
                </c:pt>
                <c:pt idx="329">
                  <c:v>154.25</c:v>
                </c:pt>
                <c:pt idx="330">
                  <c:v>143.83333333333331</c:v>
                </c:pt>
                <c:pt idx="331">
                  <c:v>143.83333333333331</c:v>
                </c:pt>
                <c:pt idx="332">
                  <c:v>132.08333333333331</c:v>
                </c:pt>
                <c:pt idx="333">
                  <c:v>132.08333333333331</c:v>
                </c:pt>
                <c:pt idx="334">
                  <c:v>137.25</c:v>
                </c:pt>
                <c:pt idx="335">
                  <c:v>138.25</c:v>
                </c:pt>
                <c:pt idx="336">
                  <c:v>135.66666666666669</c:v>
                </c:pt>
                <c:pt idx="337">
                  <c:v>139.625</c:v>
                </c:pt>
                <c:pt idx="338">
                  <c:v>147.45833333333331</c:v>
                </c:pt>
                <c:pt idx="339">
                  <c:v>147.45833333333331</c:v>
                </c:pt>
                <c:pt idx="340">
                  <c:v>150.08333333333331</c:v>
                </c:pt>
                <c:pt idx="341">
                  <c:v>147.625</c:v>
                </c:pt>
                <c:pt idx="342">
                  <c:v>158.375</c:v>
                </c:pt>
                <c:pt idx="343">
                  <c:v>165.875</c:v>
                </c:pt>
                <c:pt idx="344">
                  <c:v>176.83333333333331</c:v>
                </c:pt>
                <c:pt idx="345">
                  <c:v>185.95833333333334</c:v>
                </c:pt>
                <c:pt idx="346">
                  <c:v>194.70833333333334</c:v>
                </c:pt>
                <c:pt idx="347">
                  <c:v>202.16666666666666</c:v>
                </c:pt>
                <c:pt idx="348">
                  <c:v>217.375</c:v>
                </c:pt>
                <c:pt idx="349">
                  <c:v>254.5</c:v>
                </c:pt>
                <c:pt idx="350">
                  <c:v>266.04166666666669</c:v>
                </c:pt>
                <c:pt idx="351">
                  <c:v>312.25</c:v>
                </c:pt>
                <c:pt idx="352">
                  <c:v>350.79166666666669</c:v>
                </c:pt>
                <c:pt idx="353">
                  <c:v>363.83333333333331</c:v>
                </c:pt>
                <c:pt idx="354">
                  <c:v>389</c:v>
                </c:pt>
                <c:pt idx="355">
                  <c:v>406.25</c:v>
                </c:pt>
                <c:pt idx="356">
                  <c:v>409.83333333333337</c:v>
                </c:pt>
                <c:pt idx="357">
                  <c:v>440.66666666666663</c:v>
                </c:pt>
                <c:pt idx="358">
                  <c:v>440.66666666666663</c:v>
                </c:pt>
                <c:pt idx="359">
                  <c:v>437.5</c:v>
                </c:pt>
                <c:pt idx="360">
                  <c:v>434.91666666666663</c:v>
                </c:pt>
                <c:pt idx="361">
                  <c:v>442.5</c:v>
                </c:pt>
                <c:pt idx="362">
                  <c:v>442.45833333333337</c:v>
                </c:pt>
                <c:pt idx="363">
                  <c:v>445.875</c:v>
                </c:pt>
                <c:pt idx="364">
                  <c:v>452.5</c:v>
                </c:pt>
                <c:pt idx="365">
                  <c:v>449.41666666666663</c:v>
                </c:pt>
                <c:pt idx="366">
                  <c:v>434.20833333333337</c:v>
                </c:pt>
                <c:pt idx="367">
                  <c:v>428.875</c:v>
                </c:pt>
                <c:pt idx="368">
                  <c:v>423.625</c:v>
                </c:pt>
                <c:pt idx="369">
                  <c:v>418.08333333333337</c:v>
                </c:pt>
                <c:pt idx="370">
                  <c:v>414.625</c:v>
                </c:pt>
                <c:pt idx="371">
                  <c:v>415.54166666666663</c:v>
                </c:pt>
                <c:pt idx="372">
                  <c:v>416.16666666666663</c:v>
                </c:pt>
                <c:pt idx="373">
                  <c:v>395.29166666666663</c:v>
                </c:pt>
                <c:pt idx="374">
                  <c:v>381.79166666666663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38E-439E-BDBC-76207028E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517424"/>
        <c:axId val="452522832"/>
      </c:lineChart>
      <c:dateAx>
        <c:axId val="45251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22832"/>
        <c:crosses val="autoZero"/>
        <c:auto val="1"/>
        <c:lblOffset val="100"/>
        <c:baseTimeUnit val="days"/>
      </c:dateAx>
      <c:valAx>
        <c:axId val="4525228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1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aseline="0">
          <a:latin typeface="Calibri" panose="020F0502020204030204" pitchFamily="34" charset="0"/>
          <a:ea typeface="Microsoft JhengHei U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EXP!$F$2</c:f>
              <c:strCache>
                <c:ptCount val="1"/>
                <c:pt idx="0">
                  <c:v>EXP/日 (6時)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44312.978472222225</c:v>
                </c:pt>
              </c:numCache>
              <c:extLst xmlns:c15="http://schemas.microsoft.com/office/drawing/2012/chart"/>
            </c:numRef>
          </c:xVal>
          <c:yVal>
            <c:numRef>
              <c:f>EXP!$F$3:$F$9423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322851.19280606013</c:v>
                </c:pt>
                <c:pt idx="3">
                  <c:v>281251.41341559833</c:v>
                </c:pt>
                <c:pt idx="4">
                  <c:v>270730.28340065904</c:v>
                </c:pt>
                <c:pt idx="5">
                  <c:v>292144.58345480653</c:v>
                </c:pt>
                <c:pt idx="6">
                  <c:v>324546.14835074655</c:v>
                </c:pt>
                <c:pt idx="7">
                  <c:v>335932.77991245262</c:v>
                </c:pt>
                <c:pt idx="8">
                  <c:v>331206.47844703012</c:v>
                </c:pt>
                <c:pt idx="9">
                  <c:v>31919.395465985606</c:v>
                </c:pt>
                <c:pt idx="10">
                  <c:v>73423.416506586596</c:v>
                </c:pt>
                <c:pt idx="11">
                  <c:v>109470.1084712047</c:v>
                </c:pt>
                <c:pt idx="12">
                  <c:v>55583.999999938074</c:v>
                </c:pt>
                <c:pt idx="13">
                  <c:v>126157.41935420703</c:v>
                </c:pt>
                <c:pt idx="14">
                  <c:v>160966.79536737417</c:v>
                </c:pt>
                <c:pt idx="15">
                  <c:v>69439.120878632297</c:v>
                </c:pt>
                <c:pt idx="16">
                  <c:v>88309.1557859897</c:v>
                </c:pt>
                <c:pt idx="17">
                  <c:v>218316.47044683277</c:v>
                </c:pt>
                <c:pt idx="18">
                  <c:v>243607.35754086354</c:v>
                </c:pt>
                <c:pt idx="19">
                  <c:v>89890.909089640641</c:v>
                </c:pt>
                <c:pt idx="20">
                  <c:v>148954.57627236206</c:v>
                </c:pt>
                <c:pt idx="21">
                  <c:v>82683.692308062513</c:v>
                </c:pt>
                <c:pt idx="22">
                  <c:v>211496.62921292984</c:v>
                </c:pt>
                <c:pt idx="23">
                  <c:v>203203.30019585037</c:v>
                </c:pt>
                <c:pt idx="24">
                  <c:v>137666.58682673116</c:v>
                </c:pt>
                <c:pt idx="25">
                  <c:v>140444.14849593097</c:v>
                </c:pt>
                <c:pt idx="26">
                  <c:v>270291.77565153386</c:v>
                </c:pt>
                <c:pt idx="27">
                  <c:v>605891.94312361639</c:v>
                </c:pt>
                <c:pt idx="28">
                  <c:v>319353.44262416975</c:v>
                </c:pt>
                <c:pt idx="29">
                  <c:v>348011.39897775516</c:v>
                </c:pt>
                <c:pt idx="30">
                  <c:v>293573.07692365203</c:v>
                </c:pt>
                <c:pt idx="31">
                  <c:v>317526.44889349159</c:v>
                </c:pt>
                <c:pt idx="32">
                  <c:v>339416.19098494761</c:v>
                </c:pt>
                <c:pt idx="33">
                  <c:v>482119.03919429291</c:v>
                </c:pt>
                <c:pt idx="34">
                  <c:v>506859.37359826197</c:v>
                </c:pt>
                <c:pt idx="35">
                  <c:v>635636.36364020768</c:v>
                </c:pt>
                <c:pt idx="36">
                  <c:v>630597.5467120948</c:v>
                </c:pt>
                <c:pt idx="37">
                  <c:v>626037.81234601536</c:v>
                </c:pt>
                <c:pt idx="38">
                  <c:v>624465.65443741716</c:v>
                </c:pt>
                <c:pt idx="39">
                  <c:v>563102.93917597178</c:v>
                </c:pt>
                <c:pt idx="40">
                  <c:v>555000.06416598207</c:v>
                </c:pt>
                <c:pt idx="41">
                  <c:v>588261.95398709003</c:v>
                </c:pt>
                <c:pt idx="42">
                  <c:v>591883.85322922608</c:v>
                </c:pt>
                <c:pt idx="43">
                  <c:v>584281.74475377181</c:v>
                </c:pt>
                <c:pt idx="44">
                  <c:v>583669.27368753275</c:v>
                </c:pt>
                <c:pt idx="45">
                  <c:v>219430.57076909163</c:v>
                </c:pt>
                <c:pt idx="46">
                  <c:v>261691.78187890013</c:v>
                </c:pt>
                <c:pt idx="47">
                  <c:v>347312.20919076202</c:v>
                </c:pt>
                <c:pt idx="48">
                  <c:v>339583.67241765471</c:v>
                </c:pt>
                <c:pt idx="49">
                  <c:v>557749.99999797088</c:v>
                </c:pt>
                <c:pt idx="50">
                  <c:v>557723.80525751552</c:v>
                </c:pt>
                <c:pt idx="51">
                  <c:v>555546.81159683899</c:v>
                </c:pt>
                <c:pt idx="52">
                  <c:v>554409.69473685371</c:v>
                </c:pt>
                <c:pt idx="53">
                  <c:v>537641.56912515673</c:v>
                </c:pt>
                <c:pt idx="54">
                  <c:v>510491.93962720421</c:v>
                </c:pt>
                <c:pt idx="55">
                  <c:v>637624.09598940634</c:v>
                </c:pt>
                <c:pt idx="56">
                  <c:v>631788.83219618862</c:v>
                </c:pt>
                <c:pt idx="57">
                  <c:v>531059.92136757821</c:v>
                </c:pt>
                <c:pt idx="58">
                  <c:v>524425.70438701136</c:v>
                </c:pt>
                <c:pt idx="59">
                  <c:v>705372.15190315188</c:v>
                </c:pt>
                <c:pt idx="60">
                  <c:v>680320.50154314458</c:v>
                </c:pt>
                <c:pt idx="61">
                  <c:v>614020.27950062451</c:v>
                </c:pt>
                <c:pt idx="62">
                  <c:v>613650.39673694503</c:v>
                </c:pt>
                <c:pt idx="63">
                  <c:v>615540.74348326237</c:v>
                </c:pt>
                <c:pt idx="64">
                  <c:v>463864.92271311302</c:v>
                </c:pt>
                <c:pt idx="65">
                  <c:v>586614.49781540106</c:v>
                </c:pt>
                <c:pt idx="66">
                  <c:v>570677.19165135815</c:v>
                </c:pt>
                <c:pt idx="67">
                  <c:v>563743.71090044035</c:v>
                </c:pt>
                <c:pt idx="68">
                  <c:v>591796.60274727608</c:v>
                </c:pt>
                <c:pt idx="69">
                  <c:v>586341.54488489241</c:v>
                </c:pt>
                <c:pt idx="70">
                  <c:v>599266.78376938438</c:v>
                </c:pt>
                <c:pt idx="71">
                  <c:v>381399.70370370371</c:v>
                </c:pt>
                <c:pt idx="72">
                  <c:v>376229.69701416238</c:v>
                </c:pt>
                <c:pt idx="73">
                  <c:v>384476.24561379076</c:v>
                </c:pt>
                <c:pt idx="74">
                  <c:v>532912.97539615736</c:v>
                </c:pt>
                <c:pt idx="75">
                  <c:v>647099.96361545532</c:v>
                </c:pt>
                <c:pt idx="76">
                  <c:v>376755.39033180068</c:v>
                </c:pt>
                <c:pt idx="77">
                  <c:v>372333.41655380459</c:v>
                </c:pt>
                <c:pt idx="78">
                  <c:v>427368.55449612945</c:v>
                </c:pt>
                <c:pt idx="79">
                  <c:v>627220.98612475884</c:v>
                </c:pt>
                <c:pt idx="80">
                  <c:v>654061.7640349369</c:v>
                </c:pt>
                <c:pt idx="81">
                  <c:v>544538.48276211822</c:v>
                </c:pt>
                <c:pt idx="82">
                  <c:v>527311.27047969331</c:v>
                </c:pt>
                <c:pt idx="83">
                  <c:v>624855.06073286803</c:v>
                </c:pt>
                <c:pt idx="84">
                  <c:v>620191.50780799903</c:v>
                </c:pt>
                <c:pt idx="85">
                  <c:v>380063.54066943307</c:v>
                </c:pt>
                <c:pt idx="86">
                  <c:v>587306.92124317144</c:v>
                </c:pt>
                <c:pt idx="87">
                  <c:v>589642.55143304286</c:v>
                </c:pt>
                <c:pt idx="88">
                  <c:v>319570.12716719997</c:v>
                </c:pt>
                <c:pt idx="89">
                  <c:v>594162.81406531169</c:v>
                </c:pt>
                <c:pt idx="90">
                  <c:v>603609.5550374327</c:v>
                </c:pt>
                <c:pt idx="91">
                  <c:v>641771.62629964598</c:v>
                </c:pt>
                <c:pt idx="92">
                  <c:v>252073.7201351166</c:v>
                </c:pt>
                <c:pt idx="93">
                  <c:v>629135.5988915062</c:v>
                </c:pt>
                <c:pt idx="94">
                  <c:v>614637.80873588519</c:v>
                </c:pt>
                <c:pt idx="95">
                  <c:v>579212.66559380013</c:v>
                </c:pt>
                <c:pt idx="96">
                  <c:v>590414.05245255388</c:v>
                </c:pt>
                <c:pt idx="97">
                  <c:v>588182.38485565688</c:v>
                </c:pt>
                <c:pt idx="98">
                  <c:v>658731.05745416647</c:v>
                </c:pt>
                <c:pt idx="99">
                  <c:v>657610.98515146517</c:v>
                </c:pt>
                <c:pt idx="100">
                  <c:v>692786.23506381374</c:v>
                </c:pt>
                <c:pt idx="101">
                  <c:v>709743.20204308932</c:v>
                </c:pt>
                <c:pt idx="102">
                  <c:v>706465.23605185514</c:v>
                </c:pt>
                <c:pt idx="103">
                  <c:v>689969.92771326273</c:v>
                </c:pt>
                <c:pt idx="104">
                  <c:v>677398.08052721468</c:v>
                </c:pt>
                <c:pt idx="105">
                  <c:v>673590.14458312234</c:v>
                </c:pt>
                <c:pt idx="106">
                  <c:v>672507.36675504432</c:v>
                </c:pt>
                <c:pt idx="107">
                  <c:v>672688.42865580658</c:v>
                </c:pt>
                <c:pt idx="108">
                  <c:v>673597.63801681704</c:v>
                </c:pt>
                <c:pt idx="109">
                  <c:v>676090.62491211249</c:v>
                </c:pt>
                <c:pt idx="110">
                  <c:v>750154.7984743251</c:v>
                </c:pt>
                <c:pt idx="111">
                  <c:v>856978.24012210814</c:v>
                </c:pt>
                <c:pt idx="112">
                  <c:v>831698.74699581624</c:v>
                </c:pt>
                <c:pt idx="113">
                  <c:v>813965.21739542414</c:v>
                </c:pt>
                <c:pt idx="114">
                  <c:v>791514.12368031545</c:v>
                </c:pt>
                <c:pt idx="115">
                  <c:v>933068.64783998043</c:v>
                </c:pt>
                <c:pt idx="116">
                  <c:v>932575.42841370136</c:v>
                </c:pt>
                <c:pt idx="117">
                  <c:v>849661.42713818408</c:v>
                </c:pt>
                <c:pt idx="118">
                  <c:v>428229.13257624861</c:v>
                </c:pt>
                <c:pt idx="119">
                  <c:v>443341.78696443758</c:v>
                </c:pt>
                <c:pt idx="120">
                  <c:v>459613.77682049462</c:v>
                </c:pt>
                <c:pt idx="121">
                  <c:v>468518.91324576316</c:v>
                </c:pt>
                <c:pt idx="122">
                  <c:v>486718.24837337871</c:v>
                </c:pt>
                <c:pt idx="123">
                  <c:v>932491.18227373599</c:v>
                </c:pt>
                <c:pt idx="124">
                  <c:v>929515.7231072929</c:v>
                </c:pt>
                <c:pt idx="125">
                  <c:v>917511.53758796456</c:v>
                </c:pt>
                <c:pt idx="126">
                  <c:v>878784.00000511529</c:v>
                </c:pt>
                <c:pt idx="127">
                  <c:v>869216.43360324972</c:v>
                </c:pt>
                <c:pt idx="128">
                  <c:v>867296.13590700773</c:v>
                </c:pt>
                <c:pt idx="129">
                  <c:v>955143.49639663845</c:v>
                </c:pt>
                <c:pt idx="130">
                  <c:v>980241.13160932611</c:v>
                </c:pt>
                <c:pt idx="131">
                  <c:v>942177.89316635719</c:v>
                </c:pt>
                <c:pt idx="132">
                  <c:v>604799.99999650149</c:v>
                </c:pt>
                <c:pt idx="133">
                  <c:v>623048.44141082768</c:v>
                </c:pt>
                <c:pt idx="134">
                  <c:v>679122.42261202517</c:v>
                </c:pt>
                <c:pt idx="135">
                  <c:v>850660.86197243945</c:v>
                </c:pt>
                <c:pt idx="136">
                  <c:v>849014.21729431034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EXP!$I$2</c:f>
              <c:strCache>
                <c:ptCount val="1"/>
                <c:pt idx="0">
                  <c:v>EXP/日 (24時)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44312.978472222225</c:v>
                </c:pt>
              </c:numCache>
            </c:numRef>
          </c:xVal>
          <c:yVal>
            <c:numRef>
              <c:f>EXP!$I$3:$I$9423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311757.5861633576</c:v>
                </c:pt>
                <c:pt idx="9">
                  <c:v>175987.90876736454</c:v>
                </c:pt>
                <c:pt idx="10">
                  <c:v>72793.622947389333</c:v>
                </c:pt>
                <c:pt idx="11">
                  <c:v>67052.851996338693</c:v>
                </c:pt>
                <c:pt idx="12">
                  <c:v>81692.051259678323</c:v>
                </c:pt>
                <c:pt idx="13">
                  <c:v>85691.912183790497</c:v>
                </c:pt>
                <c:pt idx="14">
                  <c:v>142699.81867810155</c:v>
                </c:pt>
                <c:pt idx="15">
                  <c:v>105015.41056204402</c:v>
                </c:pt>
                <c:pt idx="16">
                  <c:v>109681.7051258299</c:v>
                </c:pt>
                <c:pt idx="17">
                  <c:v>114134.24891740234</c:v>
                </c:pt>
                <c:pt idx="18">
                  <c:v>137609.9506913939</c:v>
                </c:pt>
                <c:pt idx="19">
                  <c:v>181661.48884797306</c:v>
                </c:pt>
                <c:pt idx="20">
                  <c:v>137290.58193132596</c:v>
                </c:pt>
                <c:pt idx="21">
                  <c:v>112534.58670483506</c:v>
                </c:pt>
                <c:pt idx="22">
                  <c:v>142028.50531737439</c:v>
                </c:pt>
                <c:pt idx="23">
                  <c:v>146333.27240161065</c:v>
                </c:pt>
                <c:pt idx="24">
                  <c:v>150828.35868534871</c:v>
                </c:pt>
                <c:pt idx="25">
                  <c:v>151255.65128052223</c:v>
                </c:pt>
                <c:pt idx="26">
                  <c:v>222558.9300190667</c:v>
                </c:pt>
                <c:pt idx="27">
                  <c:v>351084.97486401274</c:v>
                </c:pt>
                <c:pt idx="28">
                  <c:v>423310.80539574806</c:v>
                </c:pt>
                <c:pt idx="29">
                  <c:v>430740.70793246961</c:v>
                </c:pt>
                <c:pt idx="30">
                  <c:v>372654.11215946672</c:v>
                </c:pt>
                <c:pt idx="31">
                  <c:v>329144.82996228838</c:v>
                </c:pt>
                <c:pt idx="32">
                  <c:v>341014.11993686249</c:v>
                </c:pt>
                <c:pt idx="33">
                  <c:v>354964.72796199832</c:v>
                </c:pt>
                <c:pt idx="34">
                  <c:v>386044.07730265934</c:v>
                </c:pt>
                <c:pt idx="35">
                  <c:v>474875.42756224232</c:v>
                </c:pt>
                <c:pt idx="36">
                  <c:v>502258.37532575516</c:v>
                </c:pt>
                <c:pt idx="37">
                  <c:v>592946.54937644326</c:v>
                </c:pt>
                <c:pt idx="38">
                  <c:v>594271.57703667064</c:v>
                </c:pt>
                <c:pt idx="39">
                  <c:v>609957.30740278878</c:v>
                </c:pt>
                <c:pt idx="40">
                  <c:v>605816.90581261239</c:v>
                </c:pt>
                <c:pt idx="41">
                  <c:v>598607.58386422775</c:v>
                </c:pt>
                <c:pt idx="42">
                  <c:v>594867.26063611777</c:v>
                </c:pt>
                <c:pt idx="43">
                  <c:v>579189.26172932656</c:v>
                </c:pt>
                <c:pt idx="44">
                  <c:v>581516.24714775605</c:v>
                </c:pt>
                <c:pt idx="45">
                  <c:v>526397.23618782475</c:v>
                </c:pt>
                <c:pt idx="46">
                  <c:v>491535.01611954829</c:v>
                </c:pt>
                <c:pt idx="47">
                  <c:v>407615.48437361652</c:v>
                </c:pt>
                <c:pt idx="48">
                  <c:v>395194.85407696082</c:v>
                </c:pt>
                <c:pt idx="49">
                  <c:v>418869.35100917978</c:v>
                </c:pt>
                <c:pt idx="50">
                  <c:v>429626.24226242816</c:v>
                </c:pt>
                <c:pt idx="51">
                  <c:v>443088.55948276882</c:v>
                </c:pt>
                <c:pt idx="52">
                  <c:v>450595.97842927661</c:v>
                </c:pt>
                <c:pt idx="53">
                  <c:v>451488.64159029548</c:v>
                </c:pt>
                <c:pt idx="54">
                  <c:v>500536.01535365253</c:v>
                </c:pt>
                <c:pt idx="55">
                  <c:v>557532.61060558655</c:v>
                </c:pt>
                <c:pt idx="56">
                  <c:v>566606.67285763763</c:v>
                </c:pt>
                <c:pt idx="57">
                  <c:v>573033.73502951581</c:v>
                </c:pt>
                <c:pt idx="58">
                  <c:v>564327.68618403212</c:v>
                </c:pt>
                <c:pt idx="59">
                  <c:v>589931.7921556267</c:v>
                </c:pt>
                <c:pt idx="60">
                  <c:v>605653.78459943633</c:v>
                </c:pt>
                <c:pt idx="61">
                  <c:v>610824.21905852598</c:v>
                </c:pt>
                <c:pt idx="62">
                  <c:v>647743.19423207873</c:v>
                </c:pt>
                <c:pt idx="63">
                  <c:v>649815.47876979003</c:v>
                </c:pt>
                <c:pt idx="64">
                  <c:v>541455.50528500753</c:v>
                </c:pt>
                <c:pt idx="65">
                  <c:v>537668.94206527947</c:v>
                </c:pt>
                <c:pt idx="66">
                  <c:v>582401.93167515553</c:v>
                </c:pt>
                <c:pt idx="67">
                  <c:v>578786.21472849417</c:v>
                </c:pt>
                <c:pt idx="68">
                  <c:v>577009.91574201651</c:v>
                </c:pt>
                <c:pt idx="69">
                  <c:v>588580.82928508613</c:v>
                </c:pt>
                <c:pt idx="70">
                  <c:v>595796.51063418109</c:v>
                </c:pt>
                <c:pt idx="71">
                  <c:v>418667.79872623703</c:v>
                </c:pt>
                <c:pt idx="72">
                  <c:v>409675.36545046582</c:v>
                </c:pt>
                <c:pt idx="73">
                  <c:v>384476.24561379076</c:v>
                </c:pt>
                <c:pt idx="74">
                  <c:v>398921.26247820357</c:v>
                </c:pt>
                <c:pt idx="75">
                  <c:v>427687.40494786605</c:v>
                </c:pt>
                <c:pt idx="76">
                  <c:v>439106.61788281304</c:v>
                </c:pt>
                <c:pt idx="77">
                  <c:v>441758.31093189237</c:v>
                </c:pt>
                <c:pt idx="78">
                  <c:v>493293.83591998758</c:v>
                </c:pt>
                <c:pt idx="79">
                  <c:v>495549.19402867963</c:v>
                </c:pt>
                <c:pt idx="80">
                  <c:v>508674.40116733551</c:v>
                </c:pt>
                <c:pt idx="81">
                  <c:v>584958.99871619313</c:v>
                </c:pt>
                <c:pt idx="82">
                  <c:v>572157.16045069194</c:v>
                </c:pt>
                <c:pt idx="83">
                  <c:v>559334.21883748239</c:v>
                </c:pt>
                <c:pt idx="84">
                  <c:v>568782.09424687154</c:v>
                </c:pt>
                <c:pt idx="85">
                  <c:v>545642.8425503273</c:v>
                </c:pt>
                <c:pt idx="86">
                  <c:v>529611.56342219771</c:v>
                </c:pt>
                <c:pt idx="87">
                  <c:v>536396.83284850162</c:v>
                </c:pt>
                <c:pt idx="88">
                  <c:v>457109.62193839409</c:v>
                </c:pt>
                <c:pt idx="89">
                  <c:v>449266.22861973196</c:v>
                </c:pt>
                <c:pt idx="90">
                  <c:v>599107.47158071806</c:v>
                </c:pt>
                <c:pt idx="91">
                  <c:v>608711.28371859528</c:v>
                </c:pt>
                <c:pt idx="92">
                  <c:v>529134.44549744856</c:v>
                </c:pt>
                <c:pt idx="93">
                  <c:v>492531.12415618997</c:v>
                </c:pt>
                <c:pt idx="94">
                  <c:v>500217.61197782191</c:v>
                </c:pt>
                <c:pt idx="95">
                  <c:v>599455.17644049053</c:v>
                </c:pt>
                <c:pt idx="96">
                  <c:v>600155.21323962358</c:v>
                </c:pt>
                <c:pt idx="97">
                  <c:v>597654.74730231497</c:v>
                </c:pt>
                <c:pt idx="98">
                  <c:v>646447.43500710255</c:v>
                </c:pt>
                <c:pt idx="99">
                  <c:v>648715.35633752134</c:v>
                </c:pt>
                <c:pt idx="100">
                  <c:v>664158.47530008818</c:v>
                </c:pt>
                <c:pt idx="101">
                  <c:v>668507.1970796294</c:v>
                </c:pt>
                <c:pt idx="102">
                  <c:v>676006.8184909604</c:v>
                </c:pt>
                <c:pt idx="103">
                  <c:v>689969.92771326273</c:v>
                </c:pt>
                <c:pt idx="104">
                  <c:v>677398.08052721468</c:v>
                </c:pt>
                <c:pt idx="105">
                  <c:v>673590.14458312234</c:v>
                </c:pt>
                <c:pt idx="106">
                  <c:v>672507.36675504432</c:v>
                </c:pt>
                <c:pt idx="107">
                  <c:v>672688.42865580658</c:v>
                </c:pt>
                <c:pt idx="108">
                  <c:v>673597.63801681704</c:v>
                </c:pt>
                <c:pt idx="109">
                  <c:v>676090.62491211249</c:v>
                </c:pt>
                <c:pt idx="110">
                  <c:v>681413.91851435613</c:v>
                </c:pt>
                <c:pt idx="111">
                  <c:v>692537.18521596421</c:v>
                </c:pt>
                <c:pt idx="112">
                  <c:v>701070.97783763765</c:v>
                </c:pt>
                <c:pt idx="113">
                  <c:v>723045.46187257126</c:v>
                </c:pt>
                <c:pt idx="114">
                  <c:v>732329.51054853946</c:v>
                </c:pt>
                <c:pt idx="115">
                  <c:v>839297.89557297679</c:v>
                </c:pt>
                <c:pt idx="116">
                  <c:v>857400.18465439358</c:v>
                </c:pt>
                <c:pt idx="117">
                  <c:v>871809.48562700849</c:v>
                </c:pt>
                <c:pt idx="118">
                  <c:v>734774.96482433379</c:v>
                </c:pt>
                <c:pt idx="119">
                  <c:v>701893.95453807735</c:v>
                </c:pt>
                <c:pt idx="120">
                  <c:v>690170.57371098886</c:v>
                </c:pt>
                <c:pt idx="121">
                  <c:v>684137.15010784962</c:v>
                </c:pt>
                <c:pt idx="122">
                  <c:v>682540.08279318945</c:v>
                </c:pt>
                <c:pt idx="123">
                  <c:v>693584.63143066247</c:v>
                </c:pt>
                <c:pt idx="124">
                  <c:v>648802.96264292777</c:v>
                </c:pt>
                <c:pt idx="125">
                  <c:v>688425.02667417121</c:v>
                </c:pt>
                <c:pt idx="126">
                  <c:v>798281.31301839836</c:v>
                </c:pt>
                <c:pt idx="127">
                  <c:v>891890.42992262449</c:v>
                </c:pt>
                <c:pt idx="128">
                  <c:v>881562.01332092145</c:v>
                </c:pt>
                <c:pt idx="129">
                  <c:v>883928.62134564435</c:v>
                </c:pt>
                <c:pt idx="130">
                  <c:v>891382.69982979016</c:v>
                </c:pt>
                <c:pt idx="131">
                  <c:v>907963.51169111254</c:v>
                </c:pt>
                <c:pt idx="132">
                  <c:v>806701.01395274326</c:v>
                </c:pt>
                <c:pt idx="133">
                  <c:v>787867.85613310349</c:v>
                </c:pt>
                <c:pt idx="134">
                  <c:v>768563.27846575342</c:v>
                </c:pt>
                <c:pt idx="135">
                  <c:v>767713.30869695952</c:v>
                </c:pt>
                <c:pt idx="136">
                  <c:v>743510.36130248732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EXP!$L$2</c:f>
              <c:strCache>
                <c:ptCount val="1"/>
                <c:pt idx="0">
                  <c:v>EXP/日 (72時)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EXP!$A$3:$A$9423</c:f>
              <c:numCache>
                <c:formatCode>mm\-dd\ hh:mm</c:formatCode>
                <c:ptCount val="9421"/>
                <c:pt idx="0">
                  <c:v>44279.958333333336</c:v>
                </c:pt>
                <c:pt idx="1">
                  <c:v>44280.17291666667</c:v>
                </c:pt>
                <c:pt idx="2">
                  <c:v>44280.238888888889</c:v>
                </c:pt>
                <c:pt idx="3">
                  <c:v>44280.4375</c:v>
                </c:pt>
                <c:pt idx="4">
                  <c:v>44280.512499999997</c:v>
                </c:pt>
                <c:pt idx="5">
                  <c:v>44280.661111111112</c:v>
                </c:pt>
                <c:pt idx="6">
                  <c:v>44280.736111111109</c:v>
                </c:pt>
                <c:pt idx="7">
                  <c:v>44280.886111111111</c:v>
                </c:pt>
                <c:pt idx="8">
                  <c:v>44281.03402777778</c:v>
                </c:pt>
                <c:pt idx="9">
                  <c:v>44281.585416666669</c:v>
                </c:pt>
                <c:pt idx="10">
                  <c:v>44281.947222222225</c:v>
                </c:pt>
                <c:pt idx="11">
                  <c:v>44282.119444444441</c:v>
                </c:pt>
                <c:pt idx="12">
                  <c:v>44282.845138888886</c:v>
                </c:pt>
                <c:pt idx="13">
                  <c:v>44283.426388888889</c:v>
                </c:pt>
                <c:pt idx="14">
                  <c:v>44283.96597222222</c:v>
                </c:pt>
                <c:pt idx="15">
                  <c:v>44284.724305555559</c:v>
                </c:pt>
                <c:pt idx="16">
                  <c:v>44284.920138888891</c:v>
                </c:pt>
                <c:pt idx="17">
                  <c:v>44285.157638888886</c:v>
                </c:pt>
                <c:pt idx="18">
                  <c:v>44285.367361111108</c:v>
                </c:pt>
                <c:pt idx="19">
                  <c:v>44285.779861111114</c:v>
                </c:pt>
                <c:pt idx="20">
                  <c:v>44286.189583333333</c:v>
                </c:pt>
                <c:pt idx="21">
                  <c:v>44286.550694444442</c:v>
                </c:pt>
                <c:pt idx="22">
                  <c:v>44286.921527777777</c:v>
                </c:pt>
                <c:pt idx="23">
                  <c:v>44286.993055555555</c:v>
                </c:pt>
                <c:pt idx="24">
                  <c:v>44287.456944444442</c:v>
                </c:pt>
                <c:pt idx="25">
                  <c:v>44287.461805555555</c:v>
                </c:pt>
                <c:pt idx="26">
                  <c:v>44287.688888888886</c:v>
                </c:pt>
                <c:pt idx="27">
                  <c:v>44287.981944444444</c:v>
                </c:pt>
                <c:pt idx="28">
                  <c:v>44288.236111111109</c:v>
                </c:pt>
                <c:pt idx="29">
                  <c:v>44288.357638888891</c:v>
                </c:pt>
                <c:pt idx="30">
                  <c:v>44288.935416666667</c:v>
                </c:pt>
                <c:pt idx="31">
                  <c:v>44289.007638888892</c:v>
                </c:pt>
                <c:pt idx="32">
                  <c:v>44289.131249999999</c:v>
                </c:pt>
                <c:pt idx="33">
                  <c:v>44289.244444444441</c:v>
                </c:pt>
                <c:pt idx="34">
                  <c:v>44289.372916666667</c:v>
                </c:pt>
                <c:pt idx="35">
                  <c:v>44289.854166666664</c:v>
                </c:pt>
                <c:pt idx="36">
                  <c:v>44289.911805555559</c:v>
                </c:pt>
                <c:pt idx="37">
                  <c:v>44289.962500000001</c:v>
                </c:pt>
                <c:pt idx="38">
                  <c:v>44289.984027777777</c:v>
                </c:pt>
                <c:pt idx="39">
                  <c:v>44290.151388888888</c:v>
                </c:pt>
                <c:pt idx="40">
                  <c:v>44290.236805555556</c:v>
                </c:pt>
                <c:pt idx="41">
                  <c:v>44290.418749999997</c:v>
                </c:pt>
                <c:pt idx="42">
                  <c:v>44290.500694444447</c:v>
                </c:pt>
                <c:pt idx="43">
                  <c:v>44290.930555555555</c:v>
                </c:pt>
                <c:pt idx="44">
                  <c:v>44290.995138888888</c:v>
                </c:pt>
                <c:pt idx="45">
                  <c:v>44291.228472222225</c:v>
                </c:pt>
                <c:pt idx="46">
                  <c:v>44291.352777777778</c:v>
                </c:pt>
                <c:pt idx="47">
                  <c:v>44291.507638888892</c:v>
                </c:pt>
                <c:pt idx="48">
                  <c:v>44291.517361111109</c:v>
                </c:pt>
                <c:pt idx="49">
                  <c:v>44291.917361111111</c:v>
                </c:pt>
                <c:pt idx="50">
                  <c:v>44292.013888888891</c:v>
                </c:pt>
                <c:pt idx="51">
                  <c:v>44292.045138888891</c:v>
                </c:pt>
                <c:pt idx="52">
                  <c:v>44292.064583333333</c:v>
                </c:pt>
                <c:pt idx="53">
                  <c:v>44292.140972222223</c:v>
                </c:pt>
                <c:pt idx="54">
                  <c:v>44292.290277777778</c:v>
                </c:pt>
                <c:pt idx="55">
                  <c:v>44292.539583333331</c:v>
                </c:pt>
                <c:pt idx="56">
                  <c:v>44292.601388888892</c:v>
                </c:pt>
                <c:pt idx="57">
                  <c:v>44293.131249999999</c:v>
                </c:pt>
                <c:pt idx="58">
                  <c:v>44293.270138888889</c:v>
                </c:pt>
                <c:pt idx="59">
                  <c:v>44293.709027777775</c:v>
                </c:pt>
                <c:pt idx="60">
                  <c:v>44293.920138888891</c:v>
                </c:pt>
                <c:pt idx="61">
                  <c:v>44293.974305555559</c:v>
                </c:pt>
                <c:pt idx="62">
                  <c:v>44294.211805555555</c:v>
                </c:pt>
                <c:pt idx="63">
                  <c:v>44294.320138888892</c:v>
                </c:pt>
                <c:pt idx="64">
                  <c:v>44294.904166666667</c:v>
                </c:pt>
                <c:pt idx="65">
                  <c:v>44295.699305555558</c:v>
                </c:pt>
                <c:pt idx="66">
                  <c:v>44296.06527777778</c:v>
                </c:pt>
                <c:pt idx="67">
                  <c:v>44296.193055555559</c:v>
                </c:pt>
                <c:pt idx="68">
                  <c:v>44296.7</c:v>
                </c:pt>
                <c:pt idx="69">
                  <c:v>44297.365277777775</c:v>
                </c:pt>
                <c:pt idx="70">
                  <c:v>44297.561805555553</c:v>
                </c:pt>
                <c:pt idx="71">
                  <c:v>44298.405555555553</c:v>
                </c:pt>
                <c:pt idx="72">
                  <c:v>44298.50277777778</c:v>
                </c:pt>
                <c:pt idx="73">
                  <c:v>44298.577777777777</c:v>
                </c:pt>
                <c:pt idx="74">
                  <c:v>44298.67083333333</c:v>
                </c:pt>
                <c:pt idx="75">
                  <c:v>44298.854861111111</c:v>
                </c:pt>
                <c:pt idx="76">
                  <c:v>44299.228472222225</c:v>
                </c:pt>
                <c:pt idx="77">
                  <c:v>44299.279166666667</c:v>
                </c:pt>
                <c:pt idx="78">
                  <c:v>44299.463194444441</c:v>
                </c:pt>
                <c:pt idx="79">
                  <c:v>44299.595138888886</c:v>
                </c:pt>
                <c:pt idx="80">
                  <c:v>44299.741666666669</c:v>
                </c:pt>
                <c:pt idx="81">
                  <c:v>44300.245138888888</c:v>
                </c:pt>
                <c:pt idx="82">
                  <c:v>44300.309027777781</c:v>
                </c:pt>
                <c:pt idx="83">
                  <c:v>44300.652083333334</c:v>
                </c:pt>
                <c:pt idx="84">
                  <c:v>44300.881249999999</c:v>
                </c:pt>
                <c:pt idx="85">
                  <c:v>44301.171527777777</c:v>
                </c:pt>
                <c:pt idx="86">
                  <c:v>44301.753472222219</c:v>
                </c:pt>
                <c:pt idx="87">
                  <c:v>44301.793749999997</c:v>
                </c:pt>
                <c:pt idx="88">
                  <c:v>44302.394444444442</c:v>
                </c:pt>
                <c:pt idx="89">
                  <c:v>44302.947222222225</c:v>
                </c:pt>
                <c:pt idx="90">
                  <c:v>44303.540277777778</c:v>
                </c:pt>
                <c:pt idx="91">
                  <c:v>44303.941666666666</c:v>
                </c:pt>
                <c:pt idx="92">
                  <c:v>44304.348611111112</c:v>
                </c:pt>
                <c:pt idx="93">
                  <c:v>44304.847222222219</c:v>
                </c:pt>
                <c:pt idx="94">
                  <c:v>44305.081250000003</c:v>
                </c:pt>
                <c:pt idx="95">
                  <c:v>44305.511111111111</c:v>
                </c:pt>
                <c:pt idx="96">
                  <c:v>44305.586805555555</c:v>
                </c:pt>
                <c:pt idx="97">
                  <c:v>44305.738888888889</c:v>
                </c:pt>
                <c:pt idx="98">
                  <c:v>44306.572916666664</c:v>
                </c:pt>
                <c:pt idx="99">
                  <c:v>44306.737500000003</c:v>
                </c:pt>
                <c:pt idx="100">
                  <c:v>44306.911805555559</c:v>
                </c:pt>
                <c:pt idx="101">
                  <c:v>44307.078472222223</c:v>
                </c:pt>
                <c:pt idx="102">
                  <c:v>44307.402083333334</c:v>
                </c:pt>
                <c:pt idx="103">
                  <c:v>44308.554861111108</c:v>
                </c:pt>
                <c:pt idx="104">
                  <c:v>44308.640972222223</c:v>
                </c:pt>
                <c:pt idx="105">
                  <c:v>44308.643055555556</c:v>
                </c:pt>
                <c:pt idx="106">
                  <c:v>44308.656944444447</c:v>
                </c:pt>
                <c:pt idx="107">
                  <c:v>44308.679166666669</c:v>
                </c:pt>
                <c:pt idx="108">
                  <c:v>44308.723611111112</c:v>
                </c:pt>
                <c:pt idx="109">
                  <c:v>44308.772916666669</c:v>
                </c:pt>
                <c:pt idx="110">
                  <c:v>44308.854861111111</c:v>
                </c:pt>
                <c:pt idx="111">
                  <c:v>44309.002083333333</c:v>
                </c:pt>
                <c:pt idx="112">
                  <c:v>44309.060416666667</c:v>
                </c:pt>
                <c:pt idx="113">
                  <c:v>44309.443749999999</c:v>
                </c:pt>
                <c:pt idx="114">
                  <c:v>44309.481944444444</c:v>
                </c:pt>
                <c:pt idx="115">
                  <c:v>44309.949305555558</c:v>
                </c:pt>
                <c:pt idx="116">
                  <c:v>44310.006944444445</c:v>
                </c:pt>
                <c:pt idx="117">
                  <c:v>44310.20416666667</c:v>
                </c:pt>
                <c:pt idx="118">
                  <c:v>44310.628472222219</c:v>
                </c:pt>
                <c:pt idx="119">
                  <c:v>44310.654861111114</c:v>
                </c:pt>
                <c:pt idx="120">
                  <c:v>44310.679861111108</c:v>
                </c:pt>
                <c:pt idx="121">
                  <c:v>44310.68472222222</c:v>
                </c:pt>
                <c:pt idx="122">
                  <c:v>44310.72152777778</c:v>
                </c:pt>
                <c:pt idx="123">
                  <c:v>44310.90347222222</c:v>
                </c:pt>
                <c:pt idx="124">
                  <c:v>44311.021527777775</c:v>
                </c:pt>
                <c:pt idx="125">
                  <c:v>44311.127083333333</c:v>
                </c:pt>
                <c:pt idx="126">
                  <c:v>44311.543749999997</c:v>
                </c:pt>
                <c:pt idx="127">
                  <c:v>44311.679861111108</c:v>
                </c:pt>
                <c:pt idx="128">
                  <c:v>44311.770138888889</c:v>
                </c:pt>
                <c:pt idx="129">
                  <c:v>44311.961111111108</c:v>
                </c:pt>
                <c:pt idx="130">
                  <c:v>44312.040277777778</c:v>
                </c:pt>
                <c:pt idx="131">
                  <c:v>44312.245138888888</c:v>
                </c:pt>
                <c:pt idx="132">
                  <c:v>44312.692361111112</c:v>
                </c:pt>
                <c:pt idx="133">
                  <c:v>44312.744444444441</c:v>
                </c:pt>
                <c:pt idx="134">
                  <c:v>44312.923611111109</c:v>
                </c:pt>
                <c:pt idx="135">
                  <c:v>44312.959722222222</c:v>
                </c:pt>
                <c:pt idx="136">
                  <c:v>44312.978472222225</c:v>
                </c:pt>
              </c:numCache>
            </c:numRef>
          </c:xVal>
          <c:yVal>
            <c:numRef>
              <c:f>EXP!$L$3:$L$9423</c:f>
              <c:numCache>
                <c:formatCode>0.00</c:formatCode>
                <c:ptCount val="942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126133.95773764243</c:v>
                </c:pt>
                <c:pt idx="14">
                  <c:v>96458.83476612471</c:v>
                </c:pt>
                <c:pt idx="15">
                  <c:v>103508.10432982774</c:v>
                </c:pt>
                <c:pt idx="16">
                  <c:v>105695.75480781037</c:v>
                </c:pt>
                <c:pt idx="17">
                  <c:v>113353.37075142383</c:v>
                </c:pt>
                <c:pt idx="18">
                  <c:v>120572.46285039102</c:v>
                </c:pt>
                <c:pt idx="19">
                  <c:v>123685.51788194523</c:v>
                </c:pt>
                <c:pt idx="20">
                  <c:v>136669.7968840535</c:v>
                </c:pt>
                <c:pt idx="21">
                  <c:v>137069.65821157192</c:v>
                </c:pt>
                <c:pt idx="22">
                  <c:v>139847.03798328605</c:v>
                </c:pt>
                <c:pt idx="23">
                  <c:v>143521.22121109176</c:v>
                </c:pt>
                <c:pt idx="24">
                  <c:v>144073.89683058867</c:v>
                </c:pt>
                <c:pt idx="25">
                  <c:v>144624.75468012944</c:v>
                </c:pt>
                <c:pt idx="26">
                  <c:v>155455.08213830573</c:v>
                </c:pt>
                <c:pt idx="27">
                  <c:v>186928.39296080498</c:v>
                </c:pt>
                <c:pt idx="28">
                  <c:v>213866.39776963473</c:v>
                </c:pt>
                <c:pt idx="29">
                  <c:v>231275.04576982255</c:v>
                </c:pt>
                <c:pt idx="30">
                  <c:v>292534.81410800852</c:v>
                </c:pt>
                <c:pt idx="31">
                  <c:v>304258.52314855292</c:v>
                </c:pt>
                <c:pt idx="32">
                  <c:v>313423.25182837486</c:v>
                </c:pt>
                <c:pt idx="33">
                  <c:v>345307.86231574032</c:v>
                </c:pt>
                <c:pt idx="34">
                  <c:v>352785.31014784175</c:v>
                </c:pt>
                <c:pt idx="35">
                  <c:v>395276.98126607656</c:v>
                </c:pt>
                <c:pt idx="36">
                  <c:v>407865.46437200066</c:v>
                </c:pt>
                <c:pt idx="37">
                  <c:v>433588.00637459534</c:v>
                </c:pt>
                <c:pt idx="38">
                  <c:v>439955.8482308035</c:v>
                </c:pt>
                <c:pt idx="39">
                  <c:v>458219.94039726513</c:v>
                </c:pt>
                <c:pt idx="40">
                  <c:v>463542.17731220514</c:v>
                </c:pt>
                <c:pt idx="41">
                  <c:v>469550.02345032879</c:v>
                </c:pt>
                <c:pt idx="42">
                  <c:v>490771.06091238413</c:v>
                </c:pt>
                <c:pt idx="43">
                  <c:v>502048.21088242764</c:v>
                </c:pt>
                <c:pt idx="44">
                  <c:v>518821.08540847618</c:v>
                </c:pt>
                <c:pt idx="45">
                  <c:v>516029.47069240757</c:v>
                </c:pt>
                <c:pt idx="46">
                  <c:v>528074.71214215585</c:v>
                </c:pt>
                <c:pt idx="47">
                  <c:v>531380.45389742265</c:v>
                </c:pt>
                <c:pt idx="48">
                  <c:v>524920.41497752222</c:v>
                </c:pt>
                <c:pt idx="49">
                  <c:v>520486.67548132216</c:v>
                </c:pt>
                <c:pt idx="50">
                  <c:v>522413.23990114051</c:v>
                </c:pt>
                <c:pt idx="51">
                  <c:v>519359.54417639476</c:v>
                </c:pt>
                <c:pt idx="52">
                  <c:v>517196.11611485097</c:v>
                </c:pt>
                <c:pt idx="53">
                  <c:v>510631.85248467617</c:v>
                </c:pt>
                <c:pt idx="54">
                  <c:v>504283.91379634128</c:v>
                </c:pt>
                <c:pt idx="55">
                  <c:v>498572.3499420195</c:v>
                </c:pt>
                <c:pt idx="56">
                  <c:v>501018.0397853012</c:v>
                </c:pt>
                <c:pt idx="57">
                  <c:v>493887.3438592836</c:v>
                </c:pt>
                <c:pt idx="58">
                  <c:v>496421.14583703625</c:v>
                </c:pt>
                <c:pt idx="59">
                  <c:v>516658.17879246111</c:v>
                </c:pt>
                <c:pt idx="60">
                  <c:v>529573.08399124211</c:v>
                </c:pt>
                <c:pt idx="61">
                  <c:v>545248.08289847011</c:v>
                </c:pt>
                <c:pt idx="62">
                  <c:v>561620.89234341728</c:v>
                </c:pt>
                <c:pt idx="63">
                  <c:v>578042.66975379211</c:v>
                </c:pt>
                <c:pt idx="64">
                  <c:v>585606.53929344018</c:v>
                </c:pt>
                <c:pt idx="65">
                  <c:v>579051.99854580977</c:v>
                </c:pt>
                <c:pt idx="66">
                  <c:v>574281.32140382787</c:v>
                </c:pt>
                <c:pt idx="67">
                  <c:v>569924.18681018695</c:v>
                </c:pt>
                <c:pt idx="68">
                  <c:v>565315.62166268402</c:v>
                </c:pt>
                <c:pt idx="69">
                  <c:v>564887.12673931802</c:v>
                </c:pt>
                <c:pt idx="70">
                  <c:v>570895.2587683209</c:v>
                </c:pt>
                <c:pt idx="71">
                  <c:v>553358.07567540428</c:v>
                </c:pt>
                <c:pt idx="72">
                  <c:v>538341.26846766158</c:v>
                </c:pt>
                <c:pt idx="73">
                  <c:v>531755.41305934917</c:v>
                </c:pt>
                <c:pt idx="74">
                  <c:v>528774.04093278421</c:v>
                </c:pt>
                <c:pt idx="75">
                  <c:v>517062.21877772041</c:v>
                </c:pt>
                <c:pt idx="76">
                  <c:v>496114.79925578489</c:v>
                </c:pt>
                <c:pt idx="77">
                  <c:v>492628.64403756359</c:v>
                </c:pt>
                <c:pt idx="78">
                  <c:v>492263.61597559293</c:v>
                </c:pt>
                <c:pt idx="79">
                  <c:v>494003.75948790327</c:v>
                </c:pt>
                <c:pt idx="80">
                  <c:v>484253.91602891247</c:v>
                </c:pt>
                <c:pt idx="81">
                  <c:v>492876.62993634457</c:v>
                </c:pt>
                <c:pt idx="82">
                  <c:v>496943.8565131136</c:v>
                </c:pt>
                <c:pt idx="83">
                  <c:v>512001.08426390681</c:v>
                </c:pt>
                <c:pt idx="84">
                  <c:v>521503.77633224003</c:v>
                </c:pt>
                <c:pt idx="85">
                  <c:v>523029.62122492719</c:v>
                </c:pt>
                <c:pt idx="86">
                  <c:v>547486.68030343612</c:v>
                </c:pt>
                <c:pt idx="87">
                  <c:v>548525.58733492717</c:v>
                </c:pt>
                <c:pt idx="88">
                  <c:v>535456.09997764812</c:v>
                </c:pt>
                <c:pt idx="89">
                  <c:v>510476.1810616806</c:v>
                </c:pt>
                <c:pt idx="90">
                  <c:v>509974.32198039669</c:v>
                </c:pt>
                <c:pt idx="91">
                  <c:v>518917.09321470646</c:v>
                </c:pt>
                <c:pt idx="92">
                  <c:v>514882.83852593327</c:v>
                </c:pt>
                <c:pt idx="93">
                  <c:v>523799.89770790288</c:v>
                </c:pt>
                <c:pt idx="94">
                  <c:v>526719.44437400252</c:v>
                </c:pt>
                <c:pt idx="95">
                  <c:v>548856.07068649842</c:v>
                </c:pt>
                <c:pt idx="96">
                  <c:v>551075.40209337755</c:v>
                </c:pt>
                <c:pt idx="97">
                  <c:v>552437.82325503533</c:v>
                </c:pt>
                <c:pt idx="98">
                  <c:v>564570.58136598591</c:v>
                </c:pt>
                <c:pt idx="99">
                  <c:v>576859.81650515157</c:v>
                </c:pt>
                <c:pt idx="100">
                  <c:v>586698.07405704621</c:v>
                </c:pt>
                <c:pt idx="101">
                  <c:v>606631.57857197162</c:v>
                </c:pt>
                <c:pt idx="102">
                  <c:v>639616.93507818191</c:v>
                </c:pt>
                <c:pt idx="103">
                  <c:v>674862.10460543341</c:v>
                </c:pt>
                <c:pt idx="104">
                  <c:v>676306.56356506632</c:v>
                </c:pt>
                <c:pt idx="105">
                  <c:v>675532.2510494563</c:v>
                </c:pt>
                <c:pt idx="106">
                  <c:v>675446.12132015801</c:v>
                </c:pt>
                <c:pt idx="107">
                  <c:v>675745.53236799734</c:v>
                </c:pt>
                <c:pt idx="108">
                  <c:v>676243.32975498331</c:v>
                </c:pt>
                <c:pt idx="109">
                  <c:v>680733.04734518589</c:v>
                </c:pt>
                <c:pt idx="110">
                  <c:v>682520.8165088509</c:v>
                </c:pt>
                <c:pt idx="111">
                  <c:v>685695.87158070831</c:v>
                </c:pt>
                <c:pt idx="112">
                  <c:v>688296.45758951828</c:v>
                </c:pt>
                <c:pt idx="113">
                  <c:v>694329.53304350737</c:v>
                </c:pt>
                <c:pt idx="114">
                  <c:v>698128.89832742384</c:v>
                </c:pt>
                <c:pt idx="115">
                  <c:v>728490.07645241765</c:v>
                </c:pt>
                <c:pt idx="116">
                  <c:v>741842.66891844105</c:v>
                </c:pt>
                <c:pt idx="117">
                  <c:v>767771.30153542</c:v>
                </c:pt>
                <c:pt idx="118">
                  <c:v>777743.75983805396</c:v>
                </c:pt>
                <c:pt idx="119">
                  <c:v>769592.34722911613</c:v>
                </c:pt>
                <c:pt idx="120">
                  <c:v>764919.58893015725</c:v>
                </c:pt>
                <c:pt idx="121">
                  <c:v>761799.52626077749</c:v>
                </c:pt>
                <c:pt idx="122">
                  <c:v>760022.64893590019</c:v>
                </c:pt>
                <c:pt idx="123">
                  <c:v>760811.60825990862</c:v>
                </c:pt>
                <c:pt idx="124">
                  <c:v>762715.92131546349</c:v>
                </c:pt>
                <c:pt idx="125">
                  <c:v>764965.73739822139</c:v>
                </c:pt>
                <c:pt idx="126">
                  <c:v>770162.42718472797</c:v>
                </c:pt>
                <c:pt idx="127">
                  <c:v>782524.5944200434</c:v>
                </c:pt>
                <c:pt idx="128">
                  <c:v>786037.23091899569</c:v>
                </c:pt>
                <c:pt idx="129">
                  <c:v>791520.03928903595</c:v>
                </c:pt>
                <c:pt idx="130">
                  <c:v>799202.76736162661</c:v>
                </c:pt>
                <c:pt idx="131">
                  <c:v>810458.62443460629</c:v>
                </c:pt>
                <c:pt idx="132">
                  <c:v>816605.46816697181</c:v>
                </c:pt>
                <c:pt idx="133">
                  <c:v>815185.8141306414</c:v>
                </c:pt>
                <c:pt idx="134">
                  <c:v>815112.52210573084</c:v>
                </c:pt>
                <c:pt idx="135">
                  <c:v>816905.68746896531</c:v>
                </c:pt>
                <c:pt idx="136">
                  <c:v>816485.99697655346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EFA4BF-47DE-4790-B8A0-0FDE259DF8CA}">
  <sheetPr>
    <tabColor rgb="FFFF8585"/>
  </sheetPr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FD5C3-15ED-4FC5-B6AD-B88D24A863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AG13" sqref="N13:AG17"/>
    </sheetView>
  </sheetViews>
  <sheetFormatPr defaultRowHeight="15.75" customHeight="1" x14ac:dyDescent="0.25"/>
  <cols>
    <col min="1" max="2" width="7.140625" style="34" customWidth="1"/>
    <col min="3" max="3" width="7.140625" style="67" customWidth="1"/>
    <col min="4" max="4" width="4.140625" style="34" customWidth="1"/>
    <col min="5" max="8" width="6.42578125" style="34" customWidth="1"/>
    <col min="9" max="9" width="3.140625" style="66" customWidth="1"/>
    <col min="10" max="19" width="4.7109375" style="262" customWidth="1"/>
    <col min="20" max="20" width="7.7109375" style="262" customWidth="1"/>
    <col min="21" max="21" width="3.5703125" style="66" customWidth="1"/>
    <col min="22" max="26" width="5.5703125" style="262" customWidth="1"/>
    <col min="27" max="27" width="7.85546875" style="262" customWidth="1"/>
    <col min="28" max="28" width="3.5703125" style="66" customWidth="1"/>
    <col min="29" max="37" width="3.5703125" style="262" customWidth="1"/>
    <col min="38" max="38" width="7" style="66" customWidth="1"/>
    <col min="39" max="39" width="6.85546875" style="34" customWidth="1"/>
    <col min="40" max="40" width="6.85546875" style="212" customWidth="1"/>
    <col min="41" max="42" width="6.85546875" style="34" customWidth="1"/>
    <col min="43" max="43" width="6.85546875" style="212" customWidth="1"/>
    <col min="44" max="44" width="6.85546875" style="34" customWidth="1"/>
    <col min="45" max="45" width="4" style="66" customWidth="1"/>
    <col min="46" max="51" width="9.140625" style="169"/>
    <col min="52" max="52" width="9.140625" style="68"/>
    <col min="53" max="53" width="4.7109375" style="66" customWidth="1"/>
    <col min="54" max="54" width="4.7109375" style="34" customWidth="1"/>
    <col min="55" max="62" width="7.28515625" style="34" customWidth="1"/>
    <col min="63" max="63" width="7.28515625" style="67" customWidth="1"/>
    <col min="64" max="16384" width="9.140625" style="34"/>
  </cols>
  <sheetData>
    <row r="1" spans="1:63" ht="30" customHeight="1" x14ac:dyDescent="0.25">
      <c r="A1" s="492" t="s">
        <v>209</v>
      </c>
      <c r="B1" s="493"/>
      <c r="C1" s="493"/>
      <c r="D1" s="493"/>
      <c r="E1" s="493"/>
      <c r="F1" s="493"/>
      <c r="G1" s="493"/>
      <c r="H1" s="493"/>
      <c r="I1" s="493"/>
      <c r="J1" s="493"/>
      <c r="K1" s="493"/>
      <c r="L1" s="493"/>
      <c r="M1" s="493"/>
      <c r="N1" s="493"/>
      <c r="O1" s="493"/>
      <c r="P1" s="493"/>
      <c r="Q1" s="493"/>
      <c r="R1" s="493"/>
      <c r="S1" s="493"/>
      <c r="T1" s="493"/>
      <c r="U1" s="493"/>
      <c r="V1" s="493"/>
      <c r="W1" s="493"/>
      <c r="X1" s="493"/>
      <c r="Y1" s="493"/>
      <c r="Z1" s="493"/>
      <c r="AA1" s="493"/>
      <c r="AB1" s="493"/>
      <c r="AC1" s="493"/>
      <c r="AD1" s="493"/>
      <c r="AE1" s="493"/>
      <c r="AF1" s="493"/>
      <c r="AG1" s="493"/>
      <c r="AH1" s="493"/>
      <c r="AI1" s="493"/>
      <c r="AJ1" s="493"/>
      <c r="AK1" s="493"/>
      <c r="AL1" s="500" t="s">
        <v>221</v>
      </c>
      <c r="AM1" s="501"/>
      <c r="AN1" s="501"/>
      <c r="AO1" s="501"/>
      <c r="AP1" s="501"/>
      <c r="AQ1" s="501"/>
      <c r="AR1" s="501"/>
      <c r="AS1" s="501"/>
      <c r="AT1" s="501"/>
      <c r="AU1" s="501"/>
      <c r="AV1" s="501"/>
      <c r="AW1" s="501"/>
      <c r="AX1" s="501"/>
      <c r="AY1" s="501"/>
      <c r="AZ1" s="501"/>
      <c r="BA1" s="501"/>
      <c r="BB1" s="501"/>
      <c r="BC1" s="501"/>
      <c r="BD1" s="501"/>
      <c r="BE1" s="501"/>
      <c r="BF1" s="501"/>
      <c r="BG1" s="501"/>
      <c r="BH1" s="501"/>
      <c r="BI1" s="501"/>
      <c r="BJ1" s="501"/>
      <c r="BK1" s="502"/>
    </row>
    <row r="2" spans="1:63" s="176" customFormat="1" ht="15.75" customHeight="1" x14ac:dyDescent="0.25">
      <c r="A2" s="498" t="s">
        <v>215</v>
      </c>
      <c r="B2" s="498"/>
      <c r="C2" s="499"/>
      <c r="D2" s="497" t="s">
        <v>60</v>
      </c>
      <c r="E2" s="498"/>
      <c r="F2" s="498"/>
      <c r="G2" s="498"/>
      <c r="H2" s="499"/>
      <c r="I2" s="504" t="s">
        <v>227</v>
      </c>
      <c r="J2" s="505"/>
      <c r="K2" s="505"/>
      <c r="L2" s="505"/>
      <c r="M2" s="505"/>
      <c r="N2" s="505"/>
      <c r="O2" s="505"/>
      <c r="P2" s="505"/>
      <c r="Q2" s="505"/>
      <c r="R2" s="505"/>
      <c r="S2" s="505"/>
      <c r="T2" s="506"/>
      <c r="U2" s="504" t="s">
        <v>250</v>
      </c>
      <c r="V2" s="505"/>
      <c r="W2" s="505"/>
      <c r="X2" s="505"/>
      <c r="Y2" s="505"/>
      <c r="Z2" s="505"/>
      <c r="AA2" s="506"/>
      <c r="AB2" s="504" t="s">
        <v>235</v>
      </c>
      <c r="AC2" s="505"/>
      <c r="AD2" s="505"/>
      <c r="AE2" s="505"/>
      <c r="AF2" s="505"/>
      <c r="AG2" s="505"/>
      <c r="AH2" s="505"/>
      <c r="AI2" s="505"/>
      <c r="AJ2" s="505"/>
      <c r="AK2" s="506"/>
      <c r="AL2" s="497" t="s">
        <v>220</v>
      </c>
      <c r="AM2" s="498"/>
      <c r="AN2" s="498"/>
      <c r="AO2" s="498"/>
      <c r="AP2" s="498"/>
      <c r="AQ2" s="498"/>
      <c r="AR2" s="499"/>
      <c r="AS2" s="497" t="s">
        <v>213</v>
      </c>
      <c r="AT2" s="498"/>
      <c r="AU2" s="498"/>
      <c r="AV2" s="498"/>
      <c r="AW2" s="498"/>
      <c r="AX2" s="498"/>
      <c r="AY2" s="498"/>
      <c r="AZ2" s="499"/>
      <c r="BA2" s="498" t="s">
        <v>214</v>
      </c>
      <c r="BB2" s="498"/>
      <c r="BC2" s="498"/>
      <c r="BD2" s="498"/>
      <c r="BE2" s="498"/>
      <c r="BF2" s="498"/>
      <c r="BG2" s="498"/>
      <c r="BH2" s="498"/>
      <c r="BI2" s="498"/>
      <c r="BJ2" s="498"/>
      <c r="BK2" s="499"/>
    </row>
    <row r="3" spans="1:63" ht="15.75" customHeight="1" x14ac:dyDescent="0.25">
      <c r="A3" s="302"/>
      <c r="B3" s="303" t="s">
        <v>67</v>
      </c>
      <c r="C3" s="304" t="s">
        <v>71</v>
      </c>
      <c r="D3" s="248"/>
      <c r="E3" s="199" t="s">
        <v>66</v>
      </c>
      <c r="F3" s="199" t="s">
        <v>69</v>
      </c>
      <c r="G3" s="199" t="s">
        <v>70</v>
      </c>
      <c r="H3" s="269" t="s">
        <v>212</v>
      </c>
      <c r="I3" s="259" t="s">
        <v>234</v>
      </c>
      <c r="J3" s="260" t="s">
        <v>228</v>
      </c>
      <c r="K3" s="260" t="s">
        <v>229</v>
      </c>
      <c r="L3" s="260" t="s">
        <v>249</v>
      </c>
      <c r="M3" s="260" t="s">
        <v>230</v>
      </c>
      <c r="N3" s="260" t="s">
        <v>208</v>
      </c>
      <c r="O3" s="260" t="s">
        <v>244</v>
      </c>
      <c r="P3" s="260" t="s">
        <v>245</v>
      </c>
      <c r="Q3" s="260" t="s">
        <v>233</v>
      </c>
      <c r="R3" s="260" t="s">
        <v>246</v>
      </c>
      <c r="S3" s="260" t="s">
        <v>247</v>
      </c>
      <c r="T3" s="260" t="s">
        <v>248</v>
      </c>
      <c r="U3" s="259"/>
      <c r="V3" s="260" t="s">
        <v>66</v>
      </c>
      <c r="W3" s="260" t="s">
        <v>69</v>
      </c>
      <c r="X3" s="260" t="s">
        <v>70</v>
      </c>
      <c r="Y3" s="260" t="s">
        <v>212</v>
      </c>
      <c r="Z3" s="260" t="s">
        <v>68</v>
      </c>
      <c r="AA3" s="261" t="s">
        <v>92</v>
      </c>
      <c r="AB3" s="259"/>
      <c r="AC3" s="260" t="s">
        <v>53</v>
      </c>
      <c r="AD3" s="260" t="s">
        <v>2</v>
      </c>
      <c r="AE3" s="260" t="s">
        <v>72</v>
      </c>
      <c r="AF3" s="260" t="s">
        <v>0</v>
      </c>
      <c r="AG3" s="260" t="s">
        <v>5</v>
      </c>
      <c r="AH3" s="260" t="s">
        <v>8</v>
      </c>
      <c r="AI3" s="260" t="s">
        <v>206</v>
      </c>
      <c r="AJ3" s="260" t="s">
        <v>125</v>
      </c>
      <c r="AK3" s="261" t="s">
        <v>207</v>
      </c>
      <c r="AL3" s="267" t="s">
        <v>67</v>
      </c>
      <c r="AM3" s="268" t="s">
        <v>204</v>
      </c>
      <c r="AN3" s="268" t="s">
        <v>14</v>
      </c>
      <c r="AO3" s="268" t="s">
        <v>205</v>
      </c>
      <c r="AP3" s="199" t="s">
        <v>86</v>
      </c>
      <c r="AQ3" s="199" t="s">
        <v>14</v>
      </c>
      <c r="AR3" s="269" t="s">
        <v>205</v>
      </c>
      <c r="AS3" s="495" t="s">
        <v>219</v>
      </c>
      <c r="AT3" s="503"/>
      <c r="AU3" s="165" t="s">
        <v>9</v>
      </c>
      <c r="AV3" s="166" t="s">
        <v>7</v>
      </c>
      <c r="AW3" s="170" t="s">
        <v>6</v>
      </c>
      <c r="AX3" s="167" t="s">
        <v>4</v>
      </c>
      <c r="AY3" s="65" t="s">
        <v>3</v>
      </c>
      <c r="AZ3" s="204" t="s">
        <v>64</v>
      </c>
      <c r="BA3" s="507" t="s">
        <v>66</v>
      </c>
      <c r="BB3" s="153"/>
      <c r="BC3" s="153" t="s">
        <v>53</v>
      </c>
      <c r="BD3" s="153" t="s">
        <v>2</v>
      </c>
      <c r="BE3" s="153" t="s">
        <v>72</v>
      </c>
      <c r="BF3" s="153" t="s">
        <v>0</v>
      </c>
      <c r="BG3" s="153" t="s">
        <v>5</v>
      </c>
      <c r="BH3" s="153" t="s">
        <v>8</v>
      </c>
      <c r="BI3" s="153" t="s">
        <v>206</v>
      </c>
      <c r="BJ3" s="153" t="s">
        <v>125</v>
      </c>
      <c r="BK3" s="154" t="s">
        <v>207</v>
      </c>
    </row>
    <row r="4" spans="1:63" ht="15.75" customHeight="1" x14ac:dyDescent="0.25">
      <c r="A4" s="251" t="s">
        <v>204</v>
      </c>
      <c r="B4" s="254">
        <v>30</v>
      </c>
      <c r="C4" s="255">
        <v>40</v>
      </c>
      <c r="D4" s="253" t="s">
        <v>9</v>
      </c>
      <c r="E4" s="64">
        <v>11429</v>
      </c>
      <c r="F4" s="64">
        <v>9142</v>
      </c>
      <c r="G4" s="64">
        <v>5392</v>
      </c>
      <c r="H4" s="297">
        <v>219</v>
      </c>
      <c r="I4" s="66">
        <v>0</v>
      </c>
      <c r="J4" s="254" t="s">
        <v>211</v>
      </c>
      <c r="K4" s="254" t="s">
        <v>211</v>
      </c>
      <c r="L4" s="254" t="s">
        <v>211</v>
      </c>
      <c r="M4" s="254" t="s">
        <v>211</v>
      </c>
      <c r="N4" s="254" t="s">
        <v>211</v>
      </c>
      <c r="O4" s="254">
        <v>500</v>
      </c>
      <c r="P4" s="254">
        <v>360</v>
      </c>
      <c r="Q4" s="254">
        <v>90</v>
      </c>
      <c r="R4" s="254">
        <v>80</v>
      </c>
      <c r="S4" s="254">
        <v>46</v>
      </c>
      <c r="T4" s="317">
        <v>25000000</v>
      </c>
      <c r="U4" s="291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19">
        <f t="shared" si="0"/>
        <v>140000000</v>
      </c>
      <c r="AB4" s="253" t="s">
        <v>9</v>
      </c>
      <c r="AC4" s="278">
        <v>6</v>
      </c>
      <c r="AD4" s="278">
        <v>6</v>
      </c>
      <c r="AE4" s="278">
        <v>6</v>
      </c>
      <c r="AF4" s="278">
        <v>6</v>
      </c>
      <c r="AG4" s="278">
        <v>6</v>
      </c>
      <c r="AH4" s="278">
        <v>6</v>
      </c>
      <c r="AI4" s="278">
        <v>6</v>
      </c>
      <c r="AJ4" s="278">
        <v>6</v>
      </c>
      <c r="AK4" s="279">
        <v>0</v>
      </c>
      <c r="AL4" s="249" t="s">
        <v>66</v>
      </c>
      <c r="AM4" s="180">
        <f>AVERAGE(D真龍!A:A)+AVERAGE(D真龍!D:D)</f>
        <v>8</v>
      </c>
      <c r="AN4" s="233">
        <f>COUNT(D真龍!A:A)</f>
        <v>1</v>
      </c>
      <c r="AO4" s="180">
        <f>$B$4/AM4</f>
        <v>3.75</v>
      </c>
      <c r="AP4" s="103">
        <f>AVERAGE(D真龍!F:F)+AVERAGE(D真龍!I:I)</f>
        <v>10.981012658227847</v>
      </c>
      <c r="AQ4" s="234">
        <f>COUNT(D真龍!F:F)</f>
        <v>316</v>
      </c>
      <c r="AR4" s="102">
        <f>$B$5/AP4</f>
        <v>2.7319884726224788</v>
      </c>
      <c r="AS4" s="494" t="s">
        <v>66</v>
      </c>
      <c r="AT4" s="199" t="s">
        <v>210</v>
      </c>
      <c r="AU4" s="185">
        <f>MAX(SUM(BC4:BK4) - E4 + V4,0)</f>
        <v>0</v>
      </c>
      <c r="AV4" s="186">
        <f>MAX(SUM(BC5:BK5) - E5 + V5,0)</f>
        <v>0</v>
      </c>
      <c r="AW4" s="187">
        <f>MAX(SUM(BC6:BK6) - E6 + V6,0)</f>
        <v>0</v>
      </c>
      <c r="AX4" s="188">
        <f>MAX(SUM(BC7:BK7) - E7 + V7,0)</f>
        <v>0</v>
      </c>
      <c r="AY4" s="200">
        <f>MAX(SUM(BC8:BK8) - E8 + V8,0)</f>
        <v>1030</v>
      </c>
      <c r="AZ4" s="205">
        <f>SUM(AU4:AY4)</f>
        <v>1030</v>
      </c>
      <c r="BA4" s="508"/>
      <c r="BB4" s="158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92" t="s">
        <v>86</v>
      </c>
      <c r="B5" s="289">
        <v>30</v>
      </c>
      <c r="C5" s="305">
        <v>40</v>
      </c>
      <c r="D5" s="252" t="s">
        <v>7</v>
      </c>
      <c r="E5" s="61">
        <v>12142</v>
      </c>
      <c r="F5" s="61">
        <v>4000</v>
      </c>
      <c r="G5" s="61">
        <v>5389</v>
      </c>
      <c r="H5" s="298">
        <v>2005</v>
      </c>
      <c r="I5" s="66">
        <v>1</v>
      </c>
      <c r="J5" s="254" t="s">
        <v>222</v>
      </c>
      <c r="K5" s="254" t="s">
        <v>211</v>
      </c>
      <c r="L5" s="254" t="s">
        <v>211</v>
      </c>
      <c r="M5" s="254" t="s">
        <v>211</v>
      </c>
      <c r="N5" s="254" t="s">
        <v>211</v>
      </c>
      <c r="O5" s="254">
        <v>475</v>
      </c>
      <c r="P5" s="254">
        <v>342</v>
      </c>
      <c r="Q5" s="254">
        <v>90</v>
      </c>
      <c r="R5" s="254">
        <v>75</v>
      </c>
      <c r="S5" s="254">
        <v>45</v>
      </c>
      <c r="T5" s="317">
        <v>23800000</v>
      </c>
      <c r="U5" s="292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19">
        <f t="shared" si="2"/>
        <v>140000000</v>
      </c>
      <c r="AB5" s="252" t="s">
        <v>7</v>
      </c>
      <c r="AC5" s="280">
        <v>6</v>
      </c>
      <c r="AD5" s="280">
        <v>6</v>
      </c>
      <c r="AE5" s="280">
        <v>6</v>
      </c>
      <c r="AF5" s="280">
        <v>6</v>
      </c>
      <c r="AG5" s="280">
        <v>6</v>
      </c>
      <c r="AH5" s="280">
        <v>6</v>
      </c>
      <c r="AI5" s="280">
        <v>6</v>
      </c>
      <c r="AJ5" s="280">
        <v>6</v>
      </c>
      <c r="AK5" s="281">
        <v>0</v>
      </c>
      <c r="AL5" s="249" t="s">
        <v>69</v>
      </c>
      <c r="AM5" s="180">
        <f>AVERAGE(D真龍!C:C)+AVERAGE(D真龍!E:E)</f>
        <v>4</v>
      </c>
      <c r="AN5" s="233">
        <f>COUNT(D真龍!C:C)</f>
        <v>1</v>
      </c>
      <c r="AO5" s="180">
        <f>$B$4/AM5</f>
        <v>7.5</v>
      </c>
      <c r="AP5" s="103">
        <f>AVERAGE(D真龍!H:H)+AVERAGE(D真龍!J:J)</f>
        <v>6.3196202531645564</v>
      </c>
      <c r="AQ5" s="234">
        <f>COUNT(D真龍!H:H)</f>
        <v>316</v>
      </c>
      <c r="AR5" s="102">
        <f>$B$5/AP5</f>
        <v>4.7471206810215323</v>
      </c>
      <c r="AS5" s="495"/>
      <c r="AT5" s="163" t="s">
        <v>74</v>
      </c>
      <c r="AU5" s="64">
        <f>ROUNDUP(AU4/$AP$4,0)</f>
        <v>0</v>
      </c>
      <c r="AV5" s="61">
        <f>ROUNDUP(AV4/$AP$4,0)</f>
        <v>0</v>
      </c>
      <c r="AW5" s="62">
        <f>ROUNDUP(AW4/$AP$4,0)</f>
        <v>0</v>
      </c>
      <c r="AX5" s="113">
        <f>ROUNDUP(AX4/$AP$4,0)</f>
        <v>0</v>
      </c>
      <c r="AY5" s="63">
        <f>ROUNDUP(AY4/$AP$4,0)</f>
        <v>94</v>
      </c>
      <c r="AZ5" s="206">
        <f t="shared" ref="AZ5:AZ17" si="3">SUM(AU5:AY5)</f>
        <v>94</v>
      </c>
      <c r="BA5" s="508"/>
      <c r="BB5" s="159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72">
        <f t="shared" si="1"/>
        <v>500</v>
      </c>
    </row>
    <row r="6" spans="1:63" ht="15.75" customHeight="1" x14ac:dyDescent="0.25">
      <c r="D6" s="258" t="s">
        <v>6</v>
      </c>
      <c r="E6" s="62">
        <v>10043</v>
      </c>
      <c r="F6" s="62">
        <v>4205</v>
      </c>
      <c r="G6" s="62">
        <v>1884</v>
      </c>
      <c r="H6" s="299">
        <v>4923</v>
      </c>
      <c r="I6" s="66">
        <v>2</v>
      </c>
      <c r="J6" s="254" t="s">
        <v>222</v>
      </c>
      <c r="K6" s="254" t="s">
        <v>222</v>
      </c>
      <c r="L6" s="254" t="s">
        <v>211</v>
      </c>
      <c r="M6" s="254" t="s">
        <v>211</v>
      </c>
      <c r="N6" s="254" t="s">
        <v>211</v>
      </c>
      <c r="O6" s="254">
        <v>425</v>
      </c>
      <c r="P6" s="254">
        <v>302</v>
      </c>
      <c r="Q6" s="254">
        <v>60</v>
      </c>
      <c r="R6" s="254">
        <v>65</v>
      </c>
      <c r="S6" s="254">
        <v>42</v>
      </c>
      <c r="T6" s="317">
        <v>22300000</v>
      </c>
      <c r="U6" s="293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19">
        <f t="shared" si="2"/>
        <v>140000000</v>
      </c>
      <c r="AB6" s="258" t="s">
        <v>6</v>
      </c>
      <c r="AC6" s="282">
        <v>6</v>
      </c>
      <c r="AD6" s="282">
        <v>6</v>
      </c>
      <c r="AE6" s="282">
        <v>6</v>
      </c>
      <c r="AF6" s="282">
        <v>6</v>
      </c>
      <c r="AG6" s="282">
        <v>6</v>
      </c>
      <c r="AH6" s="282">
        <v>6</v>
      </c>
      <c r="AI6" s="282">
        <v>6</v>
      </c>
      <c r="AJ6" s="282">
        <v>6</v>
      </c>
      <c r="AK6" s="283">
        <v>0</v>
      </c>
      <c r="AL6" s="249" t="s">
        <v>68</v>
      </c>
      <c r="AM6" s="180" t="e">
        <f>AVERAGE(D真龍!B:B)</f>
        <v>#DIV/0!</v>
      </c>
      <c r="AN6" s="233">
        <f>COUNT(D真龍!B:B)</f>
        <v>0</v>
      </c>
      <c r="AO6" s="232" t="e">
        <f>$B$4/AM6</f>
        <v>#DIV/0!</v>
      </c>
      <c r="AP6" s="103">
        <f>AVERAGE(D真龍!G:G)</f>
        <v>0.40322580645161288</v>
      </c>
      <c r="AQ6" s="234">
        <f>COUNT(D真龍!G:G)</f>
        <v>124</v>
      </c>
      <c r="AR6" s="270">
        <f>$B$5/AP6</f>
        <v>74.400000000000006</v>
      </c>
      <c r="AS6" s="495"/>
      <c r="AT6" s="163" t="s">
        <v>217</v>
      </c>
      <c r="AU6" s="181">
        <f>ROUNDUP(AU5/(RECOVER_AP / $B$5)*RECOVER_DIAMS,0)</f>
        <v>0</v>
      </c>
      <c r="AV6" s="184">
        <f>ROUNDUP(AV5/(RECOVER_AP / $B$5)*RECOVER_DIAMS,0)</f>
        <v>0</v>
      </c>
      <c r="AW6" s="182">
        <f>ROUNDUP(AW5/(RECOVER_AP / $B$5)*RECOVER_DIAMS,0)</f>
        <v>0</v>
      </c>
      <c r="AX6" s="183">
        <f>ROUNDUP(AX5/(RECOVER_AP / $B$5)*RECOVER_DIAMS,0)</f>
        <v>0</v>
      </c>
      <c r="AY6" s="197">
        <f>ROUNDUP(AY5/(RECOVER_AP / $B$5)*RECOVER_DIAMS,0)</f>
        <v>705</v>
      </c>
      <c r="AZ6" s="207">
        <f t="shared" si="3"/>
        <v>705</v>
      </c>
      <c r="BA6" s="508"/>
      <c r="BB6" s="170" t="s">
        <v>6</v>
      </c>
      <c r="BC6" s="171">
        <f t="shared" si="1"/>
        <v>0</v>
      </c>
      <c r="BD6" s="171">
        <f t="shared" si="1"/>
        <v>0</v>
      </c>
      <c r="BE6" s="171">
        <f t="shared" si="1"/>
        <v>0</v>
      </c>
      <c r="BF6" s="171">
        <f t="shared" si="1"/>
        <v>0</v>
      </c>
      <c r="BG6" s="171">
        <f t="shared" si="1"/>
        <v>0</v>
      </c>
      <c r="BH6" s="171">
        <f t="shared" si="1"/>
        <v>0</v>
      </c>
      <c r="BI6" s="171">
        <f t="shared" si="1"/>
        <v>0</v>
      </c>
      <c r="BJ6" s="171">
        <f t="shared" si="1"/>
        <v>0</v>
      </c>
      <c r="BK6" s="173">
        <f t="shared" si="1"/>
        <v>500</v>
      </c>
    </row>
    <row r="7" spans="1:63" ht="15.75" customHeight="1" x14ac:dyDescent="0.25">
      <c r="D7" s="257" t="s">
        <v>4</v>
      </c>
      <c r="E7" s="113">
        <v>3563</v>
      </c>
      <c r="F7" s="113">
        <v>989</v>
      </c>
      <c r="G7" s="113">
        <v>1657</v>
      </c>
      <c r="H7" s="300">
        <v>3976</v>
      </c>
      <c r="I7" s="66">
        <v>3</v>
      </c>
      <c r="J7" s="254" t="s">
        <v>222</v>
      </c>
      <c r="K7" s="254" t="s">
        <v>211</v>
      </c>
      <c r="L7" s="254" t="s">
        <v>222</v>
      </c>
      <c r="M7" s="254" t="s">
        <v>211</v>
      </c>
      <c r="N7" s="254" t="s">
        <v>211</v>
      </c>
      <c r="O7" s="254">
        <v>375</v>
      </c>
      <c r="P7" s="254">
        <v>270</v>
      </c>
      <c r="Q7" s="254">
        <v>90</v>
      </c>
      <c r="R7" s="254">
        <v>55</v>
      </c>
      <c r="S7" s="254">
        <v>41</v>
      </c>
      <c r="T7" s="317">
        <v>19000000</v>
      </c>
      <c r="U7" s="294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19">
        <f t="shared" si="2"/>
        <v>140000000</v>
      </c>
      <c r="AB7" s="257" t="s">
        <v>4</v>
      </c>
      <c r="AC7" s="284">
        <v>6</v>
      </c>
      <c r="AD7" s="284">
        <v>6</v>
      </c>
      <c r="AE7" s="284">
        <v>6</v>
      </c>
      <c r="AF7" s="284">
        <v>6</v>
      </c>
      <c r="AG7" s="284">
        <v>6</v>
      </c>
      <c r="AH7" s="284">
        <v>6</v>
      </c>
      <c r="AI7" s="284">
        <v>6</v>
      </c>
      <c r="AJ7" s="284">
        <v>6</v>
      </c>
      <c r="AK7" s="285">
        <v>6</v>
      </c>
      <c r="AL7" s="178" t="s">
        <v>71</v>
      </c>
      <c r="AM7" s="179" t="s">
        <v>204</v>
      </c>
      <c r="AN7" s="179" t="s">
        <v>14</v>
      </c>
      <c r="AO7" s="179" t="s">
        <v>205</v>
      </c>
      <c r="AP7" s="210" t="s">
        <v>86</v>
      </c>
      <c r="AQ7" s="235" t="s">
        <v>14</v>
      </c>
      <c r="AR7" s="271" t="s">
        <v>205</v>
      </c>
      <c r="AS7" s="495"/>
      <c r="AT7" s="163" t="s">
        <v>114</v>
      </c>
      <c r="AU7" s="64">
        <f>ROUNDUP(AU4/$AP$8,0)</f>
        <v>0</v>
      </c>
      <c r="AV7" s="61">
        <f>ROUNDUP(AV4/$AP$8,0)</f>
        <v>0</v>
      </c>
      <c r="AW7" s="62">
        <f>ROUNDUP(AW4/$AP$8,0)</f>
        <v>0</v>
      </c>
      <c r="AX7" s="113">
        <f>ROUNDUP(AX4/$AP$8,0)</f>
        <v>0</v>
      </c>
      <c r="AY7" s="63">
        <f>ROUNDUP(AY4/$AP$8,0)</f>
        <v>86</v>
      </c>
      <c r="AZ7" s="206">
        <f t="shared" si="3"/>
        <v>86</v>
      </c>
      <c r="BA7" s="508"/>
      <c r="BB7" s="160" t="s">
        <v>4</v>
      </c>
      <c r="BC7" s="112">
        <f t="shared" si="1"/>
        <v>0</v>
      </c>
      <c r="BD7" s="112">
        <f t="shared" si="1"/>
        <v>0</v>
      </c>
      <c r="BE7" s="112">
        <f t="shared" si="1"/>
        <v>0</v>
      </c>
      <c r="BF7" s="112">
        <f t="shared" si="1"/>
        <v>0</v>
      </c>
      <c r="BG7" s="112">
        <f t="shared" si="1"/>
        <v>0</v>
      </c>
      <c r="BH7" s="112">
        <f t="shared" si="1"/>
        <v>0</v>
      </c>
      <c r="BI7" s="112">
        <f t="shared" si="1"/>
        <v>0</v>
      </c>
      <c r="BJ7" s="112">
        <f t="shared" si="1"/>
        <v>0</v>
      </c>
      <c r="BK7" s="174">
        <f t="shared" si="1"/>
        <v>0</v>
      </c>
    </row>
    <row r="8" spans="1:63" ht="15.75" customHeight="1" x14ac:dyDescent="0.25">
      <c r="D8" s="256" t="s">
        <v>3</v>
      </c>
      <c r="E8" s="63">
        <v>2070</v>
      </c>
      <c r="F8" s="63">
        <v>428</v>
      </c>
      <c r="G8" s="63">
        <v>1168</v>
      </c>
      <c r="H8" s="301">
        <v>2935</v>
      </c>
      <c r="I8" s="66">
        <v>4</v>
      </c>
      <c r="J8" s="254" t="s">
        <v>222</v>
      </c>
      <c r="K8" s="254" t="s">
        <v>222</v>
      </c>
      <c r="L8" s="254" t="s">
        <v>222</v>
      </c>
      <c r="M8" s="254" t="s">
        <v>211</v>
      </c>
      <c r="N8" s="254" t="s">
        <v>211</v>
      </c>
      <c r="O8" s="254">
        <v>325</v>
      </c>
      <c r="P8" s="254">
        <v>230</v>
      </c>
      <c r="Q8" s="254">
        <v>60</v>
      </c>
      <c r="R8" s="254">
        <v>45</v>
      </c>
      <c r="S8" s="254">
        <v>38</v>
      </c>
      <c r="T8" s="317">
        <v>17500000</v>
      </c>
      <c r="U8" s="295" t="s">
        <v>3</v>
      </c>
      <c r="V8" s="296">
        <f t="shared" si="2"/>
        <v>2600</v>
      </c>
      <c r="W8" s="296">
        <f t="shared" si="2"/>
        <v>1840</v>
      </c>
      <c r="X8" s="296">
        <f t="shared" si="2"/>
        <v>480</v>
      </c>
      <c r="Y8" s="296">
        <f t="shared" si="2"/>
        <v>360</v>
      </c>
      <c r="Z8" s="296">
        <f t="shared" si="2"/>
        <v>304</v>
      </c>
      <c r="AA8" s="320">
        <f t="shared" si="2"/>
        <v>140000000</v>
      </c>
      <c r="AB8" s="244" t="s">
        <v>3</v>
      </c>
      <c r="AC8" s="286">
        <v>6</v>
      </c>
      <c r="AD8" s="286">
        <v>6</v>
      </c>
      <c r="AE8" s="286">
        <v>6</v>
      </c>
      <c r="AF8" s="286">
        <v>6</v>
      </c>
      <c r="AG8" s="286">
        <v>6</v>
      </c>
      <c r="AH8" s="286">
        <v>6</v>
      </c>
      <c r="AI8" s="286">
        <v>6</v>
      </c>
      <c r="AJ8" s="286">
        <v>6</v>
      </c>
      <c r="AK8" s="287">
        <v>0</v>
      </c>
      <c r="AL8" s="249" t="s">
        <v>66</v>
      </c>
      <c r="AM8" s="180">
        <f>AVERAGE(D真龍!K:K)</f>
        <v>9.0909090909090917</v>
      </c>
      <c r="AN8" s="233">
        <f>COUNT(D真龍!K:K)</f>
        <v>22</v>
      </c>
      <c r="AO8" s="180">
        <f>$C$4/AM8</f>
        <v>4.3999999999999995</v>
      </c>
      <c r="AP8" s="103">
        <f>AVERAGE(D真龍!Q:Q)</f>
        <v>12.028011204481793</v>
      </c>
      <c r="AQ8" s="234">
        <f>COUNT(D真龍!Q:Q)</f>
        <v>714</v>
      </c>
      <c r="AR8" s="102">
        <f>$C$5/AP8</f>
        <v>3.3255705635770845</v>
      </c>
      <c r="AS8" s="496"/>
      <c r="AT8" s="201" t="s">
        <v>218</v>
      </c>
      <c r="AU8" s="193">
        <f>ROUNDUP(AU7/(RECOVER_AP / $C$5)*RECOVER_DIAMS,0)</f>
        <v>0</v>
      </c>
      <c r="AV8" s="194">
        <f>ROUNDUP(AV7/(RECOVER_AP / $C$5)*RECOVER_DIAMS,0)</f>
        <v>0</v>
      </c>
      <c r="AW8" s="195">
        <f>ROUNDUP(AW7/(RECOVER_AP / $C$5)*RECOVER_DIAMS,0)</f>
        <v>0</v>
      </c>
      <c r="AX8" s="196">
        <f>ROUNDUP(AX7/(RECOVER_AP / $C$5)*RECOVER_DIAMS,0)</f>
        <v>0</v>
      </c>
      <c r="AY8" s="202">
        <f>ROUNDUP(AY7/(RECOVER_AP / $C$5)*RECOVER_DIAMS,0)</f>
        <v>860</v>
      </c>
      <c r="AZ8" s="208">
        <f t="shared" si="3"/>
        <v>860</v>
      </c>
      <c r="BA8" s="509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01">
        <f t="shared" si="1"/>
        <v>500</v>
      </c>
    </row>
    <row r="9" spans="1:63" ht="15.75" customHeight="1" x14ac:dyDescent="0.25">
      <c r="D9" s="495" t="s">
        <v>216</v>
      </c>
      <c r="E9" s="503"/>
      <c r="F9" s="503"/>
      <c r="G9" s="512">
        <v>2230</v>
      </c>
      <c r="H9" s="513"/>
      <c r="I9" s="66">
        <v>5</v>
      </c>
      <c r="J9" s="254" t="s">
        <v>222</v>
      </c>
      <c r="K9" s="254" t="s">
        <v>222</v>
      </c>
      <c r="L9" s="254" t="s">
        <v>222</v>
      </c>
      <c r="M9" s="254" t="s">
        <v>222</v>
      </c>
      <c r="N9" s="254" t="s">
        <v>211</v>
      </c>
      <c r="O9" s="254">
        <v>150</v>
      </c>
      <c r="P9" s="254">
        <v>100</v>
      </c>
      <c r="Q9" s="254">
        <v>30</v>
      </c>
      <c r="R9" s="254">
        <v>10</v>
      </c>
      <c r="S9" s="254">
        <v>30</v>
      </c>
      <c r="T9" s="317">
        <v>10000000</v>
      </c>
      <c r="U9" s="290"/>
      <c r="V9" s="276"/>
      <c r="W9" s="276"/>
      <c r="X9" s="276"/>
      <c r="Y9" s="276"/>
      <c r="Z9" s="276"/>
      <c r="AA9" s="276"/>
      <c r="AL9" s="249" t="s">
        <v>69</v>
      </c>
      <c r="AM9" s="180">
        <f>AVERAGE(D真龍!M:M) + AVERAGE(D真龍!O:O)</f>
        <v>5.5</v>
      </c>
      <c r="AN9" s="233">
        <f>COUNT(D真龍!M:M)</f>
        <v>22</v>
      </c>
      <c r="AO9" s="180">
        <f>$C$4/AM9</f>
        <v>7.2727272727272725</v>
      </c>
      <c r="AP9" s="103">
        <f>AVERAGE(D真龍!S:S)+AVERAGE(D真龍!U:U)</f>
        <v>6.9369747899159666</v>
      </c>
      <c r="AQ9" s="234">
        <f>COUNT(D真龍!S:S)</f>
        <v>714</v>
      </c>
      <c r="AR9" s="102">
        <f>$C$5/AP9</f>
        <v>5.7662023016353725</v>
      </c>
      <c r="AS9" s="494" t="s">
        <v>69</v>
      </c>
      <c r="AT9" s="199" t="s">
        <v>210</v>
      </c>
      <c r="AU9" s="185">
        <f>MAX(SUM(BC10:BK10) - F4 + W4,0)</f>
        <v>0</v>
      </c>
      <c r="AV9" s="186">
        <f>MAX(SUM(BC11:BK11) - F5 + W5,0)</f>
        <v>0</v>
      </c>
      <c r="AW9" s="187">
        <f>MAX(SUM(BC12:BK12) - F6 + W6,0)</f>
        <v>0</v>
      </c>
      <c r="AX9" s="188">
        <f>MAX(SUM(BC13:BK13) - F7 + W7,0)</f>
        <v>851</v>
      </c>
      <c r="AY9" s="200">
        <f>MAX(SUM(BC14:BK14) - F8 + W8,0)</f>
        <v>1772</v>
      </c>
      <c r="AZ9" s="205">
        <f t="shared" si="3"/>
        <v>2623</v>
      </c>
      <c r="BA9" s="507" t="s">
        <v>69</v>
      </c>
      <c r="BB9" s="155"/>
      <c r="BC9" s="155" t="s">
        <v>53</v>
      </c>
      <c r="BD9" s="155" t="s">
        <v>2</v>
      </c>
      <c r="BE9" s="155" t="s">
        <v>72</v>
      </c>
      <c r="BF9" s="155" t="s">
        <v>0</v>
      </c>
      <c r="BG9" s="155" t="s">
        <v>5</v>
      </c>
      <c r="BH9" s="155" t="s">
        <v>8</v>
      </c>
      <c r="BI9" s="155" t="s">
        <v>206</v>
      </c>
      <c r="BJ9" s="155" t="s">
        <v>125</v>
      </c>
      <c r="BK9" s="156" t="s">
        <v>207</v>
      </c>
    </row>
    <row r="10" spans="1:63" ht="15.75" customHeight="1" x14ac:dyDescent="0.25">
      <c r="D10" s="488" t="s">
        <v>226</v>
      </c>
      <c r="E10" s="489"/>
      <c r="F10" s="490">
        <v>140138020</v>
      </c>
      <c r="G10" s="490"/>
      <c r="H10" s="491"/>
      <c r="I10" s="288">
        <v>6</v>
      </c>
      <c r="J10" s="289" t="s">
        <v>222</v>
      </c>
      <c r="K10" s="289" t="s">
        <v>222</v>
      </c>
      <c r="L10" s="289" t="s">
        <v>222</v>
      </c>
      <c r="M10" s="289" t="s">
        <v>222</v>
      </c>
      <c r="N10" s="289" t="s">
        <v>222</v>
      </c>
      <c r="O10" s="289">
        <v>0</v>
      </c>
      <c r="P10" s="289">
        <v>0</v>
      </c>
      <c r="Q10" s="289">
        <v>0</v>
      </c>
      <c r="R10" s="289">
        <v>0</v>
      </c>
      <c r="S10" s="289">
        <v>0</v>
      </c>
      <c r="T10" s="318">
        <v>0</v>
      </c>
      <c r="U10" s="290"/>
      <c r="V10" s="276"/>
      <c r="W10" s="276"/>
      <c r="X10" s="276"/>
      <c r="Y10" s="276"/>
      <c r="Z10" s="276"/>
      <c r="AA10" s="276"/>
      <c r="AL10" s="249" t="s">
        <v>70</v>
      </c>
      <c r="AM10" s="180">
        <f>AVERAGE(D真龍!N:N) + AVERAGE(D真龍!P:P)</f>
        <v>5</v>
      </c>
      <c r="AN10" s="233">
        <f>COUNT(D真龍!N:N)</f>
        <v>22</v>
      </c>
      <c r="AO10" s="180">
        <f>$C$4/AM10</f>
        <v>8</v>
      </c>
      <c r="AP10" s="103">
        <f>AVERAGE(D真龍!T:T)+AVERAGE(D真龍!V:V)</f>
        <v>6.9257703081232496</v>
      </c>
      <c r="AQ10" s="234">
        <f>COUNT(D真龍!T:T)</f>
        <v>714</v>
      </c>
      <c r="AR10" s="102">
        <f>$C$5/AP10</f>
        <v>5.7755308392315472</v>
      </c>
      <c r="AS10" s="495"/>
      <c r="AT10" s="163" t="s">
        <v>74</v>
      </c>
      <c r="AU10" s="64">
        <f>ROUNDUP(AU9/$AP$5,0)</f>
        <v>0</v>
      </c>
      <c r="AV10" s="61">
        <f>ROUNDUP(AV9/$AP$5,0)</f>
        <v>0</v>
      </c>
      <c r="AW10" s="62">
        <f>ROUNDUP(AW9/$AP$5,0)</f>
        <v>0</v>
      </c>
      <c r="AX10" s="113">
        <f>ROUNDUP(AX9/$AP$5,0)</f>
        <v>135</v>
      </c>
      <c r="AY10" s="63">
        <f>ROUNDUP(AY9/$AP$5,0)</f>
        <v>281</v>
      </c>
      <c r="AZ10" s="206">
        <f t="shared" si="3"/>
        <v>416</v>
      </c>
      <c r="BA10" s="508"/>
      <c r="BB10" s="158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50" t="s">
        <v>68</v>
      </c>
      <c r="AM11" s="273">
        <f>AVERAGE(D真龍!L:L)</f>
        <v>0.95238095238095233</v>
      </c>
      <c r="AN11" s="272">
        <f>COUNT(D真龍!L:L)</f>
        <v>21</v>
      </c>
      <c r="AO11" s="273">
        <f>$C$4/AM11</f>
        <v>42</v>
      </c>
      <c r="AP11" s="274">
        <f>AVERAGE(D真龍!R:R)</f>
        <v>1.152492668621701</v>
      </c>
      <c r="AQ11" s="246">
        <f>COUNT(D真龍!R:R)</f>
        <v>682</v>
      </c>
      <c r="AR11" s="275">
        <f>$C$5/AP11</f>
        <v>34.707379134860048</v>
      </c>
      <c r="AS11" s="495"/>
      <c r="AT11" s="163" t="s">
        <v>217</v>
      </c>
      <c r="AU11" s="181">
        <f>ROUNDUP(AU10/(RECOVER_AP / $B$5)*RECOVER_DIAMS,0)</f>
        <v>0</v>
      </c>
      <c r="AV11" s="184">
        <f>ROUNDUP(AV10/(RECOVER_AP / $B$5)*RECOVER_DIAMS,0)</f>
        <v>0</v>
      </c>
      <c r="AW11" s="182">
        <f>ROUNDUP(AW10/(RECOVER_AP / $B$5)*RECOVER_DIAMS,0)</f>
        <v>0</v>
      </c>
      <c r="AX11" s="183">
        <f>ROUNDUP(AX10/(RECOVER_AP / $B$5)*RECOVER_DIAMS,0)</f>
        <v>1013</v>
      </c>
      <c r="AY11" s="197">
        <f>ROUNDUP(AY10/(RECOVER_AP / $B$5)*RECOVER_DIAMS,0)</f>
        <v>2108</v>
      </c>
      <c r="AZ11" s="207">
        <f t="shared" si="3"/>
        <v>3121</v>
      </c>
      <c r="BA11" s="508"/>
      <c r="BB11" s="159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72">
        <f t="shared" si="4"/>
        <v>360</v>
      </c>
    </row>
    <row r="12" spans="1:63" ht="15.75" customHeight="1" x14ac:dyDescent="0.25">
      <c r="AS12" s="495"/>
      <c r="AT12" s="163" t="s">
        <v>114</v>
      </c>
      <c r="AU12" s="64">
        <f>ROUNDUP(AU9/$AP$9,0)</f>
        <v>0</v>
      </c>
      <c r="AV12" s="61">
        <f>ROUNDUP(AV9/$AP$9,0)</f>
        <v>0</v>
      </c>
      <c r="AW12" s="62">
        <f>ROUNDUP(AW9/$AP$9,0)</f>
        <v>0</v>
      </c>
      <c r="AX12" s="113">
        <f>ROUNDUP(AX9/$AP$9,0)</f>
        <v>123</v>
      </c>
      <c r="AY12" s="63">
        <f>ROUNDUP(AY9/$AP$9,0)</f>
        <v>256</v>
      </c>
      <c r="AZ12" s="206">
        <f t="shared" si="3"/>
        <v>379</v>
      </c>
      <c r="BA12" s="508"/>
      <c r="BB12" s="170" t="s">
        <v>6</v>
      </c>
      <c r="BC12" s="171">
        <f t="shared" si="4"/>
        <v>0</v>
      </c>
      <c r="BD12" s="171">
        <f t="shared" si="4"/>
        <v>0</v>
      </c>
      <c r="BE12" s="171">
        <f t="shared" si="4"/>
        <v>0</v>
      </c>
      <c r="BF12" s="171">
        <f t="shared" si="4"/>
        <v>0</v>
      </c>
      <c r="BG12" s="171">
        <f t="shared" si="4"/>
        <v>0</v>
      </c>
      <c r="BH12" s="171">
        <f t="shared" si="4"/>
        <v>0</v>
      </c>
      <c r="BI12" s="171">
        <f t="shared" si="4"/>
        <v>0</v>
      </c>
      <c r="BJ12" s="171">
        <f t="shared" si="4"/>
        <v>0</v>
      </c>
      <c r="BK12" s="173">
        <f t="shared" si="4"/>
        <v>360</v>
      </c>
    </row>
    <row r="13" spans="1:63" ht="15.75" customHeight="1" x14ac:dyDescent="0.25">
      <c r="AS13" s="496"/>
      <c r="AT13" s="201" t="s">
        <v>218</v>
      </c>
      <c r="AU13" s="193">
        <f>ROUNDUP(AU10/(RECOVER_AP / $C$5)*RECOVER_DIAMS,0)</f>
        <v>0</v>
      </c>
      <c r="AV13" s="194">
        <f>ROUNDUP(AV10/(RECOVER_AP / $C$5)*RECOVER_DIAMS,0)</f>
        <v>0</v>
      </c>
      <c r="AW13" s="195">
        <f>ROUNDUP(AW10/(RECOVER_AP / $C$5)*RECOVER_DIAMS,0)</f>
        <v>0</v>
      </c>
      <c r="AX13" s="196">
        <f>ROUNDUP(AX10/(RECOVER_AP / $C$5)*RECOVER_DIAMS,0)</f>
        <v>1350</v>
      </c>
      <c r="AY13" s="202">
        <f>ROUNDUP(AY10/(RECOVER_AP / $C$5)*RECOVER_DIAMS,0)</f>
        <v>2810</v>
      </c>
      <c r="AZ13" s="208">
        <f t="shared" si="3"/>
        <v>4160</v>
      </c>
      <c r="BA13" s="508"/>
      <c r="BB13" s="160" t="s">
        <v>4</v>
      </c>
      <c r="BC13" s="112">
        <f t="shared" si="4"/>
        <v>0</v>
      </c>
      <c r="BD13" s="112">
        <f t="shared" si="4"/>
        <v>0</v>
      </c>
      <c r="BE13" s="112">
        <f t="shared" si="4"/>
        <v>0</v>
      </c>
      <c r="BF13" s="112">
        <f t="shared" si="4"/>
        <v>0</v>
      </c>
      <c r="BG13" s="112">
        <f t="shared" si="4"/>
        <v>0</v>
      </c>
      <c r="BH13" s="112">
        <f t="shared" si="4"/>
        <v>0</v>
      </c>
      <c r="BI13" s="112">
        <f t="shared" si="4"/>
        <v>0</v>
      </c>
      <c r="BJ13" s="112">
        <f t="shared" si="4"/>
        <v>0</v>
      </c>
      <c r="BK13" s="174">
        <f t="shared" si="4"/>
        <v>0</v>
      </c>
    </row>
    <row r="14" spans="1:63" ht="15.75" customHeight="1" x14ac:dyDescent="0.25">
      <c r="AS14" s="494" t="s">
        <v>70</v>
      </c>
      <c r="AT14" s="199" t="s">
        <v>210</v>
      </c>
      <c r="AU14" s="185">
        <f>MAX(SUM(BC16:BK16) - G4 + X4,0)</f>
        <v>0</v>
      </c>
      <c r="AV14" s="186">
        <f>MAX(SUM(BC17:BK17) - G5 + X5,0)</f>
        <v>0</v>
      </c>
      <c r="AW14" s="187">
        <f>MAX(SUM(BC18:BK18) - G6 + X6,0)</f>
        <v>0</v>
      </c>
      <c r="AX14" s="188">
        <f>MAX(SUM(BC19:BK19) - G7 + X7,0)</f>
        <v>0</v>
      </c>
      <c r="AY14" s="200">
        <f>MAX(SUM(BC20:BK20) - G8 + X8,0)</f>
        <v>0</v>
      </c>
      <c r="AZ14" s="205">
        <f t="shared" si="3"/>
        <v>0</v>
      </c>
      <c r="BA14" s="509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01">
        <f t="shared" si="4"/>
        <v>360</v>
      </c>
    </row>
    <row r="15" spans="1:63" ht="15.75" customHeight="1" x14ac:dyDescent="0.25">
      <c r="AS15" s="495"/>
      <c r="AT15" s="163" t="s">
        <v>114</v>
      </c>
      <c r="AU15" s="64">
        <f>ROUNDUP(AU14/$AP$10,0)</f>
        <v>0</v>
      </c>
      <c r="AV15" s="61">
        <f>ROUNDUP(AV14/$AP$10,0)</f>
        <v>0</v>
      </c>
      <c r="AW15" s="62">
        <f>ROUNDUP(AW14/$AP$10,0)</f>
        <v>0</v>
      </c>
      <c r="AX15" s="113">
        <f>ROUNDUP(AX14/$AP$10,0)</f>
        <v>0</v>
      </c>
      <c r="AY15" s="63">
        <f>ROUNDUP(AY14/$AP$10,0)</f>
        <v>0</v>
      </c>
      <c r="AZ15" s="206">
        <f t="shared" si="3"/>
        <v>0</v>
      </c>
      <c r="BA15" s="507" t="s">
        <v>70</v>
      </c>
      <c r="BB15" s="155"/>
      <c r="BC15" s="155" t="s">
        <v>53</v>
      </c>
      <c r="BD15" s="155" t="s">
        <v>2</v>
      </c>
      <c r="BE15" s="155" t="s">
        <v>72</v>
      </c>
      <c r="BF15" s="155" t="s">
        <v>0</v>
      </c>
      <c r="BG15" s="155" t="s">
        <v>5</v>
      </c>
      <c r="BH15" s="155" t="s">
        <v>8</v>
      </c>
      <c r="BI15" s="155" t="s">
        <v>206</v>
      </c>
      <c r="BJ15" s="155" t="s">
        <v>125</v>
      </c>
      <c r="BK15" s="156" t="s">
        <v>207</v>
      </c>
    </row>
    <row r="16" spans="1:63" ht="15.75" customHeight="1" x14ac:dyDescent="0.25">
      <c r="AS16" s="496"/>
      <c r="AT16" s="201" t="s">
        <v>218</v>
      </c>
      <c r="AU16" s="193">
        <f>ROUNDUP(AU15/(RECOVER_AP / $C$5)*RECOVER_DIAMS,0)</f>
        <v>0</v>
      </c>
      <c r="AV16" s="194">
        <f>ROUNDUP(AV15/3*30,0)</f>
        <v>0</v>
      </c>
      <c r="AW16" s="195">
        <f>ROUNDUP(AW15/3*30,0)</f>
        <v>0</v>
      </c>
      <c r="AX16" s="196">
        <f>ROUNDUP(AX15/3*30,0)</f>
        <v>0</v>
      </c>
      <c r="AY16" s="202">
        <f>ROUNDUP(AY15/3*30,0)</f>
        <v>0</v>
      </c>
      <c r="AZ16" s="208">
        <f t="shared" si="3"/>
        <v>0</v>
      </c>
      <c r="BA16" s="508"/>
      <c r="BB16" s="158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198" t="s">
        <v>212</v>
      </c>
      <c r="AT17" s="175" t="s">
        <v>210</v>
      </c>
      <c r="AU17" s="189">
        <f>MAX(SUM(BC22:BK22) - H4 + Z4,0)</f>
        <v>165</v>
      </c>
      <c r="AV17" s="190">
        <f>MAX(SUM(BC23:BK23) - H5 + Z5,0)</f>
        <v>0</v>
      </c>
      <c r="AW17" s="191">
        <f>MAX(SUM(BC24:BK24) - H6 + Z6,0)</f>
        <v>0</v>
      </c>
      <c r="AX17" s="192">
        <f>MAX(SUM(BC25:BK25) - H7 + Z7,0)</f>
        <v>0</v>
      </c>
      <c r="AY17" s="203">
        <f>MAX(SUM(BC26:BK26) - H8 + Z8,0)</f>
        <v>0</v>
      </c>
      <c r="AZ17" s="209">
        <f t="shared" si="3"/>
        <v>165</v>
      </c>
      <c r="BA17" s="508"/>
      <c r="BB17" s="159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72">
        <f t="shared" si="5"/>
        <v>90</v>
      </c>
    </row>
    <row r="18" spans="45:63" ht="15.75" customHeight="1" x14ac:dyDescent="0.25">
      <c r="AS18" s="494" t="s">
        <v>68</v>
      </c>
      <c r="AT18" s="199" t="s">
        <v>210</v>
      </c>
      <c r="AU18" s="516">
        <f>MAX(SUM(BC28:BK32) - G9 + SUM(Z4:Z8),0)</f>
        <v>0</v>
      </c>
      <c r="AV18" s="516"/>
      <c r="AW18" s="516"/>
      <c r="AX18" s="516"/>
      <c r="AY18" s="516"/>
      <c r="AZ18" s="517"/>
      <c r="BA18" s="508"/>
      <c r="BB18" s="170" t="s">
        <v>6</v>
      </c>
      <c r="BC18" s="171">
        <f t="shared" si="5"/>
        <v>0</v>
      </c>
      <c r="BD18" s="171">
        <f t="shared" si="5"/>
        <v>0</v>
      </c>
      <c r="BE18" s="171">
        <f t="shared" si="5"/>
        <v>0</v>
      </c>
      <c r="BF18" s="171">
        <f t="shared" si="5"/>
        <v>0</v>
      </c>
      <c r="BG18" s="171">
        <f t="shared" si="5"/>
        <v>0</v>
      </c>
      <c r="BH18" s="171">
        <f t="shared" si="5"/>
        <v>0</v>
      </c>
      <c r="BI18" s="171">
        <f t="shared" si="5"/>
        <v>0</v>
      </c>
      <c r="BJ18" s="171">
        <f t="shared" si="5"/>
        <v>0</v>
      </c>
      <c r="BK18" s="173">
        <f t="shared" si="5"/>
        <v>90</v>
      </c>
    </row>
    <row r="19" spans="45:63" ht="15.75" customHeight="1" x14ac:dyDescent="0.25">
      <c r="AS19" s="495"/>
      <c r="AT19" s="163" t="s">
        <v>224</v>
      </c>
      <c r="AU19" s="486">
        <f>ROUNDUP(AU18/AP6,0)</f>
        <v>0</v>
      </c>
      <c r="AV19" s="486"/>
      <c r="AW19" s="486"/>
      <c r="AX19" s="486"/>
      <c r="AY19" s="486"/>
      <c r="AZ19" s="487"/>
      <c r="BA19" s="508"/>
      <c r="BB19" s="160" t="s">
        <v>4</v>
      </c>
      <c r="BC19" s="112">
        <f t="shared" si="5"/>
        <v>0</v>
      </c>
      <c r="BD19" s="112">
        <f t="shared" si="5"/>
        <v>0</v>
      </c>
      <c r="BE19" s="112">
        <f t="shared" si="5"/>
        <v>0</v>
      </c>
      <c r="BF19" s="112">
        <f t="shared" si="5"/>
        <v>0</v>
      </c>
      <c r="BG19" s="112">
        <f t="shared" si="5"/>
        <v>0</v>
      </c>
      <c r="BH19" s="112">
        <f t="shared" si="5"/>
        <v>0</v>
      </c>
      <c r="BI19" s="112">
        <f t="shared" si="5"/>
        <v>0</v>
      </c>
      <c r="BJ19" s="112">
        <f t="shared" si="5"/>
        <v>0</v>
      </c>
      <c r="BK19" s="174">
        <f t="shared" si="5"/>
        <v>0</v>
      </c>
    </row>
    <row r="20" spans="45:63" ht="15.75" customHeight="1" x14ac:dyDescent="0.25">
      <c r="AS20" s="495"/>
      <c r="AT20" s="201" t="s">
        <v>225</v>
      </c>
      <c r="AU20" s="514">
        <f>ROUNDUP(AU18/AP11,0)</f>
        <v>0</v>
      </c>
      <c r="AV20" s="514"/>
      <c r="AW20" s="514"/>
      <c r="AX20" s="514"/>
      <c r="AY20" s="514"/>
      <c r="AZ20" s="515"/>
      <c r="BA20" s="509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01">
        <f t="shared" si="5"/>
        <v>90</v>
      </c>
    </row>
    <row r="21" spans="45:63" ht="15.75" customHeight="1" x14ac:dyDescent="0.25">
      <c r="AS21" s="198" t="s">
        <v>92</v>
      </c>
      <c r="AT21" s="175" t="s">
        <v>210</v>
      </c>
      <c r="AU21" s="510">
        <f>MAX(SUM(BC34:BK38) - F10 + SUM(AA4:AA8),0)</f>
        <v>659861980</v>
      </c>
      <c r="AV21" s="510"/>
      <c r="AW21" s="510"/>
      <c r="AX21" s="510"/>
      <c r="AY21" s="510"/>
      <c r="AZ21" s="511"/>
      <c r="BA21" s="507" t="s">
        <v>212</v>
      </c>
      <c r="BB21" s="155"/>
      <c r="BC21" s="155" t="s">
        <v>53</v>
      </c>
      <c r="BD21" s="155" t="s">
        <v>2</v>
      </c>
      <c r="BE21" s="155" t="s">
        <v>72</v>
      </c>
      <c r="BF21" s="155" t="s">
        <v>0</v>
      </c>
      <c r="BG21" s="155" t="s">
        <v>5</v>
      </c>
      <c r="BH21" s="155" t="s">
        <v>8</v>
      </c>
      <c r="BI21" s="155" t="s">
        <v>206</v>
      </c>
      <c r="BJ21" s="155" t="s">
        <v>125</v>
      </c>
      <c r="BK21" s="156" t="s">
        <v>207</v>
      </c>
    </row>
    <row r="22" spans="45:63" ht="15.75" customHeight="1" x14ac:dyDescent="0.25">
      <c r="BA22" s="508"/>
      <c r="BB22" s="158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508"/>
      <c r="BB23" s="159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72">
        <f t="shared" si="6"/>
        <v>80</v>
      </c>
    </row>
    <row r="24" spans="45:63" ht="15.75" customHeight="1" x14ac:dyDescent="0.25">
      <c r="BA24" s="508"/>
      <c r="BB24" s="170" t="s">
        <v>6</v>
      </c>
      <c r="BC24" s="171">
        <f t="shared" si="6"/>
        <v>0</v>
      </c>
      <c r="BD24" s="171">
        <f t="shared" si="6"/>
        <v>0</v>
      </c>
      <c r="BE24" s="171">
        <f t="shared" si="6"/>
        <v>0</v>
      </c>
      <c r="BF24" s="171">
        <f t="shared" si="6"/>
        <v>0</v>
      </c>
      <c r="BG24" s="171">
        <f t="shared" si="6"/>
        <v>0</v>
      </c>
      <c r="BH24" s="171">
        <f t="shared" si="6"/>
        <v>0</v>
      </c>
      <c r="BI24" s="171">
        <f t="shared" si="6"/>
        <v>0</v>
      </c>
      <c r="BJ24" s="171">
        <f t="shared" si="6"/>
        <v>0</v>
      </c>
      <c r="BK24" s="173">
        <f t="shared" si="6"/>
        <v>80</v>
      </c>
    </row>
    <row r="25" spans="45:63" ht="15.75" customHeight="1" x14ac:dyDescent="0.25">
      <c r="BA25" s="508"/>
      <c r="BB25" s="160" t="s">
        <v>4</v>
      </c>
      <c r="BC25" s="112">
        <f t="shared" si="6"/>
        <v>0</v>
      </c>
      <c r="BD25" s="112">
        <f t="shared" si="6"/>
        <v>0</v>
      </c>
      <c r="BE25" s="112">
        <f t="shared" si="6"/>
        <v>0</v>
      </c>
      <c r="BF25" s="112">
        <f t="shared" si="6"/>
        <v>0</v>
      </c>
      <c r="BG25" s="112">
        <f t="shared" si="6"/>
        <v>0</v>
      </c>
      <c r="BH25" s="112">
        <f t="shared" si="6"/>
        <v>0</v>
      </c>
      <c r="BI25" s="112">
        <f t="shared" si="6"/>
        <v>0</v>
      </c>
      <c r="BJ25" s="112">
        <f t="shared" si="6"/>
        <v>0</v>
      </c>
      <c r="BK25" s="174">
        <f t="shared" si="6"/>
        <v>0</v>
      </c>
    </row>
    <row r="26" spans="45:63" ht="15.75" customHeight="1" x14ac:dyDescent="0.25">
      <c r="BA26" s="509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01">
        <f t="shared" si="6"/>
        <v>80</v>
      </c>
    </row>
    <row r="27" spans="45:63" ht="15.75" customHeight="1" x14ac:dyDescent="0.25">
      <c r="BA27" s="507" t="s">
        <v>68</v>
      </c>
      <c r="BB27" s="155"/>
      <c r="BC27" s="155" t="s">
        <v>53</v>
      </c>
      <c r="BD27" s="155" t="s">
        <v>2</v>
      </c>
      <c r="BE27" s="155" t="s">
        <v>72</v>
      </c>
      <c r="BF27" s="155" t="s">
        <v>0</v>
      </c>
      <c r="BG27" s="155" t="s">
        <v>5</v>
      </c>
      <c r="BH27" s="155" t="s">
        <v>8</v>
      </c>
      <c r="BI27" s="155" t="s">
        <v>206</v>
      </c>
      <c r="BJ27" s="155" t="s">
        <v>125</v>
      </c>
      <c r="BK27" s="156" t="s">
        <v>207</v>
      </c>
    </row>
    <row r="28" spans="45:63" ht="15.75" customHeight="1" x14ac:dyDescent="0.25">
      <c r="BA28" s="508"/>
      <c r="BB28" s="158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508"/>
      <c r="BB29" s="159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72">
        <f t="shared" si="7"/>
        <v>46</v>
      </c>
    </row>
    <row r="30" spans="45:63" ht="15.75" customHeight="1" x14ac:dyDescent="0.25">
      <c r="BA30" s="508"/>
      <c r="BB30" s="170" t="s">
        <v>6</v>
      </c>
      <c r="BC30" s="171">
        <f t="shared" si="7"/>
        <v>0</v>
      </c>
      <c r="BD30" s="171">
        <f t="shared" si="7"/>
        <v>0</v>
      </c>
      <c r="BE30" s="171">
        <f t="shared" si="7"/>
        <v>0</v>
      </c>
      <c r="BF30" s="171">
        <f t="shared" si="7"/>
        <v>0</v>
      </c>
      <c r="BG30" s="171">
        <f t="shared" si="7"/>
        <v>0</v>
      </c>
      <c r="BH30" s="171">
        <f t="shared" si="7"/>
        <v>0</v>
      </c>
      <c r="BI30" s="171">
        <f t="shared" si="7"/>
        <v>0</v>
      </c>
      <c r="BJ30" s="171">
        <f t="shared" si="7"/>
        <v>0</v>
      </c>
      <c r="BK30" s="173">
        <f t="shared" si="7"/>
        <v>46</v>
      </c>
    </row>
    <row r="31" spans="45:63" ht="15.75" customHeight="1" x14ac:dyDescent="0.25">
      <c r="BA31" s="508"/>
      <c r="BB31" s="160" t="s">
        <v>4</v>
      </c>
      <c r="BC31" s="112">
        <f t="shared" si="7"/>
        <v>0</v>
      </c>
      <c r="BD31" s="112">
        <f t="shared" si="7"/>
        <v>0</v>
      </c>
      <c r="BE31" s="112">
        <f t="shared" si="7"/>
        <v>0</v>
      </c>
      <c r="BF31" s="112">
        <f t="shared" si="7"/>
        <v>0</v>
      </c>
      <c r="BG31" s="112">
        <f t="shared" si="7"/>
        <v>0</v>
      </c>
      <c r="BH31" s="112">
        <f t="shared" si="7"/>
        <v>0</v>
      </c>
      <c r="BI31" s="112">
        <f t="shared" si="7"/>
        <v>0</v>
      </c>
      <c r="BJ31" s="112">
        <f t="shared" si="7"/>
        <v>0</v>
      </c>
      <c r="BK31" s="174">
        <f t="shared" si="7"/>
        <v>0</v>
      </c>
    </row>
    <row r="32" spans="45:63" ht="15.75" customHeight="1" x14ac:dyDescent="0.25">
      <c r="BA32" s="509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01">
        <f t="shared" si="7"/>
        <v>46</v>
      </c>
    </row>
    <row r="33" spans="53:63" ht="15.75" customHeight="1" x14ac:dyDescent="0.25">
      <c r="BA33" s="507" t="s">
        <v>92</v>
      </c>
      <c r="BB33" s="260"/>
      <c r="BC33" s="260" t="s">
        <v>53</v>
      </c>
      <c r="BD33" s="260" t="s">
        <v>2</v>
      </c>
      <c r="BE33" s="260" t="s">
        <v>72</v>
      </c>
      <c r="BF33" s="260" t="s">
        <v>0</v>
      </c>
      <c r="BG33" s="260" t="s">
        <v>5</v>
      </c>
      <c r="BH33" s="260" t="s">
        <v>8</v>
      </c>
      <c r="BI33" s="260" t="s">
        <v>206</v>
      </c>
      <c r="BJ33" s="260" t="s">
        <v>125</v>
      </c>
      <c r="BK33" s="261" t="s">
        <v>207</v>
      </c>
    </row>
    <row r="34" spans="53:63" ht="15.75" customHeight="1" x14ac:dyDescent="0.25">
      <c r="BA34" s="508"/>
      <c r="BB34" s="263" t="s">
        <v>9</v>
      </c>
      <c r="BC34" s="307">
        <f t="shared" ref="BC34:BK38" si="8">IF(ISBLANK(AC4),0,VLOOKUP(AC4,$I$4:$T$10,12,FALSE))</f>
        <v>0</v>
      </c>
      <c r="BD34" s="307">
        <f t="shared" si="8"/>
        <v>0</v>
      </c>
      <c r="BE34" s="307">
        <f t="shared" si="8"/>
        <v>0</v>
      </c>
      <c r="BF34" s="307">
        <f t="shared" si="8"/>
        <v>0</v>
      </c>
      <c r="BG34" s="307">
        <f t="shared" si="8"/>
        <v>0</v>
      </c>
      <c r="BH34" s="307">
        <f t="shared" si="8"/>
        <v>0</v>
      </c>
      <c r="BI34" s="307">
        <f t="shared" si="8"/>
        <v>0</v>
      </c>
      <c r="BJ34" s="307">
        <f t="shared" si="8"/>
        <v>0</v>
      </c>
      <c r="BK34" s="308">
        <f t="shared" si="8"/>
        <v>25000000</v>
      </c>
    </row>
    <row r="35" spans="53:63" ht="15.75" customHeight="1" x14ac:dyDescent="0.25">
      <c r="BA35" s="508"/>
      <c r="BB35" s="264" t="s">
        <v>7</v>
      </c>
      <c r="BC35" s="309">
        <f t="shared" si="8"/>
        <v>0</v>
      </c>
      <c r="BD35" s="309">
        <f t="shared" si="8"/>
        <v>0</v>
      </c>
      <c r="BE35" s="309">
        <f t="shared" si="8"/>
        <v>0</v>
      </c>
      <c r="BF35" s="309">
        <f t="shared" si="8"/>
        <v>0</v>
      </c>
      <c r="BG35" s="309">
        <f t="shared" si="8"/>
        <v>0</v>
      </c>
      <c r="BH35" s="309">
        <f t="shared" si="8"/>
        <v>0</v>
      </c>
      <c r="BI35" s="309">
        <f t="shared" si="8"/>
        <v>0</v>
      </c>
      <c r="BJ35" s="309">
        <f t="shared" si="8"/>
        <v>0</v>
      </c>
      <c r="BK35" s="310">
        <f t="shared" si="8"/>
        <v>25000000</v>
      </c>
    </row>
    <row r="36" spans="53:63" ht="15.75" customHeight="1" x14ac:dyDescent="0.25">
      <c r="BA36" s="508"/>
      <c r="BB36" s="170" t="s">
        <v>6</v>
      </c>
      <c r="BC36" s="311">
        <f t="shared" si="8"/>
        <v>0</v>
      </c>
      <c r="BD36" s="311">
        <f t="shared" si="8"/>
        <v>0</v>
      </c>
      <c r="BE36" s="311">
        <f t="shared" si="8"/>
        <v>0</v>
      </c>
      <c r="BF36" s="311">
        <f t="shared" si="8"/>
        <v>0</v>
      </c>
      <c r="BG36" s="311">
        <f t="shared" si="8"/>
        <v>0</v>
      </c>
      <c r="BH36" s="311">
        <f t="shared" si="8"/>
        <v>0</v>
      </c>
      <c r="BI36" s="311">
        <f t="shared" si="8"/>
        <v>0</v>
      </c>
      <c r="BJ36" s="311">
        <f t="shared" si="8"/>
        <v>0</v>
      </c>
      <c r="BK36" s="312">
        <f t="shared" si="8"/>
        <v>25000000</v>
      </c>
    </row>
    <row r="37" spans="53:63" ht="15.75" customHeight="1" x14ac:dyDescent="0.25">
      <c r="BA37" s="508"/>
      <c r="BB37" s="265" t="s">
        <v>4</v>
      </c>
      <c r="BC37" s="313">
        <f t="shared" si="8"/>
        <v>0</v>
      </c>
      <c r="BD37" s="313">
        <f t="shared" si="8"/>
        <v>0</v>
      </c>
      <c r="BE37" s="313">
        <f t="shared" si="8"/>
        <v>0</v>
      </c>
      <c r="BF37" s="313">
        <f t="shared" si="8"/>
        <v>0</v>
      </c>
      <c r="BG37" s="313">
        <f t="shared" si="8"/>
        <v>0</v>
      </c>
      <c r="BH37" s="313">
        <f t="shared" si="8"/>
        <v>0</v>
      </c>
      <c r="BI37" s="313">
        <f t="shared" si="8"/>
        <v>0</v>
      </c>
      <c r="BJ37" s="313">
        <f t="shared" si="8"/>
        <v>0</v>
      </c>
      <c r="BK37" s="314">
        <f t="shared" si="8"/>
        <v>0</v>
      </c>
    </row>
    <row r="38" spans="53:63" ht="15.75" customHeight="1" x14ac:dyDescent="0.25">
      <c r="BA38" s="509"/>
      <c r="BB38" s="12" t="s">
        <v>3</v>
      </c>
      <c r="BC38" s="315">
        <f t="shared" si="8"/>
        <v>0</v>
      </c>
      <c r="BD38" s="315">
        <f t="shared" si="8"/>
        <v>0</v>
      </c>
      <c r="BE38" s="315">
        <f t="shared" si="8"/>
        <v>0</v>
      </c>
      <c r="BF38" s="315">
        <f t="shared" si="8"/>
        <v>0</v>
      </c>
      <c r="BG38" s="315">
        <f t="shared" si="8"/>
        <v>0</v>
      </c>
      <c r="BH38" s="315">
        <f t="shared" si="8"/>
        <v>0</v>
      </c>
      <c r="BI38" s="315">
        <f t="shared" si="8"/>
        <v>0</v>
      </c>
      <c r="BJ38" s="315">
        <f t="shared" si="8"/>
        <v>0</v>
      </c>
      <c r="BK38" s="316">
        <f t="shared" si="8"/>
        <v>25000000</v>
      </c>
    </row>
  </sheetData>
  <mergeCells count="29"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</mergeCells>
  <conditionalFormatting sqref="J4:N10">
    <cfRule type="cellIs" dxfId="57" priority="8" operator="equal">
      <formula>"X"</formula>
    </cfRule>
    <cfRule type="cellIs" dxfId="56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437" activePane="bottomLeft" state="frozen"/>
      <selection pane="bottomLeft" activeCell="M405" sqref="M405"/>
    </sheetView>
  </sheetViews>
  <sheetFormatPr defaultColWidth="6.7109375" defaultRowHeight="15" x14ac:dyDescent="0.25"/>
  <cols>
    <col min="1" max="1" width="6.7109375" style="152"/>
    <col min="2" max="2" width="6.7109375" style="211"/>
    <col min="3" max="6" width="6.7109375" style="152"/>
    <col min="7" max="7" width="6.7109375" style="162"/>
    <col min="8" max="8" width="6.7109375" style="152"/>
    <col min="9" max="10" width="6.7109375" style="1"/>
    <col min="11" max="11" width="6.7109375" style="152"/>
    <col min="12" max="12" width="6.7109375" style="211"/>
    <col min="13" max="17" width="6.7109375" style="152"/>
    <col min="18" max="18" width="6.7109375" style="162"/>
    <col min="19" max="20" width="6.7109375" style="152"/>
    <col min="21" max="16384" width="6.7109375" style="1"/>
  </cols>
  <sheetData>
    <row r="1" spans="1:23" s="157" customFormat="1" ht="15" customHeight="1" x14ac:dyDescent="0.25">
      <c r="A1" s="518" t="s">
        <v>67</v>
      </c>
      <c r="B1" s="518"/>
      <c r="C1" s="518"/>
      <c r="D1" s="518"/>
      <c r="E1" s="518"/>
      <c r="F1" s="518"/>
      <c r="G1" s="518"/>
      <c r="H1" s="518"/>
      <c r="I1" s="518"/>
      <c r="J1" s="518"/>
      <c r="K1" s="518" t="s">
        <v>71</v>
      </c>
      <c r="L1" s="518"/>
      <c r="M1" s="518"/>
      <c r="N1" s="518"/>
      <c r="O1" s="518"/>
      <c r="P1" s="518"/>
      <c r="Q1" s="518"/>
      <c r="R1" s="518"/>
      <c r="S1" s="518"/>
      <c r="T1" s="518"/>
      <c r="U1" s="518"/>
      <c r="V1" s="518"/>
      <c r="W1" s="21"/>
    </row>
    <row r="2" spans="1:23" s="157" customFormat="1" ht="15" customHeight="1" x14ac:dyDescent="0.25">
      <c r="A2" s="518" t="s">
        <v>204</v>
      </c>
      <c r="B2" s="518"/>
      <c r="C2" s="518"/>
      <c r="D2" s="518"/>
      <c r="E2" s="518"/>
      <c r="F2" s="518" t="s">
        <v>86</v>
      </c>
      <c r="G2" s="518"/>
      <c r="H2" s="518"/>
      <c r="I2" s="518"/>
      <c r="J2" s="518"/>
      <c r="K2" s="518" t="s">
        <v>204</v>
      </c>
      <c r="L2" s="518"/>
      <c r="M2" s="518"/>
      <c r="N2" s="518"/>
      <c r="O2" s="518"/>
      <c r="P2" s="518"/>
      <c r="Q2" s="518" t="s">
        <v>86</v>
      </c>
      <c r="R2" s="518"/>
      <c r="S2" s="518"/>
      <c r="T2" s="518"/>
      <c r="U2" s="518"/>
      <c r="V2" s="518"/>
      <c r="W2" s="21"/>
    </row>
    <row r="3" spans="1:23" s="157" customFormat="1" ht="15" customHeight="1" x14ac:dyDescent="0.25">
      <c r="A3" s="518" t="s">
        <v>202</v>
      </c>
      <c r="B3" s="518"/>
      <c r="C3" s="518"/>
      <c r="D3" s="518" t="s">
        <v>203</v>
      </c>
      <c r="E3" s="518"/>
      <c r="F3" s="518" t="s">
        <v>202</v>
      </c>
      <c r="G3" s="518"/>
      <c r="H3" s="518"/>
      <c r="I3" s="518" t="s">
        <v>203</v>
      </c>
      <c r="J3" s="518"/>
      <c r="K3" s="518" t="s">
        <v>202</v>
      </c>
      <c r="L3" s="518"/>
      <c r="M3" s="518"/>
      <c r="N3" s="518"/>
      <c r="O3" s="518" t="s">
        <v>203</v>
      </c>
      <c r="P3" s="518"/>
      <c r="Q3" s="518" t="s">
        <v>202</v>
      </c>
      <c r="R3" s="518"/>
      <c r="S3" s="518"/>
      <c r="T3" s="518"/>
      <c r="U3" s="518" t="s">
        <v>203</v>
      </c>
      <c r="V3" s="518"/>
      <c r="W3" s="21"/>
    </row>
    <row r="4" spans="1:23" s="157" customFormat="1" ht="15" customHeight="1" x14ac:dyDescent="0.25">
      <c r="A4" s="157" t="s">
        <v>66</v>
      </c>
      <c r="B4" s="213" t="s">
        <v>68</v>
      </c>
      <c r="C4" s="157" t="s">
        <v>69</v>
      </c>
      <c r="D4" s="157" t="s">
        <v>66</v>
      </c>
      <c r="E4" s="157" t="s">
        <v>69</v>
      </c>
      <c r="F4" s="157" t="s">
        <v>66</v>
      </c>
      <c r="G4" s="164" t="s">
        <v>68</v>
      </c>
      <c r="H4" s="157" t="s">
        <v>69</v>
      </c>
      <c r="I4" s="157" t="s">
        <v>66</v>
      </c>
      <c r="J4" s="157" t="s">
        <v>69</v>
      </c>
      <c r="K4" s="157" t="s">
        <v>66</v>
      </c>
      <c r="L4" s="213" t="s">
        <v>68</v>
      </c>
      <c r="M4" s="157" t="s">
        <v>69</v>
      </c>
      <c r="N4" s="157" t="s">
        <v>70</v>
      </c>
      <c r="O4" s="157" t="s">
        <v>69</v>
      </c>
      <c r="P4" s="157" t="s">
        <v>70</v>
      </c>
      <c r="Q4" s="157" t="s">
        <v>66</v>
      </c>
      <c r="R4" s="164" t="s">
        <v>68</v>
      </c>
      <c r="S4" s="157" t="s">
        <v>69</v>
      </c>
      <c r="T4" s="157" t="s">
        <v>70</v>
      </c>
      <c r="U4" s="157" t="s">
        <v>69</v>
      </c>
      <c r="V4" s="157" t="s">
        <v>70</v>
      </c>
    </row>
    <row r="5" spans="1:23" s="60" customFormat="1" ht="15.75" customHeight="1" x14ac:dyDescent="0.25">
      <c r="A5" s="161">
        <v>5</v>
      </c>
      <c r="B5" s="214"/>
      <c r="C5" s="161">
        <v>3</v>
      </c>
      <c r="D5" s="161">
        <v>3</v>
      </c>
      <c r="E5" s="161">
        <v>1</v>
      </c>
      <c r="F5" s="161">
        <v>7</v>
      </c>
      <c r="G5" s="168"/>
      <c r="H5" s="161">
        <v>5</v>
      </c>
      <c r="I5" s="60">
        <v>5</v>
      </c>
      <c r="J5" s="60">
        <v>1</v>
      </c>
      <c r="K5" s="161">
        <v>9</v>
      </c>
      <c r="L5" s="214"/>
      <c r="M5" s="161">
        <v>2</v>
      </c>
      <c r="N5" s="161">
        <v>4</v>
      </c>
      <c r="O5" s="161">
        <v>2</v>
      </c>
      <c r="P5" s="161">
        <v>1</v>
      </c>
      <c r="Q5" s="161">
        <v>13</v>
      </c>
      <c r="R5" s="168"/>
      <c r="S5" s="161">
        <v>4</v>
      </c>
      <c r="T5" s="161">
        <v>6</v>
      </c>
      <c r="U5" s="60">
        <v>4</v>
      </c>
      <c r="V5" s="60">
        <v>2</v>
      </c>
    </row>
    <row r="6" spans="1:23" x14ac:dyDescent="0.25">
      <c r="A6" s="34"/>
      <c r="B6" s="212"/>
      <c r="C6" s="34"/>
      <c r="F6" s="34">
        <v>7</v>
      </c>
      <c r="G6" s="169"/>
      <c r="H6" s="34">
        <v>5</v>
      </c>
      <c r="I6" s="1">
        <v>3</v>
      </c>
      <c r="J6" s="1">
        <v>1</v>
      </c>
      <c r="K6" s="152">
        <v>9</v>
      </c>
      <c r="L6" s="211">
        <v>1</v>
      </c>
      <c r="M6" s="152">
        <v>3</v>
      </c>
      <c r="N6" s="152">
        <v>4</v>
      </c>
      <c r="O6" s="152">
        <v>3</v>
      </c>
      <c r="P6" s="152">
        <v>1</v>
      </c>
      <c r="Q6" s="152">
        <v>12</v>
      </c>
      <c r="S6" s="152">
        <v>3</v>
      </c>
      <c r="T6" s="152">
        <v>4</v>
      </c>
      <c r="U6" s="1">
        <v>4</v>
      </c>
      <c r="V6" s="1">
        <v>3</v>
      </c>
    </row>
    <row r="7" spans="1:23" x14ac:dyDescent="0.25">
      <c r="A7" s="34"/>
      <c r="B7" s="212"/>
      <c r="C7" s="34"/>
      <c r="F7" s="34">
        <v>7</v>
      </c>
      <c r="G7" s="169"/>
      <c r="H7" s="34">
        <v>5</v>
      </c>
      <c r="I7" s="1">
        <v>5</v>
      </c>
      <c r="J7" s="1">
        <v>2</v>
      </c>
      <c r="K7" s="152">
        <v>9</v>
      </c>
      <c r="L7" s="211">
        <v>1</v>
      </c>
      <c r="M7" s="152">
        <v>2</v>
      </c>
      <c r="N7" s="152">
        <v>4</v>
      </c>
      <c r="O7" s="152">
        <v>3</v>
      </c>
      <c r="P7" s="152">
        <v>1</v>
      </c>
      <c r="Q7" s="152">
        <v>11</v>
      </c>
      <c r="S7" s="152">
        <v>4</v>
      </c>
      <c r="T7" s="152">
        <v>6</v>
      </c>
      <c r="U7" s="1">
        <v>4</v>
      </c>
      <c r="V7" s="1">
        <v>2</v>
      </c>
    </row>
    <row r="8" spans="1:23" x14ac:dyDescent="0.25">
      <c r="A8" s="34"/>
      <c r="B8" s="212"/>
      <c r="C8" s="34"/>
      <c r="F8" s="34">
        <v>7</v>
      </c>
      <c r="G8" s="169"/>
      <c r="H8" s="34">
        <v>5</v>
      </c>
      <c r="I8" s="1">
        <v>5</v>
      </c>
      <c r="J8" s="1">
        <v>1</v>
      </c>
      <c r="K8" s="152">
        <v>9</v>
      </c>
      <c r="L8" s="211">
        <v>1</v>
      </c>
      <c r="M8" s="152">
        <v>3</v>
      </c>
      <c r="N8" s="152">
        <v>4</v>
      </c>
      <c r="O8" s="152">
        <v>2</v>
      </c>
      <c r="P8" s="152">
        <v>1</v>
      </c>
      <c r="Q8" s="152">
        <v>12</v>
      </c>
      <c r="S8" s="152">
        <v>4</v>
      </c>
      <c r="T8" s="152">
        <v>5</v>
      </c>
      <c r="U8" s="1">
        <v>4</v>
      </c>
      <c r="V8" s="1">
        <v>2</v>
      </c>
    </row>
    <row r="9" spans="1:23" x14ac:dyDescent="0.25">
      <c r="A9" s="34"/>
      <c r="B9" s="212"/>
      <c r="C9" s="34"/>
      <c r="F9" s="34">
        <v>7</v>
      </c>
      <c r="G9" s="169"/>
      <c r="H9" s="34">
        <v>5</v>
      </c>
      <c r="I9" s="1">
        <v>3</v>
      </c>
      <c r="J9" s="1">
        <v>1</v>
      </c>
      <c r="K9" s="152">
        <v>9</v>
      </c>
      <c r="L9" s="211">
        <v>1</v>
      </c>
      <c r="M9" s="152">
        <v>3</v>
      </c>
      <c r="N9" s="152">
        <v>4</v>
      </c>
      <c r="O9" s="152">
        <v>3</v>
      </c>
      <c r="P9" s="152">
        <v>1</v>
      </c>
      <c r="Q9" s="152">
        <v>12</v>
      </c>
      <c r="S9" s="152">
        <v>4</v>
      </c>
      <c r="T9" s="152">
        <v>6</v>
      </c>
      <c r="U9" s="1">
        <v>3</v>
      </c>
      <c r="V9" s="1">
        <v>1</v>
      </c>
    </row>
    <row r="10" spans="1:23" x14ac:dyDescent="0.25">
      <c r="A10" s="34"/>
      <c r="B10" s="212"/>
      <c r="C10" s="34"/>
      <c r="F10" s="34">
        <v>7</v>
      </c>
      <c r="G10" s="169"/>
      <c r="H10" s="34">
        <v>5</v>
      </c>
      <c r="I10" s="1">
        <v>3</v>
      </c>
      <c r="J10" s="1">
        <v>1</v>
      </c>
      <c r="K10" s="152">
        <v>9</v>
      </c>
      <c r="L10" s="211">
        <v>1</v>
      </c>
      <c r="M10" s="152">
        <v>2</v>
      </c>
      <c r="N10" s="152">
        <v>4</v>
      </c>
      <c r="O10" s="152">
        <v>3</v>
      </c>
      <c r="P10" s="152">
        <v>1</v>
      </c>
      <c r="Q10" s="152">
        <v>12</v>
      </c>
      <c r="S10" s="152">
        <v>3</v>
      </c>
      <c r="T10" s="152">
        <v>5</v>
      </c>
      <c r="U10" s="1">
        <v>3</v>
      </c>
      <c r="V10" s="1">
        <v>2</v>
      </c>
    </row>
    <row r="11" spans="1:23" x14ac:dyDescent="0.25">
      <c r="A11" s="34"/>
      <c r="B11" s="212"/>
      <c r="C11" s="34"/>
      <c r="F11" s="34">
        <v>7</v>
      </c>
      <c r="G11" s="169"/>
      <c r="H11" s="34">
        <v>5</v>
      </c>
      <c r="I11" s="1">
        <v>5</v>
      </c>
      <c r="J11" s="1">
        <v>2</v>
      </c>
      <c r="K11" s="152">
        <v>10</v>
      </c>
      <c r="L11" s="211">
        <v>1</v>
      </c>
      <c r="M11" s="152">
        <v>3</v>
      </c>
      <c r="N11" s="152">
        <v>4</v>
      </c>
      <c r="O11" s="152">
        <v>2</v>
      </c>
      <c r="P11" s="152">
        <v>1</v>
      </c>
      <c r="Q11" s="152">
        <v>11</v>
      </c>
      <c r="S11" s="152">
        <v>3</v>
      </c>
      <c r="T11" s="152">
        <v>5</v>
      </c>
      <c r="U11" s="1">
        <v>3</v>
      </c>
      <c r="V11" s="1">
        <v>1</v>
      </c>
    </row>
    <row r="12" spans="1:23" x14ac:dyDescent="0.25">
      <c r="A12" s="34"/>
      <c r="B12" s="212"/>
      <c r="C12" s="34"/>
      <c r="F12" s="34">
        <v>7</v>
      </c>
      <c r="G12" s="169"/>
      <c r="H12" s="34">
        <v>5</v>
      </c>
      <c r="I12" s="1">
        <v>4</v>
      </c>
      <c r="J12" s="1">
        <v>1</v>
      </c>
      <c r="K12" s="152">
        <v>9</v>
      </c>
      <c r="L12" s="211">
        <v>1</v>
      </c>
      <c r="M12" s="152">
        <v>2</v>
      </c>
      <c r="N12" s="152">
        <v>4</v>
      </c>
      <c r="O12" s="152">
        <v>3</v>
      </c>
      <c r="P12" s="152">
        <v>1</v>
      </c>
      <c r="Q12" s="152">
        <v>12</v>
      </c>
      <c r="S12" s="152">
        <v>4</v>
      </c>
      <c r="T12" s="152">
        <v>5</v>
      </c>
      <c r="U12" s="1">
        <v>3</v>
      </c>
      <c r="V12" s="1">
        <v>2</v>
      </c>
    </row>
    <row r="13" spans="1:23" x14ac:dyDescent="0.25">
      <c r="A13" s="34"/>
      <c r="B13" s="212"/>
      <c r="C13" s="34"/>
      <c r="F13" s="34">
        <v>7</v>
      </c>
      <c r="G13" s="169"/>
      <c r="H13" s="34">
        <v>5</v>
      </c>
      <c r="I13" s="1">
        <v>4</v>
      </c>
      <c r="J13" s="1">
        <v>2</v>
      </c>
      <c r="K13" s="152">
        <v>9</v>
      </c>
      <c r="L13" s="211">
        <v>1</v>
      </c>
      <c r="M13" s="152">
        <v>3</v>
      </c>
      <c r="N13" s="152">
        <v>4</v>
      </c>
      <c r="O13" s="152">
        <v>3</v>
      </c>
      <c r="P13" s="152">
        <v>1</v>
      </c>
      <c r="Q13" s="152">
        <v>12</v>
      </c>
      <c r="S13" s="152">
        <v>4</v>
      </c>
      <c r="T13" s="152">
        <v>5</v>
      </c>
      <c r="U13" s="1">
        <v>4</v>
      </c>
      <c r="V13" s="1">
        <v>2</v>
      </c>
    </row>
    <row r="14" spans="1:23" x14ac:dyDescent="0.25">
      <c r="A14" s="34"/>
      <c r="B14" s="212"/>
      <c r="C14" s="34"/>
      <c r="F14" s="34">
        <v>7</v>
      </c>
      <c r="G14" s="169"/>
      <c r="H14" s="34">
        <v>5</v>
      </c>
      <c r="I14" s="1">
        <v>3</v>
      </c>
      <c r="J14" s="1">
        <v>2</v>
      </c>
      <c r="K14" s="152">
        <v>9</v>
      </c>
      <c r="L14" s="211">
        <v>1</v>
      </c>
      <c r="M14" s="152">
        <v>3</v>
      </c>
      <c r="N14" s="152">
        <v>4</v>
      </c>
      <c r="O14" s="152">
        <v>3</v>
      </c>
      <c r="P14" s="152">
        <v>1</v>
      </c>
      <c r="Q14" s="152">
        <v>12</v>
      </c>
      <c r="S14" s="152">
        <v>3</v>
      </c>
      <c r="T14" s="152">
        <v>5</v>
      </c>
      <c r="U14" s="1">
        <v>3</v>
      </c>
      <c r="V14" s="1">
        <v>2</v>
      </c>
    </row>
    <row r="15" spans="1:23" x14ac:dyDescent="0.25">
      <c r="A15" s="34"/>
      <c r="B15" s="212"/>
      <c r="C15" s="34"/>
      <c r="F15" s="34">
        <v>7</v>
      </c>
      <c r="G15" s="169"/>
      <c r="H15" s="34">
        <v>5</v>
      </c>
      <c r="I15" s="1">
        <v>5</v>
      </c>
      <c r="J15" s="1">
        <v>1</v>
      </c>
      <c r="K15" s="152">
        <v>9</v>
      </c>
      <c r="L15" s="211">
        <v>1</v>
      </c>
      <c r="M15" s="152">
        <v>3</v>
      </c>
      <c r="N15" s="152">
        <v>4</v>
      </c>
      <c r="O15" s="152">
        <v>3</v>
      </c>
      <c r="P15" s="152">
        <v>1</v>
      </c>
      <c r="Q15" s="152">
        <v>11</v>
      </c>
      <c r="S15" s="152">
        <v>4</v>
      </c>
      <c r="T15" s="152">
        <v>6</v>
      </c>
      <c r="U15" s="1">
        <v>4</v>
      </c>
      <c r="V15" s="1">
        <v>2</v>
      </c>
    </row>
    <row r="16" spans="1:23" x14ac:dyDescent="0.25">
      <c r="A16" s="34"/>
      <c r="B16" s="212"/>
      <c r="C16" s="34"/>
      <c r="F16" s="34">
        <v>7</v>
      </c>
      <c r="G16" s="169"/>
      <c r="H16" s="34">
        <v>5</v>
      </c>
      <c r="I16" s="1">
        <v>4</v>
      </c>
      <c r="J16" s="1">
        <v>2</v>
      </c>
      <c r="K16" s="152">
        <v>9</v>
      </c>
      <c r="L16" s="211">
        <v>1</v>
      </c>
      <c r="M16" s="152">
        <v>2</v>
      </c>
      <c r="N16" s="152">
        <v>4</v>
      </c>
      <c r="O16" s="152">
        <v>2</v>
      </c>
      <c r="P16" s="152">
        <v>1</v>
      </c>
      <c r="Q16" s="152">
        <v>13</v>
      </c>
      <c r="S16" s="152">
        <v>3</v>
      </c>
      <c r="T16" s="152">
        <v>5</v>
      </c>
      <c r="U16" s="1">
        <v>4</v>
      </c>
      <c r="V16" s="1">
        <v>2</v>
      </c>
    </row>
    <row r="17" spans="1:22" x14ac:dyDescent="0.25">
      <c r="A17" s="34"/>
      <c r="B17" s="212"/>
      <c r="C17" s="34"/>
      <c r="F17" s="34">
        <v>7</v>
      </c>
      <c r="G17" s="169"/>
      <c r="H17" s="34">
        <v>5</v>
      </c>
      <c r="I17" s="1">
        <v>3</v>
      </c>
      <c r="J17" s="1">
        <v>1</v>
      </c>
      <c r="K17" s="152">
        <v>9</v>
      </c>
      <c r="L17" s="211">
        <v>1</v>
      </c>
      <c r="M17" s="152">
        <v>3</v>
      </c>
      <c r="N17" s="152">
        <v>4</v>
      </c>
      <c r="O17" s="152">
        <v>3</v>
      </c>
      <c r="P17" s="152">
        <v>1</v>
      </c>
      <c r="Q17" s="152">
        <v>13</v>
      </c>
      <c r="S17" s="152">
        <v>3</v>
      </c>
      <c r="T17" s="152">
        <v>6</v>
      </c>
      <c r="U17" s="1">
        <v>3</v>
      </c>
      <c r="V17" s="1">
        <v>2</v>
      </c>
    </row>
    <row r="18" spans="1:22" x14ac:dyDescent="0.25">
      <c r="A18" s="34"/>
      <c r="B18" s="212"/>
      <c r="C18" s="34"/>
      <c r="F18" s="34">
        <v>7</v>
      </c>
      <c r="G18" s="169"/>
      <c r="H18" s="34">
        <v>5</v>
      </c>
      <c r="I18" s="1">
        <v>5</v>
      </c>
      <c r="J18" s="1">
        <v>2</v>
      </c>
      <c r="K18" s="152">
        <v>9</v>
      </c>
      <c r="L18" s="211">
        <v>1</v>
      </c>
      <c r="M18" s="152">
        <v>2</v>
      </c>
      <c r="N18" s="152">
        <v>4</v>
      </c>
      <c r="O18" s="152">
        <v>3</v>
      </c>
      <c r="P18" s="152">
        <v>1</v>
      </c>
      <c r="Q18" s="152">
        <v>11</v>
      </c>
      <c r="S18" s="152">
        <v>3</v>
      </c>
      <c r="T18" s="152">
        <v>6</v>
      </c>
      <c r="U18" s="1">
        <v>4</v>
      </c>
      <c r="V18" s="1">
        <v>1</v>
      </c>
    </row>
    <row r="19" spans="1:22" x14ac:dyDescent="0.25">
      <c r="F19" s="152">
        <v>7</v>
      </c>
      <c r="H19" s="152">
        <v>5</v>
      </c>
      <c r="I19" s="1">
        <v>3</v>
      </c>
      <c r="J19" s="1">
        <v>2</v>
      </c>
      <c r="K19" s="152">
        <v>9</v>
      </c>
      <c r="L19" s="211">
        <v>0</v>
      </c>
      <c r="M19" s="152">
        <v>3</v>
      </c>
      <c r="N19" s="152">
        <v>4</v>
      </c>
      <c r="O19" s="152">
        <v>3</v>
      </c>
      <c r="P19" s="152">
        <v>1</v>
      </c>
      <c r="Q19" s="152">
        <v>11</v>
      </c>
      <c r="S19" s="152">
        <v>3</v>
      </c>
      <c r="T19" s="152">
        <v>5</v>
      </c>
      <c r="U19" s="1">
        <v>3</v>
      </c>
      <c r="V19" s="1">
        <v>2</v>
      </c>
    </row>
    <row r="20" spans="1:22" x14ac:dyDescent="0.25">
      <c r="F20" s="152">
        <v>7</v>
      </c>
      <c r="H20" s="152">
        <v>5</v>
      </c>
      <c r="I20" s="1">
        <v>4</v>
      </c>
      <c r="J20" s="1">
        <v>1</v>
      </c>
      <c r="K20" s="152">
        <v>9</v>
      </c>
      <c r="L20" s="211">
        <v>1</v>
      </c>
      <c r="M20" s="152">
        <v>3</v>
      </c>
      <c r="N20" s="152">
        <v>4</v>
      </c>
      <c r="O20" s="152">
        <v>3</v>
      </c>
      <c r="P20" s="152">
        <v>1</v>
      </c>
      <c r="Q20" s="152">
        <v>11</v>
      </c>
      <c r="S20" s="152">
        <v>3</v>
      </c>
      <c r="T20" s="152">
        <v>5</v>
      </c>
      <c r="U20" s="1">
        <v>4</v>
      </c>
      <c r="V20" s="1">
        <v>2</v>
      </c>
    </row>
    <row r="21" spans="1:22" x14ac:dyDescent="0.25">
      <c r="F21" s="152">
        <v>7</v>
      </c>
      <c r="H21" s="152">
        <v>5</v>
      </c>
      <c r="I21" s="1">
        <v>5</v>
      </c>
      <c r="J21" s="1">
        <v>1</v>
      </c>
      <c r="K21" s="325">
        <v>9</v>
      </c>
      <c r="L21" s="325">
        <v>1</v>
      </c>
      <c r="M21" s="325">
        <v>3</v>
      </c>
      <c r="N21" s="325">
        <v>4</v>
      </c>
      <c r="O21" s="325">
        <v>3</v>
      </c>
      <c r="P21" s="325">
        <v>1</v>
      </c>
      <c r="Q21" s="152">
        <v>13</v>
      </c>
      <c r="S21" s="152">
        <v>4</v>
      </c>
      <c r="T21" s="152">
        <v>5</v>
      </c>
      <c r="U21" s="1">
        <v>4</v>
      </c>
      <c r="V21" s="1">
        <v>2</v>
      </c>
    </row>
    <row r="22" spans="1:22" x14ac:dyDescent="0.25">
      <c r="F22" s="152">
        <v>7</v>
      </c>
      <c r="H22" s="152">
        <v>5</v>
      </c>
      <c r="I22" s="1">
        <v>3</v>
      </c>
      <c r="J22" s="1">
        <v>2</v>
      </c>
      <c r="K22" s="152">
        <v>9</v>
      </c>
      <c r="L22" s="211">
        <v>1</v>
      </c>
      <c r="M22" s="152">
        <v>3</v>
      </c>
      <c r="N22" s="152">
        <v>4</v>
      </c>
      <c r="O22" s="152">
        <v>3</v>
      </c>
      <c r="P22" s="152">
        <v>1</v>
      </c>
      <c r="Q22" s="152">
        <v>11</v>
      </c>
      <c r="S22" s="152">
        <v>3</v>
      </c>
      <c r="T22" s="152">
        <v>5</v>
      </c>
      <c r="U22" s="1">
        <v>4</v>
      </c>
      <c r="V22" s="1">
        <v>2</v>
      </c>
    </row>
    <row r="23" spans="1:22" x14ac:dyDescent="0.25">
      <c r="F23" s="152">
        <v>7</v>
      </c>
      <c r="H23" s="152">
        <v>5</v>
      </c>
      <c r="I23" s="1">
        <v>3</v>
      </c>
      <c r="J23" s="1">
        <v>1</v>
      </c>
      <c r="K23" s="152">
        <v>9</v>
      </c>
      <c r="L23" s="211">
        <v>1</v>
      </c>
      <c r="M23" s="152">
        <v>3</v>
      </c>
      <c r="N23" s="152">
        <v>4</v>
      </c>
      <c r="O23" s="152">
        <v>2</v>
      </c>
      <c r="P23" s="152">
        <v>1</v>
      </c>
      <c r="Q23" s="152">
        <v>12</v>
      </c>
      <c r="S23" s="152">
        <v>3</v>
      </c>
      <c r="T23" s="152">
        <v>6</v>
      </c>
      <c r="U23" s="1">
        <v>3</v>
      </c>
      <c r="V23" s="1">
        <v>2</v>
      </c>
    </row>
    <row r="24" spans="1:22" x14ac:dyDescent="0.25">
      <c r="F24" s="152">
        <v>7</v>
      </c>
      <c r="H24" s="152">
        <v>5</v>
      </c>
      <c r="I24" s="1">
        <v>3</v>
      </c>
      <c r="J24" s="1">
        <v>2</v>
      </c>
      <c r="K24" s="152">
        <v>9</v>
      </c>
      <c r="L24" s="211">
        <v>1</v>
      </c>
      <c r="M24" s="152">
        <v>3</v>
      </c>
      <c r="N24" s="152">
        <v>4</v>
      </c>
      <c r="O24" s="152">
        <v>3</v>
      </c>
      <c r="P24" s="152">
        <v>1</v>
      </c>
      <c r="Q24" s="152">
        <v>11</v>
      </c>
      <c r="S24" s="152">
        <v>3</v>
      </c>
      <c r="T24" s="152">
        <v>6</v>
      </c>
      <c r="U24" s="1">
        <v>3</v>
      </c>
      <c r="V24" s="1">
        <v>1</v>
      </c>
    </row>
    <row r="25" spans="1:22" x14ac:dyDescent="0.25">
      <c r="F25" s="152">
        <v>7</v>
      </c>
      <c r="H25" s="152">
        <v>5</v>
      </c>
      <c r="I25" s="1">
        <v>5</v>
      </c>
      <c r="J25" s="1">
        <v>1</v>
      </c>
      <c r="K25" s="152">
        <v>10</v>
      </c>
      <c r="L25" s="211">
        <v>1</v>
      </c>
      <c r="M25" s="152">
        <v>3</v>
      </c>
      <c r="N25" s="152">
        <v>4</v>
      </c>
      <c r="O25" s="152">
        <v>3</v>
      </c>
      <c r="P25" s="152">
        <v>1</v>
      </c>
      <c r="Q25" s="152">
        <v>12</v>
      </c>
      <c r="S25" s="152">
        <v>4</v>
      </c>
      <c r="T25" s="152">
        <v>5</v>
      </c>
      <c r="U25" s="1">
        <v>3</v>
      </c>
      <c r="V25" s="1">
        <v>2</v>
      </c>
    </row>
    <row r="26" spans="1:22" x14ac:dyDescent="0.25">
      <c r="F26" s="152">
        <v>7</v>
      </c>
      <c r="H26" s="152">
        <v>5</v>
      </c>
      <c r="I26" s="1">
        <v>4</v>
      </c>
      <c r="J26" s="1">
        <v>2</v>
      </c>
      <c r="K26" s="152">
        <v>9</v>
      </c>
      <c r="L26" s="211">
        <v>1</v>
      </c>
      <c r="M26" s="152">
        <v>3</v>
      </c>
      <c r="N26" s="152">
        <v>4</v>
      </c>
      <c r="O26" s="152">
        <v>3</v>
      </c>
      <c r="P26" s="152">
        <v>1</v>
      </c>
      <c r="Q26" s="152">
        <v>12</v>
      </c>
      <c r="S26" s="152">
        <v>3</v>
      </c>
      <c r="T26" s="152">
        <v>6</v>
      </c>
      <c r="U26" s="1">
        <v>1</v>
      </c>
      <c r="V26" s="1">
        <v>2</v>
      </c>
    </row>
    <row r="27" spans="1:22" x14ac:dyDescent="0.25">
      <c r="F27" s="152">
        <v>7</v>
      </c>
      <c r="H27" s="152">
        <v>5</v>
      </c>
      <c r="I27" s="1">
        <v>3</v>
      </c>
      <c r="J27" s="1">
        <v>2</v>
      </c>
      <c r="Q27" s="152">
        <v>11</v>
      </c>
      <c r="S27" s="152">
        <v>3</v>
      </c>
      <c r="T27" s="152">
        <v>5</v>
      </c>
      <c r="U27" s="1">
        <v>3</v>
      </c>
      <c r="V27" s="1">
        <v>2</v>
      </c>
    </row>
    <row r="28" spans="1:22" x14ac:dyDescent="0.25">
      <c r="F28" s="152">
        <v>7</v>
      </c>
      <c r="H28" s="152">
        <v>5</v>
      </c>
      <c r="I28" s="1">
        <v>4</v>
      </c>
      <c r="J28" s="1">
        <v>2</v>
      </c>
      <c r="Q28" s="152">
        <v>11</v>
      </c>
      <c r="S28" s="152">
        <v>4</v>
      </c>
      <c r="T28" s="152">
        <v>5</v>
      </c>
      <c r="U28" s="1">
        <v>3</v>
      </c>
      <c r="V28" s="1">
        <v>2</v>
      </c>
    </row>
    <row r="29" spans="1:22" x14ac:dyDescent="0.25">
      <c r="F29" s="152">
        <v>7</v>
      </c>
      <c r="H29" s="152">
        <v>5</v>
      </c>
      <c r="I29" s="1">
        <v>3</v>
      </c>
      <c r="J29" s="1">
        <v>2</v>
      </c>
      <c r="Q29" s="152">
        <v>13</v>
      </c>
      <c r="S29" s="152">
        <v>3</v>
      </c>
      <c r="T29" s="152">
        <v>5</v>
      </c>
      <c r="U29" s="1">
        <v>4</v>
      </c>
      <c r="V29" s="1">
        <v>2</v>
      </c>
    </row>
    <row r="30" spans="1:22" x14ac:dyDescent="0.25">
      <c r="F30" s="152">
        <v>7</v>
      </c>
      <c r="H30" s="152">
        <v>5</v>
      </c>
      <c r="I30" s="1">
        <v>4</v>
      </c>
      <c r="J30" s="1">
        <v>1</v>
      </c>
      <c r="Q30" s="152">
        <v>13</v>
      </c>
      <c r="S30" s="152">
        <v>3</v>
      </c>
      <c r="T30" s="152">
        <v>6</v>
      </c>
      <c r="U30" s="1">
        <v>3</v>
      </c>
      <c r="V30" s="1">
        <v>2</v>
      </c>
    </row>
    <row r="31" spans="1:22" x14ac:dyDescent="0.25">
      <c r="F31" s="152">
        <v>7</v>
      </c>
      <c r="H31" s="152">
        <v>5</v>
      </c>
      <c r="I31" s="1">
        <v>5</v>
      </c>
      <c r="J31" s="1">
        <v>1</v>
      </c>
      <c r="Q31" s="152">
        <v>13</v>
      </c>
      <c r="S31" s="152">
        <v>3</v>
      </c>
      <c r="T31" s="152">
        <v>5</v>
      </c>
      <c r="U31" s="1">
        <v>3</v>
      </c>
      <c r="V31" s="1">
        <v>2</v>
      </c>
    </row>
    <row r="32" spans="1:22" x14ac:dyDescent="0.25">
      <c r="F32" s="152">
        <v>7</v>
      </c>
      <c r="H32" s="152">
        <v>5</v>
      </c>
      <c r="I32" s="1">
        <v>3</v>
      </c>
      <c r="J32" s="1">
        <v>1</v>
      </c>
      <c r="Q32" s="152">
        <v>12</v>
      </c>
      <c r="S32" s="152">
        <v>3</v>
      </c>
      <c r="T32" s="152">
        <v>5</v>
      </c>
      <c r="U32" s="1">
        <v>4</v>
      </c>
      <c r="V32" s="1">
        <v>2</v>
      </c>
    </row>
    <row r="33" spans="6:22" x14ac:dyDescent="0.25">
      <c r="F33" s="152">
        <v>7</v>
      </c>
      <c r="H33" s="152">
        <v>5</v>
      </c>
      <c r="I33" s="1">
        <v>3</v>
      </c>
      <c r="J33" s="1">
        <v>2</v>
      </c>
      <c r="Q33" s="152">
        <v>11</v>
      </c>
      <c r="S33" s="152">
        <v>3</v>
      </c>
      <c r="T33" s="152">
        <v>6</v>
      </c>
      <c r="U33" s="1">
        <v>3</v>
      </c>
      <c r="V33" s="1">
        <v>2</v>
      </c>
    </row>
    <row r="34" spans="6:22" x14ac:dyDescent="0.25">
      <c r="F34" s="152">
        <v>7</v>
      </c>
      <c r="H34" s="152">
        <v>5</v>
      </c>
      <c r="I34" s="1">
        <v>3</v>
      </c>
      <c r="J34" s="1">
        <v>2</v>
      </c>
      <c r="Q34" s="152">
        <v>12</v>
      </c>
      <c r="S34" s="152">
        <v>3</v>
      </c>
      <c r="T34" s="152">
        <v>5</v>
      </c>
      <c r="U34" s="1">
        <v>3</v>
      </c>
      <c r="V34" s="1">
        <v>1</v>
      </c>
    </row>
    <row r="35" spans="6:22" x14ac:dyDescent="0.25">
      <c r="F35" s="152">
        <v>7</v>
      </c>
      <c r="H35" s="152">
        <v>5</v>
      </c>
      <c r="I35" s="1">
        <v>3</v>
      </c>
      <c r="J35" s="1">
        <v>1</v>
      </c>
      <c r="Q35" s="152">
        <v>13</v>
      </c>
      <c r="S35" s="152">
        <v>3</v>
      </c>
      <c r="T35" s="152">
        <v>5</v>
      </c>
      <c r="U35" s="1">
        <v>3</v>
      </c>
      <c r="V35" s="1">
        <v>1</v>
      </c>
    </row>
    <row r="36" spans="6:22" x14ac:dyDescent="0.25">
      <c r="F36" s="152">
        <v>7</v>
      </c>
      <c r="H36" s="152">
        <v>5</v>
      </c>
      <c r="I36" s="1">
        <v>4</v>
      </c>
      <c r="J36" s="1">
        <v>2</v>
      </c>
      <c r="Q36" s="152">
        <v>12</v>
      </c>
      <c r="S36" s="152">
        <v>4</v>
      </c>
      <c r="T36" s="152">
        <v>5</v>
      </c>
      <c r="U36" s="1">
        <v>4</v>
      </c>
      <c r="V36" s="1">
        <v>2</v>
      </c>
    </row>
    <row r="37" spans="6:22" x14ac:dyDescent="0.25">
      <c r="F37" s="152">
        <v>7</v>
      </c>
      <c r="H37" s="152">
        <v>5</v>
      </c>
      <c r="I37" s="1">
        <v>3</v>
      </c>
      <c r="J37" s="1">
        <v>2</v>
      </c>
      <c r="Q37" s="152">
        <v>12</v>
      </c>
      <c r="R37" s="162">
        <v>2</v>
      </c>
      <c r="S37" s="152">
        <v>3</v>
      </c>
      <c r="T37" s="152">
        <v>5</v>
      </c>
      <c r="U37" s="1">
        <v>4</v>
      </c>
      <c r="V37" s="1">
        <v>2</v>
      </c>
    </row>
    <row r="38" spans="6:22" x14ac:dyDescent="0.25">
      <c r="F38" s="152">
        <v>7</v>
      </c>
      <c r="H38" s="152">
        <v>5</v>
      </c>
      <c r="I38" s="1">
        <v>4</v>
      </c>
      <c r="J38" s="1">
        <v>1</v>
      </c>
      <c r="Q38" s="152">
        <v>13</v>
      </c>
      <c r="R38" s="162">
        <v>1</v>
      </c>
      <c r="S38" s="152">
        <v>3</v>
      </c>
      <c r="T38" s="152">
        <v>5</v>
      </c>
      <c r="U38" s="1">
        <v>4</v>
      </c>
      <c r="V38" s="1">
        <v>2</v>
      </c>
    </row>
    <row r="39" spans="6:22" x14ac:dyDescent="0.25">
      <c r="F39" s="152">
        <v>7</v>
      </c>
      <c r="H39" s="152">
        <v>5</v>
      </c>
      <c r="I39" s="1">
        <v>3</v>
      </c>
      <c r="J39" s="1">
        <v>1</v>
      </c>
      <c r="Q39" s="152">
        <v>12</v>
      </c>
      <c r="R39" s="162">
        <v>1</v>
      </c>
      <c r="S39" s="152">
        <v>3</v>
      </c>
      <c r="T39" s="152">
        <v>5</v>
      </c>
      <c r="U39" s="1">
        <v>3</v>
      </c>
      <c r="V39" s="1">
        <v>2</v>
      </c>
    </row>
    <row r="40" spans="6:22" x14ac:dyDescent="0.25">
      <c r="F40" s="152">
        <v>7</v>
      </c>
      <c r="H40" s="152">
        <v>5</v>
      </c>
      <c r="I40" s="1">
        <v>3</v>
      </c>
      <c r="J40" s="1">
        <v>1</v>
      </c>
      <c r="Q40" s="152">
        <v>13</v>
      </c>
      <c r="R40" s="162">
        <v>1</v>
      </c>
      <c r="S40" s="152">
        <v>3</v>
      </c>
      <c r="T40" s="152">
        <v>5</v>
      </c>
      <c r="U40" s="1">
        <v>3</v>
      </c>
      <c r="V40" s="1">
        <v>1</v>
      </c>
    </row>
    <row r="41" spans="6:22" x14ac:dyDescent="0.25">
      <c r="F41" s="152">
        <v>7</v>
      </c>
      <c r="H41" s="152">
        <v>5</v>
      </c>
      <c r="I41" s="1">
        <v>3</v>
      </c>
      <c r="J41" s="1">
        <v>2</v>
      </c>
      <c r="Q41" s="152">
        <v>12</v>
      </c>
      <c r="R41" s="162">
        <v>2</v>
      </c>
      <c r="S41" s="152">
        <v>4</v>
      </c>
      <c r="T41" s="152">
        <v>5</v>
      </c>
      <c r="U41" s="1">
        <v>4</v>
      </c>
      <c r="V41" s="1">
        <v>2</v>
      </c>
    </row>
    <row r="42" spans="6:22" x14ac:dyDescent="0.25">
      <c r="F42" s="152">
        <v>7</v>
      </c>
      <c r="H42" s="152">
        <v>5</v>
      </c>
      <c r="I42" s="1">
        <v>4</v>
      </c>
      <c r="J42" s="1">
        <v>1</v>
      </c>
      <c r="Q42" s="152">
        <v>12</v>
      </c>
      <c r="R42" s="162">
        <v>0</v>
      </c>
      <c r="S42" s="152">
        <v>3</v>
      </c>
      <c r="T42" s="152">
        <v>5</v>
      </c>
      <c r="U42" s="1">
        <v>4</v>
      </c>
      <c r="V42" s="1">
        <v>1</v>
      </c>
    </row>
    <row r="43" spans="6:22" x14ac:dyDescent="0.25">
      <c r="F43" s="152">
        <v>7</v>
      </c>
      <c r="H43" s="152">
        <v>5</v>
      </c>
      <c r="I43" s="1">
        <v>3</v>
      </c>
      <c r="J43" s="1">
        <v>2</v>
      </c>
      <c r="Q43" s="152">
        <v>12</v>
      </c>
      <c r="R43" s="162">
        <v>2</v>
      </c>
      <c r="S43" s="152">
        <v>3</v>
      </c>
      <c r="T43" s="152">
        <v>5</v>
      </c>
      <c r="U43" s="1">
        <v>3</v>
      </c>
      <c r="V43" s="1">
        <v>2</v>
      </c>
    </row>
    <row r="44" spans="6:22" x14ac:dyDescent="0.25">
      <c r="F44" s="152">
        <v>7</v>
      </c>
      <c r="H44" s="152">
        <v>5</v>
      </c>
      <c r="I44" s="1">
        <v>3</v>
      </c>
      <c r="J44" s="1">
        <v>1</v>
      </c>
      <c r="Q44" s="152">
        <v>11</v>
      </c>
      <c r="R44" s="162">
        <v>2</v>
      </c>
      <c r="S44" s="152">
        <v>4</v>
      </c>
      <c r="T44" s="152">
        <v>5</v>
      </c>
      <c r="U44" s="1">
        <v>3</v>
      </c>
      <c r="V44" s="1">
        <v>2</v>
      </c>
    </row>
    <row r="45" spans="6:22" x14ac:dyDescent="0.25">
      <c r="F45" s="152">
        <v>7</v>
      </c>
      <c r="H45" s="152">
        <v>5</v>
      </c>
      <c r="I45" s="1">
        <v>4</v>
      </c>
      <c r="J45" s="1">
        <v>1</v>
      </c>
      <c r="Q45" s="152">
        <v>13</v>
      </c>
      <c r="R45" s="162">
        <v>1</v>
      </c>
      <c r="S45" s="152">
        <v>3</v>
      </c>
      <c r="T45" s="152">
        <v>5</v>
      </c>
      <c r="U45" s="1">
        <v>4</v>
      </c>
      <c r="V45" s="1">
        <v>2</v>
      </c>
    </row>
    <row r="46" spans="6:22" x14ac:dyDescent="0.25">
      <c r="F46" s="152">
        <v>7</v>
      </c>
      <c r="H46" s="152">
        <v>5</v>
      </c>
      <c r="I46" s="1">
        <v>4</v>
      </c>
      <c r="J46" s="1">
        <v>1</v>
      </c>
      <c r="Q46" s="152">
        <v>12</v>
      </c>
      <c r="R46" s="162">
        <v>1</v>
      </c>
      <c r="S46" s="152">
        <v>3</v>
      </c>
      <c r="T46" s="152">
        <v>5</v>
      </c>
      <c r="U46" s="1">
        <v>4</v>
      </c>
      <c r="V46" s="1">
        <v>1</v>
      </c>
    </row>
    <row r="47" spans="6:22" x14ac:dyDescent="0.25">
      <c r="F47" s="152">
        <v>7</v>
      </c>
      <c r="H47" s="152">
        <v>5</v>
      </c>
      <c r="I47" s="1">
        <v>4</v>
      </c>
      <c r="J47" s="1">
        <v>1</v>
      </c>
      <c r="Q47" s="152">
        <v>13</v>
      </c>
      <c r="R47" s="162">
        <v>1</v>
      </c>
      <c r="S47" s="152">
        <v>3</v>
      </c>
      <c r="T47" s="152">
        <v>6</v>
      </c>
      <c r="U47" s="1">
        <v>4</v>
      </c>
      <c r="V47" s="1">
        <v>2</v>
      </c>
    </row>
    <row r="48" spans="6:22" x14ac:dyDescent="0.25">
      <c r="F48" s="152">
        <v>7</v>
      </c>
      <c r="H48" s="152">
        <v>5</v>
      </c>
      <c r="I48" s="1">
        <v>5</v>
      </c>
      <c r="J48" s="1">
        <v>2</v>
      </c>
      <c r="Q48" s="152">
        <v>12</v>
      </c>
      <c r="R48" s="162">
        <v>1</v>
      </c>
      <c r="S48" s="152">
        <v>3</v>
      </c>
      <c r="T48" s="152">
        <v>5</v>
      </c>
      <c r="U48" s="1">
        <v>3</v>
      </c>
      <c r="V48" s="1">
        <v>1</v>
      </c>
    </row>
    <row r="49" spans="6:22" x14ac:dyDescent="0.25">
      <c r="F49" s="152">
        <v>7</v>
      </c>
      <c r="H49" s="152">
        <v>5</v>
      </c>
      <c r="I49" s="1">
        <v>3</v>
      </c>
      <c r="J49" s="1">
        <v>1</v>
      </c>
      <c r="Q49" s="152">
        <v>11</v>
      </c>
      <c r="R49" s="162">
        <v>1</v>
      </c>
      <c r="S49" s="152">
        <v>4</v>
      </c>
      <c r="T49" s="152">
        <v>5</v>
      </c>
      <c r="U49" s="1">
        <v>4</v>
      </c>
      <c r="V49" s="1">
        <v>2</v>
      </c>
    </row>
    <row r="50" spans="6:22" x14ac:dyDescent="0.25">
      <c r="F50" s="152">
        <v>7</v>
      </c>
      <c r="H50" s="152">
        <v>5</v>
      </c>
      <c r="I50" s="1">
        <v>3</v>
      </c>
      <c r="J50" s="1">
        <v>2</v>
      </c>
      <c r="Q50" s="152">
        <v>12</v>
      </c>
      <c r="R50" s="162">
        <v>1</v>
      </c>
      <c r="S50" s="152">
        <v>4</v>
      </c>
      <c r="T50" s="152">
        <v>5</v>
      </c>
      <c r="U50" s="1">
        <v>3</v>
      </c>
      <c r="V50" s="1">
        <v>1</v>
      </c>
    </row>
    <row r="51" spans="6:22" x14ac:dyDescent="0.25">
      <c r="F51" s="152">
        <v>7</v>
      </c>
      <c r="H51" s="152">
        <v>5</v>
      </c>
      <c r="I51" s="1">
        <v>5</v>
      </c>
      <c r="J51" s="1">
        <v>2</v>
      </c>
      <c r="Q51" s="152">
        <v>12</v>
      </c>
      <c r="R51" s="162">
        <v>1</v>
      </c>
      <c r="S51" s="152">
        <v>4</v>
      </c>
      <c r="T51" s="152">
        <v>5</v>
      </c>
      <c r="U51" s="1">
        <v>3</v>
      </c>
      <c r="V51" s="1">
        <v>2</v>
      </c>
    </row>
    <row r="52" spans="6:22" x14ac:dyDescent="0.25">
      <c r="F52" s="152">
        <v>7</v>
      </c>
      <c r="H52" s="152">
        <v>5</v>
      </c>
      <c r="I52" s="1">
        <v>3</v>
      </c>
      <c r="J52" s="1">
        <v>1</v>
      </c>
      <c r="Q52" s="152">
        <v>12</v>
      </c>
      <c r="R52" s="162">
        <v>2</v>
      </c>
      <c r="S52" s="152">
        <v>4</v>
      </c>
      <c r="T52" s="152">
        <v>5</v>
      </c>
      <c r="U52" s="1">
        <v>3</v>
      </c>
      <c r="V52" s="1">
        <v>2</v>
      </c>
    </row>
    <row r="53" spans="6:22" x14ac:dyDescent="0.25">
      <c r="F53" s="152">
        <v>7</v>
      </c>
      <c r="H53" s="152">
        <v>5</v>
      </c>
      <c r="I53" s="1">
        <v>3</v>
      </c>
      <c r="J53" s="1">
        <v>1</v>
      </c>
      <c r="Q53" s="152">
        <v>12</v>
      </c>
      <c r="R53" s="162">
        <v>1</v>
      </c>
      <c r="S53" s="152">
        <v>3</v>
      </c>
      <c r="T53" s="152">
        <v>5</v>
      </c>
      <c r="U53" s="1">
        <v>3</v>
      </c>
      <c r="V53" s="1">
        <v>2</v>
      </c>
    </row>
    <row r="54" spans="6:22" x14ac:dyDescent="0.25">
      <c r="F54" s="152">
        <f>7</f>
        <v>7</v>
      </c>
      <c r="H54" s="152">
        <v>5</v>
      </c>
      <c r="I54" s="1">
        <v>5</v>
      </c>
      <c r="J54" s="1">
        <v>2</v>
      </c>
      <c r="Q54" s="152">
        <v>11</v>
      </c>
      <c r="R54" s="162">
        <v>1</v>
      </c>
      <c r="S54" s="152">
        <v>4</v>
      </c>
      <c r="T54" s="152">
        <v>5</v>
      </c>
      <c r="U54" s="1">
        <v>4</v>
      </c>
      <c r="V54" s="1">
        <v>1</v>
      </c>
    </row>
    <row r="55" spans="6:22" x14ac:dyDescent="0.25">
      <c r="F55" s="152">
        <v>7</v>
      </c>
      <c r="H55" s="152">
        <v>5</v>
      </c>
      <c r="I55" s="1">
        <v>5</v>
      </c>
      <c r="J55" s="1">
        <v>2</v>
      </c>
      <c r="Q55" s="152">
        <v>11</v>
      </c>
      <c r="R55" s="162">
        <v>2</v>
      </c>
      <c r="S55" s="152">
        <v>3</v>
      </c>
      <c r="T55" s="152">
        <v>5</v>
      </c>
      <c r="U55" s="1">
        <v>4</v>
      </c>
      <c r="V55" s="1">
        <v>2</v>
      </c>
    </row>
    <row r="56" spans="6:22" x14ac:dyDescent="0.25">
      <c r="F56" s="152">
        <v>7</v>
      </c>
      <c r="H56" s="152">
        <v>5</v>
      </c>
      <c r="I56" s="1">
        <v>5</v>
      </c>
      <c r="J56" s="1">
        <v>1</v>
      </c>
      <c r="Q56" s="152">
        <v>11</v>
      </c>
      <c r="R56" s="162">
        <v>1</v>
      </c>
      <c r="S56" s="152">
        <v>4</v>
      </c>
      <c r="T56" s="152">
        <v>5</v>
      </c>
      <c r="U56" s="1">
        <v>3</v>
      </c>
      <c r="V56" s="1">
        <v>2</v>
      </c>
    </row>
    <row r="57" spans="6:22" x14ac:dyDescent="0.25">
      <c r="F57" s="152">
        <v>7</v>
      </c>
      <c r="H57" s="152">
        <v>5</v>
      </c>
      <c r="I57" s="1">
        <v>5</v>
      </c>
      <c r="J57" s="1">
        <v>2</v>
      </c>
      <c r="Q57" s="152">
        <v>13</v>
      </c>
      <c r="R57" s="162">
        <v>1</v>
      </c>
      <c r="S57" s="152">
        <v>3</v>
      </c>
      <c r="T57" s="152">
        <v>5</v>
      </c>
      <c r="U57" s="1">
        <v>3</v>
      </c>
      <c r="V57" s="1">
        <v>2</v>
      </c>
    </row>
    <row r="58" spans="6:22" x14ac:dyDescent="0.25">
      <c r="F58" s="152">
        <v>7</v>
      </c>
      <c r="H58" s="152">
        <v>5</v>
      </c>
      <c r="I58" s="1">
        <v>5</v>
      </c>
      <c r="J58" s="1">
        <v>2</v>
      </c>
      <c r="Q58" s="152">
        <v>11</v>
      </c>
      <c r="R58" s="162">
        <v>2</v>
      </c>
      <c r="S58" s="152">
        <v>3</v>
      </c>
      <c r="T58" s="152">
        <v>5</v>
      </c>
      <c r="U58" s="1">
        <v>3</v>
      </c>
      <c r="V58" s="1">
        <v>2</v>
      </c>
    </row>
    <row r="59" spans="6:22" x14ac:dyDescent="0.25">
      <c r="F59" s="152">
        <v>7</v>
      </c>
      <c r="H59" s="152">
        <v>5</v>
      </c>
      <c r="I59" s="1">
        <v>5</v>
      </c>
      <c r="J59" s="1">
        <v>1</v>
      </c>
      <c r="Q59" s="152">
        <v>13</v>
      </c>
      <c r="R59" s="162">
        <v>0</v>
      </c>
      <c r="S59" s="152">
        <v>4</v>
      </c>
      <c r="T59" s="152">
        <v>5</v>
      </c>
      <c r="U59" s="1">
        <v>4</v>
      </c>
      <c r="V59" s="1">
        <v>2</v>
      </c>
    </row>
    <row r="60" spans="6:22" x14ac:dyDescent="0.25">
      <c r="F60" s="152">
        <v>7</v>
      </c>
      <c r="H60" s="152">
        <v>5</v>
      </c>
      <c r="I60" s="1">
        <v>5</v>
      </c>
      <c r="J60" s="1">
        <v>1</v>
      </c>
      <c r="Q60" s="152">
        <v>12</v>
      </c>
      <c r="R60" s="162">
        <v>2</v>
      </c>
      <c r="S60" s="152">
        <v>3</v>
      </c>
      <c r="T60" s="152">
        <v>5</v>
      </c>
      <c r="U60" s="1">
        <v>3</v>
      </c>
      <c r="V60" s="1">
        <v>2</v>
      </c>
    </row>
    <row r="61" spans="6:22" x14ac:dyDescent="0.25">
      <c r="F61" s="152">
        <v>7</v>
      </c>
      <c r="H61" s="152">
        <v>5</v>
      </c>
      <c r="I61" s="1">
        <v>5</v>
      </c>
      <c r="J61" s="1">
        <v>1</v>
      </c>
      <c r="Q61" s="152">
        <v>12</v>
      </c>
      <c r="R61" s="162">
        <v>1</v>
      </c>
      <c r="S61" s="152">
        <v>4</v>
      </c>
      <c r="T61" s="152">
        <v>5</v>
      </c>
      <c r="U61" s="1">
        <v>3</v>
      </c>
      <c r="V61" s="1">
        <v>2</v>
      </c>
    </row>
    <row r="62" spans="6:22" x14ac:dyDescent="0.25">
      <c r="F62" s="152">
        <v>7</v>
      </c>
      <c r="H62" s="152">
        <v>5</v>
      </c>
      <c r="I62" s="1">
        <v>3</v>
      </c>
      <c r="J62" s="1">
        <v>1</v>
      </c>
      <c r="Q62" s="152">
        <v>11</v>
      </c>
      <c r="R62" s="162">
        <v>2</v>
      </c>
      <c r="S62" s="152">
        <v>3</v>
      </c>
      <c r="T62" s="152">
        <v>6</v>
      </c>
      <c r="U62" s="1">
        <v>4</v>
      </c>
      <c r="V62" s="1">
        <v>2</v>
      </c>
    </row>
    <row r="63" spans="6:22" x14ac:dyDescent="0.25">
      <c r="F63" s="152">
        <v>7</v>
      </c>
      <c r="H63" s="152">
        <v>5</v>
      </c>
      <c r="I63" s="1">
        <v>3</v>
      </c>
      <c r="J63" s="1">
        <v>1</v>
      </c>
      <c r="Q63" s="152">
        <v>12</v>
      </c>
      <c r="R63" s="162">
        <v>0</v>
      </c>
      <c r="S63" s="152">
        <v>4</v>
      </c>
      <c r="T63" s="152">
        <v>5</v>
      </c>
      <c r="U63" s="1">
        <v>3</v>
      </c>
      <c r="V63" s="1">
        <v>2</v>
      </c>
    </row>
    <row r="64" spans="6:22" x14ac:dyDescent="0.25">
      <c r="F64" s="152">
        <v>7</v>
      </c>
      <c r="H64" s="152">
        <v>5</v>
      </c>
      <c r="I64" s="1">
        <v>3</v>
      </c>
      <c r="J64" s="1">
        <v>1</v>
      </c>
      <c r="Q64" s="152">
        <v>12</v>
      </c>
      <c r="R64" s="162">
        <v>2</v>
      </c>
      <c r="S64" s="152">
        <v>3</v>
      </c>
      <c r="T64" s="152">
        <v>6</v>
      </c>
      <c r="U64" s="1">
        <v>3</v>
      </c>
      <c r="V64" s="1">
        <v>2</v>
      </c>
    </row>
    <row r="65" spans="6:22" x14ac:dyDescent="0.25">
      <c r="F65" s="152">
        <v>7</v>
      </c>
      <c r="H65" s="152">
        <v>5</v>
      </c>
      <c r="I65" s="1">
        <v>5</v>
      </c>
      <c r="J65" s="1">
        <v>1</v>
      </c>
      <c r="Q65" s="152">
        <v>13</v>
      </c>
      <c r="R65" s="162">
        <v>2</v>
      </c>
      <c r="S65" s="152">
        <v>3</v>
      </c>
      <c r="T65" s="152">
        <v>5</v>
      </c>
      <c r="U65" s="1">
        <v>4</v>
      </c>
      <c r="V65" s="1">
        <v>2</v>
      </c>
    </row>
    <row r="66" spans="6:22" x14ac:dyDescent="0.25">
      <c r="F66" s="152">
        <v>7</v>
      </c>
      <c r="H66" s="152">
        <v>5</v>
      </c>
      <c r="I66" s="1">
        <v>4</v>
      </c>
      <c r="J66" s="1">
        <v>1</v>
      </c>
      <c r="Q66" s="152">
        <v>12</v>
      </c>
      <c r="R66" s="162">
        <v>0</v>
      </c>
      <c r="S66" s="152">
        <v>3</v>
      </c>
      <c r="T66" s="152">
        <v>5</v>
      </c>
      <c r="U66" s="1">
        <v>3</v>
      </c>
      <c r="V66" s="1">
        <v>2</v>
      </c>
    </row>
    <row r="67" spans="6:22" x14ac:dyDescent="0.25">
      <c r="F67" s="152">
        <v>7</v>
      </c>
      <c r="H67" s="152">
        <v>5</v>
      </c>
      <c r="I67" s="1">
        <v>3</v>
      </c>
      <c r="J67" s="1">
        <v>2</v>
      </c>
      <c r="Q67" s="152">
        <v>12</v>
      </c>
      <c r="R67" s="162">
        <v>1</v>
      </c>
      <c r="S67" s="152">
        <v>4</v>
      </c>
      <c r="T67" s="152">
        <v>5</v>
      </c>
      <c r="U67" s="1">
        <v>4</v>
      </c>
      <c r="V67" s="1">
        <v>2</v>
      </c>
    </row>
    <row r="68" spans="6:22" x14ac:dyDescent="0.25">
      <c r="F68" s="152">
        <v>7</v>
      </c>
      <c r="H68" s="152">
        <v>5</v>
      </c>
      <c r="I68" s="1">
        <v>4</v>
      </c>
      <c r="J68" s="1">
        <v>1</v>
      </c>
      <c r="Q68" s="152">
        <v>12</v>
      </c>
      <c r="R68" s="162">
        <v>2</v>
      </c>
      <c r="S68" s="152">
        <v>3</v>
      </c>
      <c r="T68" s="152">
        <v>5</v>
      </c>
      <c r="U68" s="1">
        <v>4</v>
      </c>
      <c r="V68" s="1">
        <v>2</v>
      </c>
    </row>
    <row r="69" spans="6:22" x14ac:dyDescent="0.25">
      <c r="F69" s="152">
        <v>7</v>
      </c>
      <c r="H69" s="152">
        <v>5</v>
      </c>
      <c r="I69" s="1">
        <v>4</v>
      </c>
      <c r="J69" s="1">
        <v>1</v>
      </c>
      <c r="Q69" s="152">
        <v>13</v>
      </c>
      <c r="R69" s="162">
        <v>1</v>
      </c>
      <c r="S69" s="152">
        <v>3</v>
      </c>
      <c r="T69" s="152">
        <v>5</v>
      </c>
      <c r="U69" s="1">
        <v>4</v>
      </c>
      <c r="V69" s="1">
        <v>1</v>
      </c>
    </row>
    <row r="70" spans="6:22" x14ac:dyDescent="0.25">
      <c r="F70" s="152">
        <v>7</v>
      </c>
      <c r="H70" s="152">
        <v>5</v>
      </c>
      <c r="I70" s="1">
        <v>4</v>
      </c>
      <c r="J70" s="1">
        <v>1</v>
      </c>
      <c r="Q70" s="152">
        <v>12</v>
      </c>
      <c r="R70" s="162">
        <v>1</v>
      </c>
      <c r="S70" s="152">
        <v>3</v>
      </c>
      <c r="T70" s="152">
        <v>5</v>
      </c>
      <c r="U70" s="1">
        <v>4</v>
      </c>
      <c r="V70" s="1">
        <v>2</v>
      </c>
    </row>
    <row r="71" spans="6:22" x14ac:dyDescent="0.25">
      <c r="F71" s="152">
        <v>7</v>
      </c>
      <c r="H71" s="152">
        <v>5</v>
      </c>
      <c r="I71" s="1">
        <v>3</v>
      </c>
      <c r="J71" s="1">
        <v>1</v>
      </c>
      <c r="Q71" s="152">
        <v>12</v>
      </c>
      <c r="R71" s="162">
        <v>2</v>
      </c>
      <c r="S71" s="152">
        <v>3</v>
      </c>
      <c r="T71" s="152">
        <v>5</v>
      </c>
      <c r="U71" s="1">
        <v>3</v>
      </c>
      <c r="V71" s="1">
        <v>2</v>
      </c>
    </row>
    <row r="72" spans="6:22" x14ac:dyDescent="0.25">
      <c r="F72" s="152">
        <v>7</v>
      </c>
      <c r="H72" s="152">
        <v>5</v>
      </c>
      <c r="I72" s="1">
        <v>4</v>
      </c>
      <c r="J72" s="1">
        <v>2</v>
      </c>
      <c r="Q72" s="152">
        <v>12</v>
      </c>
      <c r="R72" s="162">
        <v>1</v>
      </c>
      <c r="S72" s="152">
        <v>3</v>
      </c>
      <c r="T72" s="152">
        <v>5</v>
      </c>
      <c r="U72" s="1">
        <v>4</v>
      </c>
      <c r="V72" s="1">
        <v>1</v>
      </c>
    </row>
    <row r="73" spans="6:22" x14ac:dyDescent="0.25">
      <c r="F73" s="152">
        <v>7</v>
      </c>
      <c r="H73" s="152">
        <v>5</v>
      </c>
      <c r="I73" s="1">
        <v>5</v>
      </c>
      <c r="J73" s="1">
        <v>1</v>
      </c>
      <c r="Q73" s="152">
        <v>12</v>
      </c>
      <c r="R73" s="162">
        <v>2</v>
      </c>
      <c r="S73" s="152">
        <v>4</v>
      </c>
      <c r="T73" s="152">
        <v>5</v>
      </c>
      <c r="U73" s="1">
        <v>4</v>
      </c>
      <c r="V73" s="1">
        <v>1</v>
      </c>
    </row>
    <row r="74" spans="6:22" x14ac:dyDescent="0.25">
      <c r="F74" s="152">
        <v>7</v>
      </c>
      <c r="H74" s="152">
        <v>5</v>
      </c>
      <c r="I74" s="1">
        <v>5</v>
      </c>
      <c r="J74" s="1">
        <v>2</v>
      </c>
      <c r="Q74" s="152">
        <v>12</v>
      </c>
      <c r="R74" s="162">
        <v>1</v>
      </c>
      <c r="S74" s="152">
        <v>4</v>
      </c>
      <c r="T74" s="152">
        <v>6</v>
      </c>
      <c r="U74" s="1">
        <v>3</v>
      </c>
      <c r="V74" s="1">
        <v>2</v>
      </c>
    </row>
    <row r="75" spans="6:22" x14ac:dyDescent="0.25">
      <c r="F75" s="152">
        <v>7</v>
      </c>
      <c r="H75" s="152">
        <v>5</v>
      </c>
      <c r="I75" s="1">
        <v>3</v>
      </c>
      <c r="J75" s="1">
        <v>1</v>
      </c>
      <c r="Q75" s="152">
        <v>12</v>
      </c>
      <c r="R75" s="162">
        <v>0</v>
      </c>
      <c r="S75" s="152">
        <v>4</v>
      </c>
      <c r="T75" s="152">
        <v>5</v>
      </c>
      <c r="U75" s="1">
        <v>4</v>
      </c>
      <c r="V75" s="1">
        <v>1</v>
      </c>
    </row>
    <row r="76" spans="6:22" x14ac:dyDescent="0.25">
      <c r="F76" s="152">
        <v>7</v>
      </c>
      <c r="H76" s="152">
        <v>5</v>
      </c>
      <c r="I76" s="1">
        <v>3</v>
      </c>
      <c r="J76" s="1">
        <v>2</v>
      </c>
      <c r="Q76" s="152">
        <v>12</v>
      </c>
      <c r="R76" s="162">
        <v>1</v>
      </c>
      <c r="S76" s="152">
        <v>3</v>
      </c>
      <c r="T76" s="152">
        <v>5</v>
      </c>
      <c r="U76" s="1">
        <v>4</v>
      </c>
      <c r="V76" s="1">
        <v>2</v>
      </c>
    </row>
    <row r="77" spans="6:22" x14ac:dyDescent="0.25">
      <c r="F77" s="152">
        <v>7</v>
      </c>
      <c r="H77" s="152">
        <v>5</v>
      </c>
      <c r="I77" s="1">
        <v>3</v>
      </c>
      <c r="J77" s="1">
        <v>1</v>
      </c>
      <c r="Q77" s="152">
        <v>12</v>
      </c>
      <c r="R77" s="162">
        <v>0</v>
      </c>
      <c r="S77" s="152">
        <v>4</v>
      </c>
      <c r="T77" s="152">
        <v>5</v>
      </c>
      <c r="U77" s="1">
        <v>4</v>
      </c>
      <c r="V77" s="1">
        <v>1</v>
      </c>
    </row>
    <row r="78" spans="6:22" x14ac:dyDescent="0.25">
      <c r="F78" s="152">
        <v>7</v>
      </c>
      <c r="H78" s="152">
        <v>5</v>
      </c>
      <c r="I78" s="1">
        <v>5</v>
      </c>
      <c r="J78" s="1">
        <v>1</v>
      </c>
      <c r="Q78" s="152">
        <v>13</v>
      </c>
      <c r="R78" s="162">
        <v>2</v>
      </c>
      <c r="S78" s="152">
        <v>4</v>
      </c>
      <c r="T78" s="152">
        <v>5</v>
      </c>
      <c r="U78" s="1">
        <v>1</v>
      </c>
      <c r="V78" s="1">
        <v>1</v>
      </c>
    </row>
    <row r="79" spans="6:22" x14ac:dyDescent="0.25">
      <c r="F79" s="152">
        <v>7</v>
      </c>
      <c r="H79" s="152">
        <v>5</v>
      </c>
      <c r="I79" s="1">
        <v>3</v>
      </c>
      <c r="J79" s="1">
        <v>2</v>
      </c>
      <c r="Q79" s="152">
        <v>13</v>
      </c>
      <c r="R79" s="162">
        <v>2</v>
      </c>
      <c r="S79" s="152">
        <v>4</v>
      </c>
      <c r="T79" s="152">
        <v>5</v>
      </c>
      <c r="U79" s="1">
        <v>4</v>
      </c>
      <c r="V79" s="1">
        <v>2</v>
      </c>
    </row>
    <row r="80" spans="6:22" x14ac:dyDescent="0.25">
      <c r="F80" s="152">
        <v>7</v>
      </c>
      <c r="H80" s="152">
        <v>5</v>
      </c>
      <c r="I80" s="1">
        <v>4</v>
      </c>
      <c r="J80" s="1">
        <v>1</v>
      </c>
      <c r="Q80" s="152">
        <v>13</v>
      </c>
      <c r="R80" s="162">
        <v>1</v>
      </c>
      <c r="S80" s="152">
        <v>4</v>
      </c>
      <c r="T80" s="152">
        <v>5</v>
      </c>
      <c r="U80" s="1">
        <v>4</v>
      </c>
      <c r="V80" s="1">
        <v>1</v>
      </c>
    </row>
    <row r="81" spans="6:22" x14ac:dyDescent="0.25">
      <c r="F81" s="152">
        <v>7</v>
      </c>
      <c r="H81" s="152">
        <v>5</v>
      </c>
      <c r="I81" s="1">
        <v>4</v>
      </c>
      <c r="J81" s="1">
        <v>2</v>
      </c>
      <c r="Q81" s="152">
        <v>13</v>
      </c>
      <c r="R81" s="162">
        <v>2</v>
      </c>
      <c r="S81" s="152">
        <v>4</v>
      </c>
      <c r="T81" s="152">
        <v>5</v>
      </c>
      <c r="U81" s="1">
        <v>3</v>
      </c>
      <c r="V81" s="1">
        <v>2</v>
      </c>
    </row>
    <row r="82" spans="6:22" x14ac:dyDescent="0.25">
      <c r="F82" s="152">
        <v>7</v>
      </c>
      <c r="H82" s="152">
        <v>5</v>
      </c>
      <c r="I82" s="1">
        <v>4</v>
      </c>
      <c r="J82" s="1">
        <v>2</v>
      </c>
      <c r="Q82" s="152">
        <v>11</v>
      </c>
      <c r="R82" s="162">
        <v>1</v>
      </c>
      <c r="S82" s="152">
        <v>4</v>
      </c>
      <c r="T82" s="152">
        <v>5</v>
      </c>
      <c r="U82" s="1">
        <v>3</v>
      </c>
      <c r="V82" s="1">
        <v>1</v>
      </c>
    </row>
    <row r="83" spans="6:22" x14ac:dyDescent="0.25">
      <c r="F83" s="152">
        <v>7</v>
      </c>
      <c r="H83" s="152">
        <v>5</v>
      </c>
      <c r="I83" s="1">
        <v>5</v>
      </c>
      <c r="J83" s="1">
        <v>1</v>
      </c>
      <c r="Q83" s="152">
        <v>13</v>
      </c>
      <c r="R83" s="162">
        <v>1</v>
      </c>
      <c r="S83" s="152">
        <v>3</v>
      </c>
      <c r="T83" s="152">
        <v>5</v>
      </c>
      <c r="U83" s="1">
        <v>3</v>
      </c>
      <c r="V83" s="1">
        <v>2</v>
      </c>
    </row>
    <row r="84" spans="6:22" x14ac:dyDescent="0.25">
      <c r="F84" s="152">
        <v>7</v>
      </c>
      <c r="H84" s="152">
        <v>5</v>
      </c>
      <c r="I84" s="1">
        <v>3</v>
      </c>
      <c r="J84" s="1">
        <v>1</v>
      </c>
      <c r="Q84" s="152">
        <v>12</v>
      </c>
      <c r="R84" s="162">
        <v>1</v>
      </c>
      <c r="S84" s="152">
        <v>3</v>
      </c>
      <c r="T84" s="152">
        <v>5</v>
      </c>
      <c r="U84" s="1">
        <v>4</v>
      </c>
      <c r="V84" s="1">
        <v>2</v>
      </c>
    </row>
    <row r="85" spans="6:22" x14ac:dyDescent="0.25">
      <c r="F85" s="152">
        <v>7</v>
      </c>
      <c r="H85" s="152">
        <v>5</v>
      </c>
      <c r="I85" s="1">
        <v>5</v>
      </c>
      <c r="J85" s="1">
        <v>1</v>
      </c>
      <c r="Q85" s="152">
        <v>11</v>
      </c>
      <c r="R85" s="162">
        <v>2</v>
      </c>
      <c r="S85" s="152">
        <v>3</v>
      </c>
      <c r="T85" s="152">
        <v>5</v>
      </c>
      <c r="U85" s="1">
        <v>4</v>
      </c>
      <c r="V85" s="1">
        <v>2</v>
      </c>
    </row>
    <row r="86" spans="6:22" x14ac:dyDescent="0.25">
      <c r="F86" s="152">
        <v>7</v>
      </c>
      <c r="H86" s="152">
        <v>5</v>
      </c>
      <c r="I86" s="1">
        <v>3</v>
      </c>
      <c r="J86" s="1">
        <v>2</v>
      </c>
      <c r="Q86" s="152">
        <v>11</v>
      </c>
      <c r="R86" s="162">
        <v>1</v>
      </c>
      <c r="S86" s="152">
        <v>3</v>
      </c>
      <c r="T86" s="152">
        <v>5</v>
      </c>
      <c r="U86" s="1">
        <v>4</v>
      </c>
      <c r="V86" s="1">
        <v>2</v>
      </c>
    </row>
    <row r="87" spans="6:22" x14ac:dyDescent="0.25">
      <c r="F87" s="152">
        <v>7</v>
      </c>
      <c r="H87" s="152">
        <v>5</v>
      </c>
      <c r="I87" s="1">
        <v>4</v>
      </c>
      <c r="J87" s="1">
        <v>1</v>
      </c>
      <c r="Q87" s="152">
        <v>12</v>
      </c>
      <c r="R87" s="162">
        <v>1</v>
      </c>
      <c r="S87" s="152">
        <v>3</v>
      </c>
      <c r="T87" s="152">
        <v>5</v>
      </c>
      <c r="U87" s="1">
        <v>4</v>
      </c>
      <c r="V87" s="1">
        <v>1</v>
      </c>
    </row>
    <row r="88" spans="6:22" x14ac:dyDescent="0.25">
      <c r="F88" s="152">
        <v>7</v>
      </c>
      <c r="H88" s="152">
        <v>5</v>
      </c>
      <c r="I88" s="1">
        <v>3</v>
      </c>
      <c r="J88" s="1">
        <v>1</v>
      </c>
      <c r="Q88" s="152">
        <v>13</v>
      </c>
      <c r="R88" s="162">
        <v>1</v>
      </c>
      <c r="S88" s="152">
        <v>4</v>
      </c>
      <c r="T88" s="152">
        <v>5</v>
      </c>
      <c r="U88" s="1">
        <v>3</v>
      </c>
      <c r="V88" s="1">
        <v>2</v>
      </c>
    </row>
    <row r="89" spans="6:22" x14ac:dyDescent="0.25">
      <c r="F89" s="152">
        <v>7</v>
      </c>
      <c r="H89" s="152">
        <v>5</v>
      </c>
      <c r="I89" s="1">
        <v>5</v>
      </c>
      <c r="J89" s="1">
        <v>1</v>
      </c>
      <c r="Q89" s="152">
        <v>11</v>
      </c>
      <c r="R89" s="162">
        <v>2</v>
      </c>
      <c r="S89" s="152">
        <v>3</v>
      </c>
      <c r="T89" s="152">
        <v>5</v>
      </c>
      <c r="U89" s="1">
        <v>3</v>
      </c>
      <c r="V89" s="1">
        <v>1</v>
      </c>
    </row>
    <row r="90" spans="6:22" x14ac:dyDescent="0.25">
      <c r="F90" s="152">
        <v>7</v>
      </c>
      <c r="H90" s="152">
        <v>5</v>
      </c>
      <c r="I90" s="1">
        <v>4</v>
      </c>
      <c r="J90" s="1">
        <v>1</v>
      </c>
      <c r="Q90" s="152">
        <v>12</v>
      </c>
      <c r="R90" s="162">
        <v>0</v>
      </c>
      <c r="S90" s="152">
        <v>4</v>
      </c>
      <c r="T90" s="152">
        <v>5</v>
      </c>
      <c r="U90" s="1">
        <v>4</v>
      </c>
      <c r="V90" s="1">
        <v>2</v>
      </c>
    </row>
    <row r="91" spans="6:22" x14ac:dyDescent="0.25">
      <c r="F91" s="152">
        <v>7</v>
      </c>
      <c r="H91" s="152">
        <v>5</v>
      </c>
      <c r="I91" s="1">
        <v>5</v>
      </c>
      <c r="J91" s="1">
        <v>1</v>
      </c>
      <c r="Q91" s="152">
        <v>13</v>
      </c>
      <c r="R91" s="162">
        <v>0</v>
      </c>
      <c r="S91" s="152">
        <v>3</v>
      </c>
      <c r="T91" s="152">
        <v>5</v>
      </c>
      <c r="U91" s="1">
        <v>4</v>
      </c>
      <c r="V91" s="1">
        <v>1</v>
      </c>
    </row>
    <row r="92" spans="6:22" x14ac:dyDescent="0.25">
      <c r="F92" s="152">
        <v>7</v>
      </c>
      <c r="H92" s="152">
        <v>5</v>
      </c>
      <c r="I92" s="1">
        <v>4</v>
      </c>
      <c r="J92" s="1">
        <v>1</v>
      </c>
      <c r="Q92" s="152">
        <v>13</v>
      </c>
      <c r="R92" s="162">
        <v>2</v>
      </c>
      <c r="S92" s="152">
        <v>3</v>
      </c>
      <c r="T92" s="152">
        <v>5</v>
      </c>
      <c r="U92" s="1">
        <v>3</v>
      </c>
      <c r="V92" s="1">
        <v>2</v>
      </c>
    </row>
    <row r="93" spans="6:22" x14ac:dyDescent="0.25">
      <c r="F93" s="152">
        <v>7</v>
      </c>
      <c r="H93" s="152">
        <v>5</v>
      </c>
      <c r="I93" s="1">
        <v>5</v>
      </c>
      <c r="J93" s="1">
        <v>2</v>
      </c>
      <c r="Q93" s="152">
        <v>12</v>
      </c>
      <c r="R93" s="162">
        <v>1</v>
      </c>
      <c r="S93" s="152">
        <v>3</v>
      </c>
      <c r="T93" s="152">
        <v>5</v>
      </c>
      <c r="U93" s="1">
        <v>3</v>
      </c>
      <c r="V93" s="1">
        <v>2</v>
      </c>
    </row>
    <row r="94" spans="6:22" x14ac:dyDescent="0.25">
      <c r="F94" s="152">
        <v>7</v>
      </c>
      <c r="H94" s="152">
        <v>5</v>
      </c>
      <c r="I94" s="1">
        <v>3</v>
      </c>
      <c r="J94" s="1">
        <v>2</v>
      </c>
      <c r="Q94" s="152">
        <v>11</v>
      </c>
      <c r="R94" s="162">
        <v>0</v>
      </c>
      <c r="S94" s="152">
        <v>4</v>
      </c>
      <c r="T94" s="152">
        <v>5</v>
      </c>
      <c r="U94" s="1">
        <v>4</v>
      </c>
      <c r="V94" s="1">
        <v>2</v>
      </c>
    </row>
    <row r="95" spans="6:22" x14ac:dyDescent="0.25">
      <c r="F95" s="152">
        <v>7</v>
      </c>
      <c r="H95" s="152">
        <v>5</v>
      </c>
      <c r="I95" s="1">
        <v>4</v>
      </c>
      <c r="J95" s="1">
        <v>1</v>
      </c>
      <c r="Q95" s="152">
        <v>11</v>
      </c>
      <c r="R95" s="162">
        <v>0</v>
      </c>
      <c r="S95" s="152">
        <v>4</v>
      </c>
      <c r="T95" s="152">
        <v>6</v>
      </c>
      <c r="U95" s="1">
        <v>4</v>
      </c>
      <c r="V95" s="1">
        <v>1</v>
      </c>
    </row>
    <row r="96" spans="6:22" x14ac:dyDescent="0.25">
      <c r="F96" s="152">
        <v>7</v>
      </c>
      <c r="H96" s="152">
        <v>5</v>
      </c>
      <c r="I96" s="1">
        <v>5</v>
      </c>
      <c r="J96" s="1">
        <v>1</v>
      </c>
      <c r="Q96" s="152">
        <v>13</v>
      </c>
      <c r="R96" s="162">
        <v>2</v>
      </c>
      <c r="S96" s="152">
        <v>3</v>
      </c>
      <c r="T96" s="152">
        <v>5</v>
      </c>
      <c r="U96" s="1">
        <v>4</v>
      </c>
      <c r="V96" s="1">
        <v>2</v>
      </c>
    </row>
    <row r="97" spans="6:22" x14ac:dyDescent="0.25">
      <c r="F97" s="152">
        <v>7</v>
      </c>
      <c r="H97" s="152">
        <v>5</v>
      </c>
      <c r="I97" s="1">
        <v>5</v>
      </c>
      <c r="J97" s="1">
        <v>1</v>
      </c>
      <c r="Q97" s="152">
        <v>12</v>
      </c>
      <c r="R97" s="162">
        <v>1</v>
      </c>
      <c r="S97" s="152">
        <v>4</v>
      </c>
      <c r="T97" s="152">
        <v>5</v>
      </c>
      <c r="U97" s="1">
        <v>3</v>
      </c>
      <c r="V97" s="1">
        <v>1</v>
      </c>
    </row>
    <row r="98" spans="6:22" x14ac:dyDescent="0.25">
      <c r="F98" s="152">
        <v>7</v>
      </c>
      <c r="H98" s="152">
        <v>5</v>
      </c>
      <c r="I98" s="1">
        <v>5</v>
      </c>
      <c r="J98" s="1">
        <v>2</v>
      </c>
      <c r="Q98" s="152">
        <v>12</v>
      </c>
      <c r="R98" s="162">
        <v>2</v>
      </c>
      <c r="S98" s="152">
        <v>3</v>
      </c>
      <c r="T98" s="152">
        <v>5</v>
      </c>
      <c r="U98" s="1">
        <v>4</v>
      </c>
      <c r="V98" s="1">
        <v>2</v>
      </c>
    </row>
    <row r="99" spans="6:22" x14ac:dyDescent="0.25">
      <c r="F99" s="152">
        <v>7</v>
      </c>
      <c r="H99" s="152">
        <v>5</v>
      </c>
      <c r="I99" s="1">
        <v>4</v>
      </c>
      <c r="J99" s="1">
        <v>2</v>
      </c>
      <c r="Q99" s="152">
        <v>13</v>
      </c>
      <c r="R99" s="162">
        <v>2</v>
      </c>
      <c r="S99" s="152">
        <v>3</v>
      </c>
      <c r="T99" s="152">
        <v>6</v>
      </c>
      <c r="U99" s="1">
        <v>3</v>
      </c>
      <c r="V99" s="1">
        <v>1</v>
      </c>
    </row>
    <row r="100" spans="6:22" x14ac:dyDescent="0.25">
      <c r="F100" s="152">
        <v>7</v>
      </c>
      <c r="H100" s="152">
        <v>5</v>
      </c>
      <c r="I100" s="1">
        <v>4</v>
      </c>
      <c r="J100" s="1">
        <v>1</v>
      </c>
      <c r="Q100" s="152">
        <v>12</v>
      </c>
      <c r="R100" s="162">
        <v>1</v>
      </c>
      <c r="S100" s="152">
        <v>4</v>
      </c>
      <c r="T100" s="152">
        <v>5</v>
      </c>
      <c r="U100" s="1">
        <v>3</v>
      </c>
      <c r="V100" s="1">
        <v>2</v>
      </c>
    </row>
    <row r="101" spans="6:22" x14ac:dyDescent="0.25">
      <c r="F101" s="152">
        <v>7</v>
      </c>
      <c r="H101" s="152">
        <v>5</v>
      </c>
      <c r="I101" s="1">
        <v>5</v>
      </c>
      <c r="J101" s="1">
        <v>1</v>
      </c>
      <c r="Q101" s="152">
        <v>13</v>
      </c>
      <c r="R101" s="162">
        <v>1</v>
      </c>
      <c r="S101" s="152">
        <v>4</v>
      </c>
      <c r="T101" s="152">
        <v>5</v>
      </c>
      <c r="U101" s="1">
        <v>4</v>
      </c>
      <c r="V101" s="1">
        <v>2</v>
      </c>
    </row>
    <row r="102" spans="6:22" x14ac:dyDescent="0.25">
      <c r="F102" s="152">
        <v>7</v>
      </c>
      <c r="H102" s="152">
        <v>5</v>
      </c>
      <c r="I102" s="1">
        <v>5</v>
      </c>
      <c r="J102" s="1">
        <v>1</v>
      </c>
      <c r="Q102" s="152">
        <v>12</v>
      </c>
      <c r="R102" s="162">
        <v>1</v>
      </c>
      <c r="S102" s="152">
        <v>4</v>
      </c>
      <c r="T102" s="152">
        <v>5</v>
      </c>
      <c r="U102" s="1">
        <v>3</v>
      </c>
      <c r="V102" s="1">
        <v>2</v>
      </c>
    </row>
    <row r="103" spans="6:22" x14ac:dyDescent="0.25">
      <c r="F103" s="152">
        <v>7</v>
      </c>
      <c r="H103" s="152">
        <v>5</v>
      </c>
      <c r="I103" s="1">
        <v>3</v>
      </c>
      <c r="J103" s="1">
        <v>1</v>
      </c>
      <c r="Q103" s="152">
        <v>12</v>
      </c>
      <c r="R103" s="162">
        <v>1</v>
      </c>
      <c r="S103" s="152">
        <v>3</v>
      </c>
      <c r="T103" s="152">
        <v>5</v>
      </c>
      <c r="U103" s="1">
        <v>3</v>
      </c>
      <c r="V103" s="1">
        <v>2</v>
      </c>
    </row>
    <row r="104" spans="6:22" x14ac:dyDescent="0.25">
      <c r="F104" s="152">
        <v>7</v>
      </c>
      <c r="H104" s="152">
        <v>5</v>
      </c>
      <c r="I104" s="1">
        <v>5</v>
      </c>
      <c r="J104" s="1">
        <v>1</v>
      </c>
      <c r="Q104" s="152">
        <v>13</v>
      </c>
      <c r="R104" s="162">
        <v>1</v>
      </c>
      <c r="S104" s="152">
        <v>4</v>
      </c>
      <c r="T104" s="152">
        <v>6</v>
      </c>
      <c r="U104" s="1">
        <v>4</v>
      </c>
      <c r="V104" s="1">
        <v>2</v>
      </c>
    </row>
    <row r="105" spans="6:22" x14ac:dyDescent="0.25">
      <c r="F105" s="152">
        <v>7</v>
      </c>
      <c r="H105" s="152">
        <v>5</v>
      </c>
      <c r="I105" s="1">
        <v>4</v>
      </c>
      <c r="J105" s="1">
        <v>1</v>
      </c>
      <c r="Q105" s="152">
        <v>11</v>
      </c>
      <c r="R105" s="162">
        <v>2</v>
      </c>
      <c r="S105" s="152">
        <v>3</v>
      </c>
      <c r="T105" s="152">
        <v>5</v>
      </c>
      <c r="U105" s="1">
        <v>3</v>
      </c>
      <c r="V105" s="1">
        <v>2</v>
      </c>
    </row>
    <row r="106" spans="6:22" x14ac:dyDescent="0.25">
      <c r="F106" s="152">
        <v>7</v>
      </c>
      <c r="H106" s="152">
        <v>5</v>
      </c>
      <c r="I106" s="1">
        <v>5</v>
      </c>
      <c r="J106" s="1">
        <v>2</v>
      </c>
      <c r="Q106" s="152">
        <v>13</v>
      </c>
      <c r="R106" s="162">
        <v>1</v>
      </c>
      <c r="S106" s="152">
        <v>4</v>
      </c>
      <c r="T106" s="152">
        <v>6</v>
      </c>
      <c r="U106" s="1">
        <v>4</v>
      </c>
      <c r="V106" s="1">
        <v>2</v>
      </c>
    </row>
    <row r="107" spans="6:22" x14ac:dyDescent="0.25">
      <c r="F107" s="152">
        <v>7</v>
      </c>
      <c r="H107" s="152">
        <v>5</v>
      </c>
      <c r="I107" s="1">
        <v>4</v>
      </c>
      <c r="J107" s="1">
        <v>1</v>
      </c>
      <c r="Q107" s="152">
        <v>12</v>
      </c>
      <c r="R107" s="162">
        <v>0</v>
      </c>
      <c r="S107" s="152">
        <v>3</v>
      </c>
      <c r="T107" s="152">
        <v>6</v>
      </c>
      <c r="U107" s="1">
        <v>3</v>
      </c>
      <c r="V107" s="1">
        <v>1</v>
      </c>
    </row>
    <row r="108" spans="6:22" x14ac:dyDescent="0.25">
      <c r="F108" s="152">
        <v>7</v>
      </c>
      <c r="H108" s="152">
        <v>5</v>
      </c>
      <c r="I108" s="1">
        <v>5</v>
      </c>
      <c r="J108" s="1">
        <v>1</v>
      </c>
      <c r="Q108" s="152">
        <v>12</v>
      </c>
      <c r="R108" s="162">
        <v>1</v>
      </c>
      <c r="S108" s="152">
        <v>3</v>
      </c>
      <c r="T108" s="152">
        <v>5</v>
      </c>
      <c r="U108" s="1">
        <v>3</v>
      </c>
      <c r="V108" s="1">
        <v>2</v>
      </c>
    </row>
    <row r="109" spans="6:22" x14ac:dyDescent="0.25">
      <c r="F109" s="152">
        <v>7</v>
      </c>
      <c r="H109" s="152">
        <v>5</v>
      </c>
      <c r="I109" s="1">
        <v>3</v>
      </c>
      <c r="J109" s="1">
        <v>1</v>
      </c>
      <c r="Q109" s="152">
        <v>12</v>
      </c>
      <c r="R109" s="162">
        <v>2</v>
      </c>
      <c r="S109" s="152">
        <v>3</v>
      </c>
      <c r="T109" s="152">
        <v>5</v>
      </c>
      <c r="U109" s="1">
        <v>4</v>
      </c>
      <c r="V109" s="1">
        <v>1</v>
      </c>
    </row>
    <row r="110" spans="6:22" x14ac:dyDescent="0.25">
      <c r="F110" s="152">
        <v>7</v>
      </c>
      <c r="H110" s="152">
        <v>5</v>
      </c>
      <c r="I110" s="1">
        <v>3</v>
      </c>
      <c r="J110" s="1">
        <v>1</v>
      </c>
      <c r="Q110" s="152">
        <v>12</v>
      </c>
      <c r="R110" s="162">
        <v>2</v>
      </c>
      <c r="S110" s="152">
        <v>3</v>
      </c>
      <c r="T110" s="152">
        <v>5</v>
      </c>
      <c r="U110" s="1">
        <v>4</v>
      </c>
      <c r="V110" s="1">
        <v>2</v>
      </c>
    </row>
    <row r="111" spans="6:22" x14ac:dyDescent="0.25">
      <c r="F111" s="152">
        <v>7</v>
      </c>
      <c r="H111" s="152">
        <v>5</v>
      </c>
      <c r="I111" s="1">
        <v>4</v>
      </c>
      <c r="J111" s="1">
        <v>1</v>
      </c>
      <c r="Q111" s="152">
        <v>12</v>
      </c>
      <c r="R111" s="162">
        <v>1</v>
      </c>
      <c r="S111" s="152">
        <v>3</v>
      </c>
      <c r="T111" s="152">
        <v>5</v>
      </c>
      <c r="U111" s="1">
        <v>3</v>
      </c>
      <c r="V111" s="1">
        <v>2</v>
      </c>
    </row>
    <row r="112" spans="6:22" x14ac:dyDescent="0.25">
      <c r="F112" s="152">
        <v>7</v>
      </c>
      <c r="H112" s="152">
        <v>5</v>
      </c>
      <c r="I112" s="1">
        <v>4</v>
      </c>
      <c r="J112" s="1">
        <v>1</v>
      </c>
      <c r="Q112" s="152">
        <v>12</v>
      </c>
      <c r="R112" s="162">
        <v>0</v>
      </c>
      <c r="S112" s="152">
        <v>4</v>
      </c>
      <c r="T112" s="152">
        <v>5</v>
      </c>
      <c r="U112" s="1">
        <v>3</v>
      </c>
      <c r="V112" s="1">
        <v>2</v>
      </c>
    </row>
    <row r="113" spans="6:22" x14ac:dyDescent="0.25">
      <c r="F113" s="152">
        <v>7</v>
      </c>
      <c r="H113" s="152">
        <v>5</v>
      </c>
      <c r="I113" s="1">
        <v>3</v>
      </c>
      <c r="J113" s="1">
        <v>2</v>
      </c>
      <c r="Q113" s="152">
        <v>12</v>
      </c>
      <c r="R113" s="162">
        <v>0</v>
      </c>
      <c r="S113" s="152">
        <v>4</v>
      </c>
      <c r="T113" s="152">
        <v>5</v>
      </c>
      <c r="U113" s="1">
        <v>3</v>
      </c>
      <c r="V113" s="1">
        <v>1</v>
      </c>
    </row>
    <row r="114" spans="6:22" x14ac:dyDescent="0.25">
      <c r="F114" s="152">
        <v>7</v>
      </c>
      <c r="H114" s="152">
        <v>5</v>
      </c>
      <c r="I114" s="1">
        <v>4</v>
      </c>
      <c r="J114" s="1">
        <v>1</v>
      </c>
      <c r="Q114" s="152">
        <v>12</v>
      </c>
      <c r="R114" s="162">
        <v>0</v>
      </c>
      <c r="S114" s="152">
        <v>3</v>
      </c>
      <c r="T114" s="152">
        <v>5</v>
      </c>
      <c r="U114" s="1">
        <v>3</v>
      </c>
      <c r="V114" s="1">
        <v>1</v>
      </c>
    </row>
    <row r="115" spans="6:22" x14ac:dyDescent="0.25">
      <c r="F115" s="152">
        <v>7</v>
      </c>
      <c r="H115" s="152">
        <v>5</v>
      </c>
      <c r="I115" s="1">
        <v>5</v>
      </c>
      <c r="J115" s="1">
        <v>1</v>
      </c>
      <c r="Q115" s="152">
        <v>13</v>
      </c>
      <c r="R115" s="162">
        <v>2</v>
      </c>
      <c r="S115" s="152">
        <v>4</v>
      </c>
      <c r="T115" s="152">
        <v>5</v>
      </c>
      <c r="U115" s="1">
        <v>4</v>
      </c>
      <c r="V115" s="1">
        <v>1</v>
      </c>
    </row>
    <row r="116" spans="6:22" x14ac:dyDescent="0.25">
      <c r="F116" s="152">
        <v>7</v>
      </c>
      <c r="H116" s="152">
        <v>5</v>
      </c>
      <c r="I116" s="1">
        <v>4</v>
      </c>
      <c r="J116" s="1">
        <v>1</v>
      </c>
      <c r="Q116" s="152">
        <v>13</v>
      </c>
      <c r="R116" s="162">
        <v>0</v>
      </c>
      <c r="S116" s="152">
        <v>4</v>
      </c>
      <c r="T116" s="152">
        <v>5</v>
      </c>
      <c r="U116" s="1">
        <v>3</v>
      </c>
      <c r="V116" s="1">
        <v>2</v>
      </c>
    </row>
    <row r="117" spans="6:22" x14ac:dyDescent="0.25">
      <c r="F117" s="152">
        <v>7</v>
      </c>
      <c r="H117" s="152">
        <v>5</v>
      </c>
      <c r="I117" s="1">
        <v>4</v>
      </c>
      <c r="J117" s="1">
        <v>1</v>
      </c>
      <c r="Q117" s="152">
        <v>12</v>
      </c>
      <c r="R117" s="162">
        <v>1</v>
      </c>
      <c r="S117" s="152">
        <v>3</v>
      </c>
      <c r="T117" s="152">
        <v>5</v>
      </c>
      <c r="U117" s="1">
        <v>3</v>
      </c>
      <c r="V117" s="1">
        <v>2</v>
      </c>
    </row>
    <row r="118" spans="6:22" x14ac:dyDescent="0.25">
      <c r="F118" s="152">
        <v>7</v>
      </c>
      <c r="H118" s="152">
        <v>5</v>
      </c>
      <c r="I118" s="1">
        <v>3</v>
      </c>
      <c r="J118" s="1">
        <v>1</v>
      </c>
      <c r="Q118" s="152">
        <v>11</v>
      </c>
      <c r="R118" s="162">
        <v>0</v>
      </c>
      <c r="S118" s="152">
        <v>3</v>
      </c>
      <c r="T118" s="152">
        <v>5</v>
      </c>
      <c r="U118" s="1">
        <v>3</v>
      </c>
      <c r="V118" s="1">
        <v>2</v>
      </c>
    </row>
    <row r="119" spans="6:22" x14ac:dyDescent="0.25">
      <c r="F119" s="152">
        <v>7</v>
      </c>
      <c r="H119" s="152">
        <v>5</v>
      </c>
      <c r="I119" s="1">
        <v>3</v>
      </c>
      <c r="J119" s="1">
        <v>1</v>
      </c>
      <c r="Q119" s="152">
        <v>11</v>
      </c>
      <c r="R119" s="162">
        <v>2</v>
      </c>
      <c r="S119" s="152">
        <v>3</v>
      </c>
      <c r="T119" s="152">
        <v>5</v>
      </c>
      <c r="U119" s="1">
        <v>3</v>
      </c>
      <c r="V119" s="1">
        <v>2</v>
      </c>
    </row>
    <row r="120" spans="6:22" x14ac:dyDescent="0.25">
      <c r="F120" s="152">
        <v>7</v>
      </c>
      <c r="H120" s="152">
        <v>5</v>
      </c>
      <c r="I120" s="1">
        <v>5</v>
      </c>
      <c r="J120" s="1">
        <v>1</v>
      </c>
      <c r="Q120" s="152">
        <v>13</v>
      </c>
      <c r="R120" s="162">
        <v>1</v>
      </c>
      <c r="S120" s="152">
        <v>4</v>
      </c>
      <c r="T120" s="152">
        <v>5</v>
      </c>
      <c r="U120" s="1">
        <v>4</v>
      </c>
      <c r="V120" s="1">
        <v>2</v>
      </c>
    </row>
    <row r="121" spans="6:22" x14ac:dyDescent="0.25">
      <c r="F121" s="152">
        <v>7</v>
      </c>
      <c r="H121" s="152">
        <v>5</v>
      </c>
      <c r="I121" s="1">
        <v>5</v>
      </c>
      <c r="J121" s="1">
        <v>2</v>
      </c>
      <c r="Q121" s="152">
        <v>13</v>
      </c>
      <c r="R121" s="162">
        <v>1</v>
      </c>
      <c r="S121" s="152">
        <v>4</v>
      </c>
      <c r="T121" s="152">
        <v>6</v>
      </c>
      <c r="U121" s="1">
        <v>3</v>
      </c>
      <c r="V121" s="1">
        <v>2</v>
      </c>
    </row>
    <row r="122" spans="6:22" x14ac:dyDescent="0.25">
      <c r="F122" s="152">
        <v>7</v>
      </c>
      <c r="H122" s="152">
        <v>5</v>
      </c>
      <c r="I122" s="1">
        <v>5</v>
      </c>
      <c r="J122" s="1">
        <v>2</v>
      </c>
      <c r="Q122" s="152">
        <v>13</v>
      </c>
      <c r="R122" s="162">
        <v>0</v>
      </c>
      <c r="S122" s="152">
        <v>3</v>
      </c>
      <c r="T122" s="152">
        <v>5</v>
      </c>
      <c r="U122" s="1">
        <v>3</v>
      </c>
      <c r="V122" s="1">
        <v>2</v>
      </c>
    </row>
    <row r="123" spans="6:22" x14ac:dyDescent="0.25">
      <c r="F123" s="152">
        <v>7</v>
      </c>
      <c r="H123" s="152">
        <v>5</v>
      </c>
      <c r="I123" s="1">
        <v>3</v>
      </c>
      <c r="J123" s="1">
        <v>1</v>
      </c>
      <c r="Q123" s="152">
        <v>12</v>
      </c>
      <c r="R123" s="162">
        <v>1</v>
      </c>
      <c r="S123" s="152">
        <v>4</v>
      </c>
      <c r="T123" s="152">
        <v>5</v>
      </c>
      <c r="U123" s="1">
        <v>4</v>
      </c>
      <c r="V123" s="1">
        <v>1</v>
      </c>
    </row>
    <row r="124" spans="6:22" x14ac:dyDescent="0.25">
      <c r="F124" s="152">
        <v>7</v>
      </c>
      <c r="H124" s="152">
        <v>5</v>
      </c>
      <c r="I124" s="1">
        <v>3</v>
      </c>
      <c r="J124" s="1">
        <v>1</v>
      </c>
      <c r="Q124" s="152">
        <v>13</v>
      </c>
      <c r="R124" s="162">
        <v>0</v>
      </c>
      <c r="S124" s="152">
        <v>3</v>
      </c>
      <c r="T124" s="152">
        <v>5</v>
      </c>
      <c r="U124" s="1">
        <v>4</v>
      </c>
      <c r="V124" s="1">
        <v>1</v>
      </c>
    </row>
    <row r="125" spans="6:22" x14ac:dyDescent="0.25">
      <c r="F125" s="152">
        <v>7</v>
      </c>
      <c r="H125" s="152">
        <v>5</v>
      </c>
      <c r="I125" s="1">
        <v>3</v>
      </c>
      <c r="J125" s="1">
        <v>1</v>
      </c>
      <c r="Q125" s="152">
        <v>11</v>
      </c>
      <c r="R125" s="162">
        <v>1</v>
      </c>
      <c r="S125" s="152">
        <v>3</v>
      </c>
      <c r="T125" s="152">
        <v>5</v>
      </c>
      <c r="U125" s="1">
        <v>3</v>
      </c>
      <c r="V125" s="1">
        <v>2</v>
      </c>
    </row>
    <row r="126" spans="6:22" x14ac:dyDescent="0.25">
      <c r="F126" s="152">
        <v>7</v>
      </c>
      <c r="H126" s="152">
        <v>5</v>
      </c>
      <c r="I126" s="1">
        <v>4</v>
      </c>
      <c r="J126" s="1">
        <v>1</v>
      </c>
      <c r="Q126" s="152">
        <v>12</v>
      </c>
      <c r="R126" s="162">
        <v>1</v>
      </c>
      <c r="S126" s="152">
        <v>3</v>
      </c>
      <c r="T126" s="152">
        <v>6</v>
      </c>
      <c r="U126" s="1">
        <v>4</v>
      </c>
      <c r="V126" s="1">
        <v>2</v>
      </c>
    </row>
    <row r="127" spans="6:22" x14ac:dyDescent="0.25">
      <c r="F127" s="152">
        <v>7</v>
      </c>
      <c r="H127" s="152">
        <v>5</v>
      </c>
      <c r="I127" s="1">
        <v>5</v>
      </c>
      <c r="J127" s="1">
        <v>1</v>
      </c>
      <c r="Q127" s="152">
        <v>12</v>
      </c>
      <c r="R127" s="162">
        <v>2</v>
      </c>
      <c r="S127" s="152">
        <v>4</v>
      </c>
      <c r="T127" s="152">
        <v>5</v>
      </c>
      <c r="U127" s="1">
        <v>3</v>
      </c>
      <c r="V127" s="1">
        <v>2</v>
      </c>
    </row>
    <row r="128" spans="6:22" x14ac:dyDescent="0.25">
      <c r="F128" s="152">
        <v>7</v>
      </c>
      <c r="H128" s="152">
        <v>5</v>
      </c>
      <c r="I128" s="1">
        <v>3</v>
      </c>
      <c r="J128" s="1">
        <v>1</v>
      </c>
      <c r="Q128" s="152">
        <v>12</v>
      </c>
      <c r="R128" s="162">
        <v>1</v>
      </c>
      <c r="S128" s="152">
        <v>3</v>
      </c>
      <c r="T128" s="152">
        <v>5</v>
      </c>
      <c r="U128" s="1">
        <v>4</v>
      </c>
      <c r="V128" s="1">
        <v>2</v>
      </c>
    </row>
    <row r="129" spans="6:22" x14ac:dyDescent="0.25">
      <c r="F129" s="152">
        <v>7</v>
      </c>
      <c r="H129" s="152">
        <v>5</v>
      </c>
      <c r="I129" s="1">
        <v>4</v>
      </c>
      <c r="J129" s="1">
        <v>1</v>
      </c>
      <c r="Q129" s="152">
        <v>12</v>
      </c>
      <c r="R129" s="162">
        <v>1</v>
      </c>
      <c r="S129" s="152">
        <v>3</v>
      </c>
      <c r="T129" s="152">
        <v>5</v>
      </c>
      <c r="U129" s="1">
        <v>3</v>
      </c>
      <c r="V129" s="1">
        <v>2</v>
      </c>
    </row>
    <row r="130" spans="6:22" x14ac:dyDescent="0.25">
      <c r="F130" s="152">
        <v>7</v>
      </c>
      <c r="H130" s="152">
        <v>5</v>
      </c>
      <c r="I130" s="1">
        <v>4</v>
      </c>
      <c r="J130" s="1">
        <v>2</v>
      </c>
      <c r="Q130" s="152">
        <v>12</v>
      </c>
      <c r="R130" s="162">
        <v>1</v>
      </c>
      <c r="S130" s="152">
        <v>3</v>
      </c>
      <c r="T130" s="152">
        <v>5</v>
      </c>
      <c r="U130" s="1">
        <v>4</v>
      </c>
      <c r="V130" s="1">
        <v>1</v>
      </c>
    </row>
    <row r="131" spans="6:22" x14ac:dyDescent="0.25">
      <c r="F131" s="152">
        <v>7</v>
      </c>
      <c r="H131" s="152">
        <v>5</v>
      </c>
      <c r="I131" s="1">
        <v>3</v>
      </c>
      <c r="J131" s="1">
        <v>2</v>
      </c>
      <c r="Q131" s="152">
        <v>12</v>
      </c>
      <c r="R131" s="162">
        <v>2</v>
      </c>
      <c r="S131" s="152">
        <v>3</v>
      </c>
      <c r="T131" s="152">
        <v>5</v>
      </c>
      <c r="U131" s="1">
        <v>3</v>
      </c>
      <c r="V131" s="1">
        <v>2</v>
      </c>
    </row>
    <row r="132" spans="6:22" x14ac:dyDescent="0.25">
      <c r="F132" s="152">
        <v>7</v>
      </c>
      <c r="H132" s="152">
        <v>5</v>
      </c>
      <c r="I132" s="1">
        <v>4</v>
      </c>
      <c r="J132" s="1">
        <v>1</v>
      </c>
      <c r="Q132" s="152">
        <v>12</v>
      </c>
      <c r="R132" s="162">
        <v>1</v>
      </c>
      <c r="S132" s="152">
        <v>4</v>
      </c>
      <c r="T132" s="152">
        <v>5</v>
      </c>
      <c r="U132" s="1">
        <v>4</v>
      </c>
      <c r="V132" s="1">
        <v>2</v>
      </c>
    </row>
    <row r="133" spans="6:22" x14ac:dyDescent="0.25">
      <c r="F133" s="152">
        <v>7</v>
      </c>
      <c r="H133" s="152">
        <v>5</v>
      </c>
      <c r="I133" s="1">
        <v>3</v>
      </c>
      <c r="J133" s="1">
        <v>2</v>
      </c>
      <c r="Q133" s="152">
        <v>12</v>
      </c>
      <c r="R133" s="162">
        <v>1</v>
      </c>
      <c r="S133" s="152">
        <v>3</v>
      </c>
      <c r="T133" s="152">
        <v>5</v>
      </c>
      <c r="U133" s="1">
        <v>4</v>
      </c>
      <c r="V133" s="1">
        <v>2</v>
      </c>
    </row>
    <row r="134" spans="6:22" x14ac:dyDescent="0.25">
      <c r="F134" s="152">
        <v>7</v>
      </c>
      <c r="H134" s="152">
        <v>5</v>
      </c>
      <c r="I134" s="1">
        <v>4</v>
      </c>
      <c r="J134" s="1">
        <v>1</v>
      </c>
      <c r="Q134" s="152">
        <v>12</v>
      </c>
      <c r="R134" s="162">
        <v>1</v>
      </c>
      <c r="S134" s="152">
        <v>4</v>
      </c>
      <c r="T134" s="152">
        <v>5</v>
      </c>
      <c r="U134" s="1">
        <v>4</v>
      </c>
      <c r="V134" s="1">
        <v>2</v>
      </c>
    </row>
    <row r="135" spans="6:22" x14ac:dyDescent="0.25">
      <c r="F135" s="152">
        <v>7</v>
      </c>
      <c r="H135" s="152">
        <v>5</v>
      </c>
      <c r="I135" s="1">
        <v>4</v>
      </c>
      <c r="J135" s="1">
        <v>2</v>
      </c>
      <c r="Q135" s="152">
        <v>12</v>
      </c>
      <c r="R135" s="162">
        <v>1</v>
      </c>
      <c r="S135" s="152">
        <v>3</v>
      </c>
      <c r="T135" s="152">
        <v>6</v>
      </c>
      <c r="U135" s="1">
        <v>4</v>
      </c>
      <c r="V135" s="1">
        <v>2</v>
      </c>
    </row>
    <row r="136" spans="6:22" x14ac:dyDescent="0.25">
      <c r="F136" s="152">
        <v>7</v>
      </c>
      <c r="H136" s="152">
        <v>5</v>
      </c>
      <c r="I136" s="1">
        <v>5</v>
      </c>
      <c r="J136" s="1">
        <v>1</v>
      </c>
      <c r="Q136" s="152">
        <v>11</v>
      </c>
      <c r="R136" s="162">
        <v>1</v>
      </c>
      <c r="S136" s="152">
        <v>4</v>
      </c>
      <c r="T136" s="152">
        <v>5</v>
      </c>
      <c r="U136" s="1">
        <v>4</v>
      </c>
      <c r="V136" s="1">
        <v>2</v>
      </c>
    </row>
    <row r="137" spans="6:22" x14ac:dyDescent="0.25">
      <c r="F137" s="152">
        <v>7</v>
      </c>
      <c r="H137" s="152">
        <v>5</v>
      </c>
      <c r="I137" s="1">
        <v>4</v>
      </c>
      <c r="J137" s="1">
        <v>2</v>
      </c>
      <c r="Q137" s="152">
        <v>11</v>
      </c>
      <c r="R137" s="162">
        <v>2</v>
      </c>
      <c r="S137" s="152">
        <v>3</v>
      </c>
      <c r="T137" s="152">
        <v>5</v>
      </c>
      <c r="U137" s="1">
        <v>4</v>
      </c>
      <c r="V137" s="1">
        <v>1</v>
      </c>
    </row>
    <row r="138" spans="6:22" x14ac:dyDescent="0.25">
      <c r="F138" s="152">
        <v>7</v>
      </c>
      <c r="H138" s="152">
        <v>5</v>
      </c>
      <c r="I138" s="1">
        <v>3</v>
      </c>
      <c r="J138" s="1">
        <v>1</v>
      </c>
      <c r="Q138" s="152">
        <v>11</v>
      </c>
      <c r="R138" s="162">
        <v>1</v>
      </c>
      <c r="S138" s="152">
        <v>4</v>
      </c>
      <c r="T138" s="152">
        <v>5</v>
      </c>
      <c r="U138" s="1">
        <v>3</v>
      </c>
      <c r="V138" s="1">
        <v>1</v>
      </c>
    </row>
    <row r="139" spans="6:22" x14ac:dyDescent="0.25">
      <c r="F139" s="152">
        <v>7</v>
      </c>
      <c r="H139" s="152">
        <v>5</v>
      </c>
      <c r="I139" s="1">
        <v>5</v>
      </c>
      <c r="J139" s="1">
        <v>2</v>
      </c>
      <c r="Q139" s="152">
        <v>11</v>
      </c>
      <c r="R139" s="162">
        <v>1</v>
      </c>
      <c r="S139" s="152">
        <v>3</v>
      </c>
      <c r="T139" s="152">
        <v>5</v>
      </c>
      <c r="U139" s="1">
        <v>3</v>
      </c>
      <c r="V139" s="1">
        <v>1</v>
      </c>
    </row>
    <row r="140" spans="6:22" x14ac:dyDescent="0.25">
      <c r="F140" s="152">
        <v>7</v>
      </c>
      <c r="H140" s="152">
        <v>5</v>
      </c>
      <c r="I140" s="1">
        <v>5</v>
      </c>
      <c r="J140" s="1">
        <v>1</v>
      </c>
      <c r="Q140" s="152">
        <v>11</v>
      </c>
      <c r="R140" s="162">
        <v>1</v>
      </c>
      <c r="S140" s="152">
        <v>3</v>
      </c>
      <c r="T140" s="152">
        <v>5</v>
      </c>
      <c r="U140" s="1">
        <v>4</v>
      </c>
      <c r="V140" s="1">
        <v>2</v>
      </c>
    </row>
    <row r="141" spans="6:22" x14ac:dyDescent="0.25">
      <c r="F141" s="152">
        <v>7</v>
      </c>
      <c r="H141" s="152">
        <v>5</v>
      </c>
      <c r="I141" s="1">
        <v>3</v>
      </c>
      <c r="J141" s="1">
        <v>2</v>
      </c>
      <c r="Q141" s="152">
        <v>12</v>
      </c>
      <c r="R141" s="162">
        <v>1</v>
      </c>
      <c r="S141" s="152">
        <v>3</v>
      </c>
      <c r="T141" s="152">
        <v>5</v>
      </c>
      <c r="U141" s="1">
        <v>3</v>
      </c>
      <c r="V141" s="1">
        <v>2</v>
      </c>
    </row>
    <row r="142" spans="6:22" x14ac:dyDescent="0.25">
      <c r="F142" s="152">
        <v>7</v>
      </c>
      <c r="H142" s="152">
        <v>5</v>
      </c>
      <c r="I142" s="1">
        <v>4</v>
      </c>
      <c r="J142" s="1">
        <v>1</v>
      </c>
      <c r="Q142" s="152">
        <v>12</v>
      </c>
      <c r="R142" s="162">
        <v>1</v>
      </c>
      <c r="S142" s="152">
        <v>4</v>
      </c>
      <c r="T142" s="152">
        <v>5</v>
      </c>
      <c r="U142" s="1">
        <v>4</v>
      </c>
      <c r="V142" s="1">
        <v>2</v>
      </c>
    </row>
    <row r="143" spans="6:22" x14ac:dyDescent="0.25">
      <c r="F143" s="152">
        <v>7</v>
      </c>
      <c r="H143" s="152">
        <v>5</v>
      </c>
      <c r="I143" s="1">
        <v>5</v>
      </c>
      <c r="J143" s="1">
        <v>2</v>
      </c>
      <c r="Q143" s="152">
        <v>13</v>
      </c>
      <c r="R143" s="162">
        <v>1</v>
      </c>
      <c r="S143" s="152">
        <v>4</v>
      </c>
      <c r="T143" s="152">
        <v>5</v>
      </c>
      <c r="U143" s="1">
        <v>4</v>
      </c>
      <c r="V143" s="1">
        <v>1</v>
      </c>
    </row>
    <row r="144" spans="6:22" x14ac:dyDescent="0.25">
      <c r="F144" s="152">
        <v>7</v>
      </c>
      <c r="H144" s="152">
        <v>5</v>
      </c>
      <c r="I144" s="1">
        <v>3</v>
      </c>
      <c r="J144" s="1">
        <v>1</v>
      </c>
      <c r="Q144" s="152">
        <v>11</v>
      </c>
      <c r="R144" s="162">
        <v>2</v>
      </c>
      <c r="S144" s="152">
        <v>3</v>
      </c>
      <c r="T144" s="152">
        <v>5</v>
      </c>
      <c r="U144" s="1">
        <v>3</v>
      </c>
      <c r="V144" s="1">
        <v>1</v>
      </c>
    </row>
    <row r="145" spans="6:22" x14ac:dyDescent="0.25">
      <c r="F145" s="152">
        <v>7</v>
      </c>
      <c r="H145" s="152">
        <v>5</v>
      </c>
      <c r="I145" s="1">
        <v>3</v>
      </c>
      <c r="J145" s="1">
        <v>1</v>
      </c>
      <c r="Q145" s="152">
        <v>13</v>
      </c>
      <c r="R145" s="162">
        <v>0</v>
      </c>
      <c r="S145" s="152">
        <v>3</v>
      </c>
      <c r="T145" s="152">
        <v>6</v>
      </c>
      <c r="U145" s="1">
        <v>4</v>
      </c>
      <c r="V145" s="1">
        <v>2</v>
      </c>
    </row>
    <row r="146" spans="6:22" x14ac:dyDescent="0.25">
      <c r="F146" s="152">
        <v>7</v>
      </c>
      <c r="H146" s="152">
        <v>5</v>
      </c>
      <c r="I146" s="1">
        <v>5</v>
      </c>
      <c r="J146" s="1">
        <v>1</v>
      </c>
      <c r="Q146" s="152">
        <v>11</v>
      </c>
      <c r="R146" s="162">
        <v>2</v>
      </c>
      <c r="S146" s="152">
        <v>3</v>
      </c>
      <c r="T146" s="152">
        <v>5</v>
      </c>
      <c r="U146" s="1">
        <v>3</v>
      </c>
      <c r="V146" s="1">
        <v>2</v>
      </c>
    </row>
    <row r="147" spans="6:22" x14ac:dyDescent="0.25">
      <c r="F147" s="152">
        <v>7</v>
      </c>
      <c r="H147" s="152">
        <v>5</v>
      </c>
      <c r="I147" s="1">
        <v>5</v>
      </c>
      <c r="J147" s="1">
        <v>1</v>
      </c>
      <c r="Q147" s="152">
        <v>12</v>
      </c>
      <c r="R147" s="162">
        <v>2</v>
      </c>
      <c r="S147" s="152">
        <v>4</v>
      </c>
      <c r="T147" s="152">
        <v>5</v>
      </c>
      <c r="U147" s="1">
        <v>3</v>
      </c>
      <c r="V147" s="1">
        <v>1</v>
      </c>
    </row>
    <row r="148" spans="6:22" x14ac:dyDescent="0.25">
      <c r="F148" s="152">
        <v>7</v>
      </c>
      <c r="H148" s="152">
        <v>5</v>
      </c>
      <c r="I148" s="1">
        <v>5</v>
      </c>
      <c r="J148" s="1">
        <v>1</v>
      </c>
      <c r="Q148" s="152">
        <v>13</v>
      </c>
      <c r="R148" s="162">
        <v>2</v>
      </c>
      <c r="S148" s="152">
        <v>4</v>
      </c>
      <c r="T148" s="152">
        <v>6</v>
      </c>
      <c r="U148" s="1">
        <v>4</v>
      </c>
      <c r="V148" s="1">
        <v>2</v>
      </c>
    </row>
    <row r="149" spans="6:22" x14ac:dyDescent="0.25">
      <c r="F149" s="152">
        <v>7</v>
      </c>
      <c r="H149" s="152">
        <v>5</v>
      </c>
      <c r="I149" s="1">
        <v>5</v>
      </c>
      <c r="J149" s="1">
        <v>1</v>
      </c>
      <c r="Q149" s="152">
        <v>12</v>
      </c>
      <c r="R149" s="162">
        <v>1</v>
      </c>
      <c r="S149" s="152">
        <v>3</v>
      </c>
      <c r="T149" s="152">
        <v>5</v>
      </c>
      <c r="U149" s="1">
        <v>3</v>
      </c>
      <c r="V149" s="1">
        <v>1</v>
      </c>
    </row>
    <row r="150" spans="6:22" x14ac:dyDescent="0.25">
      <c r="F150" s="152">
        <v>7</v>
      </c>
      <c r="H150" s="152">
        <v>5</v>
      </c>
      <c r="I150" s="1">
        <v>3</v>
      </c>
      <c r="J150" s="1">
        <v>1</v>
      </c>
      <c r="Q150" s="152">
        <v>12</v>
      </c>
      <c r="R150" s="162">
        <v>1</v>
      </c>
      <c r="S150" s="152">
        <v>4</v>
      </c>
      <c r="T150" s="152">
        <v>5</v>
      </c>
      <c r="U150" s="1">
        <v>3</v>
      </c>
      <c r="V150" s="1">
        <v>1</v>
      </c>
    </row>
    <row r="151" spans="6:22" x14ac:dyDescent="0.25">
      <c r="F151" s="152">
        <v>7</v>
      </c>
      <c r="H151" s="152">
        <v>5</v>
      </c>
      <c r="I151" s="1">
        <v>5</v>
      </c>
      <c r="J151" s="1">
        <v>2</v>
      </c>
      <c r="Q151" s="152">
        <v>11</v>
      </c>
      <c r="R151" s="162">
        <v>1</v>
      </c>
      <c r="S151" s="152">
        <v>3</v>
      </c>
      <c r="T151" s="152">
        <v>5</v>
      </c>
      <c r="U151" s="1">
        <v>4</v>
      </c>
      <c r="V151" s="1">
        <v>2</v>
      </c>
    </row>
    <row r="152" spans="6:22" x14ac:dyDescent="0.25">
      <c r="F152" s="152">
        <v>7</v>
      </c>
      <c r="H152" s="152">
        <v>5</v>
      </c>
      <c r="I152" s="1">
        <v>4</v>
      </c>
      <c r="J152" s="1">
        <v>2</v>
      </c>
      <c r="Q152" s="152">
        <v>12</v>
      </c>
      <c r="R152" s="162">
        <v>2</v>
      </c>
      <c r="S152" s="152">
        <v>4</v>
      </c>
      <c r="T152" s="152">
        <v>6</v>
      </c>
      <c r="U152" s="1">
        <v>4</v>
      </c>
      <c r="V152" s="1">
        <v>1</v>
      </c>
    </row>
    <row r="153" spans="6:22" x14ac:dyDescent="0.25">
      <c r="F153" s="152">
        <v>7</v>
      </c>
      <c r="H153" s="152">
        <v>5</v>
      </c>
      <c r="I153" s="1">
        <v>3</v>
      </c>
      <c r="J153" s="1">
        <v>1</v>
      </c>
      <c r="Q153" s="152">
        <v>11</v>
      </c>
      <c r="R153" s="162">
        <v>1</v>
      </c>
      <c r="S153" s="152">
        <v>4</v>
      </c>
      <c r="T153" s="152">
        <v>5</v>
      </c>
      <c r="U153" s="1">
        <v>4</v>
      </c>
      <c r="V153" s="1">
        <v>2</v>
      </c>
    </row>
    <row r="154" spans="6:22" x14ac:dyDescent="0.25">
      <c r="F154" s="152">
        <v>7</v>
      </c>
      <c r="H154" s="152">
        <v>5</v>
      </c>
      <c r="I154" s="1">
        <v>5</v>
      </c>
      <c r="J154" s="1">
        <v>2</v>
      </c>
      <c r="Q154" s="152">
        <v>13</v>
      </c>
      <c r="R154" s="162">
        <v>1</v>
      </c>
      <c r="S154" s="152">
        <v>3</v>
      </c>
      <c r="T154" s="152">
        <v>5</v>
      </c>
      <c r="U154" s="1">
        <v>4</v>
      </c>
      <c r="V154" s="1">
        <v>2</v>
      </c>
    </row>
    <row r="155" spans="6:22" x14ac:dyDescent="0.25">
      <c r="F155" s="152">
        <v>7</v>
      </c>
      <c r="H155" s="152">
        <v>5</v>
      </c>
      <c r="I155" s="1">
        <v>5</v>
      </c>
      <c r="J155" s="1">
        <v>1</v>
      </c>
      <c r="Q155" s="152">
        <v>13</v>
      </c>
      <c r="R155" s="162">
        <v>1</v>
      </c>
      <c r="S155" s="152">
        <v>4</v>
      </c>
      <c r="T155" s="152">
        <v>5</v>
      </c>
      <c r="U155" s="1">
        <v>3</v>
      </c>
      <c r="V155" s="1">
        <v>2</v>
      </c>
    </row>
    <row r="156" spans="6:22" x14ac:dyDescent="0.25">
      <c r="F156" s="152">
        <v>7</v>
      </c>
      <c r="H156" s="152">
        <v>5</v>
      </c>
      <c r="I156" s="1">
        <v>5</v>
      </c>
      <c r="J156" s="1">
        <v>2</v>
      </c>
      <c r="Q156" s="152">
        <v>11</v>
      </c>
      <c r="R156" s="162">
        <v>1</v>
      </c>
      <c r="S156" s="152">
        <v>3</v>
      </c>
      <c r="T156" s="152">
        <v>5</v>
      </c>
      <c r="U156" s="1">
        <v>4</v>
      </c>
      <c r="V156" s="1">
        <v>2</v>
      </c>
    </row>
    <row r="157" spans="6:22" x14ac:dyDescent="0.25">
      <c r="F157" s="152">
        <v>7</v>
      </c>
      <c r="H157" s="152">
        <v>5</v>
      </c>
      <c r="I157" s="1">
        <v>3</v>
      </c>
      <c r="J157" s="1">
        <v>2</v>
      </c>
      <c r="Q157" s="152">
        <v>13</v>
      </c>
      <c r="R157" s="162">
        <v>2</v>
      </c>
      <c r="S157" s="152">
        <v>3</v>
      </c>
      <c r="T157" s="152">
        <v>6</v>
      </c>
      <c r="U157" s="1">
        <v>3</v>
      </c>
      <c r="V157" s="1">
        <v>2</v>
      </c>
    </row>
    <row r="158" spans="6:22" x14ac:dyDescent="0.25">
      <c r="F158" s="152">
        <v>7</v>
      </c>
      <c r="H158" s="152">
        <v>5</v>
      </c>
      <c r="I158" s="1">
        <v>3</v>
      </c>
      <c r="J158" s="1">
        <v>1</v>
      </c>
      <c r="Q158" s="152">
        <v>11</v>
      </c>
      <c r="R158" s="162">
        <v>2</v>
      </c>
      <c r="S158" s="152">
        <v>3</v>
      </c>
      <c r="T158" s="152">
        <v>5</v>
      </c>
      <c r="U158" s="1">
        <v>4</v>
      </c>
      <c r="V158" s="1">
        <v>2</v>
      </c>
    </row>
    <row r="159" spans="6:22" x14ac:dyDescent="0.25">
      <c r="F159" s="152">
        <v>7</v>
      </c>
      <c r="H159" s="152">
        <v>5</v>
      </c>
      <c r="I159" s="1">
        <v>3</v>
      </c>
      <c r="J159" s="1">
        <v>1</v>
      </c>
      <c r="Q159" s="152">
        <v>13</v>
      </c>
      <c r="R159" s="162">
        <v>1</v>
      </c>
      <c r="S159" s="152">
        <v>3</v>
      </c>
      <c r="T159" s="152">
        <v>5</v>
      </c>
      <c r="U159" s="1">
        <v>3</v>
      </c>
      <c r="V159" s="1">
        <v>1</v>
      </c>
    </row>
    <row r="160" spans="6:22" x14ac:dyDescent="0.25">
      <c r="F160" s="152">
        <v>7</v>
      </c>
      <c r="H160" s="152">
        <v>5</v>
      </c>
      <c r="I160" s="1">
        <v>4</v>
      </c>
      <c r="J160" s="1">
        <v>1</v>
      </c>
      <c r="Q160" s="152">
        <v>11</v>
      </c>
      <c r="R160" s="162">
        <v>1</v>
      </c>
      <c r="S160" s="152">
        <v>3</v>
      </c>
      <c r="T160" s="152">
        <v>6</v>
      </c>
      <c r="U160" s="1">
        <v>4</v>
      </c>
      <c r="V160" s="1">
        <v>1</v>
      </c>
    </row>
    <row r="161" spans="6:22" x14ac:dyDescent="0.25">
      <c r="F161" s="152">
        <v>7</v>
      </c>
      <c r="H161" s="152">
        <v>5</v>
      </c>
      <c r="I161" s="1">
        <v>5</v>
      </c>
      <c r="J161" s="1">
        <v>2</v>
      </c>
      <c r="Q161" s="152">
        <v>12</v>
      </c>
      <c r="R161" s="162">
        <v>2</v>
      </c>
      <c r="S161" s="152">
        <v>4</v>
      </c>
      <c r="T161" s="152">
        <v>6</v>
      </c>
      <c r="U161" s="1">
        <v>3</v>
      </c>
      <c r="V161" s="1">
        <v>2</v>
      </c>
    </row>
    <row r="162" spans="6:22" x14ac:dyDescent="0.25">
      <c r="F162" s="152">
        <v>7</v>
      </c>
      <c r="H162" s="152">
        <v>5</v>
      </c>
      <c r="I162" s="1">
        <v>5</v>
      </c>
      <c r="J162" s="1">
        <v>1</v>
      </c>
      <c r="Q162" s="152">
        <v>12</v>
      </c>
      <c r="R162" s="162">
        <v>2</v>
      </c>
      <c r="S162" s="152">
        <v>3</v>
      </c>
      <c r="T162" s="152">
        <v>5</v>
      </c>
      <c r="U162" s="1">
        <v>3</v>
      </c>
      <c r="V162" s="1">
        <v>2</v>
      </c>
    </row>
    <row r="163" spans="6:22" x14ac:dyDescent="0.25">
      <c r="F163" s="152">
        <v>7</v>
      </c>
      <c r="H163" s="152">
        <v>5</v>
      </c>
      <c r="I163" s="1">
        <v>5</v>
      </c>
      <c r="J163" s="1">
        <v>2</v>
      </c>
      <c r="Q163" s="152">
        <v>11</v>
      </c>
      <c r="R163" s="162">
        <v>1</v>
      </c>
      <c r="S163" s="152">
        <v>4</v>
      </c>
      <c r="T163" s="152">
        <v>5</v>
      </c>
      <c r="U163" s="1">
        <v>3</v>
      </c>
      <c r="V163" s="1">
        <v>1</v>
      </c>
    </row>
    <row r="164" spans="6:22" x14ac:dyDescent="0.25">
      <c r="F164" s="152">
        <v>7</v>
      </c>
      <c r="H164" s="152">
        <v>5</v>
      </c>
      <c r="I164" s="1">
        <v>5</v>
      </c>
      <c r="J164" s="1">
        <v>1</v>
      </c>
      <c r="Q164" s="152">
        <v>12</v>
      </c>
      <c r="R164" s="162">
        <v>0</v>
      </c>
      <c r="S164" s="152">
        <v>3</v>
      </c>
      <c r="T164" s="152">
        <v>5</v>
      </c>
      <c r="U164" s="1">
        <v>4</v>
      </c>
      <c r="V164" s="1">
        <v>1</v>
      </c>
    </row>
    <row r="165" spans="6:22" x14ac:dyDescent="0.25">
      <c r="F165" s="152">
        <v>7</v>
      </c>
      <c r="H165" s="152">
        <v>5</v>
      </c>
      <c r="I165" s="1">
        <v>3</v>
      </c>
      <c r="J165" s="1">
        <v>1</v>
      </c>
      <c r="Q165" s="152">
        <v>13</v>
      </c>
      <c r="R165" s="162">
        <v>1</v>
      </c>
      <c r="S165" s="152">
        <v>3</v>
      </c>
      <c r="T165" s="152">
        <v>5</v>
      </c>
      <c r="U165" s="1">
        <v>4</v>
      </c>
      <c r="V165" s="1">
        <v>2</v>
      </c>
    </row>
    <row r="166" spans="6:22" x14ac:dyDescent="0.25">
      <c r="F166" s="152">
        <v>7</v>
      </c>
      <c r="H166" s="152">
        <v>5</v>
      </c>
      <c r="I166" s="1">
        <v>4</v>
      </c>
      <c r="J166" s="1">
        <v>1</v>
      </c>
      <c r="Q166" s="152">
        <v>12</v>
      </c>
      <c r="R166" s="162">
        <v>1</v>
      </c>
      <c r="S166" s="152">
        <v>3</v>
      </c>
      <c r="T166" s="152">
        <v>5</v>
      </c>
      <c r="U166" s="1">
        <v>4</v>
      </c>
      <c r="V166" s="1">
        <v>1</v>
      </c>
    </row>
    <row r="167" spans="6:22" x14ac:dyDescent="0.25">
      <c r="F167" s="152">
        <v>7</v>
      </c>
      <c r="H167" s="152">
        <v>5</v>
      </c>
      <c r="I167" s="1">
        <v>4</v>
      </c>
      <c r="J167" s="1">
        <v>2</v>
      </c>
      <c r="Q167" s="152">
        <v>12</v>
      </c>
      <c r="R167" s="162">
        <v>2</v>
      </c>
      <c r="S167" s="152">
        <v>3</v>
      </c>
      <c r="T167" s="152">
        <v>5</v>
      </c>
      <c r="U167" s="1">
        <v>3</v>
      </c>
      <c r="V167" s="1">
        <v>2</v>
      </c>
    </row>
    <row r="168" spans="6:22" x14ac:dyDescent="0.25">
      <c r="F168" s="152">
        <v>7</v>
      </c>
      <c r="H168" s="152">
        <v>5</v>
      </c>
      <c r="I168" s="1">
        <v>3</v>
      </c>
      <c r="J168" s="1">
        <v>2</v>
      </c>
      <c r="Q168" s="152">
        <v>12</v>
      </c>
      <c r="R168" s="162">
        <v>2</v>
      </c>
      <c r="S168" s="152">
        <v>3</v>
      </c>
      <c r="T168" s="152">
        <v>5</v>
      </c>
      <c r="U168" s="1">
        <v>4</v>
      </c>
      <c r="V168" s="1">
        <v>2</v>
      </c>
    </row>
    <row r="169" spans="6:22" x14ac:dyDescent="0.25">
      <c r="F169" s="152">
        <v>7</v>
      </c>
      <c r="H169" s="152">
        <v>5</v>
      </c>
      <c r="I169" s="1">
        <v>5</v>
      </c>
      <c r="J169" s="1">
        <v>1</v>
      </c>
      <c r="Q169" s="152">
        <v>11</v>
      </c>
      <c r="R169" s="162">
        <v>2</v>
      </c>
      <c r="S169" s="152">
        <v>3</v>
      </c>
      <c r="T169" s="152">
        <v>5</v>
      </c>
      <c r="U169" s="1">
        <v>3</v>
      </c>
      <c r="V169" s="1">
        <v>1</v>
      </c>
    </row>
    <row r="170" spans="6:22" x14ac:dyDescent="0.25">
      <c r="F170" s="152">
        <v>7</v>
      </c>
      <c r="H170" s="152">
        <v>5</v>
      </c>
      <c r="I170" s="1">
        <v>5</v>
      </c>
      <c r="J170" s="1">
        <v>2</v>
      </c>
      <c r="Q170" s="152">
        <v>12</v>
      </c>
      <c r="R170" s="162">
        <v>2</v>
      </c>
      <c r="S170" s="152">
        <v>3</v>
      </c>
      <c r="T170" s="152">
        <v>5</v>
      </c>
      <c r="U170" s="1">
        <v>3</v>
      </c>
      <c r="V170" s="1">
        <v>2</v>
      </c>
    </row>
    <row r="171" spans="6:22" x14ac:dyDescent="0.25">
      <c r="F171" s="152">
        <v>7</v>
      </c>
      <c r="H171" s="152">
        <v>5</v>
      </c>
      <c r="I171" s="1">
        <v>5</v>
      </c>
      <c r="J171" s="1">
        <v>2</v>
      </c>
      <c r="Q171" s="152">
        <v>12</v>
      </c>
      <c r="R171" s="162">
        <v>1</v>
      </c>
      <c r="S171" s="152">
        <v>3</v>
      </c>
      <c r="T171" s="152">
        <v>5</v>
      </c>
      <c r="U171" s="1">
        <v>3</v>
      </c>
      <c r="V171" s="1">
        <v>1</v>
      </c>
    </row>
    <row r="172" spans="6:22" x14ac:dyDescent="0.25">
      <c r="F172" s="152">
        <v>7</v>
      </c>
      <c r="H172" s="152">
        <v>5</v>
      </c>
      <c r="I172" s="1">
        <v>5</v>
      </c>
      <c r="J172" s="1">
        <v>1</v>
      </c>
      <c r="Q172" s="152">
        <v>11</v>
      </c>
      <c r="R172" s="162">
        <v>2</v>
      </c>
      <c r="S172" s="152">
        <v>3</v>
      </c>
      <c r="T172" s="152">
        <v>6</v>
      </c>
      <c r="U172" s="1">
        <v>3</v>
      </c>
      <c r="V172" s="1">
        <v>2</v>
      </c>
    </row>
    <row r="173" spans="6:22" x14ac:dyDescent="0.25">
      <c r="F173" s="152">
        <v>7</v>
      </c>
      <c r="H173" s="152">
        <v>5</v>
      </c>
      <c r="I173" s="1">
        <v>4</v>
      </c>
      <c r="J173" s="1">
        <v>1</v>
      </c>
      <c r="Q173" s="152">
        <v>12</v>
      </c>
      <c r="R173" s="162">
        <v>1</v>
      </c>
      <c r="S173" s="152">
        <v>4</v>
      </c>
      <c r="T173" s="152">
        <v>5</v>
      </c>
      <c r="U173" s="1">
        <v>3</v>
      </c>
      <c r="V173" s="1">
        <v>2</v>
      </c>
    </row>
    <row r="174" spans="6:22" x14ac:dyDescent="0.25">
      <c r="F174" s="152">
        <v>7</v>
      </c>
      <c r="H174" s="152">
        <v>5</v>
      </c>
      <c r="I174" s="1">
        <v>3</v>
      </c>
      <c r="J174" s="1">
        <v>1</v>
      </c>
      <c r="Q174" s="152">
        <v>12</v>
      </c>
      <c r="R174" s="162">
        <v>1</v>
      </c>
      <c r="S174" s="152">
        <v>4</v>
      </c>
      <c r="T174" s="152">
        <v>5</v>
      </c>
      <c r="U174" s="1">
        <v>4</v>
      </c>
      <c r="V174" s="1">
        <v>2</v>
      </c>
    </row>
    <row r="175" spans="6:22" x14ac:dyDescent="0.25">
      <c r="F175" s="152">
        <v>7</v>
      </c>
      <c r="H175" s="152">
        <v>5</v>
      </c>
      <c r="I175" s="1">
        <v>3</v>
      </c>
      <c r="J175" s="1">
        <v>1</v>
      </c>
      <c r="Q175" s="152">
        <v>12</v>
      </c>
      <c r="R175" s="162">
        <v>1</v>
      </c>
      <c r="S175" s="152">
        <v>3</v>
      </c>
      <c r="T175" s="152">
        <v>6</v>
      </c>
      <c r="U175" s="1">
        <v>3</v>
      </c>
      <c r="V175" s="1">
        <v>1</v>
      </c>
    </row>
    <row r="176" spans="6:22" x14ac:dyDescent="0.25">
      <c r="F176" s="152">
        <v>7</v>
      </c>
      <c r="H176" s="152">
        <v>5</v>
      </c>
      <c r="I176" s="1">
        <v>5</v>
      </c>
      <c r="J176" s="1">
        <v>2</v>
      </c>
      <c r="Q176" s="152">
        <v>12</v>
      </c>
      <c r="R176" s="162">
        <v>1</v>
      </c>
      <c r="S176" s="152">
        <v>4</v>
      </c>
      <c r="T176" s="152">
        <v>5</v>
      </c>
      <c r="U176" s="1">
        <v>4</v>
      </c>
      <c r="V176" s="1">
        <v>2</v>
      </c>
    </row>
    <row r="177" spans="6:22" x14ac:dyDescent="0.25">
      <c r="F177" s="152">
        <v>7</v>
      </c>
      <c r="H177" s="152">
        <v>5</v>
      </c>
      <c r="I177" s="1">
        <v>5</v>
      </c>
      <c r="J177" s="1">
        <v>1</v>
      </c>
      <c r="Q177" s="152">
        <v>12</v>
      </c>
      <c r="R177" s="162">
        <v>1</v>
      </c>
      <c r="S177" s="152">
        <v>3</v>
      </c>
      <c r="T177" s="152">
        <v>6</v>
      </c>
      <c r="U177" s="1">
        <v>3</v>
      </c>
      <c r="V177" s="1">
        <v>1</v>
      </c>
    </row>
    <row r="178" spans="6:22" x14ac:dyDescent="0.25">
      <c r="F178" s="152">
        <v>7</v>
      </c>
      <c r="H178" s="152">
        <v>5</v>
      </c>
      <c r="I178" s="1">
        <v>3</v>
      </c>
      <c r="J178" s="1">
        <v>1</v>
      </c>
      <c r="Q178" s="152">
        <v>13</v>
      </c>
      <c r="R178" s="162">
        <v>1</v>
      </c>
      <c r="S178" s="152">
        <v>4</v>
      </c>
      <c r="T178" s="152">
        <v>5</v>
      </c>
      <c r="U178" s="1">
        <v>4</v>
      </c>
      <c r="V178" s="1">
        <v>2</v>
      </c>
    </row>
    <row r="179" spans="6:22" x14ac:dyDescent="0.25">
      <c r="F179" s="152">
        <v>7</v>
      </c>
      <c r="H179" s="152">
        <v>5</v>
      </c>
      <c r="I179" s="1">
        <v>4</v>
      </c>
      <c r="J179" s="1">
        <v>2</v>
      </c>
      <c r="Q179" s="152">
        <v>11</v>
      </c>
      <c r="R179" s="162">
        <v>1</v>
      </c>
      <c r="S179" s="152">
        <v>4</v>
      </c>
      <c r="T179" s="152">
        <v>5</v>
      </c>
      <c r="U179" s="1">
        <v>3</v>
      </c>
      <c r="V179" s="1">
        <v>1</v>
      </c>
    </row>
    <row r="180" spans="6:22" x14ac:dyDescent="0.25">
      <c r="F180" s="152">
        <v>7</v>
      </c>
      <c r="H180" s="152">
        <v>5</v>
      </c>
      <c r="I180" s="1">
        <v>3</v>
      </c>
      <c r="J180" s="1">
        <v>1</v>
      </c>
      <c r="Q180" s="152">
        <v>12</v>
      </c>
      <c r="R180" s="162">
        <v>1</v>
      </c>
      <c r="S180" s="152">
        <v>4</v>
      </c>
      <c r="T180" s="152">
        <v>5</v>
      </c>
      <c r="U180" s="1">
        <v>4</v>
      </c>
      <c r="V180" s="1">
        <v>2</v>
      </c>
    </row>
    <row r="181" spans="6:22" x14ac:dyDescent="0.25">
      <c r="F181" s="152">
        <v>7</v>
      </c>
      <c r="H181" s="152">
        <v>5</v>
      </c>
      <c r="I181" s="1">
        <v>4</v>
      </c>
      <c r="J181" s="1">
        <v>1</v>
      </c>
      <c r="Q181" s="152">
        <v>11</v>
      </c>
      <c r="R181" s="162">
        <v>1</v>
      </c>
      <c r="S181" s="152">
        <v>3</v>
      </c>
      <c r="T181" s="152">
        <v>5</v>
      </c>
      <c r="U181" s="1">
        <v>4</v>
      </c>
      <c r="V181" s="1">
        <v>2</v>
      </c>
    </row>
    <row r="182" spans="6:22" x14ac:dyDescent="0.25">
      <c r="F182" s="152">
        <v>7</v>
      </c>
      <c r="H182" s="152">
        <v>5</v>
      </c>
      <c r="I182" s="1">
        <v>5</v>
      </c>
      <c r="J182" s="1">
        <v>1</v>
      </c>
      <c r="Q182" s="152">
        <v>12</v>
      </c>
      <c r="R182" s="162">
        <v>1</v>
      </c>
      <c r="S182" s="152">
        <v>3</v>
      </c>
      <c r="T182" s="152">
        <v>5</v>
      </c>
      <c r="U182" s="1">
        <v>3</v>
      </c>
      <c r="V182" s="1">
        <v>2</v>
      </c>
    </row>
    <row r="183" spans="6:22" x14ac:dyDescent="0.25">
      <c r="F183" s="152">
        <v>7</v>
      </c>
      <c r="H183" s="152">
        <v>5</v>
      </c>
      <c r="I183" s="1">
        <v>3</v>
      </c>
      <c r="J183" s="1">
        <v>1</v>
      </c>
      <c r="Q183" s="152">
        <v>13</v>
      </c>
      <c r="R183" s="162">
        <v>2</v>
      </c>
      <c r="S183" s="152">
        <v>4</v>
      </c>
      <c r="T183" s="152">
        <v>2</v>
      </c>
      <c r="U183" s="1">
        <v>4</v>
      </c>
      <c r="V183" s="1">
        <v>2</v>
      </c>
    </row>
    <row r="184" spans="6:22" x14ac:dyDescent="0.25">
      <c r="F184" s="152">
        <v>7</v>
      </c>
      <c r="H184" s="152">
        <v>5</v>
      </c>
      <c r="I184" s="1">
        <v>5</v>
      </c>
      <c r="J184" s="1">
        <v>1</v>
      </c>
      <c r="Q184" s="152">
        <v>13</v>
      </c>
      <c r="R184" s="162">
        <v>2</v>
      </c>
      <c r="S184" s="152">
        <v>4</v>
      </c>
      <c r="T184" s="152">
        <v>5</v>
      </c>
      <c r="U184" s="1">
        <v>4</v>
      </c>
      <c r="V184" s="1">
        <v>1</v>
      </c>
    </row>
    <row r="185" spans="6:22" x14ac:dyDescent="0.25">
      <c r="F185" s="152">
        <v>7</v>
      </c>
      <c r="H185" s="152">
        <v>5</v>
      </c>
      <c r="I185" s="1">
        <v>3</v>
      </c>
      <c r="J185" s="1">
        <v>1</v>
      </c>
      <c r="Q185" s="152">
        <v>12</v>
      </c>
      <c r="R185" s="162">
        <v>2</v>
      </c>
      <c r="S185" s="152">
        <v>4</v>
      </c>
      <c r="T185" s="152">
        <v>6</v>
      </c>
      <c r="U185" s="1">
        <v>3</v>
      </c>
      <c r="V185" s="1">
        <v>2</v>
      </c>
    </row>
    <row r="186" spans="6:22" x14ac:dyDescent="0.25">
      <c r="F186" s="152">
        <v>7</v>
      </c>
      <c r="H186" s="152">
        <v>5</v>
      </c>
      <c r="I186" s="1">
        <v>5</v>
      </c>
      <c r="J186" s="1">
        <v>1</v>
      </c>
      <c r="Q186" s="152">
        <v>11</v>
      </c>
      <c r="R186" s="162">
        <v>1</v>
      </c>
      <c r="S186" s="152">
        <v>3</v>
      </c>
      <c r="T186" s="152">
        <v>5</v>
      </c>
      <c r="U186" s="1">
        <v>4</v>
      </c>
      <c r="V186" s="1">
        <v>2</v>
      </c>
    </row>
    <row r="187" spans="6:22" x14ac:dyDescent="0.25">
      <c r="F187" s="152">
        <v>7</v>
      </c>
      <c r="H187" s="152">
        <v>5</v>
      </c>
      <c r="I187" s="1">
        <v>3</v>
      </c>
      <c r="J187" s="1">
        <v>1</v>
      </c>
      <c r="Q187" s="152">
        <v>12</v>
      </c>
      <c r="R187" s="162">
        <v>2</v>
      </c>
      <c r="S187" s="152">
        <v>4</v>
      </c>
      <c r="T187" s="152">
        <v>6</v>
      </c>
      <c r="U187" s="1">
        <v>3</v>
      </c>
      <c r="V187" s="1">
        <v>2</v>
      </c>
    </row>
    <row r="188" spans="6:22" x14ac:dyDescent="0.25">
      <c r="F188" s="152">
        <v>7</v>
      </c>
      <c r="H188" s="152">
        <v>5</v>
      </c>
      <c r="I188" s="1">
        <v>4</v>
      </c>
      <c r="J188" s="1">
        <v>2</v>
      </c>
      <c r="Q188" s="152">
        <v>12</v>
      </c>
      <c r="R188" s="162">
        <v>2</v>
      </c>
      <c r="S188" s="152">
        <v>4</v>
      </c>
      <c r="T188" s="152">
        <v>5</v>
      </c>
      <c r="U188" s="1">
        <v>4</v>
      </c>
      <c r="V188" s="1">
        <v>1</v>
      </c>
    </row>
    <row r="189" spans="6:22" x14ac:dyDescent="0.25">
      <c r="F189" s="152">
        <v>7</v>
      </c>
      <c r="H189" s="152">
        <v>5</v>
      </c>
      <c r="I189" s="1">
        <v>5</v>
      </c>
      <c r="J189" s="1">
        <v>1</v>
      </c>
      <c r="Q189" s="152">
        <v>12</v>
      </c>
      <c r="R189" s="162">
        <v>1</v>
      </c>
      <c r="S189" s="152">
        <v>4</v>
      </c>
      <c r="T189" s="152">
        <v>5</v>
      </c>
      <c r="U189" s="1">
        <v>3</v>
      </c>
      <c r="V189" s="1">
        <v>2</v>
      </c>
    </row>
    <row r="190" spans="6:22" x14ac:dyDescent="0.25">
      <c r="F190" s="152">
        <v>7</v>
      </c>
      <c r="H190" s="152">
        <v>5</v>
      </c>
      <c r="I190" s="1">
        <v>3</v>
      </c>
      <c r="J190" s="1">
        <v>1</v>
      </c>
      <c r="Q190" s="152">
        <v>11</v>
      </c>
      <c r="R190" s="162">
        <v>0</v>
      </c>
      <c r="S190" s="152">
        <v>3</v>
      </c>
      <c r="T190" s="152">
        <v>5</v>
      </c>
      <c r="U190" s="1">
        <v>3</v>
      </c>
      <c r="V190" s="1">
        <v>2</v>
      </c>
    </row>
    <row r="191" spans="6:22" x14ac:dyDescent="0.25">
      <c r="F191" s="152">
        <v>7</v>
      </c>
      <c r="H191" s="152">
        <v>5</v>
      </c>
      <c r="I191" s="1">
        <v>5</v>
      </c>
      <c r="J191" s="1">
        <v>2</v>
      </c>
      <c r="Q191" s="152">
        <v>12</v>
      </c>
      <c r="R191" s="162">
        <v>2</v>
      </c>
      <c r="S191" s="152">
        <v>3</v>
      </c>
      <c r="T191" s="152">
        <v>5</v>
      </c>
      <c r="U191" s="1">
        <v>3</v>
      </c>
      <c r="V191" s="1">
        <v>2</v>
      </c>
    </row>
    <row r="192" spans="6:22" x14ac:dyDescent="0.25">
      <c r="F192" s="152">
        <v>7</v>
      </c>
      <c r="H192" s="152">
        <v>5</v>
      </c>
      <c r="I192" s="1">
        <v>5</v>
      </c>
      <c r="J192" s="1">
        <v>1</v>
      </c>
      <c r="Q192" s="152">
        <v>12</v>
      </c>
      <c r="R192" s="162">
        <v>2</v>
      </c>
      <c r="S192" s="152">
        <v>4</v>
      </c>
      <c r="T192" s="152">
        <v>5</v>
      </c>
      <c r="U192" s="1">
        <v>4</v>
      </c>
      <c r="V192" s="1">
        <v>1</v>
      </c>
    </row>
    <row r="193" spans="6:22" x14ac:dyDescent="0.25">
      <c r="F193" s="152">
        <v>7</v>
      </c>
      <c r="H193" s="152">
        <v>5</v>
      </c>
      <c r="I193" s="1">
        <v>5</v>
      </c>
      <c r="J193" s="1">
        <v>1</v>
      </c>
      <c r="Q193" s="152">
        <v>11</v>
      </c>
      <c r="R193" s="162">
        <v>0</v>
      </c>
      <c r="S193" s="152">
        <v>4</v>
      </c>
      <c r="T193" s="152">
        <v>5</v>
      </c>
      <c r="U193" s="1">
        <v>4</v>
      </c>
      <c r="V193" s="1">
        <v>2</v>
      </c>
    </row>
    <row r="194" spans="6:22" x14ac:dyDescent="0.25">
      <c r="F194" s="152">
        <v>7</v>
      </c>
      <c r="H194" s="152">
        <v>5</v>
      </c>
      <c r="I194" s="1">
        <v>4</v>
      </c>
      <c r="J194" s="1">
        <v>1</v>
      </c>
      <c r="Q194" s="152">
        <v>12</v>
      </c>
      <c r="R194" s="162">
        <v>0</v>
      </c>
      <c r="S194" s="152">
        <v>3</v>
      </c>
      <c r="T194" s="152">
        <v>5</v>
      </c>
      <c r="U194" s="1">
        <v>3</v>
      </c>
      <c r="V194" s="1">
        <v>1</v>
      </c>
    </row>
    <row r="195" spans="6:22" x14ac:dyDescent="0.25">
      <c r="F195" s="152">
        <v>7</v>
      </c>
      <c r="H195" s="152">
        <v>5</v>
      </c>
      <c r="I195" s="1">
        <v>5</v>
      </c>
      <c r="J195" s="1">
        <v>1</v>
      </c>
      <c r="Q195" s="152">
        <v>13</v>
      </c>
      <c r="R195" s="162">
        <v>1</v>
      </c>
      <c r="S195" s="152">
        <v>3</v>
      </c>
      <c r="T195" s="152">
        <v>5</v>
      </c>
      <c r="U195" s="1">
        <v>3</v>
      </c>
      <c r="V195" s="1">
        <v>2</v>
      </c>
    </row>
    <row r="196" spans="6:22" x14ac:dyDescent="0.25">
      <c r="F196" s="152">
        <v>7</v>
      </c>
      <c r="H196" s="152">
        <v>5</v>
      </c>
      <c r="I196" s="1">
        <v>5</v>
      </c>
      <c r="J196" s="1">
        <v>2</v>
      </c>
      <c r="Q196" s="152">
        <v>12</v>
      </c>
      <c r="R196" s="162">
        <v>1</v>
      </c>
      <c r="S196" s="152">
        <v>4</v>
      </c>
      <c r="T196" s="152">
        <v>5</v>
      </c>
      <c r="U196" s="1">
        <v>3</v>
      </c>
      <c r="V196" s="1">
        <v>2</v>
      </c>
    </row>
    <row r="197" spans="6:22" x14ac:dyDescent="0.25">
      <c r="F197" s="152">
        <v>7</v>
      </c>
      <c r="G197" s="162">
        <v>0</v>
      </c>
      <c r="H197" s="152">
        <v>5</v>
      </c>
      <c r="I197" s="1">
        <v>5</v>
      </c>
      <c r="J197" s="1">
        <v>1</v>
      </c>
      <c r="Q197" s="152">
        <v>13</v>
      </c>
      <c r="R197" s="162">
        <v>2</v>
      </c>
      <c r="S197" s="152">
        <v>3</v>
      </c>
      <c r="T197" s="152">
        <v>5</v>
      </c>
      <c r="U197" s="1">
        <v>4</v>
      </c>
      <c r="V197" s="1">
        <v>2</v>
      </c>
    </row>
    <row r="198" spans="6:22" x14ac:dyDescent="0.25">
      <c r="F198" s="152">
        <v>7</v>
      </c>
      <c r="G198" s="162">
        <v>0</v>
      </c>
      <c r="H198" s="152">
        <v>5</v>
      </c>
      <c r="I198" s="1">
        <v>3</v>
      </c>
      <c r="J198" s="1">
        <v>1</v>
      </c>
      <c r="Q198" s="152">
        <v>11</v>
      </c>
      <c r="R198" s="162">
        <v>1</v>
      </c>
      <c r="S198" s="152">
        <v>4</v>
      </c>
      <c r="T198" s="152">
        <v>6</v>
      </c>
      <c r="U198" s="1">
        <v>4</v>
      </c>
      <c r="V198" s="1">
        <v>2</v>
      </c>
    </row>
    <row r="199" spans="6:22" x14ac:dyDescent="0.25">
      <c r="F199" s="152">
        <v>7</v>
      </c>
      <c r="G199" s="162">
        <v>1</v>
      </c>
      <c r="H199" s="152">
        <v>5</v>
      </c>
      <c r="I199" s="1">
        <v>3</v>
      </c>
      <c r="J199" s="1">
        <v>2</v>
      </c>
      <c r="Q199" s="152">
        <v>13</v>
      </c>
      <c r="R199" s="162">
        <v>1</v>
      </c>
      <c r="S199" s="152">
        <v>4</v>
      </c>
      <c r="T199" s="152">
        <v>5</v>
      </c>
      <c r="U199" s="1">
        <v>4</v>
      </c>
      <c r="V199" s="1">
        <v>2</v>
      </c>
    </row>
    <row r="200" spans="6:22" x14ac:dyDescent="0.25">
      <c r="F200" s="152">
        <v>7</v>
      </c>
      <c r="G200" s="162">
        <v>0</v>
      </c>
      <c r="H200" s="152">
        <v>5</v>
      </c>
      <c r="I200" s="1">
        <v>3</v>
      </c>
      <c r="J200" s="1">
        <v>1</v>
      </c>
      <c r="Q200" s="152">
        <v>11</v>
      </c>
      <c r="R200" s="162">
        <v>1</v>
      </c>
      <c r="S200" s="152">
        <v>3</v>
      </c>
      <c r="T200" s="152">
        <v>5</v>
      </c>
      <c r="U200" s="1">
        <v>4</v>
      </c>
      <c r="V200" s="1">
        <v>2</v>
      </c>
    </row>
    <row r="201" spans="6:22" x14ac:dyDescent="0.25">
      <c r="F201" s="152">
        <v>7</v>
      </c>
      <c r="G201" s="162">
        <v>0</v>
      </c>
      <c r="H201" s="152">
        <v>5</v>
      </c>
      <c r="I201" s="1">
        <v>3</v>
      </c>
      <c r="J201" s="1">
        <v>2</v>
      </c>
      <c r="Q201" s="152">
        <v>12</v>
      </c>
      <c r="R201" s="162">
        <v>2</v>
      </c>
      <c r="S201" s="152">
        <v>3</v>
      </c>
      <c r="T201" s="152">
        <v>6</v>
      </c>
      <c r="U201" s="1">
        <v>4</v>
      </c>
      <c r="V201" s="1">
        <v>2</v>
      </c>
    </row>
    <row r="202" spans="6:22" x14ac:dyDescent="0.25">
      <c r="F202" s="152">
        <v>7</v>
      </c>
      <c r="G202" s="162">
        <v>0</v>
      </c>
      <c r="H202" s="152">
        <v>5</v>
      </c>
      <c r="I202" s="1">
        <v>4</v>
      </c>
      <c r="J202" s="1">
        <v>1</v>
      </c>
      <c r="Q202" s="152">
        <v>12</v>
      </c>
      <c r="R202" s="162">
        <v>0</v>
      </c>
      <c r="S202" s="152">
        <v>3</v>
      </c>
      <c r="T202" s="152">
        <v>5</v>
      </c>
      <c r="U202" s="1">
        <v>3</v>
      </c>
      <c r="V202" s="1">
        <v>1</v>
      </c>
    </row>
    <row r="203" spans="6:22" x14ac:dyDescent="0.25">
      <c r="F203" s="152">
        <v>7</v>
      </c>
      <c r="G203" s="162">
        <v>0</v>
      </c>
      <c r="H203" s="152">
        <v>5</v>
      </c>
      <c r="I203" s="1">
        <v>3</v>
      </c>
      <c r="J203" s="1">
        <v>2</v>
      </c>
      <c r="Q203" s="152">
        <v>13</v>
      </c>
      <c r="R203" s="162">
        <v>1</v>
      </c>
      <c r="S203" s="152">
        <v>3</v>
      </c>
      <c r="T203" s="152">
        <v>5</v>
      </c>
      <c r="U203" s="1">
        <v>4</v>
      </c>
      <c r="V203" s="1">
        <v>2</v>
      </c>
    </row>
    <row r="204" spans="6:22" x14ac:dyDescent="0.25">
      <c r="F204" s="152">
        <v>7</v>
      </c>
      <c r="G204" s="162">
        <v>1</v>
      </c>
      <c r="H204" s="152">
        <v>5</v>
      </c>
      <c r="I204" s="1">
        <v>4</v>
      </c>
      <c r="J204" s="1">
        <v>1</v>
      </c>
      <c r="Q204" s="152">
        <v>11</v>
      </c>
      <c r="R204" s="162">
        <v>1</v>
      </c>
      <c r="S204" s="152">
        <v>3</v>
      </c>
      <c r="T204" s="152">
        <v>5</v>
      </c>
      <c r="U204" s="1">
        <v>3</v>
      </c>
      <c r="V204" s="1">
        <v>1</v>
      </c>
    </row>
    <row r="205" spans="6:22" x14ac:dyDescent="0.25">
      <c r="F205" s="152">
        <v>7</v>
      </c>
      <c r="G205" s="162">
        <v>0</v>
      </c>
      <c r="H205" s="152">
        <v>5</v>
      </c>
      <c r="I205" s="1">
        <v>3</v>
      </c>
      <c r="J205" s="1">
        <v>1</v>
      </c>
      <c r="Q205" s="152">
        <v>11</v>
      </c>
      <c r="R205" s="162">
        <v>1</v>
      </c>
      <c r="S205" s="152">
        <v>3</v>
      </c>
      <c r="T205" s="152">
        <v>5</v>
      </c>
      <c r="U205" s="1">
        <v>3</v>
      </c>
      <c r="V205" s="1">
        <v>1</v>
      </c>
    </row>
    <row r="206" spans="6:22" x14ac:dyDescent="0.25">
      <c r="F206" s="152">
        <v>7</v>
      </c>
      <c r="G206" s="162">
        <v>0</v>
      </c>
      <c r="H206" s="152">
        <v>5</v>
      </c>
      <c r="I206" s="1">
        <v>3</v>
      </c>
      <c r="J206" s="1">
        <v>1</v>
      </c>
      <c r="Q206" s="152">
        <v>13</v>
      </c>
      <c r="R206" s="162">
        <v>1</v>
      </c>
      <c r="S206" s="152">
        <v>4</v>
      </c>
      <c r="T206" s="152">
        <v>6</v>
      </c>
      <c r="U206" s="1">
        <v>3</v>
      </c>
      <c r="V206" s="1">
        <v>2</v>
      </c>
    </row>
    <row r="207" spans="6:22" x14ac:dyDescent="0.25">
      <c r="F207" s="152">
        <v>7</v>
      </c>
      <c r="G207" s="162">
        <v>0</v>
      </c>
      <c r="H207" s="152">
        <v>5</v>
      </c>
      <c r="I207" s="1">
        <v>5</v>
      </c>
      <c r="J207" s="1">
        <v>1</v>
      </c>
      <c r="Q207" s="152">
        <v>11</v>
      </c>
      <c r="R207" s="162">
        <v>1</v>
      </c>
      <c r="S207" s="152">
        <v>4</v>
      </c>
      <c r="T207" s="152">
        <v>5</v>
      </c>
      <c r="U207" s="1">
        <v>3</v>
      </c>
      <c r="V207" s="1">
        <v>2</v>
      </c>
    </row>
    <row r="208" spans="6:22" x14ac:dyDescent="0.25">
      <c r="F208" s="152">
        <v>7</v>
      </c>
      <c r="G208" s="162">
        <v>0</v>
      </c>
      <c r="H208" s="152">
        <v>5</v>
      </c>
      <c r="I208" s="1">
        <v>5</v>
      </c>
      <c r="J208" s="1">
        <v>2</v>
      </c>
      <c r="Q208" s="152">
        <v>13</v>
      </c>
      <c r="R208" s="162">
        <v>2</v>
      </c>
      <c r="S208" s="152">
        <v>3</v>
      </c>
      <c r="T208" s="152">
        <v>5</v>
      </c>
      <c r="U208" s="1">
        <v>3</v>
      </c>
      <c r="V208" s="1">
        <v>1</v>
      </c>
    </row>
    <row r="209" spans="6:22" x14ac:dyDescent="0.25">
      <c r="F209" s="152">
        <v>7</v>
      </c>
      <c r="G209" s="162">
        <v>1</v>
      </c>
      <c r="H209" s="152">
        <v>5</v>
      </c>
      <c r="I209" s="1">
        <v>5</v>
      </c>
      <c r="J209" s="1">
        <v>1</v>
      </c>
      <c r="Q209" s="152">
        <v>12</v>
      </c>
      <c r="R209" s="162">
        <v>2</v>
      </c>
      <c r="S209" s="152">
        <v>3</v>
      </c>
      <c r="T209" s="152">
        <v>6</v>
      </c>
      <c r="U209" s="1">
        <v>4</v>
      </c>
      <c r="V209" s="1">
        <v>1</v>
      </c>
    </row>
    <row r="210" spans="6:22" x14ac:dyDescent="0.25">
      <c r="F210" s="152">
        <v>7</v>
      </c>
      <c r="G210" s="162">
        <v>0</v>
      </c>
      <c r="H210" s="152">
        <v>5</v>
      </c>
      <c r="I210" s="1">
        <v>4</v>
      </c>
      <c r="J210" s="1">
        <v>2</v>
      </c>
      <c r="Q210" s="152">
        <v>11</v>
      </c>
      <c r="R210" s="162">
        <v>0</v>
      </c>
      <c r="S210" s="152">
        <v>4</v>
      </c>
      <c r="T210" s="152">
        <v>5</v>
      </c>
      <c r="U210" s="1">
        <v>4</v>
      </c>
      <c r="V210" s="1">
        <v>1</v>
      </c>
    </row>
    <row r="211" spans="6:22" x14ac:dyDescent="0.25">
      <c r="F211" s="152">
        <v>7</v>
      </c>
      <c r="G211" s="162">
        <v>0</v>
      </c>
      <c r="H211" s="152">
        <v>5</v>
      </c>
      <c r="I211" s="1">
        <v>5</v>
      </c>
      <c r="J211" s="1">
        <v>1</v>
      </c>
      <c r="Q211" s="152">
        <v>13</v>
      </c>
      <c r="R211" s="162">
        <v>1</v>
      </c>
      <c r="S211" s="152">
        <v>4</v>
      </c>
      <c r="T211" s="152">
        <v>5</v>
      </c>
      <c r="U211" s="1">
        <v>4</v>
      </c>
      <c r="V211" s="1">
        <v>2</v>
      </c>
    </row>
    <row r="212" spans="6:22" x14ac:dyDescent="0.25">
      <c r="F212" s="152">
        <v>7</v>
      </c>
      <c r="G212" s="162">
        <v>1</v>
      </c>
      <c r="H212" s="152">
        <v>5</v>
      </c>
      <c r="I212" s="1">
        <v>3</v>
      </c>
      <c r="J212" s="1">
        <v>1</v>
      </c>
      <c r="Q212" s="152">
        <v>13</v>
      </c>
      <c r="R212" s="162">
        <v>1</v>
      </c>
      <c r="S212" s="152">
        <v>3</v>
      </c>
      <c r="T212" s="152">
        <v>5</v>
      </c>
      <c r="U212" s="1">
        <v>3</v>
      </c>
      <c r="V212" s="1">
        <v>2</v>
      </c>
    </row>
    <row r="213" spans="6:22" x14ac:dyDescent="0.25">
      <c r="F213" s="152">
        <v>7</v>
      </c>
      <c r="G213" s="162">
        <v>0</v>
      </c>
      <c r="H213" s="152">
        <v>5</v>
      </c>
      <c r="I213" s="1">
        <v>3</v>
      </c>
      <c r="J213" s="1">
        <v>1</v>
      </c>
      <c r="Q213" s="152">
        <v>13</v>
      </c>
      <c r="R213" s="162">
        <v>1</v>
      </c>
      <c r="S213" s="152">
        <v>3</v>
      </c>
      <c r="T213" s="152">
        <v>6</v>
      </c>
      <c r="U213" s="1">
        <v>3</v>
      </c>
      <c r="V213" s="1">
        <v>2</v>
      </c>
    </row>
    <row r="214" spans="6:22" x14ac:dyDescent="0.25">
      <c r="F214" s="152">
        <v>7</v>
      </c>
      <c r="G214" s="162">
        <v>1</v>
      </c>
      <c r="H214" s="152">
        <v>5</v>
      </c>
      <c r="I214" s="1">
        <v>3</v>
      </c>
      <c r="J214" s="1">
        <v>1</v>
      </c>
      <c r="Q214" s="152">
        <v>11</v>
      </c>
      <c r="R214" s="162">
        <v>0</v>
      </c>
      <c r="S214" s="152">
        <v>3</v>
      </c>
      <c r="T214" s="152">
        <v>6</v>
      </c>
      <c r="U214" s="1">
        <v>3</v>
      </c>
      <c r="V214" s="1">
        <v>2</v>
      </c>
    </row>
    <row r="215" spans="6:22" x14ac:dyDescent="0.25">
      <c r="F215" s="152">
        <v>7</v>
      </c>
      <c r="G215" s="162">
        <v>1</v>
      </c>
      <c r="H215" s="152">
        <v>5</v>
      </c>
      <c r="I215" s="1">
        <v>5</v>
      </c>
      <c r="J215" s="1">
        <v>1</v>
      </c>
      <c r="Q215" s="152">
        <v>12</v>
      </c>
      <c r="R215" s="162">
        <v>1</v>
      </c>
      <c r="S215" s="152">
        <v>4</v>
      </c>
      <c r="T215" s="152">
        <v>5</v>
      </c>
      <c r="U215" s="1">
        <v>4</v>
      </c>
      <c r="V215" s="1">
        <v>1</v>
      </c>
    </row>
    <row r="216" spans="6:22" x14ac:dyDescent="0.25">
      <c r="F216" s="152">
        <v>7</v>
      </c>
      <c r="G216" s="162">
        <v>0</v>
      </c>
      <c r="H216" s="152">
        <v>5</v>
      </c>
      <c r="I216" s="1">
        <v>3</v>
      </c>
      <c r="J216" s="1">
        <v>2</v>
      </c>
      <c r="Q216" s="152">
        <v>11</v>
      </c>
      <c r="R216" s="162">
        <v>1</v>
      </c>
      <c r="S216" s="152">
        <v>3</v>
      </c>
      <c r="T216" s="152">
        <v>5</v>
      </c>
      <c r="U216" s="1">
        <v>4</v>
      </c>
      <c r="V216" s="1">
        <v>2</v>
      </c>
    </row>
    <row r="217" spans="6:22" x14ac:dyDescent="0.25">
      <c r="F217" s="152">
        <v>7</v>
      </c>
      <c r="G217" s="162">
        <v>0</v>
      </c>
      <c r="H217" s="152">
        <v>5</v>
      </c>
      <c r="I217" s="1">
        <v>5</v>
      </c>
      <c r="J217" s="1">
        <v>2</v>
      </c>
      <c r="Q217" s="152">
        <v>12</v>
      </c>
      <c r="R217" s="162">
        <v>2</v>
      </c>
      <c r="S217" s="152">
        <v>3</v>
      </c>
      <c r="T217" s="152">
        <v>5</v>
      </c>
      <c r="U217" s="1">
        <v>4</v>
      </c>
      <c r="V217" s="1">
        <v>2</v>
      </c>
    </row>
    <row r="218" spans="6:22" x14ac:dyDescent="0.25">
      <c r="F218" s="152">
        <v>7</v>
      </c>
      <c r="G218" s="162">
        <v>1</v>
      </c>
      <c r="H218" s="152">
        <v>5</v>
      </c>
      <c r="I218" s="1">
        <v>4</v>
      </c>
      <c r="J218" s="1">
        <v>1</v>
      </c>
      <c r="Q218" s="152">
        <v>12</v>
      </c>
      <c r="R218" s="162">
        <v>1</v>
      </c>
      <c r="S218" s="152">
        <v>3</v>
      </c>
      <c r="T218" s="152">
        <v>5</v>
      </c>
      <c r="U218" s="1">
        <v>4</v>
      </c>
      <c r="V218" s="1">
        <v>2</v>
      </c>
    </row>
    <row r="219" spans="6:22" x14ac:dyDescent="0.25">
      <c r="F219" s="152">
        <v>7</v>
      </c>
      <c r="G219" s="162">
        <v>0</v>
      </c>
      <c r="H219" s="152">
        <v>5</v>
      </c>
      <c r="I219" s="1">
        <v>4</v>
      </c>
      <c r="J219" s="1">
        <v>1</v>
      </c>
      <c r="Q219" s="152">
        <v>11</v>
      </c>
      <c r="R219" s="162">
        <v>1</v>
      </c>
      <c r="S219" s="211">
        <v>3</v>
      </c>
      <c r="T219" s="211">
        <v>5</v>
      </c>
      <c r="U219" s="211">
        <v>4</v>
      </c>
      <c r="V219" s="211">
        <v>2</v>
      </c>
    </row>
    <row r="220" spans="6:22" x14ac:dyDescent="0.25">
      <c r="F220" s="152">
        <v>7</v>
      </c>
      <c r="G220" s="162">
        <v>0</v>
      </c>
      <c r="H220" s="152">
        <v>5</v>
      </c>
      <c r="I220" s="1">
        <v>3</v>
      </c>
      <c r="J220" s="1">
        <v>1</v>
      </c>
      <c r="Q220" s="152">
        <v>13</v>
      </c>
      <c r="R220" s="162">
        <v>1</v>
      </c>
      <c r="S220" s="152">
        <v>3</v>
      </c>
      <c r="T220" s="152">
        <v>5</v>
      </c>
      <c r="U220" s="1">
        <v>4</v>
      </c>
      <c r="V220" s="1">
        <v>2</v>
      </c>
    </row>
    <row r="221" spans="6:22" x14ac:dyDescent="0.25">
      <c r="F221" s="152">
        <v>7</v>
      </c>
      <c r="G221" s="162">
        <v>1</v>
      </c>
      <c r="H221" s="152">
        <v>5</v>
      </c>
      <c r="I221" s="1">
        <v>3</v>
      </c>
      <c r="J221" s="1">
        <v>2</v>
      </c>
      <c r="Q221" s="152">
        <v>11</v>
      </c>
      <c r="R221" s="162">
        <v>1</v>
      </c>
      <c r="S221" s="152">
        <v>4</v>
      </c>
      <c r="T221" s="152">
        <v>5</v>
      </c>
      <c r="U221" s="1">
        <v>4</v>
      </c>
      <c r="V221" s="1">
        <v>2</v>
      </c>
    </row>
    <row r="222" spans="6:22" x14ac:dyDescent="0.25">
      <c r="F222" s="152">
        <v>7</v>
      </c>
      <c r="G222" s="162">
        <v>0</v>
      </c>
      <c r="H222" s="152">
        <v>5</v>
      </c>
      <c r="I222" s="1">
        <v>5</v>
      </c>
      <c r="J222" s="1">
        <v>1</v>
      </c>
      <c r="Q222" s="152">
        <v>12</v>
      </c>
      <c r="R222" s="162">
        <v>2</v>
      </c>
      <c r="S222" s="152">
        <v>4</v>
      </c>
      <c r="T222" s="152">
        <v>5</v>
      </c>
      <c r="U222" s="1">
        <v>3</v>
      </c>
      <c r="V222" s="1">
        <v>2</v>
      </c>
    </row>
    <row r="223" spans="6:22" x14ac:dyDescent="0.25">
      <c r="F223" s="152">
        <v>7</v>
      </c>
      <c r="G223" s="162">
        <v>0</v>
      </c>
      <c r="H223" s="152">
        <v>5</v>
      </c>
      <c r="I223" s="1">
        <v>5</v>
      </c>
      <c r="J223" s="1">
        <v>1</v>
      </c>
      <c r="Q223" s="152">
        <v>11</v>
      </c>
      <c r="R223" s="162">
        <v>1</v>
      </c>
      <c r="S223" s="152">
        <v>4</v>
      </c>
      <c r="T223" s="152">
        <v>5</v>
      </c>
      <c r="U223" s="1">
        <v>3</v>
      </c>
      <c r="V223" s="1">
        <v>2</v>
      </c>
    </row>
    <row r="224" spans="6:22" x14ac:dyDescent="0.25">
      <c r="F224" s="152">
        <v>7</v>
      </c>
      <c r="G224" s="162">
        <v>1</v>
      </c>
      <c r="H224" s="152">
        <v>5</v>
      </c>
      <c r="I224" s="1">
        <v>3</v>
      </c>
      <c r="J224" s="1">
        <v>1</v>
      </c>
      <c r="Q224" s="152">
        <v>13</v>
      </c>
      <c r="R224" s="162">
        <v>2</v>
      </c>
      <c r="S224" s="152">
        <v>3</v>
      </c>
      <c r="T224" s="152">
        <v>5</v>
      </c>
      <c r="U224" s="1">
        <v>3</v>
      </c>
      <c r="V224" s="1">
        <v>2</v>
      </c>
    </row>
    <row r="225" spans="6:22" x14ac:dyDescent="0.25">
      <c r="F225" s="152">
        <v>7</v>
      </c>
      <c r="G225" s="162">
        <v>1</v>
      </c>
      <c r="H225" s="152">
        <v>5</v>
      </c>
      <c r="I225" s="1">
        <v>4</v>
      </c>
      <c r="J225" s="1">
        <v>2</v>
      </c>
      <c r="Q225" s="152">
        <v>12</v>
      </c>
      <c r="R225" s="162">
        <v>1</v>
      </c>
      <c r="S225" s="152">
        <v>3</v>
      </c>
      <c r="T225" s="152">
        <v>5</v>
      </c>
      <c r="U225" s="1">
        <v>4</v>
      </c>
      <c r="V225" s="1">
        <v>2</v>
      </c>
    </row>
    <row r="226" spans="6:22" x14ac:dyDescent="0.25">
      <c r="F226" s="152">
        <v>7</v>
      </c>
      <c r="G226" s="162">
        <v>0</v>
      </c>
      <c r="H226" s="152">
        <v>5</v>
      </c>
      <c r="I226" s="1">
        <v>5</v>
      </c>
      <c r="J226" s="1">
        <v>1</v>
      </c>
      <c r="Q226" s="152">
        <v>12</v>
      </c>
      <c r="R226" s="162">
        <v>2</v>
      </c>
      <c r="S226" s="152">
        <v>3</v>
      </c>
      <c r="T226" s="152">
        <v>5</v>
      </c>
      <c r="U226" s="1">
        <v>3</v>
      </c>
      <c r="V226" s="1">
        <v>2</v>
      </c>
    </row>
    <row r="227" spans="6:22" x14ac:dyDescent="0.25">
      <c r="F227" s="152">
        <v>7</v>
      </c>
      <c r="G227" s="162">
        <v>0</v>
      </c>
      <c r="H227" s="152">
        <v>5</v>
      </c>
      <c r="I227" s="1">
        <v>5</v>
      </c>
      <c r="J227" s="1">
        <v>1</v>
      </c>
      <c r="Q227" s="152">
        <v>13</v>
      </c>
      <c r="R227" s="162">
        <v>0</v>
      </c>
      <c r="S227" s="152">
        <v>3</v>
      </c>
      <c r="T227" s="152">
        <v>5</v>
      </c>
      <c r="U227" s="1">
        <v>3</v>
      </c>
      <c r="V227" s="1">
        <v>2</v>
      </c>
    </row>
    <row r="228" spans="6:22" x14ac:dyDescent="0.25">
      <c r="F228" s="152">
        <v>7</v>
      </c>
      <c r="G228" s="162">
        <v>0</v>
      </c>
      <c r="H228" s="152">
        <v>5</v>
      </c>
      <c r="I228" s="1">
        <v>3</v>
      </c>
      <c r="J228" s="1">
        <v>1</v>
      </c>
      <c r="Q228" s="152">
        <v>12</v>
      </c>
      <c r="R228" s="162">
        <v>0</v>
      </c>
      <c r="S228" s="152">
        <v>4</v>
      </c>
      <c r="T228" s="152">
        <v>5</v>
      </c>
      <c r="U228" s="1">
        <v>4</v>
      </c>
      <c r="V228" s="1">
        <v>2</v>
      </c>
    </row>
    <row r="229" spans="6:22" x14ac:dyDescent="0.25">
      <c r="F229" s="152">
        <v>7</v>
      </c>
      <c r="G229" s="162">
        <v>1</v>
      </c>
      <c r="H229" s="152">
        <v>5</v>
      </c>
      <c r="I229" s="1">
        <v>5</v>
      </c>
      <c r="J229" s="1">
        <v>2</v>
      </c>
      <c r="Q229" s="152">
        <v>12</v>
      </c>
      <c r="R229" s="162">
        <v>0</v>
      </c>
      <c r="S229" s="152">
        <v>3</v>
      </c>
      <c r="T229" s="152">
        <v>5</v>
      </c>
      <c r="U229" s="1">
        <v>3</v>
      </c>
      <c r="V229" s="1">
        <v>1</v>
      </c>
    </row>
    <row r="230" spans="6:22" x14ac:dyDescent="0.25">
      <c r="F230" s="152">
        <v>7</v>
      </c>
      <c r="G230" s="162">
        <v>0</v>
      </c>
      <c r="H230" s="152">
        <v>5</v>
      </c>
      <c r="I230" s="1">
        <v>3</v>
      </c>
      <c r="J230" s="1">
        <v>1</v>
      </c>
      <c r="Q230" s="152">
        <v>11</v>
      </c>
      <c r="R230" s="162">
        <v>1</v>
      </c>
      <c r="S230" s="152">
        <v>3</v>
      </c>
      <c r="T230" s="152">
        <v>5</v>
      </c>
      <c r="U230" s="1">
        <v>4</v>
      </c>
      <c r="V230" s="1">
        <v>2</v>
      </c>
    </row>
    <row r="231" spans="6:22" x14ac:dyDescent="0.25">
      <c r="F231" s="152">
        <v>7</v>
      </c>
      <c r="G231" s="162">
        <v>0</v>
      </c>
      <c r="H231" s="152">
        <v>5</v>
      </c>
      <c r="I231" s="1">
        <v>5</v>
      </c>
      <c r="J231" s="1">
        <v>1</v>
      </c>
      <c r="Q231" s="152">
        <v>12</v>
      </c>
      <c r="R231" s="162">
        <v>1</v>
      </c>
      <c r="S231" s="152">
        <v>3</v>
      </c>
      <c r="T231" s="152">
        <v>5</v>
      </c>
      <c r="U231" s="1">
        <v>4</v>
      </c>
      <c r="V231" s="1">
        <v>2</v>
      </c>
    </row>
    <row r="232" spans="6:22" x14ac:dyDescent="0.25">
      <c r="F232" s="152">
        <v>7</v>
      </c>
      <c r="G232" s="162">
        <v>1</v>
      </c>
      <c r="H232" s="152">
        <v>5</v>
      </c>
      <c r="I232" s="1">
        <v>5</v>
      </c>
      <c r="J232" s="1">
        <v>1</v>
      </c>
      <c r="Q232" s="152">
        <v>13</v>
      </c>
      <c r="R232" s="162">
        <v>1</v>
      </c>
      <c r="S232" s="152">
        <v>4</v>
      </c>
      <c r="T232" s="152">
        <v>5</v>
      </c>
      <c r="U232" s="1">
        <v>3</v>
      </c>
      <c r="V232" s="1">
        <v>2</v>
      </c>
    </row>
    <row r="233" spans="6:22" x14ac:dyDescent="0.25">
      <c r="F233" s="152">
        <v>7</v>
      </c>
      <c r="G233" s="162">
        <v>0</v>
      </c>
      <c r="H233" s="152">
        <v>5</v>
      </c>
      <c r="I233" s="1">
        <v>5</v>
      </c>
      <c r="J233" s="1">
        <v>1</v>
      </c>
      <c r="Q233" s="152">
        <v>12</v>
      </c>
      <c r="R233" s="162">
        <v>2</v>
      </c>
      <c r="S233" s="152">
        <v>3</v>
      </c>
      <c r="T233" s="152">
        <v>5</v>
      </c>
      <c r="U233" s="1">
        <v>4</v>
      </c>
      <c r="V233" s="1">
        <v>2</v>
      </c>
    </row>
    <row r="234" spans="6:22" x14ac:dyDescent="0.25">
      <c r="F234" s="152">
        <v>7</v>
      </c>
      <c r="G234" s="162">
        <v>1</v>
      </c>
      <c r="H234" s="152">
        <v>5</v>
      </c>
      <c r="I234" s="1">
        <v>5</v>
      </c>
      <c r="J234" s="1">
        <v>2</v>
      </c>
      <c r="Q234" s="152">
        <v>11</v>
      </c>
      <c r="R234" s="162">
        <v>2</v>
      </c>
      <c r="S234" s="152">
        <v>3</v>
      </c>
      <c r="T234" s="152">
        <v>5</v>
      </c>
      <c r="U234" s="1">
        <v>4</v>
      </c>
      <c r="V234" s="1">
        <v>2</v>
      </c>
    </row>
    <row r="235" spans="6:22" x14ac:dyDescent="0.25">
      <c r="F235" s="152">
        <v>7</v>
      </c>
      <c r="G235" s="162">
        <v>0</v>
      </c>
      <c r="H235" s="152">
        <v>5</v>
      </c>
      <c r="I235" s="1">
        <v>3</v>
      </c>
      <c r="J235" s="1">
        <v>1</v>
      </c>
      <c r="Q235" s="152">
        <v>11</v>
      </c>
      <c r="R235" s="162">
        <v>0</v>
      </c>
      <c r="S235" s="152">
        <v>3</v>
      </c>
      <c r="T235" s="152">
        <v>5</v>
      </c>
      <c r="U235" s="1">
        <v>3</v>
      </c>
      <c r="V235" s="1">
        <v>1</v>
      </c>
    </row>
    <row r="236" spans="6:22" x14ac:dyDescent="0.25">
      <c r="F236" s="152">
        <v>7</v>
      </c>
      <c r="G236" s="162">
        <v>0</v>
      </c>
      <c r="H236" s="152">
        <v>5</v>
      </c>
      <c r="I236" s="1">
        <v>3</v>
      </c>
      <c r="J236" s="1">
        <v>1</v>
      </c>
      <c r="Q236" s="152">
        <v>12</v>
      </c>
      <c r="R236" s="162">
        <v>2</v>
      </c>
      <c r="S236" s="152">
        <v>4</v>
      </c>
      <c r="T236" s="152">
        <v>5</v>
      </c>
      <c r="U236" s="1">
        <v>3</v>
      </c>
      <c r="V236" s="1">
        <v>2</v>
      </c>
    </row>
    <row r="237" spans="6:22" x14ac:dyDescent="0.25">
      <c r="F237" s="152">
        <v>7</v>
      </c>
      <c r="G237" s="162">
        <v>0</v>
      </c>
      <c r="H237" s="152">
        <v>5</v>
      </c>
      <c r="I237" s="1">
        <v>3</v>
      </c>
      <c r="J237" s="1">
        <v>1</v>
      </c>
      <c r="Q237" s="152">
        <v>13</v>
      </c>
      <c r="R237" s="162">
        <v>1</v>
      </c>
      <c r="S237" s="152">
        <v>4</v>
      </c>
      <c r="T237" s="152">
        <v>5</v>
      </c>
      <c r="U237" s="1">
        <v>3</v>
      </c>
      <c r="V237" s="1">
        <v>2</v>
      </c>
    </row>
    <row r="238" spans="6:22" x14ac:dyDescent="0.25">
      <c r="F238" s="152">
        <v>7</v>
      </c>
      <c r="G238" s="162">
        <v>0</v>
      </c>
      <c r="H238" s="152">
        <v>5</v>
      </c>
      <c r="I238" s="1">
        <v>3</v>
      </c>
      <c r="J238" s="1">
        <v>1</v>
      </c>
      <c r="Q238" s="152">
        <v>11</v>
      </c>
      <c r="R238" s="162">
        <v>1</v>
      </c>
      <c r="S238" s="152">
        <v>3</v>
      </c>
      <c r="T238" s="152">
        <v>5</v>
      </c>
      <c r="U238" s="1">
        <v>3</v>
      </c>
      <c r="V238" s="1">
        <v>2</v>
      </c>
    </row>
    <row r="239" spans="6:22" x14ac:dyDescent="0.25">
      <c r="F239" s="152">
        <v>7</v>
      </c>
      <c r="G239" s="162">
        <v>0</v>
      </c>
      <c r="H239" s="152">
        <v>5</v>
      </c>
      <c r="I239" s="1">
        <v>5</v>
      </c>
      <c r="J239" s="1">
        <v>2</v>
      </c>
      <c r="Q239" s="152">
        <v>11</v>
      </c>
      <c r="R239" s="162">
        <v>2</v>
      </c>
      <c r="S239" s="152">
        <v>3</v>
      </c>
      <c r="T239" s="152">
        <v>5</v>
      </c>
      <c r="U239" s="1">
        <v>4</v>
      </c>
      <c r="V239" s="1">
        <v>1</v>
      </c>
    </row>
    <row r="240" spans="6:22" x14ac:dyDescent="0.25">
      <c r="F240" s="152">
        <v>7</v>
      </c>
      <c r="G240" s="162">
        <v>0</v>
      </c>
      <c r="H240" s="152">
        <v>5</v>
      </c>
      <c r="I240" s="1">
        <v>5</v>
      </c>
      <c r="J240" s="1">
        <v>2</v>
      </c>
      <c r="Q240" s="152">
        <v>12</v>
      </c>
      <c r="R240" s="162">
        <v>1</v>
      </c>
      <c r="S240" s="152">
        <v>4</v>
      </c>
      <c r="T240" s="152">
        <v>5</v>
      </c>
      <c r="U240" s="1">
        <v>4</v>
      </c>
      <c r="V240" s="1">
        <v>2</v>
      </c>
    </row>
    <row r="241" spans="6:22" x14ac:dyDescent="0.25">
      <c r="F241" s="152">
        <v>7</v>
      </c>
      <c r="G241" s="162">
        <v>1</v>
      </c>
      <c r="H241" s="152">
        <v>5</v>
      </c>
      <c r="I241" s="1">
        <v>4</v>
      </c>
      <c r="J241" s="1">
        <v>1</v>
      </c>
      <c r="Q241" s="152">
        <v>13</v>
      </c>
      <c r="R241" s="162">
        <v>1</v>
      </c>
      <c r="S241" s="152">
        <v>3</v>
      </c>
      <c r="T241" s="152">
        <v>5</v>
      </c>
      <c r="U241" s="1">
        <v>4</v>
      </c>
      <c r="V241" s="1">
        <v>2</v>
      </c>
    </row>
    <row r="242" spans="6:22" x14ac:dyDescent="0.25">
      <c r="F242" s="152">
        <v>7</v>
      </c>
      <c r="G242" s="162">
        <v>1</v>
      </c>
      <c r="H242" s="152">
        <v>5</v>
      </c>
      <c r="I242" s="1">
        <v>3</v>
      </c>
      <c r="J242" s="1">
        <v>2</v>
      </c>
      <c r="Q242" s="152">
        <v>11</v>
      </c>
      <c r="R242" s="162">
        <v>1</v>
      </c>
      <c r="S242" s="152">
        <v>4</v>
      </c>
      <c r="T242" s="152">
        <v>5</v>
      </c>
      <c r="U242" s="1">
        <v>3</v>
      </c>
      <c r="V242" s="1">
        <v>2</v>
      </c>
    </row>
    <row r="243" spans="6:22" x14ac:dyDescent="0.25">
      <c r="F243" s="152">
        <v>7</v>
      </c>
      <c r="G243" s="162">
        <v>0</v>
      </c>
      <c r="H243" s="152">
        <v>5</v>
      </c>
      <c r="I243" s="1">
        <v>3</v>
      </c>
      <c r="J243" s="1">
        <v>2</v>
      </c>
      <c r="Q243" s="152">
        <v>11</v>
      </c>
      <c r="R243" s="162">
        <v>1</v>
      </c>
      <c r="S243" s="152">
        <v>3</v>
      </c>
      <c r="T243" s="152">
        <v>5</v>
      </c>
      <c r="U243" s="1">
        <v>4</v>
      </c>
      <c r="V243" s="1">
        <v>2</v>
      </c>
    </row>
    <row r="244" spans="6:22" x14ac:dyDescent="0.25">
      <c r="F244" s="152">
        <v>7</v>
      </c>
      <c r="G244" s="162">
        <v>0</v>
      </c>
      <c r="H244" s="152">
        <v>5</v>
      </c>
      <c r="I244" s="1">
        <v>5</v>
      </c>
      <c r="J244" s="1">
        <v>1</v>
      </c>
      <c r="Q244" s="152">
        <v>12</v>
      </c>
      <c r="R244" s="162">
        <v>1</v>
      </c>
      <c r="S244" s="152">
        <v>3</v>
      </c>
      <c r="T244" s="152">
        <v>5</v>
      </c>
      <c r="U244" s="1">
        <v>3</v>
      </c>
      <c r="V244" s="1">
        <v>2</v>
      </c>
    </row>
    <row r="245" spans="6:22" x14ac:dyDescent="0.25">
      <c r="F245" s="152">
        <v>7</v>
      </c>
      <c r="G245" s="162">
        <v>1</v>
      </c>
      <c r="H245" s="152">
        <v>5</v>
      </c>
      <c r="I245" s="1">
        <v>3</v>
      </c>
      <c r="J245" s="1">
        <v>1</v>
      </c>
      <c r="Q245" s="152">
        <v>12</v>
      </c>
      <c r="R245" s="162">
        <v>2</v>
      </c>
      <c r="S245" s="152">
        <v>4</v>
      </c>
      <c r="T245" s="152">
        <v>5</v>
      </c>
      <c r="U245" s="1">
        <v>3</v>
      </c>
      <c r="V245" s="1">
        <v>1</v>
      </c>
    </row>
    <row r="246" spans="6:22" x14ac:dyDescent="0.25">
      <c r="F246" s="152">
        <v>7</v>
      </c>
      <c r="G246" s="162">
        <v>1</v>
      </c>
      <c r="H246" s="152">
        <v>5</v>
      </c>
      <c r="I246" s="1">
        <v>5</v>
      </c>
      <c r="J246" s="1">
        <v>2</v>
      </c>
      <c r="Q246" s="152">
        <v>13</v>
      </c>
      <c r="R246" s="162">
        <v>0</v>
      </c>
      <c r="S246" s="152">
        <v>4</v>
      </c>
      <c r="T246" s="152">
        <v>5</v>
      </c>
      <c r="U246" s="1">
        <v>3</v>
      </c>
      <c r="V246" s="1">
        <v>2</v>
      </c>
    </row>
    <row r="247" spans="6:22" x14ac:dyDescent="0.25">
      <c r="F247" s="152">
        <v>7</v>
      </c>
      <c r="G247" s="162">
        <v>0</v>
      </c>
      <c r="H247" s="152">
        <v>5</v>
      </c>
      <c r="I247" s="1">
        <v>4</v>
      </c>
      <c r="J247" s="1">
        <v>1</v>
      </c>
      <c r="Q247" s="152">
        <v>12</v>
      </c>
      <c r="R247" s="162">
        <v>1</v>
      </c>
      <c r="S247" s="152">
        <v>3</v>
      </c>
      <c r="T247" s="152">
        <v>5</v>
      </c>
      <c r="U247" s="1">
        <v>4</v>
      </c>
      <c r="V247" s="1">
        <v>2</v>
      </c>
    </row>
    <row r="248" spans="6:22" x14ac:dyDescent="0.25">
      <c r="F248" s="152">
        <v>7</v>
      </c>
      <c r="G248" s="162">
        <v>0</v>
      </c>
      <c r="H248" s="152">
        <v>5</v>
      </c>
      <c r="I248" s="1">
        <v>3</v>
      </c>
      <c r="J248" s="1">
        <v>1</v>
      </c>
      <c r="Q248" s="152">
        <v>12</v>
      </c>
      <c r="R248" s="162">
        <v>1</v>
      </c>
      <c r="S248" s="152">
        <v>3</v>
      </c>
      <c r="T248" s="152">
        <v>5</v>
      </c>
      <c r="U248" s="1">
        <v>3</v>
      </c>
      <c r="V248" s="1">
        <v>2</v>
      </c>
    </row>
    <row r="249" spans="6:22" x14ac:dyDescent="0.25">
      <c r="F249" s="152">
        <v>7</v>
      </c>
      <c r="G249" s="162">
        <v>1</v>
      </c>
      <c r="H249" s="152">
        <v>5</v>
      </c>
      <c r="I249" s="1">
        <v>3</v>
      </c>
      <c r="J249" s="1">
        <v>1</v>
      </c>
      <c r="Q249" s="152">
        <v>13</v>
      </c>
      <c r="R249" s="162">
        <v>0</v>
      </c>
      <c r="S249" s="152">
        <v>3</v>
      </c>
      <c r="T249" s="152">
        <v>6</v>
      </c>
      <c r="U249" s="1">
        <v>3</v>
      </c>
      <c r="V249" s="1">
        <v>2</v>
      </c>
    </row>
    <row r="250" spans="6:22" x14ac:dyDescent="0.25">
      <c r="F250" s="152">
        <v>7</v>
      </c>
      <c r="G250" s="162">
        <v>1</v>
      </c>
      <c r="H250" s="152">
        <v>5</v>
      </c>
      <c r="I250" s="1">
        <v>4</v>
      </c>
      <c r="J250" s="1">
        <v>1</v>
      </c>
      <c r="Q250" s="152">
        <v>13</v>
      </c>
      <c r="R250" s="162">
        <v>2</v>
      </c>
      <c r="S250" s="152">
        <v>4</v>
      </c>
      <c r="T250" s="152">
        <v>5</v>
      </c>
      <c r="U250" s="1">
        <v>4</v>
      </c>
      <c r="V250" s="1">
        <v>2</v>
      </c>
    </row>
    <row r="251" spans="6:22" x14ac:dyDescent="0.25">
      <c r="F251" s="152">
        <v>7</v>
      </c>
      <c r="G251" s="162">
        <v>0</v>
      </c>
      <c r="H251" s="152">
        <v>5</v>
      </c>
      <c r="I251" s="1">
        <v>5</v>
      </c>
      <c r="J251" s="1">
        <v>2</v>
      </c>
      <c r="Q251" s="152">
        <v>11</v>
      </c>
      <c r="R251" s="162">
        <v>1</v>
      </c>
      <c r="S251" s="152">
        <v>4</v>
      </c>
      <c r="T251" s="152">
        <v>5</v>
      </c>
      <c r="U251" s="1">
        <v>4</v>
      </c>
      <c r="V251" s="1">
        <v>2</v>
      </c>
    </row>
    <row r="252" spans="6:22" x14ac:dyDescent="0.25">
      <c r="F252" s="152">
        <v>7</v>
      </c>
      <c r="G252" s="162">
        <v>1</v>
      </c>
      <c r="H252" s="152">
        <v>5</v>
      </c>
      <c r="I252" s="1">
        <v>4</v>
      </c>
      <c r="J252" s="1">
        <v>1</v>
      </c>
      <c r="Q252" s="152">
        <v>11</v>
      </c>
      <c r="R252" s="162">
        <v>2</v>
      </c>
      <c r="S252" s="152">
        <v>3</v>
      </c>
      <c r="T252" s="152">
        <v>5</v>
      </c>
      <c r="U252" s="1">
        <v>4</v>
      </c>
      <c r="V252" s="1">
        <v>2</v>
      </c>
    </row>
    <row r="253" spans="6:22" x14ac:dyDescent="0.25">
      <c r="F253" s="152">
        <v>7</v>
      </c>
      <c r="G253" s="162">
        <v>0</v>
      </c>
      <c r="H253" s="152">
        <v>5</v>
      </c>
      <c r="I253" s="1">
        <v>3</v>
      </c>
      <c r="J253" s="1">
        <v>1</v>
      </c>
      <c r="Q253" s="152">
        <v>12</v>
      </c>
      <c r="R253" s="162">
        <v>1</v>
      </c>
      <c r="S253" s="152">
        <v>4</v>
      </c>
      <c r="T253" s="152">
        <v>6</v>
      </c>
      <c r="U253" s="1">
        <v>3</v>
      </c>
      <c r="V253" s="1">
        <v>2</v>
      </c>
    </row>
    <row r="254" spans="6:22" x14ac:dyDescent="0.25">
      <c r="F254" s="152">
        <v>7</v>
      </c>
      <c r="G254" s="162">
        <v>0</v>
      </c>
      <c r="H254" s="152">
        <v>5</v>
      </c>
      <c r="I254" s="1">
        <v>5</v>
      </c>
      <c r="J254" s="1">
        <v>1</v>
      </c>
      <c r="Q254" s="152">
        <v>13</v>
      </c>
      <c r="R254" s="162">
        <v>2</v>
      </c>
      <c r="S254" s="152">
        <v>3</v>
      </c>
      <c r="T254" s="152">
        <v>5</v>
      </c>
      <c r="U254" s="1">
        <v>4</v>
      </c>
      <c r="V254" s="1">
        <v>2</v>
      </c>
    </row>
    <row r="255" spans="6:22" x14ac:dyDescent="0.25">
      <c r="F255" s="152">
        <v>7</v>
      </c>
      <c r="G255" s="162">
        <v>1</v>
      </c>
      <c r="H255" s="152">
        <v>5</v>
      </c>
      <c r="I255" s="1">
        <v>3</v>
      </c>
      <c r="J255" s="1">
        <v>1</v>
      </c>
      <c r="Q255" s="152">
        <v>12</v>
      </c>
      <c r="R255" s="162">
        <v>2</v>
      </c>
      <c r="S255" s="152">
        <v>4</v>
      </c>
      <c r="T255" s="152">
        <v>5</v>
      </c>
      <c r="U255" s="1">
        <v>3</v>
      </c>
      <c r="V255" s="1">
        <v>2</v>
      </c>
    </row>
    <row r="256" spans="6:22" x14ac:dyDescent="0.25">
      <c r="F256" s="152">
        <v>7</v>
      </c>
      <c r="G256" s="162">
        <v>1</v>
      </c>
      <c r="H256" s="152">
        <v>5</v>
      </c>
      <c r="I256" s="1">
        <v>3</v>
      </c>
      <c r="J256" s="1">
        <v>1</v>
      </c>
      <c r="Q256" s="152">
        <v>12</v>
      </c>
      <c r="R256" s="162">
        <v>1</v>
      </c>
      <c r="S256" s="152">
        <v>4</v>
      </c>
      <c r="T256" s="152">
        <v>5</v>
      </c>
      <c r="U256" s="1">
        <v>4</v>
      </c>
      <c r="V256" s="1">
        <v>2</v>
      </c>
    </row>
    <row r="257" spans="6:22" x14ac:dyDescent="0.25">
      <c r="F257" s="152">
        <v>7</v>
      </c>
      <c r="G257" s="162">
        <v>0</v>
      </c>
      <c r="H257" s="152">
        <v>5</v>
      </c>
      <c r="I257" s="1">
        <v>4</v>
      </c>
      <c r="J257" s="1">
        <v>1</v>
      </c>
      <c r="Q257" s="152">
        <v>11</v>
      </c>
      <c r="R257" s="162">
        <v>1</v>
      </c>
      <c r="S257" s="152">
        <v>3</v>
      </c>
      <c r="T257" s="152">
        <v>6</v>
      </c>
      <c r="U257" s="1">
        <v>4</v>
      </c>
      <c r="V257" s="1">
        <v>1</v>
      </c>
    </row>
    <row r="258" spans="6:22" x14ac:dyDescent="0.25">
      <c r="F258" s="152">
        <v>7</v>
      </c>
      <c r="G258" s="162">
        <v>0</v>
      </c>
      <c r="H258" s="152">
        <v>5</v>
      </c>
      <c r="I258" s="1">
        <v>4</v>
      </c>
      <c r="J258" s="1">
        <v>1</v>
      </c>
      <c r="Q258" s="152">
        <v>13</v>
      </c>
      <c r="R258" s="162">
        <v>1</v>
      </c>
      <c r="S258" s="152">
        <v>3</v>
      </c>
      <c r="T258" s="152">
        <v>5</v>
      </c>
      <c r="U258" s="1">
        <v>3</v>
      </c>
      <c r="V258" s="1">
        <v>1</v>
      </c>
    </row>
    <row r="259" spans="6:22" x14ac:dyDescent="0.25">
      <c r="F259" s="152">
        <v>7</v>
      </c>
      <c r="G259" s="162">
        <v>1</v>
      </c>
      <c r="H259" s="152">
        <v>5</v>
      </c>
      <c r="I259" s="1">
        <v>5</v>
      </c>
      <c r="J259" s="1">
        <v>2</v>
      </c>
      <c r="Q259" s="152">
        <v>12</v>
      </c>
      <c r="R259" s="162">
        <v>1</v>
      </c>
      <c r="S259" s="152">
        <v>3</v>
      </c>
      <c r="T259" s="152">
        <v>5</v>
      </c>
      <c r="U259" s="1">
        <v>3</v>
      </c>
      <c r="V259" s="1">
        <v>2</v>
      </c>
    </row>
    <row r="260" spans="6:22" x14ac:dyDescent="0.25">
      <c r="F260" s="152">
        <v>7</v>
      </c>
      <c r="G260" s="162">
        <v>0</v>
      </c>
      <c r="H260" s="152">
        <v>5</v>
      </c>
      <c r="I260" s="1">
        <v>3</v>
      </c>
      <c r="J260" s="1">
        <v>1</v>
      </c>
      <c r="Q260" s="152">
        <v>11</v>
      </c>
      <c r="R260" s="162">
        <v>1</v>
      </c>
      <c r="S260" s="152">
        <v>4</v>
      </c>
      <c r="T260" s="152">
        <v>5</v>
      </c>
      <c r="U260" s="1">
        <v>4</v>
      </c>
      <c r="V260" s="1">
        <v>2</v>
      </c>
    </row>
    <row r="261" spans="6:22" x14ac:dyDescent="0.25">
      <c r="F261" s="152">
        <v>7</v>
      </c>
      <c r="G261" s="162">
        <v>0</v>
      </c>
      <c r="H261" s="152">
        <v>5</v>
      </c>
      <c r="I261" s="1">
        <v>5</v>
      </c>
      <c r="J261" s="1">
        <v>1</v>
      </c>
      <c r="Q261" s="152">
        <v>12</v>
      </c>
      <c r="R261" s="162">
        <v>0</v>
      </c>
      <c r="S261" s="152">
        <v>4</v>
      </c>
      <c r="T261" s="152">
        <v>5</v>
      </c>
      <c r="U261" s="1">
        <v>3</v>
      </c>
      <c r="V261" s="1">
        <v>1</v>
      </c>
    </row>
    <row r="262" spans="6:22" x14ac:dyDescent="0.25">
      <c r="F262" s="152">
        <v>7</v>
      </c>
      <c r="G262" s="162">
        <v>0</v>
      </c>
      <c r="H262" s="152">
        <v>5</v>
      </c>
      <c r="I262" s="1">
        <v>3</v>
      </c>
      <c r="J262" s="1">
        <v>1</v>
      </c>
      <c r="Q262" s="152">
        <v>11</v>
      </c>
      <c r="R262" s="162">
        <v>2</v>
      </c>
      <c r="S262" s="152">
        <v>4</v>
      </c>
      <c r="T262" s="152">
        <v>6</v>
      </c>
      <c r="U262" s="1">
        <v>4</v>
      </c>
      <c r="V262" s="1">
        <v>2</v>
      </c>
    </row>
    <row r="263" spans="6:22" x14ac:dyDescent="0.25">
      <c r="F263" s="152">
        <v>7</v>
      </c>
      <c r="G263" s="162">
        <v>1</v>
      </c>
      <c r="H263" s="152">
        <v>5</v>
      </c>
      <c r="I263" s="1">
        <v>5</v>
      </c>
      <c r="J263" s="1">
        <v>1</v>
      </c>
      <c r="Q263" s="152">
        <v>12</v>
      </c>
      <c r="R263" s="162">
        <v>2</v>
      </c>
      <c r="S263" s="152">
        <v>4</v>
      </c>
      <c r="T263" s="152">
        <v>6</v>
      </c>
      <c r="U263" s="1">
        <v>3</v>
      </c>
      <c r="V263" s="1">
        <v>2</v>
      </c>
    </row>
    <row r="264" spans="6:22" x14ac:dyDescent="0.25">
      <c r="F264" s="152">
        <v>7</v>
      </c>
      <c r="G264" s="162">
        <v>0</v>
      </c>
      <c r="H264" s="152">
        <v>5</v>
      </c>
      <c r="I264" s="1">
        <v>5</v>
      </c>
      <c r="J264" s="1">
        <v>1</v>
      </c>
      <c r="Q264" s="152">
        <v>11</v>
      </c>
      <c r="R264" s="162">
        <v>1</v>
      </c>
      <c r="S264" s="152">
        <v>3</v>
      </c>
      <c r="T264" s="152">
        <v>5</v>
      </c>
      <c r="U264" s="1">
        <v>3</v>
      </c>
      <c r="V264" s="1">
        <v>1</v>
      </c>
    </row>
    <row r="265" spans="6:22" x14ac:dyDescent="0.25">
      <c r="F265" s="152">
        <v>7</v>
      </c>
      <c r="G265" s="162">
        <v>1</v>
      </c>
      <c r="H265" s="152">
        <v>5</v>
      </c>
      <c r="I265" s="1">
        <v>4</v>
      </c>
      <c r="J265" s="1">
        <v>1</v>
      </c>
      <c r="Q265" s="152">
        <v>12</v>
      </c>
      <c r="R265" s="162">
        <v>0</v>
      </c>
      <c r="S265" s="152">
        <v>3</v>
      </c>
      <c r="T265" s="152">
        <v>5</v>
      </c>
      <c r="U265" s="1">
        <v>4</v>
      </c>
      <c r="V265" s="1">
        <v>2</v>
      </c>
    </row>
    <row r="266" spans="6:22" x14ac:dyDescent="0.25">
      <c r="F266" s="152">
        <v>7</v>
      </c>
      <c r="G266" s="162">
        <v>1</v>
      </c>
      <c r="H266" s="152">
        <v>5</v>
      </c>
      <c r="I266" s="1">
        <v>4</v>
      </c>
      <c r="J266" s="1">
        <v>2</v>
      </c>
      <c r="Q266" s="152">
        <v>12</v>
      </c>
      <c r="R266" s="162">
        <v>1</v>
      </c>
      <c r="S266" s="152">
        <v>3</v>
      </c>
      <c r="T266" s="152">
        <v>5</v>
      </c>
      <c r="U266" s="1">
        <v>4</v>
      </c>
      <c r="V266" s="1">
        <v>2</v>
      </c>
    </row>
    <row r="267" spans="6:22" x14ac:dyDescent="0.25">
      <c r="F267" s="152">
        <v>7</v>
      </c>
      <c r="G267" s="162">
        <v>1</v>
      </c>
      <c r="H267" s="152">
        <v>5</v>
      </c>
      <c r="I267" s="1">
        <v>4</v>
      </c>
      <c r="J267" s="1">
        <v>2</v>
      </c>
      <c r="Q267" s="152">
        <v>11</v>
      </c>
      <c r="R267" s="162">
        <v>1</v>
      </c>
      <c r="S267" s="152">
        <v>4</v>
      </c>
      <c r="T267" s="152">
        <v>5</v>
      </c>
      <c r="U267" s="1">
        <v>3</v>
      </c>
      <c r="V267" s="1">
        <v>2</v>
      </c>
    </row>
    <row r="268" spans="6:22" x14ac:dyDescent="0.25">
      <c r="F268" s="152">
        <v>7</v>
      </c>
      <c r="G268" s="162">
        <v>0</v>
      </c>
      <c r="H268" s="152">
        <v>5</v>
      </c>
      <c r="I268" s="1">
        <v>3</v>
      </c>
      <c r="J268" s="1">
        <v>1</v>
      </c>
      <c r="Q268" s="152">
        <v>12</v>
      </c>
      <c r="R268" s="162">
        <v>1</v>
      </c>
      <c r="S268" s="152">
        <v>4</v>
      </c>
      <c r="T268" s="152">
        <v>6</v>
      </c>
      <c r="U268" s="1">
        <v>3</v>
      </c>
      <c r="V268" s="1">
        <v>2</v>
      </c>
    </row>
    <row r="269" spans="6:22" x14ac:dyDescent="0.25">
      <c r="F269" s="152">
        <v>7</v>
      </c>
      <c r="G269" s="162">
        <v>1</v>
      </c>
      <c r="H269" s="152">
        <v>5</v>
      </c>
      <c r="I269" s="1">
        <v>4</v>
      </c>
      <c r="J269" s="1">
        <v>2</v>
      </c>
      <c r="Q269" s="152">
        <v>12</v>
      </c>
      <c r="R269" s="162">
        <v>1</v>
      </c>
      <c r="S269" s="152">
        <v>4</v>
      </c>
      <c r="T269" s="152">
        <v>5</v>
      </c>
      <c r="U269" s="1">
        <v>3</v>
      </c>
      <c r="V269" s="1">
        <v>2</v>
      </c>
    </row>
    <row r="270" spans="6:22" x14ac:dyDescent="0.25">
      <c r="F270" s="152">
        <v>7</v>
      </c>
      <c r="G270" s="162">
        <v>0</v>
      </c>
      <c r="H270" s="152">
        <v>5</v>
      </c>
      <c r="I270" s="1">
        <v>3</v>
      </c>
      <c r="J270" s="1">
        <v>1</v>
      </c>
      <c r="Q270" s="152">
        <v>13</v>
      </c>
      <c r="R270" s="162">
        <v>1</v>
      </c>
      <c r="S270" s="152">
        <v>3</v>
      </c>
      <c r="T270" s="152">
        <v>5</v>
      </c>
      <c r="U270" s="1">
        <v>4</v>
      </c>
      <c r="V270" s="1">
        <v>2</v>
      </c>
    </row>
    <row r="271" spans="6:22" x14ac:dyDescent="0.25">
      <c r="F271" s="152">
        <v>7</v>
      </c>
      <c r="G271" s="162">
        <v>1</v>
      </c>
      <c r="H271" s="152">
        <v>5</v>
      </c>
      <c r="I271" s="1">
        <v>4</v>
      </c>
      <c r="J271" s="1">
        <v>1</v>
      </c>
      <c r="Q271" s="152">
        <v>13</v>
      </c>
      <c r="R271" s="162">
        <v>2</v>
      </c>
      <c r="S271" s="152">
        <v>3</v>
      </c>
      <c r="T271" s="152">
        <v>5</v>
      </c>
      <c r="U271" s="1">
        <v>4</v>
      </c>
      <c r="V271" s="1">
        <v>2</v>
      </c>
    </row>
    <row r="272" spans="6:22" x14ac:dyDescent="0.25">
      <c r="F272" s="152">
        <v>7</v>
      </c>
      <c r="G272" s="162">
        <v>1</v>
      </c>
      <c r="H272" s="152">
        <v>5</v>
      </c>
      <c r="I272" s="1">
        <v>5</v>
      </c>
      <c r="J272" s="1">
        <v>1</v>
      </c>
      <c r="Q272" s="152">
        <v>13</v>
      </c>
      <c r="R272" s="162">
        <v>1</v>
      </c>
      <c r="S272" s="152">
        <v>4</v>
      </c>
      <c r="T272" s="152">
        <v>6</v>
      </c>
      <c r="U272" s="1">
        <v>3</v>
      </c>
      <c r="V272" s="1">
        <v>2</v>
      </c>
    </row>
    <row r="273" spans="6:22" x14ac:dyDescent="0.25">
      <c r="F273" s="152">
        <v>7</v>
      </c>
      <c r="G273" s="162">
        <v>0</v>
      </c>
      <c r="H273" s="152">
        <v>5</v>
      </c>
      <c r="I273" s="1">
        <v>4</v>
      </c>
      <c r="J273" s="1">
        <v>1</v>
      </c>
      <c r="Q273" s="152">
        <v>11</v>
      </c>
      <c r="R273" s="162">
        <v>2</v>
      </c>
      <c r="S273" s="152">
        <v>3</v>
      </c>
      <c r="T273" s="152">
        <v>6</v>
      </c>
      <c r="U273" s="1">
        <v>3</v>
      </c>
      <c r="V273" s="1">
        <v>2</v>
      </c>
    </row>
    <row r="274" spans="6:22" x14ac:dyDescent="0.25">
      <c r="F274" s="152">
        <v>7</v>
      </c>
      <c r="G274" s="162">
        <v>1</v>
      </c>
      <c r="H274" s="152">
        <v>5</v>
      </c>
      <c r="I274" s="1">
        <v>3</v>
      </c>
      <c r="J274" s="1">
        <v>1</v>
      </c>
      <c r="Q274" s="152">
        <v>11</v>
      </c>
      <c r="R274" s="162">
        <v>0</v>
      </c>
      <c r="S274" s="152">
        <v>4</v>
      </c>
      <c r="T274" s="152">
        <v>5</v>
      </c>
      <c r="U274" s="1">
        <v>3</v>
      </c>
      <c r="V274" s="1">
        <v>2</v>
      </c>
    </row>
    <row r="275" spans="6:22" x14ac:dyDescent="0.25">
      <c r="F275" s="152">
        <v>7</v>
      </c>
      <c r="G275" s="162">
        <v>0</v>
      </c>
      <c r="H275" s="152">
        <v>5</v>
      </c>
      <c r="I275" s="1">
        <v>3</v>
      </c>
      <c r="J275" s="1">
        <v>1</v>
      </c>
      <c r="Q275" s="152">
        <v>12</v>
      </c>
      <c r="R275" s="162">
        <v>2</v>
      </c>
      <c r="S275" s="152">
        <v>4</v>
      </c>
      <c r="T275" s="152">
        <v>5</v>
      </c>
      <c r="U275" s="1">
        <v>4</v>
      </c>
      <c r="V275" s="1">
        <v>2</v>
      </c>
    </row>
    <row r="276" spans="6:22" x14ac:dyDescent="0.25">
      <c r="F276" s="152">
        <v>7</v>
      </c>
      <c r="G276" s="162">
        <v>0</v>
      </c>
      <c r="H276" s="152">
        <v>5</v>
      </c>
      <c r="I276" s="1">
        <v>4</v>
      </c>
      <c r="J276" s="1">
        <v>2</v>
      </c>
      <c r="Q276" s="152">
        <v>12</v>
      </c>
      <c r="R276" s="162">
        <v>1</v>
      </c>
      <c r="S276" s="152">
        <v>3</v>
      </c>
      <c r="T276" s="152">
        <v>5</v>
      </c>
      <c r="U276" s="1">
        <v>3</v>
      </c>
      <c r="V276" s="1">
        <v>2</v>
      </c>
    </row>
    <row r="277" spans="6:22" x14ac:dyDescent="0.25">
      <c r="F277" s="152">
        <v>7</v>
      </c>
      <c r="G277" s="162">
        <v>0</v>
      </c>
      <c r="H277" s="152">
        <v>5</v>
      </c>
      <c r="I277" s="1">
        <v>4</v>
      </c>
      <c r="J277" s="1">
        <v>1</v>
      </c>
      <c r="Q277" s="152">
        <v>11</v>
      </c>
      <c r="R277" s="152">
        <v>2</v>
      </c>
      <c r="S277" s="152">
        <v>4</v>
      </c>
      <c r="T277" s="1">
        <v>5</v>
      </c>
      <c r="U277" s="1">
        <v>4</v>
      </c>
      <c r="V277" s="1">
        <v>2</v>
      </c>
    </row>
    <row r="278" spans="6:22" x14ac:dyDescent="0.25">
      <c r="F278" s="152">
        <v>7</v>
      </c>
      <c r="G278" s="162">
        <v>1</v>
      </c>
      <c r="H278" s="152">
        <v>5</v>
      </c>
      <c r="I278" s="1">
        <v>3</v>
      </c>
      <c r="J278" s="1">
        <v>1</v>
      </c>
      <c r="Q278" s="152">
        <v>11</v>
      </c>
      <c r="R278" s="162">
        <v>1</v>
      </c>
      <c r="S278" s="152">
        <v>3</v>
      </c>
      <c r="T278" s="152">
        <v>5</v>
      </c>
      <c r="U278" s="1">
        <v>4</v>
      </c>
      <c r="V278" s="1">
        <v>2</v>
      </c>
    </row>
    <row r="279" spans="6:22" x14ac:dyDescent="0.25">
      <c r="F279" s="152">
        <v>7</v>
      </c>
      <c r="G279" s="162">
        <v>0</v>
      </c>
      <c r="H279" s="152">
        <v>5</v>
      </c>
      <c r="I279" s="1">
        <v>4</v>
      </c>
      <c r="J279" s="1">
        <v>1</v>
      </c>
      <c r="Q279" s="152">
        <v>12</v>
      </c>
      <c r="R279" s="162">
        <v>1</v>
      </c>
      <c r="S279" s="152">
        <v>4</v>
      </c>
      <c r="T279" s="152">
        <v>6</v>
      </c>
      <c r="U279" s="1">
        <v>3</v>
      </c>
      <c r="V279" s="1">
        <v>1</v>
      </c>
    </row>
    <row r="280" spans="6:22" x14ac:dyDescent="0.25">
      <c r="F280" s="152">
        <v>7</v>
      </c>
      <c r="G280" s="162">
        <v>0</v>
      </c>
      <c r="H280" s="152">
        <v>5</v>
      </c>
      <c r="I280" s="1">
        <v>3</v>
      </c>
      <c r="J280" s="1">
        <v>1</v>
      </c>
      <c r="Q280" s="152">
        <v>12</v>
      </c>
      <c r="R280" s="162">
        <v>1</v>
      </c>
      <c r="S280" s="152">
        <v>3</v>
      </c>
      <c r="T280" s="152">
        <v>5</v>
      </c>
      <c r="U280" s="1">
        <v>4</v>
      </c>
      <c r="V280" s="1">
        <v>2</v>
      </c>
    </row>
    <row r="281" spans="6:22" x14ac:dyDescent="0.25">
      <c r="F281" s="152">
        <v>7</v>
      </c>
      <c r="G281" s="162">
        <v>1</v>
      </c>
      <c r="H281" s="152">
        <v>5</v>
      </c>
      <c r="I281" s="1">
        <v>4</v>
      </c>
      <c r="J281" s="1">
        <v>2</v>
      </c>
      <c r="Q281" s="152">
        <v>12</v>
      </c>
      <c r="R281" s="162">
        <v>1</v>
      </c>
      <c r="S281" s="152">
        <v>4</v>
      </c>
      <c r="T281" s="152">
        <v>5</v>
      </c>
      <c r="U281" s="1">
        <v>3</v>
      </c>
      <c r="V281" s="1">
        <v>1</v>
      </c>
    </row>
    <row r="282" spans="6:22" x14ac:dyDescent="0.25">
      <c r="F282" s="152">
        <v>7</v>
      </c>
      <c r="G282" s="162">
        <v>0</v>
      </c>
      <c r="H282" s="152">
        <v>5</v>
      </c>
      <c r="I282" s="1">
        <v>3</v>
      </c>
      <c r="J282" s="1">
        <v>1</v>
      </c>
      <c r="Q282" s="152">
        <v>13</v>
      </c>
      <c r="R282" s="162">
        <v>2</v>
      </c>
      <c r="S282" s="152">
        <v>4</v>
      </c>
      <c r="T282" s="152">
        <v>5</v>
      </c>
      <c r="U282" s="1">
        <v>4</v>
      </c>
      <c r="V282" s="1">
        <v>1</v>
      </c>
    </row>
    <row r="283" spans="6:22" x14ac:dyDescent="0.25">
      <c r="F283" s="152">
        <v>7</v>
      </c>
      <c r="G283" s="162">
        <v>0</v>
      </c>
      <c r="H283" s="152">
        <v>5</v>
      </c>
      <c r="I283" s="1">
        <v>4</v>
      </c>
      <c r="J283" s="1">
        <v>2</v>
      </c>
      <c r="Q283" s="152">
        <v>12</v>
      </c>
      <c r="R283" s="162">
        <v>1</v>
      </c>
      <c r="S283" s="152">
        <v>4</v>
      </c>
      <c r="T283" s="152">
        <v>5</v>
      </c>
      <c r="U283" s="1">
        <v>4</v>
      </c>
      <c r="V283" s="1">
        <v>2</v>
      </c>
    </row>
    <row r="284" spans="6:22" x14ac:dyDescent="0.25">
      <c r="F284" s="152">
        <v>7</v>
      </c>
      <c r="G284" s="162">
        <v>0</v>
      </c>
      <c r="H284" s="152">
        <v>5</v>
      </c>
      <c r="I284" s="1">
        <v>5</v>
      </c>
      <c r="J284" s="1">
        <v>1</v>
      </c>
      <c r="Q284" s="152">
        <v>11</v>
      </c>
      <c r="R284" s="162">
        <v>0</v>
      </c>
      <c r="S284" s="152">
        <v>4</v>
      </c>
      <c r="T284" s="152">
        <v>5</v>
      </c>
      <c r="U284" s="1">
        <v>4</v>
      </c>
      <c r="V284" s="1">
        <v>2</v>
      </c>
    </row>
    <row r="285" spans="6:22" x14ac:dyDescent="0.25">
      <c r="F285" s="152">
        <v>7</v>
      </c>
      <c r="G285" s="162">
        <v>1</v>
      </c>
      <c r="H285" s="152">
        <v>5</v>
      </c>
      <c r="I285" s="1">
        <v>4</v>
      </c>
      <c r="J285" s="1">
        <v>1</v>
      </c>
      <c r="Q285" s="152">
        <v>12</v>
      </c>
      <c r="R285" s="162">
        <v>2</v>
      </c>
      <c r="S285" s="152">
        <v>4</v>
      </c>
      <c r="T285" s="152">
        <v>5</v>
      </c>
      <c r="U285" s="1">
        <v>4</v>
      </c>
      <c r="V285" s="1">
        <v>1</v>
      </c>
    </row>
    <row r="286" spans="6:22" x14ac:dyDescent="0.25">
      <c r="F286" s="152">
        <v>7</v>
      </c>
      <c r="G286" s="162">
        <v>1</v>
      </c>
      <c r="H286" s="152">
        <v>5</v>
      </c>
      <c r="I286" s="1">
        <v>5</v>
      </c>
      <c r="J286" s="1">
        <v>1</v>
      </c>
      <c r="Q286" s="152">
        <v>12</v>
      </c>
      <c r="R286" s="162">
        <v>2</v>
      </c>
      <c r="S286" s="152">
        <v>3</v>
      </c>
      <c r="T286" s="152">
        <v>5</v>
      </c>
      <c r="U286" s="1">
        <v>4</v>
      </c>
      <c r="V286" s="1">
        <v>2</v>
      </c>
    </row>
    <row r="287" spans="6:22" x14ac:dyDescent="0.25">
      <c r="F287" s="152">
        <v>7</v>
      </c>
      <c r="G287" s="162">
        <v>0</v>
      </c>
      <c r="H287" s="152">
        <v>5</v>
      </c>
      <c r="I287" s="1">
        <v>4</v>
      </c>
      <c r="J287" s="1">
        <v>2</v>
      </c>
      <c r="Q287" s="152">
        <v>12</v>
      </c>
      <c r="R287" s="162">
        <v>2</v>
      </c>
      <c r="S287" s="152">
        <v>4</v>
      </c>
      <c r="T287" s="152">
        <v>5</v>
      </c>
      <c r="U287" s="1">
        <v>3</v>
      </c>
      <c r="V287" s="1">
        <v>2</v>
      </c>
    </row>
    <row r="288" spans="6:22" x14ac:dyDescent="0.25">
      <c r="F288" s="152">
        <v>7</v>
      </c>
      <c r="G288" s="162">
        <v>0</v>
      </c>
      <c r="H288" s="152">
        <v>5</v>
      </c>
      <c r="I288" s="1">
        <v>3</v>
      </c>
      <c r="J288" s="1">
        <v>1</v>
      </c>
      <c r="Q288" s="152">
        <v>13</v>
      </c>
      <c r="R288" s="162">
        <v>2</v>
      </c>
      <c r="S288" s="152">
        <v>3</v>
      </c>
      <c r="T288" s="152">
        <v>5</v>
      </c>
      <c r="U288" s="1">
        <v>4</v>
      </c>
      <c r="V288" s="1">
        <v>2</v>
      </c>
    </row>
    <row r="289" spans="6:22" x14ac:dyDescent="0.25">
      <c r="F289" s="152">
        <v>7</v>
      </c>
      <c r="G289" s="162">
        <v>0</v>
      </c>
      <c r="H289" s="152">
        <v>5</v>
      </c>
      <c r="I289" s="1">
        <v>5</v>
      </c>
      <c r="J289" s="1">
        <v>1</v>
      </c>
      <c r="Q289" s="152">
        <v>11</v>
      </c>
      <c r="R289" s="162">
        <v>1</v>
      </c>
      <c r="S289" s="152">
        <v>3</v>
      </c>
      <c r="T289" s="152">
        <v>5</v>
      </c>
      <c r="U289" s="1">
        <v>4</v>
      </c>
      <c r="V289" s="1">
        <v>1</v>
      </c>
    </row>
    <row r="290" spans="6:22" x14ac:dyDescent="0.25">
      <c r="F290" s="152">
        <v>7</v>
      </c>
      <c r="G290" s="162">
        <v>0</v>
      </c>
      <c r="H290" s="152">
        <v>5</v>
      </c>
      <c r="I290" s="1">
        <v>4</v>
      </c>
      <c r="J290" s="1">
        <v>1</v>
      </c>
      <c r="Q290" s="152">
        <v>12</v>
      </c>
      <c r="R290" s="162">
        <v>1</v>
      </c>
      <c r="S290" s="152">
        <v>4</v>
      </c>
      <c r="T290" s="152">
        <v>5</v>
      </c>
      <c r="U290" s="1">
        <v>3</v>
      </c>
      <c r="V290" s="1">
        <v>1</v>
      </c>
    </row>
    <row r="291" spans="6:22" x14ac:dyDescent="0.25">
      <c r="F291" s="152">
        <v>7</v>
      </c>
      <c r="G291" s="162">
        <v>1</v>
      </c>
      <c r="H291" s="152">
        <v>5</v>
      </c>
      <c r="I291" s="1">
        <v>4</v>
      </c>
      <c r="J291" s="1">
        <v>1</v>
      </c>
      <c r="Q291" s="152">
        <v>12</v>
      </c>
      <c r="R291" s="162">
        <v>2</v>
      </c>
      <c r="S291" s="152">
        <v>4</v>
      </c>
      <c r="T291" s="152">
        <v>5</v>
      </c>
      <c r="U291" s="1">
        <v>3</v>
      </c>
      <c r="V291" s="1">
        <v>1</v>
      </c>
    </row>
    <row r="292" spans="6:22" x14ac:dyDescent="0.25">
      <c r="F292" s="152">
        <v>7</v>
      </c>
      <c r="G292" s="162">
        <v>1</v>
      </c>
      <c r="H292" s="152">
        <v>5</v>
      </c>
      <c r="I292" s="1">
        <v>4</v>
      </c>
      <c r="J292" s="1">
        <v>2</v>
      </c>
      <c r="Q292" s="152">
        <v>13</v>
      </c>
      <c r="R292" s="162">
        <v>0</v>
      </c>
      <c r="S292" s="152">
        <v>3</v>
      </c>
      <c r="T292" s="152">
        <v>5</v>
      </c>
      <c r="U292" s="1">
        <v>3</v>
      </c>
      <c r="V292" s="1">
        <v>2</v>
      </c>
    </row>
    <row r="293" spans="6:22" x14ac:dyDescent="0.25">
      <c r="F293" s="152">
        <v>7</v>
      </c>
      <c r="G293" s="162">
        <v>1</v>
      </c>
      <c r="H293" s="152">
        <v>5</v>
      </c>
      <c r="I293" s="1">
        <v>5</v>
      </c>
      <c r="J293" s="1">
        <v>2</v>
      </c>
      <c r="Q293" s="152">
        <v>13</v>
      </c>
      <c r="R293" s="162">
        <v>1</v>
      </c>
      <c r="S293" s="152">
        <v>3</v>
      </c>
      <c r="T293" s="152">
        <v>5</v>
      </c>
      <c r="U293" s="1">
        <v>4</v>
      </c>
      <c r="V293" s="1">
        <v>2</v>
      </c>
    </row>
    <row r="294" spans="6:22" x14ac:dyDescent="0.25">
      <c r="F294" s="152">
        <v>7</v>
      </c>
      <c r="G294" s="162">
        <v>1</v>
      </c>
      <c r="H294" s="152">
        <v>5</v>
      </c>
      <c r="I294" s="1">
        <v>5</v>
      </c>
      <c r="J294" s="1">
        <v>1</v>
      </c>
      <c r="Q294" s="152">
        <v>13</v>
      </c>
      <c r="R294" s="162">
        <v>2</v>
      </c>
      <c r="S294" s="152">
        <v>3</v>
      </c>
      <c r="T294" s="152">
        <v>5</v>
      </c>
      <c r="U294" s="1">
        <v>4</v>
      </c>
      <c r="V294" s="1">
        <v>2</v>
      </c>
    </row>
    <row r="295" spans="6:22" x14ac:dyDescent="0.25">
      <c r="F295" s="152">
        <v>7</v>
      </c>
      <c r="G295" s="162">
        <v>1</v>
      </c>
      <c r="H295" s="152">
        <v>5</v>
      </c>
      <c r="I295" s="1">
        <v>5</v>
      </c>
      <c r="J295" s="1">
        <v>2</v>
      </c>
      <c r="Q295" s="152">
        <v>13</v>
      </c>
      <c r="R295" s="162">
        <v>1</v>
      </c>
      <c r="S295" s="152">
        <v>4</v>
      </c>
      <c r="T295" s="152">
        <v>5</v>
      </c>
      <c r="U295" s="1">
        <v>3</v>
      </c>
      <c r="V295" s="1">
        <v>2</v>
      </c>
    </row>
    <row r="296" spans="6:22" x14ac:dyDescent="0.25">
      <c r="F296" s="152">
        <v>7</v>
      </c>
      <c r="G296" s="162">
        <v>0</v>
      </c>
      <c r="H296" s="152">
        <v>5</v>
      </c>
      <c r="I296" s="1">
        <v>5</v>
      </c>
      <c r="J296" s="1">
        <v>2</v>
      </c>
      <c r="Q296" s="152">
        <v>11</v>
      </c>
      <c r="R296" s="162">
        <v>2</v>
      </c>
      <c r="S296" s="152">
        <v>4</v>
      </c>
      <c r="T296" s="152">
        <v>6</v>
      </c>
      <c r="U296" s="1">
        <v>3</v>
      </c>
      <c r="V296" s="1">
        <v>1</v>
      </c>
    </row>
    <row r="297" spans="6:22" x14ac:dyDescent="0.25">
      <c r="F297" s="152">
        <v>7</v>
      </c>
      <c r="G297" s="162">
        <v>0</v>
      </c>
      <c r="H297" s="152">
        <v>5</v>
      </c>
      <c r="I297" s="1">
        <v>5</v>
      </c>
      <c r="J297" s="1">
        <v>1</v>
      </c>
      <c r="Q297" s="152">
        <v>12</v>
      </c>
      <c r="R297" s="162">
        <v>1</v>
      </c>
      <c r="S297" s="152">
        <v>3</v>
      </c>
      <c r="T297" s="152">
        <v>6</v>
      </c>
      <c r="U297" s="1">
        <v>3</v>
      </c>
      <c r="V297" s="1">
        <v>2</v>
      </c>
    </row>
    <row r="298" spans="6:22" x14ac:dyDescent="0.25">
      <c r="F298" s="152">
        <v>7</v>
      </c>
      <c r="G298" s="162">
        <v>1</v>
      </c>
      <c r="H298" s="152">
        <v>5</v>
      </c>
      <c r="I298" s="1">
        <v>3</v>
      </c>
      <c r="J298" s="1">
        <v>2</v>
      </c>
      <c r="Q298" s="152">
        <v>13</v>
      </c>
      <c r="R298" s="162">
        <v>1</v>
      </c>
      <c r="S298" s="152">
        <v>4</v>
      </c>
      <c r="T298" s="152">
        <v>5</v>
      </c>
      <c r="U298" s="1">
        <v>4</v>
      </c>
      <c r="V298" s="1">
        <v>1</v>
      </c>
    </row>
    <row r="299" spans="6:22" x14ac:dyDescent="0.25">
      <c r="F299" s="152">
        <v>7</v>
      </c>
      <c r="G299" s="162">
        <v>1</v>
      </c>
      <c r="H299" s="152">
        <v>5</v>
      </c>
      <c r="I299" s="1">
        <v>4</v>
      </c>
      <c r="J299" s="1">
        <v>1</v>
      </c>
      <c r="Q299" s="152">
        <v>13</v>
      </c>
      <c r="R299" s="162">
        <v>1</v>
      </c>
      <c r="S299" s="152">
        <v>4</v>
      </c>
      <c r="T299" s="152">
        <v>5</v>
      </c>
      <c r="U299" s="1">
        <v>3</v>
      </c>
      <c r="V299" s="1">
        <v>2</v>
      </c>
    </row>
    <row r="300" spans="6:22" x14ac:dyDescent="0.25">
      <c r="F300" s="152">
        <v>7</v>
      </c>
      <c r="G300" s="162">
        <v>0</v>
      </c>
      <c r="H300" s="152">
        <v>5</v>
      </c>
      <c r="I300" s="1">
        <v>3</v>
      </c>
      <c r="J300" s="1">
        <v>2</v>
      </c>
      <c r="Q300" s="152">
        <v>12</v>
      </c>
      <c r="R300" s="162">
        <v>2</v>
      </c>
      <c r="S300" s="152">
        <v>3</v>
      </c>
      <c r="T300" s="152">
        <v>6</v>
      </c>
      <c r="U300" s="1">
        <v>4</v>
      </c>
      <c r="V300" s="1">
        <v>2</v>
      </c>
    </row>
    <row r="301" spans="6:22" x14ac:dyDescent="0.25">
      <c r="F301" s="152">
        <v>7</v>
      </c>
      <c r="G301" s="162">
        <v>1</v>
      </c>
      <c r="H301" s="152">
        <v>5</v>
      </c>
      <c r="I301" s="1">
        <v>3</v>
      </c>
      <c r="J301" s="1">
        <v>2</v>
      </c>
      <c r="Q301" s="152">
        <v>12</v>
      </c>
      <c r="R301" s="162">
        <v>0</v>
      </c>
      <c r="S301" s="152">
        <v>3</v>
      </c>
      <c r="T301" s="152">
        <v>5</v>
      </c>
      <c r="U301" s="1">
        <v>4</v>
      </c>
      <c r="V301" s="1">
        <v>2</v>
      </c>
    </row>
    <row r="302" spans="6:22" x14ac:dyDescent="0.25">
      <c r="F302" s="152">
        <v>7</v>
      </c>
      <c r="G302" s="162">
        <v>0</v>
      </c>
      <c r="H302" s="152">
        <v>5</v>
      </c>
      <c r="I302" s="1">
        <v>3</v>
      </c>
      <c r="J302" s="1">
        <v>1</v>
      </c>
      <c r="Q302" s="152">
        <v>13</v>
      </c>
      <c r="R302" s="162">
        <v>2</v>
      </c>
      <c r="S302" s="152">
        <v>3</v>
      </c>
      <c r="T302" s="152">
        <v>5</v>
      </c>
      <c r="U302" s="1">
        <v>4</v>
      </c>
      <c r="V302" s="1">
        <v>2</v>
      </c>
    </row>
    <row r="303" spans="6:22" x14ac:dyDescent="0.25">
      <c r="F303" s="152">
        <v>7</v>
      </c>
      <c r="G303" s="162">
        <v>0</v>
      </c>
      <c r="H303" s="152">
        <v>5</v>
      </c>
      <c r="I303" s="1">
        <v>4</v>
      </c>
      <c r="J303" s="1">
        <v>1</v>
      </c>
      <c r="Q303" s="152">
        <v>13</v>
      </c>
      <c r="R303" s="162">
        <v>1</v>
      </c>
      <c r="S303" s="152">
        <v>3</v>
      </c>
      <c r="T303" s="152">
        <v>5</v>
      </c>
      <c r="U303" s="1">
        <v>3</v>
      </c>
      <c r="V303" s="1">
        <v>2</v>
      </c>
    </row>
    <row r="304" spans="6:22" x14ac:dyDescent="0.25">
      <c r="F304" s="152">
        <v>7</v>
      </c>
      <c r="G304" s="162">
        <v>0</v>
      </c>
      <c r="H304" s="152">
        <v>5</v>
      </c>
      <c r="I304" s="1">
        <v>3</v>
      </c>
      <c r="J304" s="1">
        <v>2</v>
      </c>
      <c r="Q304" s="152">
        <v>12</v>
      </c>
      <c r="R304" s="162">
        <v>2</v>
      </c>
      <c r="S304" s="152">
        <v>4</v>
      </c>
      <c r="T304" s="152">
        <v>5</v>
      </c>
      <c r="U304" s="1">
        <v>3</v>
      </c>
      <c r="V304" s="1">
        <v>2</v>
      </c>
    </row>
    <row r="305" spans="6:22" x14ac:dyDescent="0.25">
      <c r="F305" s="152">
        <v>7</v>
      </c>
      <c r="G305" s="162">
        <v>0</v>
      </c>
      <c r="H305" s="152">
        <v>5</v>
      </c>
      <c r="I305" s="1">
        <v>4</v>
      </c>
      <c r="J305" s="1">
        <v>1</v>
      </c>
      <c r="Q305" s="152">
        <v>12</v>
      </c>
      <c r="R305" s="162">
        <v>2</v>
      </c>
      <c r="S305" s="152">
        <v>3</v>
      </c>
      <c r="T305" s="152">
        <v>5</v>
      </c>
      <c r="U305" s="1">
        <v>3</v>
      </c>
      <c r="V305" s="1">
        <v>2</v>
      </c>
    </row>
    <row r="306" spans="6:22" x14ac:dyDescent="0.25">
      <c r="F306" s="152">
        <v>7</v>
      </c>
      <c r="G306" s="162">
        <v>0</v>
      </c>
      <c r="H306" s="152">
        <v>5</v>
      </c>
      <c r="I306" s="1">
        <v>4</v>
      </c>
      <c r="J306" s="1">
        <v>1</v>
      </c>
      <c r="Q306" s="152">
        <v>13</v>
      </c>
      <c r="R306" s="162">
        <v>0</v>
      </c>
      <c r="S306" s="152">
        <v>3</v>
      </c>
      <c r="T306" s="152">
        <v>5</v>
      </c>
      <c r="U306" s="1">
        <v>4</v>
      </c>
      <c r="V306" s="1">
        <v>2</v>
      </c>
    </row>
    <row r="307" spans="6:22" x14ac:dyDescent="0.25">
      <c r="F307" s="152">
        <v>7</v>
      </c>
      <c r="G307" s="162">
        <v>0</v>
      </c>
      <c r="H307" s="152">
        <v>5</v>
      </c>
      <c r="I307" s="1">
        <v>5</v>
      </c>
      <c r="J307" s="1">
        <v>1</v>
      </c>
      <c r="Q307" s="152">
        <v>12</v>
      </c>
      <c r="R307" s="162">
        <v>1</v>
      </c>
      <c r="S307" s="152">
        <v>3</v>
      </c>
      <c r="T307" s="152">
        <v>5</v>
      </c>
      <c r="U307" s="1">
        <v>4</v>
      </c>
      <c r="V307" s="1">
        <v>2</v>
      </c>
    </row>
    <row r="308" spans="6:22" x14ac:dyDescent="0.25">
      <c r="F308" s="152">
        <v>7</v>
      </c>
      <c r="G308" s="162">
        <v>1</v>
      </c>
      <c r="H308" s="152">
        <v>5</v>
      </c>
      <c r="I308" s="1">
        <v>3</v>
      </c>
      <c r="J308" s="1">
        <v>1</v>
      </c>
      <c r="Q308" s="152">
        <v>13</v>
      </c>
      <c r="R308" s="162">
        <v>1</v>
      </c>
      <c r="S308" s="152">
        <v>4</v>
      </c>
      <c r="T308" s="152">
        <v>5</v>
      </c>
      <c r="U308" s="1">
        <v>3</v>
      </c>
      <c r="V308" s="1">
        <v>2</v>
      </c>
    </row>
    <row r="309" spans="6:22" x14ac:dyDescent="0.25">
      <c r="F309" s="152">
        <v>7</v>
      </c>
      <c r="G309" s="162">
        <v>0</v>
      </c>
      <c r="H309" s="152">
        <v>5</v>
      </c>
      <c r="I309" s="1">
        <v>5</v>
      </c>
      <c r="J309" s="1">
        <v>1</v>
      </c>
      <c r="Q309" s="152">
        <v>11</v>
      </c>
      <c r="R309" s="162">
        <v>1</v>
      </c>
      <c r="S309" s="152">
        <v>3</v>
      </c>
      <c r="T309" s="152">
        <v>5</v>
      </c>
      <c r="U309" s="1">
        <v>4</v>
      </c>
      <c r="V309" s="1">
        <v>2</v>
      </c>
    </row>
    <row r="310" spans="6:22" x14ac:dyDescent="0.25">
      <c r="F310" s="152">
        <v>7</v>
      </c>
      <c r="G310" s="162">
        <v>1</v>
      </c>
      <c r="H310" s="152">
        <v>5</v>
      </c>
      <c r="I310" s="1">
        <v>4</v>
      </c>
      <c r="J310" s="1">
        <v>1</v>
      </c>
      <c r="Q310" s="152">
        <v>12</v>
      </c>
      <c r="R310" s="162">
        <v>1</v>
      </c>
      <c r="S310" s="152">
        <v>4</v>
      </c>
      <c r="T310" s="152">
        <v>6</v>
      </c>
      <c r="U310" s="1">
        <v>3</v>
      </c>
      <c r="V310" s="1">
        <v>1</v>
      </c>
    </row>
    <row r="311" spans="6:22" x14ac:dyDescent="0.25">
      <c r="F311" s="152">
        <v>7</v>
      </c>
      <c r="G311" s="162">
        <v>0</v>
      </c>
      <c r="H311" s="152">
        <v>5</v>
      </c>
      <c r="I311" s="1">
        <v>3</v>
      </c>
      <c r="J311" s="1">
        <v>1</v>
      </c>
      <c r="Q311" s="152">
        <v>11</v>
      </c>
      <c r="R311" s="162">
        <v>1</v>
      </c>
      <c r="S311" s="152">
        <v>3</v>
      </c>
      <c r="T311" s="152">
        <v>6</v>
      </c>
      <c r="U311" s="1">
        <v>4</v>
      </c>
      <c r="V311" s="1">
        <v>2</v>
      </c>
    </row>
    <row r="312" spans="6:22" x14ac:dyDescent="0.25">
      <c r="F312" s="152">
        <v>7</v>
      </c>
      <c r="G312" s="162">
        <v>0</v>
      </c>
      <c r="H312" s="152">
        <v>5</v>
      </c>
      <c r="I312" s="1">
        <v>4</v>
      </c>
      <c r="J312" s="1">
        <v>1</v>
      </c>
      <c r="Q312" s="152">
        <v>12</v>
      </c>
      <c r="R312" s="162">
        <v>2</v>
      </c>
      <c r="S312" s="152">
        <v>4</v>
      </c>
      <c r="T312" s="152">
        <v>5</v>
      </c>
      <c r="U312" s="1">
        <v>3</v>
      </c>
      <c r="V312" s="1">
        <v>2</v>
      </c>
    </row>
    <row r="313" spans="6:22" x14ac:dyDescent="0.25">
      <c r="F313" s="152">
        <v>7</v>
      </c>
      <c r="G313" s="162">
        <v>0</v>
      </c>
      <c r="H313" s="152">
        <v>5</v>
      </c>
      <c r="I313" s="1">
        <v>4</v>
      </c>
      <c r="J313" s="1">
        <v>1</v>
      </c>
      <c r="Q313" s="152">
        <v>11</v>
      </c>
      <c r="R313" s="162">
        <v>2</v>
      </c>
      <c r="S313" s="152">
        <v>4</v>
      </c>
      <c r="T313" s="152">
        <v>5</v>
      </c>
      <c r="U313" s="1">
        <v>4</v>
      </c>
      <c r="V313" s="1">
        <v>2</v>
      </c>
    </row>
    <row r="314" spans="6:22" x14ac:dyDescent="0.25">
      <c r="F314" s="152">
        <v>7</v>
      </c>
      <c r="G314" s="162">
        <v>1</v>
      </c>
      <c r="H314" s="152">
        <v>5</v>
      </c>
      <c r="I314" s="1">
        <v>4</v>
      </c>
      <c r="J314" s="1">
        <v>2</v>
      </c>
      <c r="Q314" s="152">
        <v>12</v>
      </c>
      <c r="R314" s="162">
        <v>1</v>
      </c>
      <c r="S314" s="152">
        <v>3</v>
      </c>
      <c r="T314" s="152">
        <v>5</v>
      </c>
      <c r="U314" s="1">
        <v>3</v>
      </c>
      <c r="V314" s="1">
        <v>1</v>
      </c>
    </row>
    <row r="315" spans="6:22" x14ac:dyDescent="0.25">
      <c r="F315" s="152">
        <v>7</v>
      </c>
      <c r="G315" s="162">
        <v>1</v>
      </c>
      <c r="H315" s="152">
        <v>5</v>
      </c>
      <c r="I315" s="1">
        <v>5</v>
      </c>
      <c r="J315" s="1">
        <v>1</v>
      </c>
      <c r="Q315" s="152">
        <v>12</v>
      </c>
      <c r="R315" s="162">
        <v>1</v>
      </c>
      <c r="S315" s="152">
        <v>4</v>
      </c>
      <c r="T315" s="152">
        <v>5</v>
      </c>
      <c r="U315" s="1">
        <v>4</v>
      </c>
      <c r="V315" s="1">
        <v>2</v>
      </c>
    </row>
    <row r="316" spans="6:22" x14ac:dyDescent="0.25">
      <c r="F316" s="152">
        <v>7</v>
      </c>
      <c r="G316" s="162">
        <v>1</v>
      </c>
      <c r="H316" s="152">
        <v>5</v>
      </c>
      <c r="I316" s="1">
        <v>4</v>
      </c>
      <c r="J316" s="1">
        <v>2</v>
      </c>
      <c r="Q316" s="152">
        <v>13</v>
      </c>
      <c r="R316" s="162">
        <v>2</v>
      </c>
      <c r="S316" s="152">
        <v>3</v>
      </c>
      <c r="T316" s="152">
        <v>5</v>
      </c>
      <c r="U316" s="1">
        <v>3</v>
      </c>
      <c r="V316" s="1">
        <v>2</v>
      </c>
    </row>
    <row r="317" spans="6:22" x14ac:dyDescent="0.25">
      <c r="F317" s="152">
        <v>7</v>
      </c>
      <c r="G317" s="162">
        <v>0</v>
      </c>
      <c r="H317" s="152">
        <v>5</v>
      </c>
      <c r="I317" s="1">
        <v>3</v>
      </c>
      <c r="J317" s="1">
        <v>1</v>
      </c>
      <c r="Q317" s="152">
        <v>11</v>
      </c>
      <c r="R317" s="162">
        <v>2</v>
      </c>
      <c r="S317" s="152">
        <v>3</v>
      </c>
      <c r="T317" s="152">
        <v>5</v>
      </c>
      <c r="U317" s="1">
        <v>4</v>
      </c>
      <c r="V317" s="1">
        <v>2</v>
      </c>
    </row>
    <row r="318" spans="6:22" x14ac:dyDescent="0.25">
      <c r="F318" s="152">
        <v>7</v>
      </c>
      <c r="G318" s="162">
        <v>0</v>
      </c>
      <c r="H318" s="152">
        <v>5</v>
      </c>
      <c r="I318" s="1">
        <v>5</v>
      </c>
      <c r="J318" s="1">
        <v>1</v>
      </c>
      <c r="Q318" s="152">
        <v>11</v>
      </c>
      <c r="R318" s="162">
        <v>1</v>
      </c>
      <c r="S318" s="152">
        <v>4</v>
      </c>
      <c r="T318" s="152">
        <v>5</v>
      </c>
      <c r="U318" s="1">
        <v>4</v>
      </c>
      <c r="V318" s="1">
        <v>2</v>
      </c>
    </row>
    <row r="319" spans="6:22" x14ac:dyDescent="0.25">
      <c r="F319" s="152">
        <v>7</v>
      </c>
      <c r="G319" s="162">
        <v>1</v>
      </c>
      <c r="H319" s="152">
        <v>5</v>
      </c>
      <c r="I319" s="1">
        <v>3</v>
      </c>
      <c r="J319" s="1">
        <v>1</v>
      </c>
      <c r="Q319" s="152">
        <v>13</v>
      </c>
      <c r="R319" s="162">
        <v>1</v>
      </c>
      <c r="S319" s="152">
        <v>3</v>
      </c>
      <c r="T319" s="152">
        <v>5</v>
      </c>
      <c r="U319" s="1">
        <v>3</v>
      </c>
      <c r="V319" s="1">
        <v>2</v>
      </c>
    </row>
    <row r="320" spans="6:22" x14ac:dyDescent="0.25">
      <c r="F320" s="152">
        <v>7</v>
      </c>
      <c r="G320" s="162">
        <v>1</v>
      </c>
      <c r="H320" s="152">
        <v>5</v>
      </c>
      <c r="I320" s="1">
        <v>3</v>
      </c>
      <c r="J320" s="1">
        <v>1</v>
      </c>
      <c r="Q320" s="152">
        <v>11</v>
      </c>
      <c r="R320" s="162">
        <v>2</v>
      </c>
      <c r="S320" s="152">
        <v>3</v>
      </c>
      <c r="T320" s="152">
        <v>6</v>
      </c>
      <c r="U320" s="1">
        <v>3</v>
      </c>
      <c r="V320" s="1">
        <v>2</v>
      </c>
    </row>
    <row r="321" spans="17:22" x14ac:dyDescent="0.25">
      <c r="Q321" s="152">
        <v>11</v>
      </c>
      <c r="R321" s="162">
        <v>1</v>
      </c>
      <c r="S321" s="152">
        <v>3</v>
      </c>
      <c r="T321" s="152">
        <v>5</v>
      </c>
      <c r="U321" s="1">
        <v>4</v>
      </c>
      <c r="V321" s="1">
        <v>2</v>
      </c>
    </row>
    <row r="322" spans="17:22" x14ac:dyDescent="0.25">
      <c r="Q322" s="152">
        <v>11</v>
      </c>
      <c r="R322" s="162">
        <v>1</v>
      </c>
      <c r="S322" s="152">
        <v>3</v>
      </c>
      <c r="T322" s="152">
        <v>5</v>
      </c>
      <c r="U322" s="1">
        <v>3</v>
      </c>
      <c r="V322" s="1">
        <v>2</v>
      </c>
    </row>
    <row r="323" spans="17:22" x14ac:dyDescent="0.25">
      <c r="Q323" s="152">
        <v>12</v>
      </c>
      <c r="R323" s="162">
        <v>1</v>
      </c>
      <c r="S323" s="152">
        <v>3</v>
      </c>
      <c r="T323" s="152">
        <v>5</v>
      </c>
      <c r="U323" s="1">
        <v>3</v>
      </c>
      <c r="V323" s="1">
        <v>2</v>
      </c>
    </row>
    <row r="324" spans="17:22" x14ac:dyDescent="0.25">
      <c r="Q324" s="152">
        <v>11</v>
      </c>
      <c r="R324" s="162">
        <v>0</v>
      </c>
      <c r="S324" s="152">
        <v>3</v>
      </c>
      <c r="T324" s="152">
        <v>5</v>
      </c>
      <c r="U324" s="1">
        <v>3</v>
      </c>
      <c r="V324" s="1">
        <v>2</v>
      </c>
    </row>
    <row r="325" spans="17:22" x14ac:dyDescent="0.25">
      <c r="Q325" s="152">
        <v>13</v>
      </c>
      <c r="R325" s="162">
        <v>1</v>
      </c>
      <c r="S325" s="152">
        <v>4</v>
      </c>
      <c r="T325" s="152">
        <v>6</v>
      </c>
      <c r="U325" s="1">
        <v>3</v>
      </c>
      <c r="V325" s="1">
        <v>2</v>
      </c>
    </row>
    <row r="326" spans="17:22" x14ac:dyDescent="0.25">
      <c r="Q326" s="152">
        <v>12</v>
      </c>
      <c r="R326" s="162">
        <v>1</v>
      </c>
      <c r="S326" s="152">
        <v>4</v>
      </c>
      <c r="T326" s="152">
        <v>5</v>
      </c>
      <c r="U326" s="1">
        <v>3</v>
      </c>
      <c r="V326" s="1">
        <v>2</v>
      </c>
    </row>
    <row r="327" spans="17:22" x14ac:dyDescent="0.25">
      <c r="Q327" s="152">
        <v>13</v>
      </c>
      <c r="R327" s="162">
        <v>2</v>
      </c>
      <c r="S327" s="152">
        <v>4</v>
      </c>
      <c r="T327" s="152">
        <v>5</v>
      </c>
      <c r="U327" s="1">
        <v>3</v>
      </c>
      <c r="V327" s="1">
        <v>2</v>
      </c>
    </row>
    <row r="328" spans="17:22" x14ac:dyDescent="0.25">
      <c r="Q328" s="152">
        <v>12</v>
      </c>
      <c r="R328" s="162">
        <v>0</v>
      </c>
      <c r="S328" s="152">
        <v>4</v>
      </c>
      <c r="T328" s="152">
        <v>6</v>
      </c>
      <c r="U328" s="1">
        <v>4</v>
      </c>
      <c r="V328" s="1">
        <v>2</v>
      </c>
    </row>
    <row r="329" spans="17:22" x14ac:dyDescent="0.25">
      <c r="Q329" s="152">
        <v>13</v>
      </c>
      <c r="R329" s="162">
        <v>1</v>
      </c>
      <c r="S329" s="152">
        <v>4</v>
      </c>
      <c r="T329" s="152">
        <v>6</v>
      </c>
      <c r="U329" s="1">
        <v>3</v>
      </c>
      <c r="V329" s="1">
        <v>2</v>
      </c>
    </row>
    <row r="330" spans="17:22" x14ac:dyDescent="0.25">
      <c r="Q330" s="152">
        <v>11</v>
      </c>
      <c r="R330" s="162">
        <v>1</v>
      </c>
      <c r="S330" s="152">
        <v>3</v>
      </c>
      <c r="T330" s="152">
        <v>5</v>
      </c>
      <c r="U330" s="1">
        <v>4</v>
      </c>
      <c r="V330" s="1">
        <v>2</v>
      </c>
    </row>
    <row r="331" spans="17:22" x14ac:dyDescent="0.25">
      <c r="Q331" s="152">
        <v>13</v>
      </c>
      <c r="R331" s="162">
        <v>0</v>
      </c>
      <c r="S331" s="152">
        <v>4</v>
      </c>
      <c r="T331" s="152">
        <v>5</v>
      </c>
      <c r="U331" s="1">
        <v>3</v>
      </c>
      <c r="V331" s="1">
        <v>2</v>
      </c>
    </row>
    <row r="332" spans="17:22" x14ac:dyDescent="0.25">
      <c r="Q332" s="152">
        <v>13</v>
      </c>
      <c r="R332" s="162">
        <v>2</v>
      </c>
      <c r="S332" s="152">
        <v>3</v>
      </c>
      <c r="T332" s="152">
        <v>5</v>
      </c>
      <c r="U332" s="1">
        <v>3</v>
      </c>
      <c r="V332" s="1">
        <v>1</v>
      </c>
    </row>
    <row r="333" spans="17:22" x14ac:dyDescent="0.25">
      <c r="Q333" s="152">
        <v>12</v>
      </c>
      <c r="R333" s="162">
        <v>0</v>
      </c>
      <c r="S333" s="152">
        <v>4</v>
      </c>
      <c r="T333" s="152">
        <v>5</v>
      </c>
      <c r="U333" s="1">
        <v>4</v>
      </c>
      <c r="V333" s="1">
        <v>2</v>
      </c>
    </row>
    <row r="334" spans="17:22" x14ac:dyDescent="0.25">
      <c r="Q334" s="152">
        <v>13</v>
      </c>
      <c r="R334" s="162">
        <v>1</v>
      </c>
      <c r="S334" s="152">
        <v>4</v>
      </c>
      <c r="T334" s="152">
        <v>5</v>
      </c>
      <c r="U334" s="1">
        <v>3</v>
      </c>
      <c r="V334" s="1">
        <v>2</v>
      </c>
    </row>
    <row r="335" spans="17:22" x14ac:dyDescent="0.25">
      <c r="Q335" s="152">
        <v>12</v>
      </c>
      <c r="R335" s="162">
        <v>2</v>
      </c>
      <c r="S335" s="152">
        <v>4</v>
      </c>
      <c r="T335" s="152">
        <v>5</v>
      </c>
      <c r="U335" s="1">
        <v>4</v>
      </c>
      <c r="V335" s="1">
        <v>1</v>
      </c>
    </row>
    <row r="336" spans="17:22" x14ac:dyDescent="0.25">
      <c r="Q336" s="152">
        <v>13</v>
      </c>
      <c r="R336" s="162">
        <v>1</v>
      </c>
      <c r="S336" s="152">
        <v>4</v>
      </c>
      <c r="T336" s="152">
        <v>5</v>
      </c>
      <c r="U336" s="1">
        <v>4</v>
      </c>
      <c r="V336" s="1">
        <v>2</v>
      </c>
    </row>
    <row r="337" spans="17:22" x14ac:dyDescent="0.25">
      <c r="Q337" s="152">
        <v>11</v>
      </c>
      <c r="R337" s="162">
        <v>1</v>
      </c>
      <c r="S337" s="152">
        <v>4</v>
      </c>
      <c r="T337" s="152">
        <v>6</v>
      </c>
      <c r="U337" s="1">
        <v>4</v>
      </c>
      <c r="V337" s="1">
        <v>2</v>
      </c>
    </row>
    <row r="338" spans="17:22" x14ac:dyDescent="0.25">
      <c r="Q338" s="152">
        <v>13</v>
      </c>
      <c r="R338" s="162">
        <v>0</v>
      </c>
      <c r="S338" s="152">
        <v>4</v>
      </c>
      <c r="T338" s="152">
        <v>5</v>
      </c>
      <c r="U338" s="1">
        <v>4</v>
      </c>
      <c r="V338" s="1">
        <v>2</v>
      </c>
    </row>
    <row r="339" spans="17:22" x14ac:dyDescent="0.25">
      <c r="Q339" s="152">
        <v>11</v>
      </c>
      <c r="R339" s="162">
        <v>1</v>
      </c>
      <c r="S339" s="152">
        <v>4</v>
      </c>
      <c r="T339" s="152">
        <v>6</v>
      </c>
      <c r="U339" s="1">
        <v>4</v>
      </c>
      <c r="V339" s="1">
        <v>1</v>
      </c>
    </row>
    <row r="340" spans="17:22" x14ac:dyDescent="0.25">
      <c r="Q340" s="152">
        <v>13</v>
      </c>
      <c r="R340" s="162">
        <v>1</v>
      </c>
      <c r="S340" s="152">
        <v>3</v>
      </c>
      <c r="T340" s="152">
        <v>6</v>
      </c>
      <c r="U340" s="1">
        <v>3</v>
      </c>
      <c r="V340" s="1">
        <v>2</v>
      </c>
    </row>
    <row r="341" spans="17:22" x14ac:dyDescent="0.25">
      <c r="Q341" s="152">
        <v>12</v>
      </c>
      <c r="R341" s="162">
        <v>1</v>
      </c>
      <c r="S341" s="152">
        <v>3</v>
      </c>
      <c r="T341" s="152">
        <v>5</v>
      </c>
      <c r="U341" s="1">
        <v>4</v>
      </c>
      <c r="V341" s="1">
        <v>2</v>
      </c>
    </row>
    <row r="342" spans="17:22" x14ac:dyDescent="0.25">
      <c r="Q342" s="152">
        <v>12</v>
      </c>
      <c r="R342" s="162">
        <v>2</v>
      </c>
      <c r="S342" s="152">
        <v>3</v>
      </c>
      <c r="T342" s="152">
        <v>5</v>
      </c>
      <c r="U342" s="1">
        <v>4</v>
      </c>
      <c r="V342" s="1">
        <v>1</v>
      </c>
    </row>
    <row r="343" spans="17:22" x14ac:dyDescent="0.25">
      <c r="Q343" s="152">
        <v>13</v>
      </c>
      <c r="R343" s="162">
        <v>2</v>
      </c>
      <c r="S343" s="152">
        <v>3</v>
      </c>
      <c r="T343" s="152">
        <v>5</v>
      </c>
      <c r="U343" s="1">
        <v>4</v>
      </c>
      <c r="V343" s="1">
        <v>2</v>
      </c>
    </row>
    <row r="344" spans="17:22" x14ac:dyDescent="0.25">
      <c r="Q344" s="152">
        <v>12</v>
      </c>
      <c r="R344" s="162">
        <v>0</v>
      </c>
      <c r="S344" s="152">
        <v>3</v>
      </c>
      <c r="T344" s="152">
        <v>5</v>
      </c>
      <c r="U344" s="1">
        <v>3</v>
      </c>
      <c r="V344" s="1">
        <v>1</v>
      </c>
    </row>
    <row r="345" spans="17:22" x14ac:dyDescent="0.25">
      <c r="Q345" s="152">
        <v>12</v>
      </c>
      <c r="R345" s="162">
        <v>1</v>
      </c>
      <c r="S345" s="152">
        <v>4</v>
      </c>
      <c r="T345" s="152">
        <v>6</v>
      </c>
      <c r="U345" s="1">
        <v>3</v>
      </c>
      <c r="V345" s="1">
        <v>2</v>
      </c>
    </row>
    <row r="346" spans="17:22" x14ac:dyDescent="0.25">
      <c r="Q346" s="152">
        <v>13</v>
      </c>
      <c r="R346" s="162">
        <v>1</v>
      </c>
      <c r="S346" s="152">
        <v>4</v>
      </c>
      <c r="T346" s="152">
        <v>5</v>
      </c>
      <c r="U346" s="1">
        <v>3</v>
      </c>
      <c r="V346" s="1">
        <v>2</v>
      </c>
    </row>
    <row r="347" spans="17:22" x14ac:dyDescent="0.25">
      <c r="Q347" s="152">
        <v>11</v>
      </c>
      <c r="R347" s="162">
        <v>1</v>
      </c>
      <c r="S347" s="152">
        <v>4</v>
      </c>
      <c r="T347" s="152">
        <v>5</v>
      </c>
      <c r="U347" s="1">
        <v>3</v>
      </c>
      <c r="V347" s="1">
        <v>2</v>
      </c>
    </row>
    <row r="348" spans="17:22" x14ac:dyDescent="0.25">
      <c r="Q348" s="152">
        <v>11</v>
      </c>
      <c r="R348" s="162">
        <v>2</v>
      </c>
      <c r="S348" s="152">
        <v>3</v>
      </c>
      <c r="T348" s="152">
        <v>5</v>
      </c>
      <c r="U348" s="1">
        <v>4</v>
      </c>
      <c r="V348" s="1">
        <v>2</v>
      </c>
    </row>
    <row r="349" spans="17:22" x14ac:dyDescent="0.25">
      <c r="Q349" s="152">
        <v>13</v>
      </c>
      <c r="R349" s="162">
        <v>1</v>
      </c>
      <c r="S349" s="152">
        <v>3</v>
      </c>
      <c r="T349" s="152">
        <v>5</v>
      </c>
      <c r="U349" s="1">
        <v>3</v>
      </c>
      <c r="V349" s="1">
        <v>2</v>
      </c>
    </row>
    <row r="350" spans="17:22" x14ac:dyDescent="0.25">
      <c r="Q350" s="152">
        <v>11</v>
      </c>
      <c r="R350" s="162">
        <v>2</v>
      </c>
      <c r="S350" s="152">
        <v>4</v>
      </c>
      <c r="T350" s="152">
        <v>5</v>
      </c>
      <c r="U350" s="1">
        <v>3</v>
      </c>
      <c r="V350" s="1">
        <v>2</v>
      </c>
    </row>
    <row r="351" spans="17:22" x14ac:dyDescent="0.25">
      <c r="Q351" s="152">
        <v>13</v>
      </c>
      <c r="R351" s="162">
        <v>1</v>
      </c>
      <c r="S351" s="152">
        <v>3</v>
      </c>
      <c r="T351" s="152">
        <v>5</v>
      </c>
      <c r="U351" s="1">
        <v>3</v>
      </c>
      <c r="V351" s="1">
        <v>1</v>
      </c>
    </row>
    <row r="352" spans="17:22" x14ac:dyDescent="0.25">
      <c r="Q352" s="152">
        <v>12</v>
      </c>
      <c r="R352" s="162">
        <v>2</v>
      </c>
      <c r="S352" s="152">
        <v>3</v>
      </c>
      <c r="T352" s="152">
        <v>5</v>
      </c>
      <c r="U352" s="1">
        <v>4</v>
      </c>
      <c r="V352" s="1">
        <v>2</v>
      </c>
    </row>
    <row r="353" spans="17:22" x14ac:dyDescent="0.25">
      <c r="Q353" s="152">
        <v>13</v>
      </c>
      <c r="R353" s="162">
        <v>2</v>
      </c>
      <c r="S353" s="152">
        <v>3</v>
      </c>
      <c r="T353" s="152">
        <v>5</v>
      </c>
      <c r="U353" s="1">
        <v>3</v>
      </c>
      <c r="V353" s="1">
        <v>1</v>
      </c>
    </row>
    <row r="354" spans="17:22" x14ac:dyDescent="0.25">
      <c r="Q354" s="152">
        <v>12</v>
      </c>
      <c r="R354" s="162">
        <v>2</v>
      </c>
      <c r="S354" s="152">
        <v>4</v>
      </c>
      <c r="T354" s="152">
        <v>5</v>
      </c>
      <c r="U354" s="1">
        <v>4</v>
      </c>
      <c r="V354" s="1">
        <v>1</v>
      </c>
    </row>
    <row r="355" spans="17:22" x14ac:dyDescent="0.25">
      <c r="Q355" s="152">
        <v>13</v>
      </c>
      <c r="R355" s="162">
        <v>0</v>
      </c>
      <c r="S355" s="152">
        <v>3</v>
      </c>
      <c r="T355" s="152">
        <v>5</v>
      </c>
      <c r="U355" s="1">
        <v>3</v>
      </c>
      <c r="V355" s="1">
        <v>2</v>
      </c>
    </row>
    <row r="356" spans="17:22" x14ac:dyDescent="0.25">
      <c r="Q356" s="152">
        <v>13</v>
      </c>
      <c r="R356" s="162">
        <v>2</v>
      </c>
      <c r="S356" s="152">
        <v>3</v>
      </c>
      <c r="T356" s="152">
        <v>5</v>
      </c>
      <c r="U356" s="1">
        <v>4</v>
      </c>
      <c r="V356" s="1">
        <v>2</v>
      </c>
    </row>
    <row r="357" spans="17:22" x14ac:dyDescent="0.25">
      <c r="Q357" s="152">
        <v>12</v>
      </c>
      <c r="R357" s="162">
        <v>0</v>
      </c>
      <c r="S357" s="152">
        <v>4</v>
      </c>
      <c r="T357" s="152">
        <v>5</v>
      </c>
      <c r="U357" s="1">
        <v>3</v>
      </c>
      <c r="V357" s="1">
        <v>2</v>
      </c>
    </row>
    <row r="358" spans="17:22" x14ac:dyDescent="0.25">
      <c r="Q358" s="152">
        <v>13</v>
      </c>
      <c r="R358" s="162">
        <v>0</v>
      </c>
      <c r="S358" s="152">
        <v>4</v>
      </c>
      <c r="T358" s="152">
        <v>6</v>
      </c>
      <c r="U358" s="1">
        <v>4</v>
      </c>
      <c r="V358" s="1">
        <v>1</v>
      </c>
    </row>
    <row r="359" spans="17:22" x14ac:dyDescent="0.25">
      <c r="Q359" s="152">
        <v>11</v>
      </c>
      <c r="R359" s="162">
        <v>1</v>
      </c>
      <c r="S359" s="152">
        <v>3</v>
      </c>
      <c r="T359" s="152">
        <v>5</v>
      </c>
      <c r="U359" s="1">
        <v>4</v>
      </c>
      <c r="V359" s="1">
        <v>2</v>
      </c>
    </row>
    <row r="360" spans="17:22" x14ac:dyDescent="0.25">
      <c r="Q360" s="152">
        <v>11</v>
      </c>
      <c r="R360" s="162">
        <v>0</v>
      </c>
      <c r="S360" s="152">
        <v>3</v>
      </c>
      <c r="T360" s="152">
        <v>5</v>
      </c>
      <c r="U360" s="1">
        <v>3</v>
      </c>
      <c r="V360" s="1">
        <v>2</v>
      </c>
    </row>
    <row r="361" spans="17:22" x14ac:dyDescent="0.25">
      <c r="Q361" s="152">
        <v>12</v>
      </c>
      <c r="R361" s="162">
        <v>1</v>
      </c>
      <c r="S361" s="152">
        <v>4</v>
      </c>
      <c r="T361" s="152">
        <v>5</v>
      </c>
      <c r="U361" s="1">
        <v>3</v>
      </c>
      <c r="V361" s="1">
        <v>1</v>
      </c>
    </row>
    <row r="362" spans="17:22" x14ac:dyDescent="0.25">
      <c r="Q362" s="152">
        <v>12</v>
      </c>
      <c r="R362" s="162">
        <v>1</v>
      </c>
      <c r="S362" s="152">
        <v>3</v>
      </c>
      <c r="T362" s="152">
        <v>5</v>
      </c>
      <c r="U362" s="1">
        <v>2</v>
      </c>
      <c r="V362" s="1">
        <v>2</v>
      </c>
    </row>
    <row r="363" spans="17:22" x14ac:dyDescent="0.25">
      <c r="Q363" s="152">
        <v>11</v>
      </c>
      <c r="R363" s="162">
        <v>1</v>
      </c>
      <c r="S363" s="152">
        <v>4</v>
      </c>
      <c r="T363" s="152">
        <v>5</v>
      </c>
      <c r="U363" s="1">
        <v>4</v>
      </c>
      <c r="V363" s="1">
        <v>2</v>
      </c>
    </row>
    <row r="364" spans="17:22" x14ac:dyDescent="0.25">
      <c r="Q364" s="152">
        <v>11</v>
      </c>
      <c r="R364" s="162">
        <v>1</v>
      </c>
      <c r="S364" s="152">
        <v>3</v>
      </c>
      <c r="T364" s="152">
        <v>5</v>
      </c>
      <c r="U364" s="1">
        <v>3</v>
      </c>
      <c r="V364" s="1">
        <v>2</v>
      </c>
    </row>
    <row r="365" spans="17:22" x14ac:dyDescent="0.25">
      <c r="Q365" s="152">
        <v>12</v>
      </c>
      <c r="R365" s="162">
        <v>1</v>
      </c>
      <c r="S365" s="152">
        <v>3</v>
      </c>
      <c r="T365" s="152">
        <v>5</v>
      </c>
      <c r="U365" s="1">
        <v>3</v>
      </c>
      <c r="V365" s="1">
        <v>2</v>
      </c>
    </row>
    <row r="366" spans="17:22" x14ac:dyDescent="0.25">
      <c r="Q366" s="152">
        <v>12</v>
      </c>
      <c r="R366" s="162">
        <v>1</v>
      </c>
      <c r="S366" s="152">
        <v>4</v>
      </c>
      <c r="T366" s="152">
        <v>5</v>
      </c>
      <c r="U366" s="1">
        <v>3</v>
      </c>
      <c r="V366" s="1">
        <v>2</v>
      </c>
    </row>
    <row r="367" spans="17:22" x14ac:dyDescent="0.25">
      <c r="Q367" s="152">
        <v>12</v>
      </c>
      <c r="R367" s="162">
        <v>1</v>
      </c>
      <c r="S367" s="152">
        <v>3</v>
      </c>
      <c r="T367" s="152">
        <v>5</v>
      </c>
      <c r="U367" s="1">
        <v>3</v>
      </c>
      <c r="V367" s="1">
        <v>1</v>
      </c>
    </row>
    <row r="368" spans="17:22" x14ac:dyDescent="0.25">
      <c r="Q368" s="152">
        <v>12</v>
      </c>
      <c r="R368" s="162">
        <v>1</v>
      </c>
      <c r="S368" s="152">
        <v>3</v>
      </c>
      <c r="T368" s="152">
        <v>5</v>
      </c>
      <c r="U368" s="1">
        <v>3</v>
      </c>
      <c r="V368" s="1">
        <v>2</v>
      </c>
    </row>
    <row r="369" spans="17:22" x14ac:dyDescent="0.25">
      <c r="Q369" s="152">
        <v>12</v>
      </c>
      <c r="R369" s="162">
        <v>0</v>
      </c>
      <c r="S369" s="152">
        <v>3</v>
      </c>
      <c r="T369" s="152">
        <v>5</v>
      </c>
      <c r="U369" s="1">
        <v>4</v>
      </c>
      <c r="V369" s="1">
        <v>1</v>
      </c>
    </row>
    <row r="370" spans="17:22" x14ac:dyDescent="0.25">
      <c r="Q370" s="152">
        <v>13</v>
      </c>
      <c r="R370" s="162">
        <v>2</v>
      </c>
      <c r="S370" s="152">
        <v>4</v>
      </c>
      <c r="T370" s="152">
        <v>5</v>
      </c>
      <c r="U370" s="1">
        <v>3</v>
      </c>
      <c r="V370" s="1">
        <v>2</v>
      </c>
    </row>
    <row r="371" spans="17:22" x14ac:dyDescent="0.25">
      <c r="Q371" s="152">
        <v>12</v>
      </c>
      <c r="R371" s="162">
        <v>1</v>
      </c>
      <c r="S371" s="152">
        <v>3</v>
      </c>
      <c r="T371" s="152">
        <v>5</v>
      </c>
      <c r="U371" s="1">
        <v>3</v>
      </c>
      <c r="V371" s="1">
        <v>2</v>
      </c>
    </row>
    <row r="372" spans="17:22" x14ac:dyDescent="0.25">
      <c r="Q372" s="152">
        <v>11</v>
      </c>
      <c r="R372" s="162">
        <v>1</v>
      </c>
      <c r="S372" s="152">
        <v>3</v>
      </c>
      <c r="T372" s="152">
        <v>5</v>
      </c>
      <c r="U372" s="1">
        <v>3</v>
      </c>
      <c r="V372" s="1">
        <v>2</v>
      </c>
    </row>
    <row r="373" spans="17:22" x14ac:dyDescent="0.25">
      <c r="Q373" s="152">
        <v>13</v>
      </c>
      <c r="R373" s="162">
        <v>2</v>
      </c>
      <c r="S373" s="152">
        <v>4</v>
      </c>
      <c r="T373" s="152">
        <v>5</v>
      </c>
      <c r="U373" s="1">
        <v>3</v>
      </c>
      <c r="V373" s="1">
        <v>2</v>
      </c>
    </row>
    <row r="374" spans="17:22" x14ac:dyDescent="0.25">
      <c r="Q374" s="152">
        <v>12</v>
      </c>
      <c r="R374" s="162">
        <v>0</v>
      </c>
      <c r="S374" s="152">
        <v>4</v>
      </c>
      <c r="T374" s="152">
        <v>6</v>
      </c>
      <c r="U374" s="1">
        <v>4</v>
      </c>
      <c r="V374" s="1">
        <v>1</v>
      </c>
    </row>
    <row r="375" spans="17:22" x14ac:dyDescent="0.25">
      <c r="Q375" s="152">
        <v>12</v>
      </c>
      <c r="R375" s="162">
        <v>2</v>
      </c>
      <c r="S375" s="152">
        <v>3</v>
      </c>
      <c r="T375" s="152">
        <v>6</v>
      </c>
      <c r="U375" s="1">
        <v>4</v>
      </c>
      <c r="V375" s="1">
        <v>2</v>
      </c>
    </row>
    <row r="376" spans="17:22" x14ac:dyDescent="0.25">
      <c r="Q376" s="152">
        <v>12</v>
      </c>
      <c r="R376" s="162">
        <v>1</v>
      </c>
      <c r="S376" s="152">
        <v>3</v>
      </c>
      <c r="T376" s="152">
        <v>5</v>
      </c>
      <c r="U376" s="1">
        <v>4</v>
      </c>
      <c r="V376" s="1">
        <v>2</v>
      </c>
    </row>
    <row r="377" spans="17:22" x14ac:dyDescent="0.25">
      <c r="Q377" s="152">
        <v>13</v>
      </c>
      <c r="R377" s="162">
        <v>1</v>
      </c>
      <c r="S377" s="152">
        <v>4</v>
      </c>
      <c r="T377" s="152">
        <v>5</v>
      </c>
      <c r="U377" s="1">
        <v>4</v>
      </c>
      <c r="V377" s="1">
        <v>2</v>
      </c>
    </row>
    <row r="378" spans="17:22" x14ac:dyDescent="0.25">
      <c r="Q378" s="152">
        <v>12</v>
      </c>
      <c r="R378" s="162">
        <v>2</v>
      </c>
      <c r="S378" s="152">
        <v>4</v>
      </c>
      <c r="T378" s="152">
        <v>5</v>
      </c>
      <c r="U378" s="1">
        <v>3</v>
      </c>
      <c r="V378" s="1">
        <v>2</v>
      </c>
    </row>
    <row r="379" spans="17:22" x14ac:dyDescent="0.25">
      <c r="Q379" s="152">
        <v>12</v>
      </c>
      <c r="R379" s="162">
        <v>2</v>
      </c>
      <c r="S379" s="152">
        <v>4</v>
      </c>
      <c r="T379" s="152">
        <v>5</v>
      </c>
      <c r="U379" s="1">
        <v>4</v>
      </c>
      <c r="V379" s="1">
        <v>2</v>
      </c>
    </row>
    <row r="380" spans="17:22" x14ac:dyDescent="0.25">
      <c r="Q380" s="152">
        <v>12</v>
      </c>
      <c r="R380" s="162">
        <v>1</v>
      </c>
      <c r="S380" s="152">
        <v>4</v>
      </c>
      <c r="T380" s="152">
        <v>5</v>
      </c>
      <c r="U380" s="1">
        <v>3</v>
      </c>
      <c r="V380" s="1">
        <v>2</v>
      </c>
    </row>
    <row r="381" spans="17:22" x14ac:dyDescent="0.25">
      <c r="Q381" s="152">
        <v>11</v>
      </c>
      <c r="R381" s="162">
        <v>1</v>
      </c>
      <c r="S381" s="152">
        <v>3</v>
      </c>
      <c r="T381" s="152">
        <v>5</v>
      </c>
      <c r="U381" s="1">
        <v>4</v>
      </c>
      <c r="V381" s="1">
        <v>2</v>
      </c>
    </row>
    <row r="382" spans="17:22" x14ac:dyDescent="0.25">
      <c r="Q382" s="152">
        <v>11</v>
      </c>
      <c r="R382" s="162">
        <v>1</v>
      </c>
      <c r="S382" s="152">
        <v>3</v>
      </c>
      <c r="T382" s="152">
        <v>5</v>
      </c>
      <c r="U382" s="1">
        <v>3</v>
      </c>
      <c r="V382" s="1">
        <v>2</v>
      </c>
    </row>
    <row r="383" spans="17:22" x14ac:dyDescent="0.25">
      <c r="Q383" s="152">
        <v>11</v>
      </c>
      <c r="R383" s="162">
        <v>1</v>
      </c>
      <c r="S383" s="152">
        <v>4</v>
      </c>
      <c r="T383" s="152">
        <v>5</v>
      </c>
      <c r="U383" s="1">
        <v>4</v>
      </c>
      <c r="V383" s="1">
        <v>1</v>
      </c>
    </row>
    <row r="384" spans="17:22" x14ac:dyDescent="0.25">
      <c r="Q384" s="152">
        <v>11</v>
      </c>
      <c r="R384" s="162">
        <v>1</v>
      </c>
      <c r="S384" s="152">
        <v>4</v>
      </c>
      <c r="T384" s="152">
        <v>5</v>
      </c>
      <c r="U384" s="1">
        <v>3</v>
      </c>
      <c r="V384" s="1">
        <v>2</v>
      </c>
    </row>
    <row r="385" spans="17:22" x14ac:dyDescent="0.25">
      <c r="Q385" s="152">
        <v>11</v>
      </c>
      <c r="R385" s="162">
        <v>0</v>
      </c>
      <c r="S385" s="152">
        <v>4</v>
      </c>
      <c r="T385" s="152">
        <v>6</v>
      </c>
      <c r="U385" s="1">
        <v>4</v>
      </c>
      <c r="V385" s="1">
        <v>1</v>
      </c>
    </row>
    <row r="386" spans="17:22" x14ac:dyDescent="0.25">
      <c r="Q386" s="152">
        <v>12</v>
      </c>
      <c r="R386" s="162">
        <v>1</v>
      </c>
      <c r="S386" s="152">
        <v>3</v>
      </c>
      <c r="T386" s="152">
        <v>5</v>
      </c>
      <c r="U386" s="1">
        <v>4</v>
      </c>
      <c r="V386" s="1">
        <v>2</v>
      </c>
    </row>
    <row r="387" spans="17:22" x14ac:dyDescent="0.25">
      <c r="Q387" s="152">
        <v>12</v>
      </c>
      <c r="R387" s="162">
        <v>1</v>
      </c>
      <c r="S387" s="152">
        <v>4</v>
      </c>
      <c r="T387" s="152">
        <v>5</v>
      </c>
      <c r="U387" s="1">
        <v>3</v>
      </c>
      <c r="V387" s="1">
        <v>1</v>
      </c>
    </row>
    <row r="388" spans="17:22" x14ac:dyDescent="0.25">
      <c r="Q388" s="152">
        <v>11</v>
      </c>
      <c r="R388" s="162">
        <v>1</v>
      </c>
      <c r="S388" s="152">
        <v>3</v>
      </c>
      <c r="T388" s="152">
        <v>5</v>
      </c>
      <c r="U388" s="1">
        <v>3</v>
      </c>
      <c r="V388" s="1">
        <v>1</v>
      </c>
    </row>
    <row r="389" spans="17:22" x14ac:dyDescent="0.25">
      <c r="Q389" s="152">
        <v>12</v>
      </c>
      <c r="R389" s="162">
        <v>1</v>
      </c>
      <c r="S389" s="152">
        <v>3</v>
      </c>
      <c r="T389" s="152">
        <v>5</v>
      </c>
      <c r="U389" s="1">
        <v>3</v>
      </c>
      <c r="V389" s="1">
        <v>2</v>
      </c>
    </row>
    <row r="390" spans="17:22" x14ac:dyDescent="0.25">
      <c r="Q390" s="152">
        <v>13</v>
      </c>
      <c r="R390" s="162">
        <v>1</v>
      </c>
      <c r="S390" s="152">
        <v>3</v>
      </c>
      <c r="T390" s="152">
        <v>5</v>
      </c>
      <c r="U390" s="1">
        <v>3</v>
      </c>
      <c r="V390" s="1">
        <v>2</v>
      </c>
    </row>
    <row r="391" spans="17:22" x14ac:dyDescent="0.25">
      <c r="Q391" s="152">
        <v>11</v>
      </c>
      <c r="R391" s="162">
        <v>1</v>
      </c>
      <c r="S391" s="152">
        <v>4</v>
      </c>
      <c r="T391" s="152">
        <v>5</v>
      </c>
      <c r="U391" s="1">
        <v>4</v>
      </c>
      <c r="V391" s="1">
        <v>2</v>
      </c>
    </row>
    <row r="392" spans="17:22" x14ac:dyDescent="0.25">
      <c r="Q392" s="152">
        <v>13</v>
      </c>
      <c r="R392" s="162">
        <v>2</v>
      </c>
      <c r="S392" s="152">
        <v>4</v>
      </c>
      <c r="T392" s="152">
        <v>5</v>
      </c>
      <c r="U392" s="1">
        <v>3</v>
      </c>
      <c r="V392" s="1">
        <v>2</v>
      </c>
    </row>
    <row r="393" spans="17:22" x14ac:dyDescent="0.25">
      <c r="Q393" s="152">
        <v>12</v>
      </c>
      <c r="R393" s="162">
        <v>2</v>
      </c>
      <c r="S393" s="152">
        <v>3</v>
      </c>
      <c r="T393" s="152">
        <v>5</v>
      </c>
      <c r="U393" s="1">
        <v>4</v>
      </c>
      <c r="V393" s="1">
        <v>2</v>
      </c>
    </row>
    <row r="394" spans="17:22" x14ac:dyDescent="0.25">
      <c r="Q394" s="152">
        <v>13</v>
      </c>
      <c r="R394" s="162">
        <v>1</v>
      </c>
      <c r="S394" s="152">
        <v>4</v>
      </c>
      <c r="T394" s="152">
        <v>6</v>
      </c>
      <c r="U394" s="1">
        <v>3</v>
      </c>
      <c r="V394" s="1">
        <v>2</v>
      </c>
    </row>
    <row r="395" spans="17:22" x14ac:dyDescent="0.25">
      <c r="Q395" s="152">
        <v>12</v>
      </c>
      <c r="R395" s="162">
        <v>1</v>
      </c>
      <c r="S395" s="152">
        <v>4</v>
      </c>
      <c r="T395" s="152">
        <v>5</v>
      </c>
      <c r="U395" s="1">
        <v>4</v>
      </c>
      <c r="V395" s="1">
        <v>1</v>
      </c>
    </row>
    <row r="396" spans="17:22" x14ac:dyDescent="0.25">
      <c r="Q396" s="152">
        <v>12</v>
      </c>
      <c r="R396" s="162">
        <v>0</v>
      </c>
      <c r="S396" s="152">
        <v>3</v>
      </c>
      <c r="T396" s="152">
        <v>5</v>
      </c>
      <c r="U396" s="1">
        <v>3</v>
      </c>
      <c r="V396" s="1">
        <v>2</v>
      </c>
    </row>
    <row r="397" spans="17:22" x14ac:dyDescent="0.25">
      <c r="Q397" s="152">
        <v>11</v>
      </c>
      <c r="R397" s="162">
        <v>0</v>
      </c>
      <c r="S397" s="152">
        <v>3</v>
      </c>
      <c r="T397" s="152">
        <v>5</v>
      </c>
      <c r="U397" s="1">
        <v>4</v>
      </c>
      <c r="V397" s="1">
        <v>2</v>
      </c>
    </row>
    <row r="398" spans="17:22" x14ac:dyDescent="0.25">
      <c r="Q398" s="152">
        <v>12</v>
      </c>
      <c r="R398" s="162">
        <v>0</v>
      </c>
      <c r="S398" s="152">
        <v>3</v>
      </c>
      <c r="T398" s="152">
        <v>6</v>
      </c>
      <c r="U398" s="1">
        <v>4</v>
      </c>
      <c r="V398" s="1">
        <v>2</v>
      </c>
    </row>
    <row r="399" spans="17:22" x14ac:dyDescent="0.25">
      <c r="Q399" s="152">
        <v>13</v>
      </c>
      <c r="R399" s="162">
        <v>1</v>
      </c>
      <c r="S399" s="152">
        <v>4</v>
      </c>
      <c r="T399" s="152">
        <v>5</v>
      </c>
      <c r="U399" s="1">
        <v>3</v>
      </c>
      <c r="V399" s="1">
        <v>2</v>
      </c>
    </row>
    <row r="400" spans="17:22" x14ac:dyDescent="0.25">
      <c r="Q400" s="152">
        <v>12</v>
      </c>
      <c r="R400" s="162">
        <v>1</v>
      </c>
      <c r="S400" s="152">
        <v>3</v>
      </c>
      <c r="T400" s="152">
        <v>5</v>
      </c>
      <c r="U400" s="1">
        <v>3</v>
      </c>
      <c r="V400" s="1">
        <v>2</v>
      </c>
    </row>
    <row r="401" spans="17:22" x14ac:dyDescent="0.25">
      <c r="Q401" s="152">
        <v>12</v>
      </c>
      <c r="R401" s="162">
        <v>2</v>
      </c>
      <c r="S401" s="152">
        <v>3</v>
      </c>
      <c r="T401" s="152">
        <v>5</v>
      </c>
      <c r="U401" s="1">
        <v>4</v>
      </c>
      <c r="V401" s="1">
        <v>1</v>
      </c>
    </row>
    <row r="402" spans="17:22" x14ac:dyDescent="0.25">
      <c r="Q402" s="152">
        <v>12</v>
      </c>
      <c r="R402" s="162">
        <v>0</v>
      </c>
      <c r="S402" s="152">
        <v>3</v>
      </c>
      <c r="T402" s="152">
        <v>6</v>
      </c>
      <c r="U402" s="1">
        <v>4</v>
      </c>
      <c r="V402" s="1">
        <v>2</v>
      </c>
    </row>
    <row r="403" spans="17:22" x14ac:dyDescent="0.25">
      <c r="Q403" s="152">
        <v>12</v>
      </c>
      <c r="R403" s="162">
        <v>1</v>
      </c>
      <c r="S403" s="152">
        <v>3</v>
      </c>
      <c r="T403" s="152">
        <v>5</v>
      </c>
      <c r="U403" s="1">
        <v>4</v>
      </c>
      <c r="V403" s="1">
        <v>2</v>
      </c>
    </row>
    <row r="404" spans="17:22" x14ac:dyDescent="0.25">
      <c r="Q404" s="152">
        <v>11</v>
      </c>
      <c r="R404" s="162">
        <v>2</v>
      </c>
      <c r="S404" s="152">
        <v>4</v>
      </c>
      <c r="T404" s="152">
        <v>5</v>
      </c>
      <c r="U404" s="1">
        <v>3</v>
      </c>
      <c r="V404" s="1">
        <v>2</v>
      </c>
    </row>
    <row r="405" spans="17:22" x14ac:dyDescent="0.25">
      <c r="Q405" s="152">
        <v>12</v>
      </c>
      <c r="R405" s="162">
        <v>2</v>
      </c>
      <c r="S405" s="152">
        <v>4</v>
      </c>
      <c r="T405" s="152">
        <v>5</v>
      </c>
      <c r="U405" s="1">
        <v>3</v>
      </c>
      <c r="V405" s="1">
        <v>2</v>
      </c>
    </row>
    <row r="406" spans="17:22" x14ac:dyDescent="0.25">
      <c r="Q406" s="152">
        <v>13</v>
      </c>
      <c r="R406" s="162">
        <v>0</v>
      </c>
      <c r="S406" s="152">
        <v>3</v>
      </c>
      <c r="T406" s="152">
        <v>5</v>
      </c>
      <c r="U406" s="1">
        <v>4</v>
      </c>
      <c r="V406" s="1">
        <v>2</v>
      </c>
    </row>
    <row r="407" spans="17:22" x14ac:dyDescent="0.25">
      <c r="Q407" s="152">
        <v>12</v>
      </c>
      <c r="R407" s="162">
        <v>1</v>
      </c>
      <c r="S407" s="152">
        <v>4</v>
      </c>
      <c r="T407" s="152">
        <v>5</v>
      </c>
      <c r="U407" s="1">
        <v>4</v>
      </c>
      <c r="V407" s="1">
        <v>2</v>
      </c>
    </row>
    <row r="408" spans="17:22" x14ac:dyDescent="0.25">
      <c r="Q408" s="152">
        <v>13</v>
      </c>
      <c r="R408" s="162">
        <v>1</v>
      </c>
      <c r="S408" s="152">
        <v>4</v>
      </c>
      <c r="T408" s="152">
        <v>5</v>
      </c>
      <c r="U408" s="1">
        <v>4</v>
      </c>
      <c r="V408" s="1">
        <v>2</v>
      </c>
    </row>
    <row r="409" spans="17:22" x14ac:dyDescent="0.25">
      <c r="Q409" s="152">
        <v>11</v>
      </c>
      <c r="R409" s="162">
        <v>2</v>
      </c>
      <c r="S409" s="152">
        <v>4</v>
      </c>
      <c r="T409" s="152">
        <v>5</v>
      </c>
      <c r="U409" s="1">
        <v>3</v>
      </c>
      <c r="V409" s="1">
        <v>1</v>
      </c>
    </row>
    <row r="410" spans="17:22" x14ac:dyDescent="0.25">
      <c r="Q410" s="152">
        <v>13</v>
      </c>
      <c r="R410" s="162">
        <v>1</v>
      </c>
      <c r="S410" s="152">
        <v>4</v>
      </c>
      <c r="T410" s="152">
        <v>5</v>
      </c>
      <c r="U410" s="1">
        <v>3</v>
      </c>
      <c r="V410" s="1">
        <v>1</v>
      </c>
    </row>
    <row r="411" spans="17:22" x14ac:dyDescent="0.25">
      <c r="Q411" s="152">
        <v>12</v>
      </c>
      <c r="R411" s="162">
        <v>1</v>
      </c>
      <c r="S411" s="152">
        <v>3</v>
      </c>
      <c r="T411" s="152">
        <v>5</v>
      </c>
      <c r="U411" s="1">
        <v>3</v>
      </c>
      <c r="V411" s="1">
        <v>2</v>
      </c>
    </row>
    <row r="412" spans="17:22" x14ac:dyDescent="0.25">
      <c r="Q412" s="152">
        <v>12</v>
      </c>
      <c r="R412" s="162">
        <v>0</v>
      </c>
      <c r="S412" s="152">
        <v>3</v>
      </c>
      <c r="T412" s="152">
        <v>5</v>
      </c>
      <c r="U412" s="1">
        <v>4</v>
      </c>
      <c r="V412" s="1">
        <v>2</v>
      </c>
    </row>
    <row r="413" spans="17:22" x14ac:dyDescent="0.25">
      <c r="Q413" s="152">
        <v>13</v>
      </c>
      <c r="R413" s="162">
        <v>1</v>
      </c>
      <c r="S413" s="152">
        <v>3</v>
      </c>
      <c r="T413" s="152">
        <v>5</v>
      </c>
      <c r="U413" s="1">
        <v>4</v>
      </c>
      <c r="V413" s="1">
        <v>1</v>
      </c>
    </row>
    <row r="414" spans="17:22" x14ac:dyDescent="0.25">
      <c r="Q414" s="152">
        <v>13</v>
      </c>
      <c r="R414" s="162">
        <v>1</v>
      </c>
      <c r="S414" s="152">
        <v>4</v>
      </c>
      <c r="T414" s="152">
        <v>5</v>
      </c>
      <c r="U414" s="1">
        <v>4</v>
      </c>
      <c r="V414" s="1">
        <v>1</v>
      </c>
    </row>
    <row r="415" spans="17:22" x14ac:dyDescent="0.25">
      <c r="Q415" s="152">
        <v>13</v>
      </c>
      <c r="R415" s="162">
        <v>1</v>
      </c>
      <c r="S415" s="152">
        <v>4</v>
      </c>
      <c r="T415" s="152">
        <v>5</v>
      </c>
      <c r="U415" s="1">
        <v>3</v>
      </c>
      <c r="V415" s="1">
        <v>2</v>
      </c>
    </row>
    <row r="416" spans="17:22" x14ac:dyDescent="0.25">
      <c r="Q416" s="152">
        <v>12</v>
      </c>
      <c r="R416" s="162">
        <v>0</v>
      </c>
      <c r="S416" s="152">
        <v>3</v>
      </c>
      <c r="T416" s="152">
        <v>5</v>
      </c>
      <c r="U416" s="1">
        <v>3</v>
      </c>
      <c r="V416" s="1">
        <v>1</v>
      </c>
    </row>
    <row r="417" spans="17:22" x14ac:dyDescent="0.25">
      <c r="Q417" s="152">
        <v>12</v>
      </c>
      <c r="R417" s="162">
        <v>1</v>
      </c>
      <c r="S417" s="152">
        <v>3</v>
      </c>
      <c r="T417" s="152">
        <v>6</v>
      </c>
      <c r="U417" s="1">
        <v>3</v>
      </c>
      <c r="V417" s="1">
        <v>2</v>
      </c>
    </row>
    <row r="418" spans="17:22" x14ac:dyDescent="0.25">
      <c r="Q418" s="152">
        <v>13</v>
      </c>
      <c r="R418" s="162">
        <v>2</v>
      </c>
      <c r="S418" s="152">
        <v>4</v>
      </c>
      <c r="T418" s="152">
        <v>5</v>
      </c>
      <c r="U418" s="1">
        <v>3</v>
      </c>
      <c r="V418" s="1">
        <v>2</v>
      </c>
    </row>
    <row r="419" spans="17:22" x14ac:dyDescent="0.25">
      <c r="Q419" s="152">
        <v>13</v>
      </c>
      <c r="R419" s="162">
        <v>2</v>
      </c>
      <c r="S419" s="152">
        <v>3</v>
      </c>
      <c r="T419" s="152">
        <v>5</v>
      </c>
      <c r="U419" s="1">
        <v>3</v>
      </c>
      <c r="V419" s="1">
        <v>2</v>
      </c>
    </row>
    <row r="420" spans="17:22" x14ac:dyDescent="0.25">
      <c r="Q420" s="152">
        <v>13</v>
      </c>
      <c r="R420" s="162">
        <v>1</v>
      </c>
      <c r="S420" s="152">
        <v>3</v>
      </c>
      <c r="T420" s="152">
        <v>5</v>
      </c>
      <c r="U420" s="1">
        <v>4</v>
      </c>
      <c r="V420" s="1">
        <v>2</v>
      </c>
    </row>
    <row r="421" spans="17:22" x14ac:dyDescent="0.25">
      <c r="Q421" s="152">
        <v>13</v>
      </c>
      <c r="R421" s="162">
        <v>1</v>
      </c>
      <c r="S421" s="152">
        <v>4</v>
      </c>
      <c r="T421" s="152">
        <v>6</v>
      </c>
      <c r="U421" s="1">
        <v>4</v>
      </c>
      <c r="V421" s="1">
        <v>2</v>
      </c>
    </row>
    <row r="422" spans="17:22" x14ac:dyDescent="0.25">
      <c r="Q422" s="152">
        <v>12</v>
      </c>
      <c r="R422" s="162">
        <v>2</v>
      </c>
      <c r="S422" s="152">
        <v>4</v>
      </c>
      <c r="T422" s="152">
        <v>5</v>
      </c>
      <c r="U422" s="1">
        <v>4</v>
      </c>
      <c r="V422" s="1">
        <v>1</v>
      </c>
    </row>
    <row r="423" spans="17:22" x14ac:dyDescent="0.25">
      <c r="Q423" s="152">
        <v>12</v>
      </c>
      <c r="R423" s="162">
        <v>1</v>
      </c>
      <c r="S423" s="152">
        <v>4</v>
      </c>
      <c r="T423" s="152">
        <v>6</v>
      </c>
      <c r="U423" s="1">
        <v>4</v>
      </c>
      <c r="V423" s="1">
        <v>2</v>
      </c>
    </row>
    <row r="424" spans="17:22" x14ac:dyDescent="0.25">
      <c r="Q424" s="152">
        <v>12</v>
      </c>
      <c r="R424" s="162">
        <v>1</v>
      </c>
      <c r="S424" s="152">
        <v>3</v>
      </c>
      <c r="T424" s="152">
        <v>6</v>
      </c>
      <c r="U424" s="1">
        <v>4</v>
      </c>
      <c r="V424" s="1">
        <v>1</v>
      </c>
    </row>
    <row r="425" spans="17:22" x14ac:dyDescent="0.25">
      <c r="Q425" s="152">
        <v>12</v>
      </c>
      <c r="R425" s="162">
        <v>0</v>
      </c>
      <c r="S425" s="152">
        <v>3</v>
      </c>
      <c r="T425" s="152">
        <v>6</v>
      </c>
      <c r="U425" s="1">
        <v>4</v>
      </c>
      <c r="V425" s="1">
        <v>1</v>
      </c>
    </row>
    <row r="426" spans="17:22" x14ac:dyDescent="0.25">
      <c r="Q426" s="152">
        <v>12</v>
      </c>
      <c r="R426" s="162">
        <v>1</v>
      </c>
      <c r="S426" s="152">
        <v>4</v>
      </c>
      <c r="T426" s="152">
        <v>5</v>
      </c>
      <c r="U426" s="1">
        <v>3</v>
      </c>
      <c r="V426" s="1">
        <v>1</v>
      </c>
    </row>
    <row r="427" spans="17:22" x14ac:dyDescent="0.25">
      <c r="Q427" s="152">
        <v>11</v>
      </c>
      <c r="R427" s="162">
        <v>1</v>
      </c>
      <c r="S427" s="152">
        <v>3</v>
      </c>
      <c r="T427" s="152">
        <v>5</v>
      </c>
      <c r="U427" s="1">
        <v>4</v>
      </c>
      <c r="V427" s="1">
        <v>2</v>
      </c>
    </row>
    <row r="428" spans="17:22" x14ac:dyDescent="0.25">
      <c r="Q428" s="152">
        <v>12</v>
      </c>
      <c r="R428" s="162">
        <v>1</v>
      </c>
      <c r="S428" s="152">
        <v>4</v>
      </c>
      <c r="T428" s="152">
        <v>5</v>
      </c>
      <c r="U428" s="1">
        <v>3</v>
      </c>
      <c r="V428" s="1">
        <v>1</v>
      </c>
    </row>
    <row r="429" spans="17:22" x14ac:dyDescent="0.25">
      <c r="Q429" s="152">
        <v>13</v>
      </c>
      <c r="R429" s="162">
        <v>1</v>
      </c>
      <c r="S429" s="152">
        <v>3</v>
      </c>
      <c r="T429" s="152">
        <v>5</v>
      </c>
      <c r="U429" s="1">
        <v>4</v>
      </c>
      <c r="V429" s="1">
        <v>1</v>
      </c>
    </row>
    <row r="430" spans="17:22" x14ac:dyDescent="0.25">
      <c r="Q430" s="152">
        <v>12</v>
      </c>
      <c r="R430" s="162">
        <v>0</v>
      </c>
      <c r="S430" s="152">
        <v>3</v>
      </c>
      <c r="T430" s="152">
        <v>5</v>
      </c>
      <c r="U430" s="1">
        <v>3</v>
      </c>
      <c r="V430" s="1">
        <v>2</v>
      </c>
    </row>
    <row r="431" spans="17:22" x14ac:dyDescent="0.25">
      <c r="Q431" s="152">
        <v>13</v>
      </c>
      <c r="R431" s="162">
        <v>2</v>
      </c>
      <c r="S431" s="152">
        <v>3</v>
      </c>
      <c r="T431" s="152">
        <v>5</v>
      </c>
      <c r="U431" s="1">
        <v>3</v>
      </c>
      <c r="V431" s="1">
        <v>2</v>
      </c>
    </row>
    <row r="432" spans="17:22" x14ac:dyDescent="0.25">
      <c r="Q432" s="152">
        <v>13</v>
      </c>
      <c r="R432" s="162">
        <v>1</v>
      </c>
      <c r="S432" s="152">
        <v>4</v>
      </c>
      <c r="T432" s="152">
        <v>5</v>
      </c>
      <c r="U432" s="1">
        <v>4</v>
      </c>
      <c r="V432" s="1">
        <v>2</v>
      </c>
    </row>
    <row r="433" spans="17:22" x14ac:dyDescent="0.25">
      <c r="Q433" s="152">
        <v>12</v>
      </c>
      <c r="R433" s="162">
        <v>2</v>
      </c>
      <c r="S433" s="152">
        <v>4</v>
      </c>
      <c r="T433" s="152">
        <v>5</v>
      </c>
      <c r="U433" s="1">
        <v>3</v>
      </c>
      <c r="V433" s="1">
        <v>1</v>
      </c>
    </row>
    <row r="434" spans="17:22" x14ac:dyDescent="0.25">
      <c r="Q434" s="152">
        <v>13</v>
      </c>
      <c r="R434" s="162">
        <v>1</v>
      </c>
      <c r="S434" s="152">
        <v>3</v>
      </c>
      <c r="T434" s="152">
        <v>5</v>
      </c>
      <c r="U434" s="1">
        <v>4</v>
      </c>
      <c r="V434" s="1">
        <v>2</v>
      </c>
    </row>
    <row r="435" spans="17:22" x14ac:dyDescent="0.25">
      <c r="Q435" s="152">
        <v>11</v>
      </c>
      <c r="R435" s="162">
        <v>1</v>
      </c>
      <c r="S435" s="152">
        <v>3</v>
      </c>
      <c r="T435" s="152">
        <v>5</v>
      </c>
      <c r="U435" s="1">
        <v>4</v>
      </c>
      <c r="V435" s="1">
        <v>2</v>
      </c>
    </row>
    <row r="436" spans="17:22" x14ac:dyDescent="0.25">
      <c r="Q436" s="152">
        <v>13</v>
      </c>
      <c r="R436" s="162">
        <v>0</v>
      </c>
      <c r="S436" s="152">
        <v>3</v>
      </c>
      <c r="T436" s="152">
        <v>5</v>
      </c>
      <c r="U436" s="1">
        <v>3</v>
      </c>
      <c r="V436" s="1">
        <v>2</v>
      </c>
    </row>
    <row r="437" spans="17:22" x14ac:dyDescent="0.25">
      <c r="Q437" s="152">
        <v>13</v>
      </c>
      <c r="R437" s="162">
        <v>2</v>
      </c>
      <c r="S437" s="152">
        <v>3</v>
      </c>
      <c r="T437" s="152">
        <v>5</v>
      </c>
      <c r="U437" s="1">
        <v>4</v>
      </c>
      <c r="V437" s="1">
        <v>2</v>
      </c>
    </row>
    <row r="438" spans="17:22" x14ac:dyDescent="0.25">
      <c r="Q438" s="152">
        <v>12</v>
      </c>
      <c r="R438" s="162">
        <v>1</v>
      </c>
      <c r="S438" s="152">
        <v>3</v>
      </c>
      <c r="T438" s="152">
        <v>6</v>
      </c>
      <c r="U438" s="1">
        <v>4</v>
      </c>
      <c r="V438" s="1">
        <v>2</v>
      </c>
    </row>
    <row r="439" spans="17:22" x14ac:dyDescent="0.25">
      <c r="Q439" s="152">
        <v>12</v>
      </c>
      <c r="R439" s="162">
        <v>0</v>
      </c>
      <c r="S439" s="152">
        <v>3</v>
      </c>
      <c r="T439" s="152">
        <v>5</v>
      </c>
      <c r="U439" s="1">
        <v>3</v>
      </c>
      <c r="V439" s="1">
        <v>2</v>
      </c>
    </row>
    <row r="440" spans="17:22" x14ac:dyDescent="0.25">
      <c r="Q440" s="152">
        <v>13</v>
      </c>
      <c r="R440" s="162">
        <v>1</v>
      </c>
      <c r="S440" s="152">
        <v>3</v>
      </c>
      <c r="T440" s="152">
        <v>6</v>
      </c>
      <c r="U440" s="1">
        <v>4</v>
      </c>
      <c r="V440" s="1">
        <v>2</v>
      </c>
    </row>
    <row r="441" spans="17:22" x14ac:dyDescent="0.25">
      <c r="Q441" s="152">
        <v>12</v>
      </c>
      <c r="R441" s="162">
        <v>2</v>
      </c>
      <c r="S441" s="152">
        <v>4</v>
      </c>
      <c r="T441" s="152">
        <v>5</v>
      </c>
      <c r="U441" s="1">
        <v>4</v>
      </c>
      <c r="V441" s="1">
        <v>1</v>
      </c>
    </row>
    <row r="442" spans="17:22" x14ac:dyDescent="0.25">
      <c r="Q442" s="152">
        <v>11</v>
      </c>
      <c r="R442" s="162">
        <v>2</v>
      </c>
      <c r="S442" s="152">
        <v>3</v>
      </c>
      <c r="T442" s="152">
        <v>5</v>
      </c>
      <c r="U442" s="1">
        <v>3</v>
      </c>
      <c r="V442" s="1">
        <v>2</v>
      </c>
    </row>
    <row r="443" spans="17:22" x14ac:dyDescent="0.25">
      <c r="Q443" s="152">
        <v>12</v>
      </c>
      <c r="R443" s="162">
        <v>2</v>
      </c>
      <c r="S443" s="152">
        <v>3</v>
      </c>
      <c r="T443" s="152">
        <v>5</v>
      </c>
      <c r="U443" s="1">
        <v>4</v>
      </c>
      <c r="V443" s="1">
        <v>2</v>
      </c>
    </row>
    <row r="444" spans="17:22" x14ac:dyDescent="0.25">
      <c r="Q444" s="152">
        <v>13</v>
      </c>
      <c r="R444" s="162">
        <v>0</v>
      </c>
      <c r="S444" s="152">
        <v>3</v>
      </c>
      <c r="T444" s="152">
        <v>5</v>
      </c>
      <c r="U444" s="1">
        <v>3</v>
      </c>
      <c r="V444" s="1">
        <v>2</v>
      </c>
    </row>
    <row r="445" spans="17:22" x14ac:dyDescent="0.25">
      <c r="Q445" s="152">
        <v>13</v>
      </c>
      <c r="R445" s="162">
        <v>0</v>
      </c>
      <c r="S445" s="152">
        <v>3</v>
      </c>
      <c r="T445" s="152">
        <v>5</v>
      </c>
      <c r="U445" s="1">
        <v>4</v>
      </c>
      <c r="V445" s="1">
        <v>2</v>
      </c>
    </row>
    <row r="446" spans="17:22" x14ac:dyDescent="0.25">
      <c r="Q446" s="152">
        <v>12</v>
      </c>
      <c r="R446" s="162">
        <v>0</v>
      </c>
      <c r="S446" s="152">
        <v>4</v>
      </c>
      <c r="T446" s="152">
        <v>5</v>
      </c>
      <c r="U446" s="1">
        <v>4</v>
      </c>
      <c r="V446" s="1">
        <v>2</v>
      </c>
    </row>
    <row r="447" spans="17:22" x14ac:dyDescent="0.25">
      <c r="Q447" s="152">
        <v>12</v>
      </c>
      <c r="R447" s="162">
        <v>1</v>
      </c>
      <c r="S447" s="152">
        <v>4</v>
      </c>
      <c r="T447" s="152">
        <v>5</v>
      </c>
      <c r="U447" s="1">
        <v>4</v>
      </c>
      <c r="V447" s="1">
        <v>2</v>
      </c>
    </row>
    <row r="448" spans="17:22" x14ac:dyDescent="0.25">
      <c r="Q448" s="152">
        <v>12</v>
      </c>
      <c r="R448" s="162">
        <v>1</v>
      </c>
      <c r="S448" s="152">
        <v>3</v>
      </c>
      <c r="T448" s="152">
        <v>5</v>
      </c>
      <c r="U448" s="1">
        <v>3</v>
      </c>
      <c r="V448" s="1">
        <v>1</v>
      </c>
    </row>
    <row r="449" spans="17:22" x14ac:dyDescent="0.25">
      <c r="Q449" s="152">
        <v>11</v>
      </c>
      <c r="R449" s="162">
        <v>2</v>
      </c>
      <c r="S449" s="152">
        <v>3</v>
      </c>
      <c r="T449" s="152">
        <v>5</v>
      </c>
      <c r="U449" s="1">
        <v>3</v>
      </c>
      <c r="V449" s="1">
        <v>2</v>
      </c>
    </row>
    <row r="450" spans="17:22" x14ac:dyDescent="0.25">
      <c r="Q450" s="152">
        <v>12</v>
      </c>
      <c r="R450" s="162">
        <v>2</v>
      </c>
      <c r="S450" s="152">
        <v>3</v>
      </c>
      <c r="T450" s="152">
        <v>6</v>
      </c>
      <c r="U450" s="1">
        <v>3</v>
      </c>
      <c r="V450" s="1">
        <v>2</v>
      </c>
    </row>
    <row r="451" spans="17:22" x14ac:dyDescent="0.25">
      <c r="Q451" s="152">
        <v>12</v>
      </c>
      <c r="R451" s="162">
        <v>2</v>
      </c>
      <c r="S451" s="152">
        <v>4</v>
      </c>
      <c r="T451" s="152">
        <v>5</v>
      </c>
      <c r="U451" s="1">
        <v>3</v>
      </c>
      <c r="V451" s="1">
        <v>2</v>
      </c>
    </row>
    <row r="452" spans="17:22" x14ac:dyDescent="0.25">
      <c r="Q452" s="152">
        <v>12</v>
      </c>
      <c r="R452" s="162">
        <v>1</v>
      </c>
      <c r="S452" s="152">
        <v>3</v>
      </c>
      <c r="T452" s="152">
        <v>5</v>
      </c>
      <c r="U452" s="1">
        <v>3</v>
      </c>
      <c r="V452" s="1">
        <v>2</v>
      </c>
    </row>
    <row r="453" spans="17:22" x14ac:dyDescent="0.25">
      <c r="Q453" s="152">
        <v>12</v>
      </c>
      <c r="R453" s="162">
        <v>2</v>
      </c>
      <c r="S453" s="152">
        <v>3</v>
      </c>
      <c r="T453" s="152">
        <v>5</v>
      </c>
      <c r="U453" s="1">
        <v>4</v>
      </c>
      <c r="V453" s="1">
        <v>2</v>
      </c>
    </row>
    <row r="454" spans="17:22" x14ac:dyDescent="0.25">
      <c r="Q454" s="152">
        <v>13</v>
      </c>
      <c r="R454" s="162">
        <v>1</v>
      </c>
      <c r="S454" s="152">
        <v>3</v>
      </c>
      <c r="T454" s="152">
        <v>5</v>
      </c>
      <c r="U454" s="1">
        <v>4</v>
      </c>
      <c r="V454" s="1">
        <v>2</v>
      </c>
    </row>
    <row r="455" spans="17:22" x14ac:dyDescent="0.25">
      <c r="Q455" s="152">
        <v>12</v>
      </c>
      <c r="R455" s="162">
        <v>1</v>
      </c>
      <c r="S455" s="152">
        <v>4</v>
      </c>
      <c r="T455" s="152">
        <v>5</v>
      </c>
      <c r="U455" s="1">
        <v>3</v>
      </c>
      <c r="V455" s="1">
        <v>2</v>
      </c>
    </row>
    <row r="456" spans="17:22" x14ac:dyDescent="0.25">
      <c r="Q456" s="152">
        <v>11</v>
      </c>
      <c r="R456" s="162">
        <v>2</v>
      </c>
      <c r="S456" s="152">
        <v>4</v>
      </c>
      <c r="T456" s="152">
        <v>5</v>
      </c>
      <c r="U456" s="1">
        <v>4</v>
      </c>
      <c r="V456" s="1">
        <v>2</v>
      </c>
    </row>
    <row r="457" spans="17:22" x14ac:dyDescent="0.25">
      <c r="Q457" s="152">
        <v>13</v>
      </c>
      <c r="R457" s="162">
        <v>1</v>
      </c>
      <c r="S457" s="152">
        <v>3</v>
      </c>
      <c r="T457" s="152">
        <v>5</v>
      </c>
      <c r="U457" s="1">
        <v>3</v>
      </c>
      <c r="V457" s="1">
        <v>2</v>
      </c>
    </row>
    <row r="458" spans="17:22" x14ac:dyDescent="0.25">
      <c r="Q458" s="152">
        <v>12</v>
      </c>
      <c r="R458" s="162">
        <v>0</v>
      </c>
      <c r="S458" s="152">
        <v>3</v>
      </c>
      <c r="T458" s="152">
        <v>6</v>
      </c>
      <c r="U458" s="1">
        <v>3</v>
      </c>
      <c r="V458" s="1">
        <v>2</v>
      </c>
    </row>
    <row r="459" spans="17:22" x14ac:dyDescent="0.25">
      <c r="Q459" s="152">
        <v>11</v>
      </c>
      <c r="R459" s="162">
        <v>1</v>
      </c>
      <c r="S459" s="152">
        <v>3</v>
      </c>
      <c r="T459" s="152">
        <v>5</v>
      </c>
      <c r="U459" s="1">
        <v>4</v>
      </c>
      <c r="V459" s="1">
        <v>2</v>
      </c>
    </row>
    <row r="460" spans="17:22" x14ac:dyDescent="0.25">
      <c r="Q460" s="152">
        <v>11</v>
      </c>
      <c r="R460" s="162">
        <v>1</v>
      </c>
      <c r="S460" s="152">
        <v>4</v>
      </c>
      <c r="T460" s="152">
        <v>6</v>
      </c>
      <c r="U460" s="1">
        <v>4</v>
      </c>
      <c r="V460" s="1">
        <v>2</v>
      </c>
    </row>
    <row r="461" spans="17:22" x14ac:dyDescent="0.25">
      <c r="Q461" s="152">
        <v>12</v>
      </c>
      <c r="R461" s="162">
        <v>1</v>
      </c>
      <c r="S461" s="152">
        <v>4</v>
      </c>
      <c r="T461" s="152">
        <v>6</v>
      </c>
      <c r="U461" s="1">
        <v>4</v>
      </c>
      <c r="V461" s="1">
        <v>2</v>
      </c>
    </row>
    <row r="462" spans="17:22" x14ac:dyDescent="0.25">
      <c r="Q462" s="152">
        <v>12</v>
      </c>
      <c r="R462" s="162">
        <v>2</v>
      </c>
      <c r="S462" s="152">
        <v>3</v>
      </c>
      <c r="T462" s="152">
        <v>5</v>
      </c>
      <c r="U462" s="1">
        <v>4</v>
      </c>
      <c r="V462" s="1">
        <v>2</v>
      </c>
    </row>
    <row r="463" spans="17:22" x14ac:dyDescent="0.25">
      <c r="Q463" s="152">
        <v>12</v>
      </c>
      <c r="R463" s="162">
        <v>2</v>
      </c>
      <c r="S463" s="152">
        <v>3</v>
      </c>
      <c r="T463" s="152">
        <v>5</v>
      </c>
      <c r="U463" s="1">
        <v>4</v>
      </c>
      <c r="V463" s="1">
        <v>2</v>
      </c>
    </row>
    <row r="464" spans="17:22" x14ac:dyDescent="0.25">
      <c r="Q464" s="152">
        <v>12</v>
      </c>
      <c r="R464" s="162">
        <v>1</v>
      </c>
      <c r="S464" s="152">
        <v>3</v>
      </c>
      <c r="T464" s="152">
        <v>5</v>
      </c>
      <c r="U464" s="1">
        <v>3</v>
      </c>
      <c r="V464" s="1">
        <v>2</v>
      </c>
    </row>
    <row r="465" spans="17:22" x14ac:dyDescent="0.25">
      <c r="Q465" s="152">
        <v>11</v>
      </c>
      <c r="R465" s="162">
        <v>2</v>
      </c>
      <c r="S465" s="152">
        <v>3</v>
      </c>
      <c r="T465" s="152">
        <v>6</v>
      </c>
      <c r="U465" s="1">
        <v>3</v>
      </c>
      <c r="V465" s="1">
        <v>2</v>
      </c>
    </row>
    <row r="466" spans="17:22" x14ac:dyDescent="0.25">
      <c r="Q466" s="152">
        <v>13</v>
      </c>
      <c r="R466" s="162">
        <v>1</v>
      </c>
      <c r="S466" s="152">
        <v>3</v>
      </c>
      <c r="T466" s="152">
        <v>5</v>
      </c>
      <c r="U466" s="1">
        <v>4</v>
      </c>
      <c r="V466" s="1">
        <v>2</v>
      </c>
    </row>
    <row r="467" spans="17:22" x14ac:dyDescent="0.25">
      <c r="Q467" s="152">
        <v>13</v>
      </c>
      <c r="R467" s="162">
        <v>1</v>
      </c>
      <c r="S467" s="152">
        <v>3</v>
      </c>
      <c r="T467" s="152">
        <v>6</v>
      </c>
      <c r="U467" s="1">
        <v>4</v>
      </c>
      <c r="V467" s="1">
        <v>1</v>
      </c>
    </row>
    <row r="468" spans="17:22" x14ac:dyDescent="0.25">
      <c r="Q468" s="152">
        <v>12</v>
      </c>
      <c r="R468" s="162">
        <v>2</v>
      </c>
      <c r="S468" s="152">
        <v>3</v>
      </c>
      <c r="T468" s="152">
        <v>6</v>
      </c>
      <c r="U468" s="1">
        <v>4</v>
      </c>
      <c r="V468" s="1">
        <v>1</v>
      </c>
    </row>
    <row r="469" spans="17:22" x14ac:dyDescent="0.25">
      <c r="Q469" s="152">
        <v>12</v>
      </c>
      <c r="R469" s="162">
        <v>2</v>
      </c>
      <c r="S469" s="152">
        <v>4</v>
      </c>
      <c r="T469" s="152">
        <v>5</v>
      </c>
      <c r="U469" s="1">
        <v>4</v>
      </c>
      <c r="V469" s="1">
        <v>2</v>
      </c>
    </row>
    <row r="470" spans="17:22" x14ac:dyDescent="0.25">
      <c r="Q470" s="152">
        <v>12</v>
      </c>
      <c r="R470" s="162">
        <v>2</v>
      </c>
      <c r="S470" s="152">
        <v>3</v>
      </c>
      <c r="T470" s="152">
        <v>5</v>
      </c>
      <c r="U470" s="1">
        <v>4</v>
      </c>
      <c r="V470" s="1">
        <v>2</v>
      </c>
    </row>
    <row r="471" spans="17:22" x14ac:dyDescent="0.25">
      <c r="Q471" s="152">
        <v>11</v>
      </c>
      <c r="R471" s="162">
        <v>1</v>
      </c>
      <c r="S471" s="152">
        <v>3</v>
      </c>
      <c r="T471" s="152">
        <v>5</v>
      </c>
      <c r="U471" s="1">
        <v>4</v>
      </c>
      <c r="V471" s="1">
        <v>2</v>
      </c>
    </row>
    <row r="472" spans="17:22" x14ac:dyDescent="0.25">
      <c r="Q472" s="152">
        <v>12</v>
      </c>
      <c r="R472" s="162">
        <v>1</v>
      </c>
      <c r="S472" s="152">
        <v>3</v>
      </c>
      <c r="T472" s="152">
        <v>5</v>
      </c>
      <c r="U472" s="1">
        <v>3</v>
      </c>
      <c r="V472" s="1">
        <v>2</v>
      </c>
    </row>
    <row r="473" spans="17:22" x14ac:dyDescent="0.25">
      <c r="Q473" s="152">
        <v>12</v>
      </c>
      <c r="R473" s="162">
        <v>1</v>
      </c>
      <c r="S473" s="152">
        <v>4</v>
      </c>
      <c r="T473" s="152">
        <v>6</v>
      </c>
      <c r="U473" s="1">
        <v>4</v>
      </c>
      <c r="V473" s="1">
        <v>1</v>
      </c>
    </row>
    <row r="474" spans="17:22" x14ac:dyDescent="0.25">
      <c r="Q474" s="152">
        <v>13</v>
      </c>
      <c r="R474" s="162">
        <v>1</v>
      </c>
      <c r="S474" s="152">
        <v>3</v>
      </c>
      <c r="T474" s="152">
        <v>5</v>
      </c>
      <c r="U474" s="1">
        <v>4</v>
      </c>
      <c r="V474" s="1">
        <v>2</v>
      </c>
    </row>
    <row r="475" spans="17:22" x14ac:dyDescent="0.25">
      <c r="Q475" s="152">
        <v>11</v>
      </c>
      <c r="R475" s="162">
        <v>1</v>
      </c>
      <c r="S475" s="152">
        <v>3</v>
      </c>
      <c r="T475" s="152">
        <v>6</v>
      </c>
      <c r="U475" s="1">
        <v>4</v>
      </c>
      <c r="V475" s="1">
        <v>2</v>
      </c>
    </row>
    <row r="476" spans="17:22" x14ac:dyDescent="0.25">
      <c r="Q476" s="152">
        <v>13</v>
      </c>
      <c r="R476" s="162">
        <v>1</v>
      </c>
      <c r="S476" s="152">
        <v>4</v>
      </c>
      <c r="T476" s="152">
        <v>5</v>
      </c>
      <c r="U476" s="1">
        <v>4</v>
      </c>
      <c r="V476" s="1">
        <v>2</v>
      </c>
    </row>
    <row r="477" spans="17:22" x14ac:dyDescent="0.25">
      <c r="Q477" s="152">
        <v>13</v>
      </c>
      <c r="R477" s="162">
        <v>2</v>
      </c>
      <c r="S477" s="152">
        <v>3</v>
      </c>
      <c r="T477" s="152">
        <v>5</v>
      </c>
      <c r="U477" s="1">
        <v>3</v>
      </c>
      <c r="V477" s="1">
        <v>1</v>
      </c>
    </row>
    <row r="478" spans="17:22" x14ac:dyDescent="0.25">
      <c r="Q478" s="152">
        <v>12</v>
      </c>
      <c r="R478" s="162">
        <v>1</v>
      </c>
      <c r="S478" s="152">
        <v>4</v>
      </c>
      <c r="T478" s="152">
        <v>6</v>
      </c>
      <c r="U478" s="1">
        <v>4</v>
      </c>
      <c r="V478" s="1">
        <v>2</v>
      </c>
    </row>
    <row r="479" spans="17:22" x14ac:dyDescent="0.25">
      <c r="Q479" s="152">
        <v>11</v>
      </c>
      <c r="R479" s="162">
        <v>1</v>
      </c>
      <c r="S479" s="152">
        <v>3</v>
      </c>
      <c r="T479" s="152">
        <v>5</v>
      </c>
      <c r="U479" s="1">
        <v>3</v>
      </c>
      <c r="V479" s="1">
        <v>2</v>
      </c>
    </row>
    <row r="480" spans="17:22" x14ac:dyDescent="0.25">
      <c r="Q480" s="152">
        <v>12</v>
      </c>
      <c r="R480" s="162">
        <v>1</v>
      </c>
      <c r="S480" s="152">
        <v>4</v>
      </c>
      <c r="T480" s="152">
        <v>5</v>
      </c>
      <c r="U480" s="1">
        <v>3</v>
      </c>
      <c r="V480" s="1">
        <v>1</v>
      </c>
    </row>
    <row r="481" spans="17:22" x14ac:dyDescent="0.25">
      <c r="Q481" s="152">
        <v>13</v>
      </c>
      <c r="R481" s="162">
        <v>2</v>
      </c>
      <c r="S481" s="152">
        <v>4</v>
      </c>
      <c r="T481" s="152">
        <v>6</v>
      </c>
      <c r="U481" s="1">
        <v>3</v>
      </c>
      <c r="V481" s="1">
        <v>2</v>
      </c>
    </row>
    <row r="482" spans="17:22" x14ac:dyDescent="0.25">
      <c r="Q482" s="152">
        <v>12</v>
      </c>
      <c r="R482" s="162">
        <v>1</v>
      </c>
      <c r="S482" s="152">
        <v>4</v>
      </c>
      <c r="T482" s="152">
        <v>5</v>
      </c>
      <c r="U482" s="1">
        <v>3</v>
      </c>
      <c r="V482" s="1">
        <v>1</v>
      </c>
    </row>
    <row r="483" spans="17:22" x14ac:dyDescent="0.25">
      <c r="Q483" s="152">
        <v>13</v>
      </c>
      <c r="R483" s="162">
        <v>2</v>
      </c>
      <c r="S483" s="152">
        <v>4</v>
      </c>
      <c r="T483" s="152">
        <v>5</v>
      </c>
      <c r="U483" s="1">
        <v>4</v>
      </c>
      <c r="V483" s="1">
        <v>2</v>
      </c>
    </row>
    <row r="484" spans="17:22" x14ac:dyDescent="0.25">
      <c r="Q484" s="152">
        <v>11</v>
      </c>
      <c r="R484" s="162">
        <v>2</v>
      </c>
      <c r="S484" s="152">
        <v>3</v>
      </c>
      <c r="T484" s="152">
        <v>6</v>
      </c>
      <c r="U484" s="1">
        <v>4</v>
      </c>
      <c r="V484" s="1">
        <v>2</v>
      </c>
    </row>
    <row r="485" spans="17:22" x14ac:dyDescent="0.25">
      <c r="Q485" s="152">
        <v>12</v>
      </c>
      <c r="R485" s="162">
        <v>1</v>
      </c>
      <c r="S485" s="152">
        <v>3</v>
      </c>
      <c r="T485" s="152">
        <v>6</v>
      </c>
      <c r="U485" s="1">
        <v>4</v>
      </c>
      <c r="V485" s="1">
        <v>2</v>
      </c>
    </row>
    <row r="486" spans="17:22" x14ac:dyDescent="0.25">
      <c r="Q486" s="152">
        <v>12</v>
      </c>
      <c r="R486" s="162">
        <v>2</v>
      </c>
      <c r="S486" s="152">
        <v>3</v>
      </c>
      <c r="T486" s="152">
        <v>6</v>
      </c>
      <c r="U486" s="1">
        <v>3</v>
      </c>
      <c r="V486" s="1">
        <v>1</v>
      </c>
    </row>
    <row r="487" spans="17:22" x14ac:dyDescent="0.25">
      <c r="Q487" s="152">
        <v>12</v>
      </c>
      <c r="R487" s="162">
        <v>1</v>
      </c>
      <c r="S487" s="152">
        <v>3</v>
      </c>
      <c r="T487" s="152">
        <v>5</v>
      </c>
      <c r="U487" s="1">
        <v>3</v>
      </c>
      <c r="V487" s="1">
        <v>2</v>
      </c>
    </row>
    <row r="488" spans="17:22" x14ac:dyDescent="0.25">
      <c r="Q488" s="152">
        <v>12</v>
      </c>
      <c r="R488" s="162">
        <v>2</v>
      </c>
      <c r="S488" s="152">
        <v>3</v>
      </c>
      <c r="T488" s="152">
        <v>6</v>
      </c>
      <c r="U488" s="1">
        <v>4</v>
      </c>
      <c r="V488" s="1">
        <v>1</v>
      </c>
    </row>
    <row r="489" spans="17:22" x14ac:dyDescent="0.25">
      <c r="Q489" s="152">
        <v>13</v>
      </c>
      <c r="R489" s="162">
        <v>1</v>
      </c>
      <c r="S489" s="152">
        <v>3</v>
      </c>
      <c r="T489" s="152">
        <v>5</v>
      </c>
      <c r="U489" s="1">
        <v>4</v>
      </c>
      <c r="V489" s="1">
        <v>1</v>
      </c>
    </row>
    <row r="490" spans="17:22" x14ac:dyDescent="0.25">
      <c r="Q490" s="152">
        <v>12</v>
      </c>
      <c r="R490" s="162">
        <v>1</v>
      </c>
      <c r="S490" s="152">
        <v>3</v>
      </c>
      <c r="T490" s="152">
        <v>5</v>
      </c>
      <c r="U490" s="1">
        <v>3</v>
      </c>
      <c r="V490" s="1">
        <v>1</v>
      </c>
    </row>
    <row r="491" spans="17:22" x14ac:dyDescent="0.25">
      <c r="Q491" s="152">
        <v>12</v>
      </c>
      <c r="R491" s="162">
        <v>1</v>
      </c>
      <c r="S491" s="152">
        <v>3</v>
      </c>
      <c r="T491" s="152">
        <v>5</v>
      </c>
      <c r="U491" s="1">
        <v>3</v>
      </c>
      <c r="V491" s="1">
        <v>2</v>
      </c>
    </row>
    <row r="492" spans="17:22" x14ac:dyDescent="0.25">
      <c r="Q492" s="152">
        <v>11</v>
      </c>
      <c r="R492" s="162">
        <v>2</v>
      </c>
      <c r="S492" s="152">
        <v>4</v>
      </c>
      <c r="T492" s="152">
        <v>6</v>
      </c>
      <c r="U492" s="1">
        <v>4</v>
      </c>
      <c r="V492" s="1">
        <v>2</v>
      </c>
    </row>
    <row r="493" spans="17:22" x14ac:dyDescent="0.25">
      <c r="Q493" s="152">
        <v>11</v>
      </c>
      <c r="R493" s="162">
        <v>2</v>
      </c>
      <c r="S493" s="152">
        <v>3</v>
      </c>
      <c r="T493" s="152">
        <v>5</v>
      </c>
      <c r="U493" s="1">
        <v>4</v>
      </c>
      <c r="V493" s="1">
        <v>2</v>
      </c>
    </row>
    <row r="494" spans="17:22" x14ac:dyDescent="0.25">
      <c r="Q494" s="152">
        <v>11</v>
      </c>
      <c r="R494" s="162">
        <v>2</v>
      </c>
      <c r="S494" s="152">
        <v>3</v>
      </c>
      <c r="T494" s="152">
        <v>6</v>
      </c>
      <c r="U494" s="1">
        <v>4</v>
      </c>
      <c r="V494" s="1">
        <v>2</v>
      </c>
    </row>
    <row r="495" spans="17:22" x14ac:dyDescent="0.25">
      <c r="Q495" s="152">
        <v>13</v>
      </c>
      <c r="R495" s="162">
        <v>2</v>
      </c>
      <c r="S495" s="152">
        <v>3</v>
      </c>
      <c r="T495" s="152">
        <v>5</v>
      </c>
      <c r="U495" s="1">
        <v>4</v>
      </c>
      <c r="V495" s="1">
        <v>2</v>
      </c>
    </row>
    <row r="496" spans="17:22" x14ac:dyDescent="0.25">
      <c r="Q496" s="152">
        <v>12</v>
      </c>
      <c r="R496" s="162">
        <v>0</v>
      </c>
      <c r="S496" s="152">
        <v>3</v>
      </c>
      <c r="T496" s="152">
        <v>5</v>
      </c>
      <c r="U496" s="1">
        <v>3</v>
      </c>
      <c r="V496" s="1">
        <v>2</v>
      </c>
    </row>
    <row r="497" spans="17:22" x14ac:dyDescent="0.25">
      <c r="Q497" s="152">
        <v>12</v>
      </c>
      <c r="R497" s="162">
        <v>2</v>
      </c>
      <c r="S497" s="152">
        <v>4</v>
      </c>
      <c r="T497" s="152">
        <v>6</v>
      </c>
      <c r="U497" s="1">
        <v>3</v>
      </c>
      <c r="V497" s="1">
        <v>1</v>
      </c>
    </row>
    <row r="498" spans="17:22" x14ac:dyDescent="0.25">
      <c r="Q498" s="152">
        <v>12</v>
      </c>
      <c r="R498" s="162">
        <v>1</v>
      </c>
      <c r="S498" s="152">
        <v>3</v>
      </c>
      <c r="T498" s="152">
        <v>5</v>
      </c>
      <c r="U498" s="1">
        <v>4</v>
      </c>
      <c r="V498" s="1">
        <v>2</v>
      </c>
    </row>
    <row r="499" spans="17:22" x14ac:dyDescent="0.25">
      <c r="Q499" s="152">
        <v>11</v>
      </c>
      <c r="R499" s="162">
        <v>1</v>
      </c>
      <c r="S499" s="152">
        <v>3</v>
      </c>
      <c r="T499" s="152">
        <v>5</v>
      </c>
      <c r="U499" s="1">
        <v>4</v>
      </c>
      <c r="V499" s="1">
        <v>2</v>
      </c>
    </row>
    <row r="500" spans="17:22" x14ac:dyDescent="0.25">
      <c r="Q500" s="152">
        <v>13</v>
      </c>
      <c r="R500" s="162">
        <v>2</v>
      </c>
      <c r="S500" s="152">
        <v>4</v>
      </c>
      <c r="T500" s="152">
        <v>5</v>
      </c>
      <c r="U500" s="1">
        <v>3</v>
      </c>
      <c r="V500" s="1">
        <v>1</v>
      </c>
    </row>
    <row r="501" spans="17:22" x14ac:dyDescent="0.25">
      <c r="Q501" s="152">
        <v>12</v>
      </c>
      <c r="R501" s="162">
        <v>2</v>
      </c>
      <c r="S501" s="152">
        <v>4</v>
      </c>
      <c r="T501" s="152">
        <v>5</v>
      </c>
      <c r="U501" s="1">
        <v>4</v>
      </c>
      <c r="V501" s="1">
        <v>1</v>
      </c>
    </row>
    <row r="502" spans="17:22" x14ac:dyDescent="0.25">
      <c r="Q502" s="152">
        <v>12</v>
      </c>
      <c r="R502" s="162">
        <v>1</v>
      </c>
      <c r="S502" s="152">
        <v>3</v>
      </c>
      <c r="T502" s="152">
        <v>5</v>
      </c>
      <c r="U502" s="1">
        <v>3</v>
      </c>
      <c r="V502" s="1">
        <v>2</v>
      </c>
    </row>
    <row r="503" spans="17:22" x14ac:dyDescent="0.25">
      <c r="Q503" s="152">
        <v>12</v>
      </c>
      <c r="R503" s="162">
        <v>2</v>
      </c>
      <c r="S503" s="152">
        <v>3</v>
      </c>
      <c r="T503" s="152">
        <v>5</v>
      </c>
      <c r="U503" s="1">
        <v>3</v>
      </c>
      <c r="V503" s="1">
        <v>1</v>
      </c>
    </row>
    <row r="504" spans="17:22" x14ac:dyDescent="0.25">
      <c r="Q504" s="152">
        <v>13</v>
      </c>
      <c r="R504" s="162">
        <v>1</v>
      </c>
      <c r="S504" s="152">
        <v>4</v>
      </c>
      <c r="T504" s="152">
        <v>5</v>
      </c>
      <c r="U504" s="1">
        <v>3</v>
      </c>
      <c r="V504" s="1">
        <v>1</v>
      </c>
    </row>
    <row r="505" spans="17:22" x14ac:dyDescent="0.25">
      <c r="Q505" s="152">
        <v>12</v>
      </c>
      <c r="R505" s="162">
        <v>1</v>
      </c>
      <c r="S505" s="152">
        <v>4</v>
      </c>
      <c r="T505" s="152">
        <v>5</v>
      </c>
      <c r="U505" s="1">
        <v>4</v>
      </c>
      <c r="V505" s="1">
        <v>2</v>
      </c>
    </row>
    <row r="506" spans="17:22" x14ac:dyDescent="0.25">
      <c r="Q506" s="152">
        <v>12</v>
      </c>
      <c r="R506" s="162">
        <v>1</v>
      </c>
      <c r="S506" s="152">
        <v>4</v>
      </c>
      <c r="T506" s="152">
        <v>5</v>
      </c>
      <c r="U506" s="1">
        <v>3</v>
      </c>
      <c r="V506" s="1">
        <v>2</v>
      </c>
    </row>
    <row r="507" spans="17:22" x14ac:dyDescent="0.25">
      <c r="Q507" s="152">
        <v>13</v>
      </c>
      <c r="R507" s="162">
        <v>2</v>
      </c>
      <c r="S507" s="152">
        <v>3</v>
      </c>
      <c r="T507" s="152">
        <v>5</v>
      </c>
      <c r="U507" s="1">
        <v>3</v>
      </c>
      <c r="V507" s="1">
        <v>1</v>
      </c>
    </row>
    <row r="508" spans="17:22" x14ac:dyDescent="0.25">
      <c r="Q508" s="152">
        <v>11</v>
      </c>
      <c r="R508" s="162">
        <v>2</v>
      </c>
      <c r="S508" s="152">
        <v>4</v>
      </c>
      <c r="T508" s="152">
        <v>6</v>
      </c>
      <c r="U508" s="1">
        <v>3</v>
      </c>
      <c r="V508" s="1">
        <v>2</v>
      </c>
    </row>
    <row r="509" spans="17:22" x14ac:dyDescent="0.25">
      <c r="Q509" s="152">
        <v>11</v>
      </c>
      <c r="R509" s="162">
        <v>1</v>
      </c>
      <c r="S509" s="152">
        <v>4</v>
      </c>
      <c r="T509" s="152">
        <v>6</v>
      </c>
      <c r="U509" s="1">
        <v>4</v>
      </c>
      <c r="V509" s="1">
        <v>2</v>
      </c>
    </row>
    <row r="510" spans="17:22" x14ac:dyDescent="0.25">
      <c r="Q510" s="152">
        <v>13</v>
      </c>
      <c r="R510" s="162">
        <v>1</v>
      </c>
      <c r="S510" s="152">
        <v>4</v>
      </c>
      <c r="T510" s="152">
        <v>5</v>
      </c>
      <c r="U510" s="1">
        <v>3</v>
      </c>
      <c r="V510" s="1">
        <v>2</v>
      </c>
    </row>
    <row r="511" spans="17:22" x14ac:dyDescent="0.25">
      <c r="Q511" s="152">
        <v>12</v>
      </c>
      <c r="R511" s="162">
        <v>1</v>
      </c>
      <c r="S511" s="152">
        <v>4</v>
      </c>
      <c r="T511" s="152">
        <v>5</v>
      </c>
      <c r="U511" s="1">
        <v>3</v>
      </c>
      <c r="V511" s="1">
        <v>1</v>
      </c>
    </row>
    <row r="512" spans="17:22" x14ac:dyDescent="0.25">
      <c r="Q512" s="152">
        <v>11</v>
      </c>
      <c r="R512" s="162">
        <v>0</v>
      </c>
      <c r="S512" s="152">
        <v>4</v>
      </c>
      <c r="T512" s="152">
        <v>5</v>
      </c>
      <c r="U512" s="1">
        <v>3</v>
      </c>
      <c r="V512" s="1">
        <v>2</v>
      </c>
    </row>
    <row r="513" spans="17:22" x14ac:dyDescent="0.25">
      <c r="Q513" s="152">
        <v>13</v>
      </c>
      <c r="R513" s="162">
        <v>2</v>
      </c>
      <c r="S513" s="152">
        <v>3</v>
      </c>
      <c r="T513" s="152">
        <v>5</v>
      </c>
      <c r="U513" s="1">
        <v>4</v>
      </c>
      <c r="V513" s="1">
        <v>1</v>
      </c>
    </row>
    <row r="514" spans="17:22" x14ac:dyDescent="0.25">
      <c r="Q514" s="152">
        <v>11</v>
      </c>
      <c r="R514" s="162">
        <v>1</v>
      </c>
      <c r="S514" s="152">
        <v>4</v>
      </c>
      <c r="T514" s="152">
        <v>5</v>
      </c>
      <c r="U514" s="1">
        <v>3</v>
      </c>
      <c r="V514" s="1">
        <v>2</v>
      </c>
    </row>
    <row r="515" spans="17:22" x14ac:dyDescent="0.25">
      <c r="Q515" s="152">
        <v>12</v>
      </c>
      <c r="R515" s="162">
        <v>1</v>
      </c>
      <c r="S515" s="152">
        <v>4</v>
      </c>
      <c r="T515" s="152">
        <v>5</v>
      </c>
      <c r="U515" s="1">
        <v>3</v>
      </c>
      <c r="V515" s="1">
        <v>1</v>
      </c>
    </row>
    <row r="516" spans="17:22" x14ac:dyDescent="0.25">
      <c r="Q516" s="152">
        <v>12</v>
      </c>
      <c r="R516" s="162">
        <v>2</v>
      </c>
      <c r="S516" s="152">
        <v>3</v>
      </c>
      <c r="T516" s="152">
        <v>5</v>
      </c>
      <c r="U516" s="1">
        <v>3</v>
      </c>
      <c r="V516" s="1">
        <v>2</v>
      </c>
    </row>
    <row r="517" spans="17:22" x14ac:dyDescent="0.25">
      <c r="Q517" s="152">
        <v>11</v>
      </c>
      <c r="R517" s="162">
        <v>0</v>
      </c>
      <c r="S517" s="152">
        <v>4</v>
      </c>
      <c r="T517" s="152">
        <v>5</v>
      </c>
      <c r="U517" s="1">
        <v>4</v>
      </c>
      <c r="V517" s="1">
        <v>2</v>
      </c>
    </row>
    <row r="518" spans="17:22" x14ac:dyDescent="0.25">
      <c r="Q518" s="152">
        <v>12</v>
      </c>
      <c r="R518" s="162">
        <v>1</v>
      </c>
      <c r="S518" s="152">
        <v>3</v>
      </c>
      <c r="T518" s="152">
        <v>5</v>
      </c>
      <c r="U518" s="1">
        <v>3</v>
      </c>
      <c r="V518" s="1">
        <v>2</v>
      </c>
    </row>
    <row r="519" spans="17:22" x14ac:dyDescent="0.25">
      <c r="Q519" s="152">
        <v>13</v>
      </c>
      <c r="R519" s="162">
        <v>1</v>
      </c>
      <c r="S519" s="152">
        <v>3</v>
      </c>
      <c r="T519" s="152">
        <v>5</v>
      </c>
      <c r="U519" s="1">
        <v>3</v>
      </c>
      <c r="V519" s="1">
        <v>1</v>
      </c>
    </row>
    <row r="520" spans="17:22" x14ac:dyDescent="0.25">
      <c r="Q520" s="152">
        <v>11</v>
      </c>
      <c r="R520" s="162">
        <v>1</v>
      </c>
      <c r="S520" s="152">
        <v>3</v>
      </c>
      <c r="T520" s="152">
        <v>5</v>
      </c>
      <c r="U520" s="1">
        <v>3</v>
      </c>
      <c r="V520" s="1">
        <v>2</v>
      </c>
    </row>
    <row r="521" spans="17:22" x14ac:dyDescent="0.25">
      <c r="Q521" s="152">
        <v>11</v>
      </c>
      <c r="R521" s="162">
        <v>0</v>
      </c>
      <c r="S521" s="152">
        <v>4</v>
      </c>
      <c r="T521" s="152">
        <v>5</v>
      </c>
      <c r="U521" s="1">
        <v>4</v>
      </c>
      <c r="V521" s="1">
        <v>1</v>
      </c>
    </row>
    <row r="522" spans="17:22" x14ac:dyDescent="0.25">
      <c r="Q522" s="152">
        <v>13</v>
      </c>
      <c r="R522" s="162">
        <v>1</v>
      </c>
      <c r="S522" s="152">
        <v>3</v>
      </c>
      <c r="T522" s="152">
        <v>5</v>
      </c>
      <c r="U522" s="1">
        <v>4</v>
      </c>
      <c r="V522" s="1">
        <v>2</v>
      </c>
    </row>
    <row r="523" spans="17:22" x14ac:dyDescent="0.25">
      <c r="Q523" s="152">
        <v>13</v>
      </c>
      <c r="R523" s="162">
        <v>2</v>
      </c>
      <c r="S523" s="152">
        <v>4</v>
      </c>
      <c r="T523" s="152">
        <v>6</v>
      </c>
      <c r="U523" s="1">
        <v>4</v>
      </c>
      <c r="V523" s="1">
        <v>2</v>
      </c>
    </row>
    <row r="524" spans="17:22" x14ac:dyDescent="0.25">
      <c r="Q524" s="152">
        <v>12</v>
      </c>
      <c r="R524" s="162">
        <v>2</v>
      </c>
      <c r="S524" s="152">
        <v>4</v>
      </c>
      <c r="T524" s="152">
        <v>5</v>
      </c>
      <c r="U524" s="1">
        <v>3</v>
      </c>
      <c r="V524" s="1">
        <v>2</v>
      </c>
    </row>
    <row r="525" spans="17:22" x14ac:dyDescent="0.25">
      <c r="Q525" s="152">
        <v>12</v>
      </c>
      <c r="R525" s="162">
        <v>1</v>
      </c>
      <c r="S525" s="152">
        <v>3</v>
      </c>
      <c r="T525" s="152">
        <v>5</v>
      </c>
      <c r="U525" s="1">
        <v>3</v>
      </c>
      <c r="V525" s="1">
        <v>2</v>
      </c>
    </row>
    <row r="526" spans="17:22" x14ac:dyDescent="0.25">
      <c r="Q526" s="152">
        <v>12</v>
      </c>
      <c r="R526" s="162">
        <v>0</v>
      </c>
      <c r="S526" s="152">
        <v>3</v>
      </c>
      <c r="T526" s="152">
        <v>5</v>
      </c>
      <c r="U526" s="1">
        <v>3</v>
      </c>
      <c r="V526" s="1">
        <v>2</v>
      </c>
    </row>
    <row r="527" spans="17:22" x14ac:dyDescent="0.25">
      <c r="Q527" s="152">
        <v>13</v>
      </c>
      <c r="R527" s="162">
        <v>1</v>
      </c>
      <c r="S527" s="152">
        <v>4</v>
      </c>
      <c r="T527" s="152">
        <v>6</v>
      </c>
      <c r="U527" s="1">
        <v>4</v>
      </c>
      <c r="V527" s="1">
        <v>2</v>
      </c>
    </row>
    <row r="528" spans="17:22" x14ac:dyDescent="0.25">
      <c r="Q528" s="152">
        <v>11</v>
      </c>
      <c r="R528" s="162">
        <v>2</v>
      </c>
      <c r="S528" s="152">
        <v>4</v>
      </c>
      <c r="T528" s="152">
        <v>5</v>
      </c>
      <c r="U528" s="1">
        <v>3</v>
      </c>
      <c r="V528" s="1">
        <v>1</v>
      </c>
    </row>
    <row r="529" spans="17:22" x14ac:dyDescent="0.25">
      <c r="Q529" s="152">
        <v>11</v>
      </c>
      <c r="R529" s="162">
        <v>1</v>
      </c>
      <c r="S529" s="152">
        <v>4</v>
      </c>
      <c r="T529" s="152">
        <v>5</v>
      </c>
      <c r="U529" s="1">
        <v>3</v>
      </c>
      <c r="V529" s="1">
        <v>1</v>
      </c>
    </row>
    <row r="530" spans="17:22" x14ac:dyDescent="0.25">
      <c r="Q530" s="152">
        <v>12</v>
      </c>
      <c r="R530" s="162">
        <v>0</v>
      </c>
      <c r="S530" s="152">
        <v>4</v>
      </c>
      <c r="T530" s="152">
        <v>6</v>
      </c>
      <c r="U530" s="1">
        <v>4</v>
      </c>
      <c r="V530" s="1">
        <v>2</v>
      </c>
    </row>
    <row r="531" spans="17:22" x14ac:dyDescent="0.25">
      <c r="Q531" s="152">
        <v>13</v>
      </c>
      <c r="R531" s="162">
        <v>1</v>
      </c>
      <c r="S531" s="152">
        <v>4</v>
      </c>
      <c r="T531" s="152">
        <v>6</v>
      </c>
      <c r="U531" s="1">
        <v>4</v>
      </c>
      <c r="V531" s="1">
        <v>2</v>
      </c>
    </row>
    <row r="532" spans="17:22" x14ac:dyDescent="0.25">
      <c r="Q532" s="152">
        <v>12</v>
      </c>
      <c r="R532" s="162">
        <v>1</v>
      </c>
      <c r="S532" s="152">
        <v>4</v>
      </c>
      <c r="T532" s="152">
        <v>5</v>
      </c>
      <c r="U532" s="1">
        <v>4</v>
      </c>
      <c r="V532" s="1">
        <v>2</v>
      </c>
    </row>
    <row r="533" spans="17:22" x14ac:dyDescent="0.25">
      <c r="Q533" s="152">
        <v>12</v>
      </c>
      <c r="R533" s="162">
        <v>1</v>
      </c>
      <c r="S533" s="152">
        <v>3</v>
      </c>
      <c r="T533" s="152">
        <v>5</v>
      </c>
      <c r="U533" s="1">
        <v>4</v>
      </c>
      <c r="V533" s="1">
        <v>2</v>
      </c>
    </row>
    <row r="534" spans="17:22" x14ac:dyDescent="0.25">
      <c r="Q534" s="152">
        <v>12</v>
      </c>
      <c r="R534" s="162">
        <v>2</v>
      </c>
      <c r="S534" s="152">
        <v>4</v>
      </c>
      <c r="T534" s="152">
        <v>5</v>
      </c>
      <c r="U534" s="1">
        <v>3</v>
      </c>
      <c r="V534" s="1">
        <v>2</v>
      </c>
    </row>
    <row r="535" spans="17:22" x14ac:dyDescent="0.25">
      <c r="Q535" s="152">
        <v>13</v>
      </c>
      <c r="R535" s="162">
        <v>1</v>
      </c>
      <c r="S535" s="152">
        <v>3</v>
      </c>
      <c r="T535" s="152">
        <v>5</v>
      </c>
      <c r="U535" s="1">
        <v>4</v>
      </c>
      <c r="V535" s="1">
        <v>2</v>
      </c>
    </row>
    <row r="536" spans="17:22" x14ac:dyDescent="0.25">
      <c r="Q536" s="152">
        <v>12</v>
      </c>
      <c r="R536" s="162">
        <v>2</v>
      </c>
      <c r="S536" s="152">
        <v>4</v>
      </c>
      <c r="T536" s="152">
        <v>5</v>
      </c>
      <c r="U536" s="1">
        <v>3</v>
      </c>
      <c r="V536" s="1">
        <v>2</v>
      </c>
    </row>
    <row r="537" spans="17:22" x14ac:dyDescent="0.25">
      <c r="Q537" s="152">
        <v>12</v>
      </c>
      <c r="R537" s="162">
        <v>2</v>
      </c>
      <c r="S537" s="152">
        <v>3</v>
      </c>
      <c r="T537" s="152">
        <v>5</v>
      </c>
      <c r="U537" s="1">
        <v>3</v>
      </c>
      <c r="V537" s="1">
        <v>2</v>
      </c>
    </row>
    <row r="538" spans="17:22" x14ac:dyDescent="0.25">
      <c r="Q538" s="152">
        <v>11</v>
      </c>
      <c r="R538" s="162">
        <v>1</v>
      </c>
      <c r="S538" s="152">
        <v>3</v>
      </c>
      <c r="T538" s="152">
        <v>5</v>
      </c>
      <c r="U538" s="1">
        <v>4</v>
      </c>
      <c r="V538" s="1">
        <v>2</v>
      </c>
    </row>
    <row r="539" spans="17:22" x14ac:dyDescent="0.25">
      <c r="Q539" s="152">
        <v>12</v>
      </c>
      <c r="R539" s="162">
        <v>1</v>
      </c>
      <c r="S539" s="152">
        <v>4</v>
      </c>
      <c r="T539" s="152">
        <v>5</v>
      </c>
      <c r="U539" s="1">
        <v>4</v>
      </c>
      <c r="V539" s="1">
        <v>1</v>
      </c>
    </row>
    <row r="540" spans="17:22" x14ac:dyDescent="0.25">
      <c r="Q540" s="152">
        <v>12</v>
      </c>
      <c r="R540" s="162">
        <v>2</v>
      </c>
      <c r="S540" s="152">
        <v>3</v>
      </c>
      <c r="T540" s="152">
        <v>5</v>
      </c>
      <c r="U540" s="1">
        <v>4</v>
      </c>
      <c r="V540" s="1">
        <v>1</v>
      </c>
    </row>
    <row r="541" spans="17:22" x14ac:dyDescent="0.25">
      <c r="Q541" s="152">
        <v>11</v>
      </c>
      <c r="R541" s="162">
        <v>1</v>
      </c>
      <c r="S541" s="152">
        <v>3</v>
      </c>
      <c r="T541" s="152">
        <v>6</v>
      </c>
      <c r="U541" s="1">
        <v>3</v>
      </c>
      <c r="V541" s="1">
        <v>2</v>
      </c>
    </row>
    <row r="542" spans="17:22" x14ac:dyDescent="0.25">
      <c r="Q542" s="152">
        <v>12</v>
      </c>
      <c r="R542" s="162">
        <v>2</v>
      </c>
      <c r="S542" s="152">
        <v>3</v>
      </c>
      <c r="T542" s="152">
        <v>6</v>
      </c>
      <c r="U542" s="1">
        <v>4</v>
      </c>
      <c r="V542" s="1">
        <v>2</v>
      </c>
    </row>
    <row r="543" spans="17:22" x14ac:dyDescent="0.25">
      <c r="Q543" s="152">
        <v>13</v>
      </c>
      <c r="R543" s="162">
        <v>0</v>
      </c>
      <c r="S543" s="152">
        <v>4</v>
      </c>
      <c r="T543" s="152">
        <v>5</v>
      </c>
      <c r="U543" s="1">
        <v>3</v>
      </c>
      <c r="V543" s="1">
        <v>2</v>
      </c>
    </row>
    <row r="544" spans="17:22" x14ac:dyDescent="0.25">
      <c r="Q544" s="152">
        <v>13</v>
      </c>
      <c r="R544" s="162">
        <v>2</v>
      </c>
      <c r="S544" s="152">
        <v>4</v>
      </c>
      <c r="T544" s="152">
        <v>5</v>
      </c>
      <c r="U544" s="1">
        <v>3</v>
      </c>
      <c r="V544" s="1">
        <v>2</v>
      </c>
    </row>
    <row r="545" spans="17:22" x14ac:dyDescent="0.25">
      <c r="Q545" s="152">
        <v>13</v>
      </c>
      <c r="R545" s="162">
        <v>0</v>
      </c>
      <c r="S545" s="162">
        <v>4</v>
      </c>
      <c r="T545" s="152">
        <v>6</v>
      </c>
      <c r="U545" s="152">
        <v>4</v>
      </c>
      <c r="V545" s="1">
        <v>2</v>
      </c>
    </row>
    <row r="546" spans="17:22" x14ac:dyDescent="0.25">
      <c r="Q546" s="152">
        <v>13</v>
      </c>
      <c r="R546" s="162">
        <v>1</v>
      </c>
      <c r="S546" s="152">
        <v>3</v>
      </c>
      <c r="T546" s="152">
        <v>5</v>
      </c>
      <c r="U546" s="1">
        <v>4</v>
      </c>
      <c r="V546" s="1">
        <v>1</v>
      </c>
    </row>
    <row r="547" spans="17:22" x14ac:dyDescent="0.25">
      <c r="Q547" s="152">
        <v>12</v>
      </c>
      <c r="R547" s="162">
        <v>2</v>
      </c>
      <c r="S547" s="152">
        <v>3</v>
      </c>
      <c r="T547" s="152">
        <v>5</v>
      </c>
      <c r="U547" s="1">
        <v>4</v>
      </c>
      <c r="V547" s="1">
        <v>1</v>
      </c>
    </row>
    <row r="548" spans="17:22" x14ac:dyDescent="0.25">
      <c r="Q548" s="152">
        <v>13</v>
      </c>
      <c r="R548" s="162">
        <v>2</v>
      </c>
      <c r="S548" s="152">
        <v>3</v>
      </c>
      <c r="T548" s="152">
        <v>5</v>
      </c>
      <c r="U548" s="1">
        <v>3</v>
      </c>
      <c r="V548" s="1">
        <v>2</v>
      </c>
    </row>
    <row r="549" spans="17:22" x14ac:dyDescent="0.25">
      <c r="Q549" s="152">
        <v>12</v>
      </c>
      <c r="R549" s="162">
        <v>1</v>
      </c>
      <c r="S549" s="152">
        <v>3</v>
      </c>
      <c r="T549" s="152">
        <v>6</v>
      </c>
      <c r="U549" s="1">
        <v>3</v>
      </c>
      <c r="V549" s="1">
        <v>1</v>
      </c>
    </row>
    <row r="550" spans="17:22" x14ac:dyDescent="0.25">
      <c r="Q550" s="152">
        <v>11</v>
      </c>
      <c r="R550" s="162">
        <v>0</v>
      </c>
      <c r="S550" s="152">
        <v>3</v>
      </c>
      <c r="T550" s="152">
        <v>6</v>
      </c>
      <c r="U550" s="1">
        <v>3</v>
      </c>
      <c r="V550" s="1">
        <v>2</v>
      </c>
    </row>
    <row r="551" spans="17:22" x14ac:dyDescent="0.25">
      <c r="Q551" s="152">
        <v>13</v>
      </c>
      <c r="R551" s="162">
        <v>2</v>
      </c>
      <c r="S551" s="152">
        <v>3</v>
      </c>
      <c r="T551" s="152">
        <v>6</v>
      </c>
      <c r="U551" s="1">
        <v>3</v>
      </c>
      <c r="V551" s="1">
        <v>2</v>
      </c>
    </row>
    <row r="552" spans="17:22" x14ac:dyDescent="0.25">
      <c r="Q552" s="152">
        <v>13</v>
      </c>
      <c r="R552" s="162">
        <v>2</v>
      </c>
      <c r="S552" s="152">
        <v>4</v>
      </c>
      <c r="T552" s="152">
        <v>5</v>
      </c>
      <c r="U552" s="1">
        <v>4</v>
      </c>
      <c r="V552" s="1">
        <v>2</v>
      </c>
    </row>
    <row r="553" spans="17:22" x14ac:dyDescent="0.25">
      <c r="Q553" s="152">
        <v>13</v>
      </c>
      <c r="R553" s="162">
        <v>1</v>
      </c>
      <c r="S553" s="152">
        <v>3</v>
      </c>
      <c r="T553" s="152">
        <v>5</v>
      </c>
      <c r="U553" s="1">
        <v>3</v>
      </c>
      <c r="V553" s="1">
        <v>2</v>
      </c>
    </row>
    <row r="554" spans="17:22" x14ac:dyDescent="0.25">
      <c r="Q554" s="152">
        <v>12</v>
      </c>
      <c r="R554" s="162">
        <v>1</v>
      </c>
      <c r="S554" s="152">
        <v>3</v>
      </c>
      <c r="T554" s="152">
        <v>5</v>
      </c>
      <c r="U554" s="1">
        <v>4</v>
      </c>
      <c r="V554" s="1">
        <v>2</v>
      </c>
    </row>
    <row r="555" spans="17:22" x14ac:dyDescent="0.25">
      <c r="Q555" s="152">
        <v>12</v>
      </c>
      <c r="R555" s="162">
        <v>1</v>
      </c>
      <c r="S555" s="152">
        <v>4</v>
      </c>
      <c r="T555" s="152">
        <v>6</v>
      </c>
      <c r="U555" s="1">
        <v>4</v>
      </c>
      <c r="V555" s="1">
        <v>2</v>
      </c>
    </row>
    <row r="556" spans="17:22" x14ac:dyDescent="0.25">
      <c r="Q556" s="152">
        <v>13</v>
      </c>
      <c r="R556" s="162">
        <v>1</v>
      </c>
      <c r="S556" s="152">
        <v>4</v>
      </c>
      <c r="T556" s="152">
        <v>5</v>
      </c>
      <c r="U556" s="1">
        <v>4</v>
      </c>
      <c r="V556" s="1">
        <v>2</v>
      </c>
    </row>
    <row r="557" spans="17:22" x14ac:dyDescent="0.25">
      <c r="Q557" s="152">
        <v>11</v>
      </c>
      <c r="R557" s="162">
        <v>0</v>
      </c>
      <c r="S557" s="152">
        <v>3</v>
      </c>
      <c r="T557" s="152">
        <v>5</v>
      </c>
      <c r="U557" s="1">
        <v>3</v>
      </c>
      <c r="V557" s="1">
        <v>2</v>
      </c>
    </row>
    <row r="558" spans="17:22" x14ac:dyDescent="0.25">
      <c r="Q558" s="152">
        <v>13</v>
      </c>
      <c r="R558" s="162">
        <v>1</v>
      </c>
      <c r="S558" s="152">
        <v>3</v>
      </c>
      <c r="T558" s="152">
        <v>5</v>
      </c>
      <c r="U558" s="1">
        <v>3</v>
      </c>
      <c r="V558" s="1">
        <v>1</v>
      </c>
    </row>
    <row r="559" spans="17:22" x14ac:dyDescent="0.25">
      <c r="Q559" s="152">
        <v>13</v>
      </c>
      <c r="R559" s="162">
        <v>1</v>
      </c>
      <c r="S559" s="152">
        <v>3</v>
      </c>
      <c r="T559" s="152">
        <v>5</v>
      </c>
      <c r="U559" s="1">
        <v>3</v>
      </c>
      <c r="V559" s="1">
        <v>2</v>
      </c>
    </row>
    <row r="560" spans="17:22" x14ac:dyDescent="0.25">
      <c r="Q560" s="152">
        <v>13</v>
      </c>
      <c r="R560" s="162">
        <v>2</v>
      </c>
      <c r="S560" s="152">
        <v>4</v>
      </c>
      <c r="T560" s="152">
        <v>5</v>
      </c>
      <c r="U560" s="1">
        <v>3</v>
      </c>
      <c r="V560" s="1">
        <v>2</v>
      </c>
    </row>
    <row r="561" spans="17:22" x14ac:dyDescent="0.25">
      <c r="Q561" s="152">
        <v>11</v>
      </c>
      <c r="R561" s="162">
        <v>1</v>
      </c>
      <c r="S561" s="152">
        <v>4</v>
      </c>
      <c r="T561" s="152">
        <v>5</v>
      </c>
      <c r="U561" s="1">
        <v>4</v>
      </c>
      <c r="V561" s="1">
        <v>1</v>
      </c>
    </row>
    <row r="562" spans="17:22" x14ac:dyDescent="0.25">
      <c r="Q562" s="152">
        <v>13</v>
      </c>
      <c r="R562" s="162">
        <v>1</v>
      </c>
      <c r="S562" s="152">
        <v>3</v>
      </c>
      <c r="T562" s="152">
        <v>5</v>
      </c>
      <c r="U562" s="1">
        <v>3</v>
      </c>
      <c r="V562" s="1">
        <v>2</v>
      </c>
    </row>
    <row r="563" spans="17:22" x14ac:dyDescent="0.25">
      <c r="Q563" s="152">
        <v>12</v>
      </c>
      <c r="R563" s="162">
        <v>1</v>
      </c>
      <c r="S563" s="152">
        <v>4</v>
      </c>
      <c r="T563" s="152">
        <v>5</v>
      </c>
      <c r="U563" s="1">
        <v>4</v>
      </c>
      <c r="V563" s="1">
        <v>2</v>
      </c>
    </row>
    <row r="564" spans="17:22" x14ac:dyDescent="0.25">
      <c r="Q564" s="152">
        <v>12</v>
      </c>
      <c r="R564" s="162">
        <v>1</v>
      </c>
      <c r="S564" s="152">
        <v>4</v>
      </c>
      <c r="T564" s="152">
        <v>6</v>
      </c>
      <c r="U564" s="1">
        <v>4</v>
      </c>
      <c r="V564" s="1">
        <v>2</v>
      </c>
    </row>
    <row r="565" spans="17:22" x14ac:dyDescent="0.25">
      <c r="Q565" s="152">
        <v>11</v>
      </c>
      <c r="R565" s="162">
        <v>1</v>
      </c>
      <c r="S565" s="152">
        <v>4</v>
      </c>
      <c r="T565" s="152">
        <v>5</v>
      </c>
      <c r="U565" s="1">
        <v>4</v>
      </c>
      <c r="V565" s="1">
        <v>2</v>
      </c>
    </row>
    <row r="566" spans="17:22" x14ac:dyDescent="0.25">
      <c r="Q566" s="152">
        <v>11</v>
      </c>
      <c r="R566" s="162">
        <v>2</v>
      </c>
      <c r="S566" s="152">
        <v>4</v>
      </c>
      <c r="T566" s="152">
        <v>5</v>
      </c>
      <c r="U566" s="1">
        <v>3</v>
      </c>
      <c r="V566" s="1">
        <v>2</v>
      </c>
    </row>
    <row r="567" spans="17:22" x14ac:dyDescent="0.25">
      <c r="Q567" s="152">
        <v>12</v>
      </c>
      <c r="R567" s="162">
        <v>1</v>
      </c>
      <c r="S567" s="152">
        <v>4</v>
      </c>
      <c r="T567" s="152">
        <v>5</v>
      </c>
      <c r="U567" s="1">
        <v>3</v>
      </c>
      <c r="V567" s="1">
        <v>2</v>
      </c>
    </row>
    <row r="568" spans="17:22" x14ac:dyDescent="0.25">
      <c r="Q568" s="152">
        <v>11</v>
      </c>
      <c r="R568" s="162">
        <v>0</v>
      </c>
      <c r="S568" s="152">
        <v>4</v>
      </c>
      <c r="T568" s="152">
        <v>5</v>
      </c>
      <c r="U568" s="1">
        <v>4</v>
      </c>
      <c r="V568" s="1">
        <v>1</v>
      </c>
    </row>
    <row r="569" spans="17:22" x14ac:dyDescent="0.25">
      <c r="Q569" s="152">
        <v>13</v>
      </c>
      <c r="R569" s="162">
        <v>2</v>
      </c>
      <c r="S569" s="152">
        <v>3</v>
      </c>
      <c r="T569" s="152">
        <v>5</v>
      </c>
      <c r="U569" s="1">
        <v>4</v>
      </c>
      <c r="V569" s="1">
        <v>1</v>
      </c>
    </row>
    <row r="570" spans="17:22" x14ac:dyDescent="0.25">
      <c r="Q570" s="152">
        <v>12</v>
      </c>
      <c r="R570" s="162">
        <v>2</v>
      </c>
      <c r="S570" s="152">
        <v>3</v>
      </c>
      <c r="T570" s="152">
        <v>5</v>
      </c>
      <c r="U570" s="1">
        <v>4</v>
      </c>
      <c r="V570" s="1">
        <v>2</v>
      </c>
    </row>
    <row r="571" spans="17:22" x14ac:dyDescent="0.25">
      <c r="Q571" s="152">
        <v>12</v>
      </c>
      <c r="R571" s="162">
        <v>2</v>
      </c>
      <c r="S571" s="152">
        <v>4</v>
      </c>
      <c r="T571" s="152">
        <v>6</v>
      </c>
      <c r="U571" s="1">
        <v>4</v>
      </c>
      <c r="V571" s="1">
        <v>1</v>
      </c>
    </row>
    <row r="572" spans="17:22" x14ac:dyDescent="0.25">
      <c r="Q572" s="152">
        <v>13</v>
      </c>
      <c r="R572" s="162">
        <v>1</v>
      </c>
      <c r="S572" s="152">
        <v>4</v>
      </c>
      <c r="T572" s="152">
        <v>5</v>
      </c>
      <c r="U572" s="1">
        <v>3</v>
      </c>
      <c r="V572" s="1">
        <v>2</v>
      </c>
    </row>
    <row r="573" spans="17:22" x14ac:dyDescent="0.25">
      <c r="Q573" s="152">
        <v>12</v>
      </c>
      <c r="R573" s="162">
        <v>1</v>
      </c>
      <c r="S573" s="152">
        <v>4</v>
      </c>
      <c r="T573" s="152">
        <v>5</v>
      </c>
      <c r="U573" s="1">
        <v>4</v>
      </c>
      <c r="V573" s="1">
        <v>2</v>
      </c>
    </row>
    <row r="574" spans="17:22" x14ac:dyDescent="0.25">
      <c r="Q574" s="152">
        <v>11</v>
      </c>
      <c r="R574" s="162">
        <v>2</v>
      </c>
      <c r="S574" s="152">
        <v>3</v>
      </c>
      <c r="T574" s="152">
        <v>5</v>
      </c>
      <c r="U574" s="1">
        <v>4</v>
      </c>
      <c r="V574" s="1">
        <v>1</v>
      </c>
    </row>
    <row r="575" spans="17:22" x14ac:dyDescent="0.25">
      <c r="Q575" s="152">
        <v>13</v>
      </c>
      <c r="R575" s="162">
        <v>1</v>
      </c>
      <c r="S575" s="152">
        <v>3</v>
      </c>
      <c r="T575" s="152">
        <v>5</v>
      </c>
      <c r="U575" s="1">
        <v>3</v>
      </c>
      <c r="V575" s="1">
        <v>2</v>
      </c>
    </row>
    <row r="576" spans="17:22" x14ac:dyDescent="0.25">
      <c r="Q576" s="152">
        <v>11</v>
      </c>
      <c r="R576" s="162">
        <v>1</v>
      </c>
      <c r="S576" s="152">
        <v>4</v>
      </c>
      <c r="T576" s="152">
        <v>5</v>
      </c>
      <c r="U576" s="1">
        <v>3</v>
      </c>
      <c r="V576" s="1">
        <v>2</v>
      </c>
    </row>
    <row r="577" spans="17:22" x14ac:dyDescent="0.25">
      <c r="Q577" s="152">
        <v>13</v>
      </c>
      <c r="R577" s="162">
        <v>2</v>
      </c>
      <c r="S577" s="152">
        <v>3</v>
      </c>
      <c r="T577" s="152">
        <v>5</v>
      </c>
      <c r="U577" s="1">
        <v>3</v>
      </c>
      <c r="V577" s="1">
        <v>2</v>
      </c>
    </row>
    <row r="578" spans="17:22" x14ac:dyDescent="0.25">
      <c r="Q578" s="152">
        <v>12</v>
      </c>
      <c r="R578" s="162">
        <v>0</v>
      </c>
      <c r="S578" s="152">
        <v>4</v>
      </c>
      <c r="T578" s="152">
        <v>5</v>
      </c>
      <c r="U578" s="1">
        <v>3</v>
      </c>
      <c r="V578" s="1">
        <v>2</v>
      </c>
    </row>
    <row r="579" spans="17:22" x14ac:dyDescent="0.25">
      <c r="Q579" s="152">
        <v>11</v>
      </c>
      <c r="R579" s="162">
        <v>0</v>
      </c>
      <c r="S579" s="152">
        <v>3</v>
      </c>
      <c r="T579" s="152">
        <v>5</v>
      </c>
      <c r="U579" s="1">
        <v>3</v>
      </c>
      <c r="V579" s="1">
        <v>2</v>
      </c>
    </row>
    <row r="580" spans="17:22" x14ac:dyDescent="0.25">
      <c r="Q580" s="152">
        <v>13</v>
      </c>
      <c r="R580" s="162">
        <v>1</v>
      </c>
      <c r="S580" s="152">
        <v>3</v>
      </c>
      <c r="T580" s="152">
        <v>5</v>
      </c>
      <c r="U580" s="1">
        <v>4</v>
      </c>
      <c r="V580" s="1">
        <v>2</v>
      </c>
    </row>
    <row r="581" spans="17:22" x14ac:dyDescent="0.25">
      <c r="Q581" s="152">
        <v>13</v>
      </c>
      <c r="R581" s="162">
        <v>1</v>
      </c>
      <c r="S581" s="152">
        <v>4</v>
      </c>
      <c r="T581" s="152">
        <v>5</v>
      </c>
      <c r="U581" s="1">
        <v>3</v>
      </c>
      <c r="V581" s="1">
        <v>2</v>
      </c>
    </row>
    <row r="582" spans="17:22" x14ac:dyDescent="0.25">
      <c r="Q582" s="152">
        <v>12</v>
      </c>
      <c r="R582" s="162">
        <v>1</v>
      </c>
      <c r="S582" s="152">
        <v>4</v>
      </c>
      <c r="T582" s="152">
        <v>5</v>
      </c>
      <c r="U582" s="1">
        <v>3</v>
      </c>
      <c r="V582" s="1">
        <v>2</v>
      </c>
    </row>
    <row r="583" spans="17:22" x14ac:dyDescent="0.25">
      <c r="Q583" s="152">
        <v>11</v>
      </c>
      <c r="R583" s="162">
        <v>2</v>
      </c>
      <c r="S583" s="152">
        <v>3</v>
      </c>
      <c r="T583" s="152">
        <v>6</v>
      </c>
      <c r="U583" s="1">
        <v>4</v>
      </c>
      <c r="V583" s="1">
        <v>2</v>
      </c>
    </row>
    <row r="584" spans="17:22" x14ac:dyDescent="0.25">
      <c r="Q584" s="152">
        <v>11</v>
      </c>
      <c r="R584" s="162">
        <v>0</v>
      </c>
      <c r="S584" s="152">
        <v>4</v>
      </c>
      <c r="T584" s="152">
        <v>5</v>
      </c>
      <c r="U584" s="1">
        <v>3</v>
      </c>
      <c r="V584" s="1">
        <v>2</v>
      </c>
    </row>
    <row r="585" spans="17:22" x14ac:dyDescent="0.25">
      <c r="Q585" s="152">
        <v>12</v>
      </c>
      <c r="R585" s="162">
        <v>2</v>
      </c>
      <c r="S585" s="152">
        <v>4</v>
      </c>
      <c r="T585" s="152">
        <v>6</v>
      </c>
      <c r="U585" s="1">
        <v>3</v>
      </c>
      <c r="V585" s="1">
        <v>2</v>
      </c>
    </row>
    <row r="586" spans="17:22" x14ac:dyDescent="0.25">
      <c r="Q586" s="152">
        <v>12</v>
      </c>
      <c r="R586" s="162">
        <v>1</v>
      </c>
      <c r="S586" s="152">
        <v>3</v>
      </c>
      <c r="T586" s="152">
        <v>5</v>
      </c>
      <c r="U586" s="1">
        <v>4</v>
      </c>
      <c r="V586" s="1">
        <v>2</v>
      </c>
    </row>
    <row r="587" spans="17:22" x14ac:dyDescent="0.25">
      <c r="Q587" s="152">
        <v>12</v>
      </c>
      <c r="R587" s="162">
        <v>2</v>
      </c>
      <c r="S587" s="152">
        <v>4</v>
      </c>
      <c r="T587" s="152">
        <v>5</v>
      </c>
      <c r="U587" s="1">
        <v>4</v>
      </c>
      <c r="V587" s="1">
        <v>2</v>
      </c>
    </row>
    <row r="588" spans="17:22" x14ac:dyDescent="0.25">
      <c r="Q588" s="152">
        <v>13</v>
      </c>
      <c r="R588" s="162">
        <v>0</v>
      </c>
      <c r="S588" s="152">
        <v>4</v>
      </c>
      <c r="T588" s="152">
        <v>5</v>
      </c>
      <c r="U588" s="1">
        <v>4</v>
      </c>
      <c r="V588" s="1">
        <v>2</v>
      </c>
    </row>
    <row r="589" spans="17:22" x14ac:dyDescent="0.25">
      <c r="Q589" s="152">
        <v>12</v>
      </c>
      <c r="R589" s="162">
        <v>1</v>
      </c>
      <c r="S589" s="152">
        <v>4</v>
      </c>
      <c r="T589" s="152">
        <v>5</v>
      </c>
      <c r="U589" s="1">
        <v>4</v>
      </c>
      <c r="V589" s="1">
        <v>2</v>
      </c>
    </row>
    <row r="590" spans="17:22" x14ac:dyDescent="0.25">
      <c r="Q590" s="152">
        <v>11</v>
      </c>
      <c r="R590" s="162">
        <v>1</v>
      </c>
      <c r="S590" s="152">
        <v>3</v>
      </c>
      <c r="T590" s="152">
        <v>5</v>
      </c>
      <c r="U590" s="1">
        <v>3</v>
      </c>
      <c r="V590" s="1">
        <v>2</v>
      </c>
    </row>
    <row r="591" spans="17:22" x14ac:dyDescent="0.25">
      <c r="Q591" s="152">
        <v>13</v>
      </c>
      <c r="R591" s="162">
        <v>1</v>
      </c>
      <c r="S591" s="152">
        <v>3</v>
      </c>
      <c r="T591" s="152">
        <v>5</v>
      </c>
      <c r="U591" s="1">
        <v>1</v>
      </c>
      <c r="V591" s="1">
        <v>2</v>
      </c>
    </row>
    <row r="592" spans="17:22" x14ac:dyDescent="0.25">
      <c r="Q592" s="152">
        <v>13</v>
      </c>
      <c r="R592" s="162">
        <v>1</v>
      </c>
      <c r="S592" s="152">
        <v>4</v>
      </c>
      <c r="T592" s="152">
        <v>5</v>
      </c>
      <c r="U592" s="1">
        <v>3</v>
      </c>
      <c r="V592" s="1">
        <v>2</v>
      </c>
    </row>
    <row r="593" spans="17:22" x14ac:dyDescent="0.25">
      <c r="Q593" s="152">
        <v>12</v>
      </c>
      <c r="R593" s="162">
        <v>2</v>
      </c>
      <c r="S593" s="152">
        <v>4</v>
      </c>
      <c r="T593" s="152">
        <v>5</v>
      </c>
      <c r="U593" s="1">
        <v>3</v>
      </c>
      <c r="V593" s="1">
        <v>2</v>
      </c>
    </row>
    <row r="594" spans="17:22" x14ac:dyDescent="0.25">
      <c r="Q594" s="152">
        <v>11</v>
      </c>
      <c r="R594" s="162">
        <v>1</v>
      </c>
      <c r="S594" s="152">
        <v>4</v>
      </c>
      <c r="T594" s="152">
        <v>6</v>
      </c>
      <c r="U594" s="1">
        <v>4</v>
      </c>
      <c r="V594" s="1">
        <v>2</v>
      </c>
    </row>
    <row r="595" spans="17:22" x14ac:dyDescent="0.25">
      <c r="Q595" s="152">
        <v>11</v>
      </c>
      <c r="R595" s="162">
        <v>2</v>
      </c>
      <c r="S595" s="152">
        <v>4</v>
      </c>
      <c r="T595" s="152">
        <v>5</v>
      </c>
      <c r="U595" s="1">
        <v>3</v>
      </c>
      <c r="V595" s="1">
        <v>2</v>
      </c>
    </row>
    <row r="596" spans="17:22" x14ac:dyDescent="0.25">
      <c r="Q596" s="152">
        <v>11</v>
      </c>
      <c r="R596" s="162">
        <v>2</v>
      </c>
      <c r="S596" s="152">
        <v>3</v>
      </c>
      <c r="T596" s="152">
        <v>5</v>
      </c>
      <c r="U596" s="1">
        <v>4</v>
      </c>
      <c r="V596" s="1">
        <v>2</v>
      </c>
    </row>
    <row r="597" spans="17:22" x14ac:dyDescent="0.25">
      <c r="Q597" s="152">
        <v>12</v>
      </c>
      <c r="R597" s="162">
        <v>2</v>
      </c>
      <c r="S597" s="152">
        <v>3</v>
      </c>
      <c r="T597" s="152">
        <v>5</v>
      </c>
      <c r="U597" s="1">
        <v>3</v>
      </c>
      <c r="V597" s="1">
        <v>1</v>
      </c>
    </row>
    <row r="598" spans="17:22" x14ac:dyDescent="0.25">
      <c r="Q598" s="152">
        <v>13</v>
      </c>
      <c r="R598" s="162">
        <v>1</v>
      </c>
      <c r="S598" s="152">
        <v>4</v>
      </c>
      <c r="T598" s="152">
        <v>5</v>
      </c>
      <c r="U598" s="1">
        <v>1</v>
      </c>
      <c r="V598" s="1">
        <v>2</v>
      </c>
    </row>
    <row r="599" spans="17:22" x14ac:dyDescent="0.25">
      <c r="Q599" s="152">
        <v>12</v>
      </c>
      <c r="R599" s="162">
        <v>1</v>
      </c>
      <c r="S599" s="152">
        <v>3</v>
      </c>
      <c r="T599" s="152">
        <v>5</v>
      </c>
      <c r="U599" s="1">
        <v>4</v>
      </c>
      <c r="V599" s="1">
        <v>2</v>
      </c>
    </row>
    <row r="600" spans="17:22" x14ac:dyDescent="0.25">
      <c r="Q600" s="152">
        <v>13</v>
      </c>
      <c r="R600" s="162">
        <v>2</v>
      </c>
      <c r="S600" s="152">
        <v>4</v>
      </c>
      <c r="T600" s="152">
        <v>5</v>
      </c>
      <c r="U600" s="1">
        <v>4</v>
      </c>
      <c r="V600" s="1">
        <v>1</v>
      </c>
    </row>
    <row r="601" spans="17:22" x14ac:dyDescent="0.25">
      <c r="Q601" s="152">
        <v>11</v>
      </c>
      <c r="R601" s="162">
        <v>1</v>
      </c>
      <c r="S601" s="152">
        <v>4</v>
      </c>
      <c r="T601" s="152">
        <v>6</v>
      </c>
      <c r="U601" s="1">
        <v>4</v>
      </c>
      <c r="V601" s="1">
        <v>2</v>
      </c>
    </row>
    <row r="602" spans="17:22" x14ac:dyDescent="0.25">
      <c r="Q602" s="152">
        <v>11</v>
      </c>
      <c r="R602" s="162">
        <v>0</v>
      </c>
      <c r="S602" s="152">
        <v>3</v>
      </c>
      <c r="T602" s="152">
        <v>5</v>
      </c>
      <c r="U602" s="1">
        <v>3</v>
      </c>
      <c r="V602" s="1">
        <v>2</v>
      </c>
    </row>
    <row r="603" spans="17:22" x14ac:dyDescent="0.25">
      <c r="Q603" s="152">
        <v>12</v>
      </c>
      <c r="R603" s="162">
        <v>2</v>
      </c>
      <c r="S603" s="152">
        <v>3</v>
      </c>
      <c r="T603" s="152">
        <v>6</v>
      </c>
      <c r="U603" s="1">
        <v>4</v>
      </c>
      <c r="V603" s="1">
        <v>2</v>
      </c>
    </row>
    <row r="604" spans="17:22" x14ac:dyDescent="0.25">
      <c r="Q604" s="152">
        <v>12</v>
      </c>
      <c r="R604" s="162">
        <v>0</v>
      </c>
      <c r="S604" s="152">
        <v>4</v>
      </c>
      <c r="T604" s="152">
        <v>5</v>
      </c>
      <c r="U604" s="1">
        <v>4</v>
      </c>
      <c r="V604" s="1">
        <v>2</v>
      </c>
    </row>
    <row r="605" spans="17:22" x14ac:dyDescent="0.25">
      <c r="Q605" s="152">
        <v>12</v>
      </c>
      <c r="R605" s="162">
        <v>1</v>
      </c>
      <c r="S605" s="152">
        <v>3</v>
      </c>
      <c r="T605" s="152">
        <v>5</v>
      </c>
      <c r="U605" s="1">
        <v>4</v>
      </c>
      <c r="V605" s="1">
        <v>2</v>
      </c>
    </row>
    <row r="606" spans="17:22" x14ac:dyDescent="0.25">
      <c r="Q606" s="152">
        <v>12</v>
      </c>
      <c r="R606" s="162">
        <v>1</v>
      </c>
      <c r="S606" s="152">
        <v>4</v>
      </c>
      <c r="T606" s="152">
        <v>5</v>
      </c>
      <c r="U606" s="1">
        <v>3</v>
      </c>
      <c r="V606" s="1">
        <v>1</v>
      </c>
    </row>
    <row r="607" spans="17:22" x14ac:dyDescent="0.25">
      <c r="Q607" s="152">
        <v>12</v>
      </c>
      <c r="R607" s="162">
        <v>2</v>
      </c>
      <c r="S607" s="152">
        <v>3</v>
      </c>
      <c r="T607" s="152">
        <v>5</v>
      </c>
      <c r="U607" s="1">
        <v>3</v>
      </c>
      <c r="V607" s="1">
        <v>2</v>
      </c>
    </row>
    <row r="608" spans="17:22" x14ac:dyDescent="0.25">
      <c r="Q608" s="152">
        <v>12</v>
      </c>
      <c r="R608" s="162">
        <v>1</v>
      </c>
      <c r="S608" s="152">
        <v>4</v>
      </c>
      <c r="T608" s="152">
        <v>5</v>
      </c>
      <c r="U608" s="1">
        <v>3</v>
      </c>
      <c r="V608" s="1">
        <v>2</v>
      </c>
    </row>
    <row r="609" spans="17:22" x14ac:dyDescent="0.25">
      <c r="Q609" s="152">
        <v>13</v>
      </c>
      <c r="R609" s="162">
        <v>1</v>
      </c>
      <c r="S609" s="152">
        <v>4</v>
      </c>
      <c r="T609" s="152">
        <v>6</v>
      </c>
      <c r="U609" s="1">
        <v>3</v>
      </c>
      <c r="V609" s="1">
        <v>2</v>
      </c>
    </row>
    <row r="610" spans="17:22" x14ac:dyDescent="0.25">
      <c r="Q610" s="152">
        <v>13</v>
      </c>
      <c r="R610" s="162">
        <v>0</v>
      </c>
      <c r="S610" s="152">
        <v>4</v>
      </c>
      <c r="T610" s="152">
        <v>5</v>
      </c>
      <c r="U610" s="1">
        <v>3</v>
      </c>
      <c r="V610" s="1">
        <v>2</v>
      </c>
    </row>
    <row r="611" spans="17:22" x14ac:dyDescent="0.25">
      <c r="Q611" s="152">
        <v>11</v>
      </c>
      <c r="R611" s="162">
        <v>1</v>
      </c>
      <c r="S611" s="152">
        <v>4</v>
      </c>
      <c r="T611" s="152">
        <v>5</v>
      </c>
      <c r="U611" s="1">
        <v>3</v>
      </c>
      <c r="V611" s="1">
        <v>1</v>
      </c>
    </row>
    <row r="612" spans="17:22" x14ac:dyDescent="0.25">
      <c r="Q612" s="152">
        <v>12</v>
      </c>
      <c r="R612" s="162">
        <v>0</v>
      </c>
      <c r="S612" s="152">
        <v>3</v>
      </c>
      <c r="T612" s="152">
        <v>6</v>
      </c>
      <c r="U612" s="1">
        <v>3</v>
      </c>
      <c r="V612" s="1">
        <v>2</v>
      </c>
    </row>
    <row r="613" spans="17:22" x14ac:dyDescent="0.25">
      <c r="Q613" s="152">
        <v>12</v>
      </c>
      <c r="R613" s="162">
        <v>0</v>
      </c>
      <c r="S613" s="152">
        <v>4</v>
      </c>
      <c r="T613" s="152">
        <v>5</v>
      </c>
      <c r="U613" s="1">
        <v>3</v>
      </c>
      <c r="V613" s="1">
        <v>1</v>
      </c>
    </row>
    <row r="614" spans="17:22" x14ac:dyDescent="0.25">
      <c r="Q614" s="152">
        <v>13</v>
      </c>
      <c r="R614" s="162">
        <v>1</v>
      </c>
      <c r="S614" s="152">
        <v>4</v>
      </c>
      <c r="T614" s="152">
        <v>5</v>
      </c>
      <c r="U614" s="1">
        <v>4</v>
      </c>
      <c r="V614" s="1">
        <v>1</v>
      </c>
    </row>
    <row r="615" spans="17:22" x14ac:dyDescent="0.25">
      <c r="Q615" s="152">
        <v>12</v>
      </c>
      <c r="R615" s="162">
        <v>0</v>
      </c>
      <c r="S615" s="152">
        <v>3</v>
      </c>
      <c r="T615" s="152">
        <v>5</v>
      </c>
      <c r="U615" s="1">
        <v>4</v>
      </c>
      <c r="V615" s="1">
        <v>2</v>
      </c>
    </row>
    <row r="616" spans="17:22" x14ac:dyDescent="0.25">
      <c r="Q616" s="152">
        <v>11</v>
      </c>
      <c r="R616" s="162">
        <v>1</v>
      </c>
      <c r="S616" s="152">
        <v>3</v>
      </c>
      <c r="T616" s="152">
        <v>5</v>
      </c>
      <c r="U616" s="1">
        <v>4</v>
      </c>
      <c r="V616" s="1">
        <v>2</v>
      </c>
    </row>
    <row r="617" spans="17:22" x14ac:dyDescent="0.25">
      <c r="Q617" s="152">
        <v>12</v>
      </c>
      <c r="R617" s="162">
        <v>1</v>
      </c>
      <c r="S617" s="152">
        <v>3</v>
      </c>
      <c r="T617" s="152">
        <v>5</v>
      </c>
      <c r="U617" s="1">
        <v>4</v>
      </c>
      <c r="V617" s="1">
        <v>2</v>
      </c>
    </row>
    <row r="618" spans="17:22" x14ac:dyDescent="0.25">
      <c r="Q618" s="152">
        <v>13</v>
      </c>
      <c r="R618" s="162">
        <v>2</v>
      </c>
      <c r="S618" s="152">
        <v>4</v>
      </c>
      <c r="T618" s="152">
        <v>5</v>
      </c>
      <c r="U618" s="1">
        <v>3</v>
      </c>
      <c r="V618" s="1">
        <v>2</v>
      </c>
    </row>
    <row r="619" spans="17:22" x14ac:dyDescent="0.25">
      <c r="Q619" s="152">
        <v>12</v>
      </c>
      <c r="R619" s="162">
        <v>1</v>
      </c>
      <c r="S619" s="152">
        <v>4</v>
      </c>
      <c r="T619" s="152">
        <v>5</v>
      </c>
      <c r="U619" s="1">
        <v>3</v>
      </c>
      <c r="V619" s="1">
        <v>2</v>
      </c>
    </row>
    <row r="620" spans="17:22" x14ac:dyDescent="0.25">
      <c r="Q620" s="152">
        <v>12</v>
      </c>
      <c r="R620" s="162">
        <v>2</v>
      </c>
      <c r="S620" s="152">
        <v>3</v>
      </c>
      <c r="T620" s="152">
        <v>5</v>
      </c>
      <c r="U620" s="1">
        <v>3</v>
      </c>
      <c r="V620" s="1">
        <v>2</v>
      </c>
    </row>
    <row r="621" spans="17:22" x14ac:dyDescent="0.25">
      <c r="Q621" s="152">
        <v>11</v>
      </c>
      <c r="R621" s="162">
        <v>1</v>
      </c>
      <c r="S621" s="152">
        <v>4</v>
      </c>
      <c r="T621" s="152">
        <v>5</v>
      </c>
      <c r="U621" s="1">
        <v>4</v>
      </c>
      <c r="V621" s="1">
        <v>2</v>
      </c>
    </row>
    <row r="622" spans="17:22" x14ac:dyDescent="0.25">
      <c r="Q622" s="152">
        <v>13</v>
      </c>
      <c r="R622" s="162">
        <v>2</v>
      </c>
      <c r="S622" s="152">
        <v>4</v>
      </c>
      <c r="T622" s="152">
        <v>5</v>
      </c>
      <c r="U622" s="1">
        <v>4</v>
      </c>
      <c r="V622" s="1">
        <v>2</v>
      </c>
    </row>
    <row r="623" spans="17:22" x14ac:dyDescent="0.25">
      <c r="Q623" s="152">
        <v>12</v>
      </c>
      <c r="R623" s="162">
        <v>2</v>
      </c>
      <c r="S623" s="152">
        <v>4</v>
      </c>
      <c r="T623" s="152">
        <v>5</v>
      </c>
      <c r="U623" s="1">
        <v>3</v>
      </c>
      <c r="V623" s="1">
        <v>2</v>
      </c>
    </row>
    <row r="624" spans="17:22" x14ac:dyDescent="0.25">
      <c r="Q624" s="152">
        <v>12</v>
      </c>
      <c r="R624" s="162">
        <v>2</v>
      </c>
      <c r="S624" s="152">
        <v>4</v>
      </c>
      <c r="T624" s="152">
        <v>5</v>
      </c>
      <c r="U624" s="1">
        <v>4</v>
      </c>
      <c r="V624" s="1">
        <v>2</v>
      </c>
    </row>
    <row r="625" spans="17:22" x14ac:dyDescent="0.25">
      <c r="Q625" s="152">
        <v>11</v>
      </c>
      <c r="R625" s="162">
        <v>1</v>
      </c>
      <c r="S625" s="152">
        <v>4</v>
      </c>
      <c r="T625" s="152">
        <v>5</v>
      </c>
      <c r="U625" s="1">
        <v>4</v>
      </c>
      <c r="V625" s="1">
        <v>2</v>
      </c>
    </row>
    <row r="626" spans="17:22" x14ac:dyDescent="0.25">
      <c r="Q626" s="152">
        <v>11</v>
      </c>
      <c r="R626" s="162">
        <v>1</v>
      </c>
      <c r="S626" s="152">
        <v>3</v>
      </c>
      <c r="T626" s="152">
        <v>5</v>
      </c>
      <c r="U626" s="1">
        <v>4</v>
      </c>
      <c r="V626" s="1">
        <v>1</v>
      </c>
    </row>
    <row r="627" spans="17:22" x14ac:dyDescent="0.25">
      <c r="Q627" s="152">
        <v>11</v>
      </c>
      <c r="R627" s="162">
        <v>1</v>
      </c>
      <c r="S627" s="152">
        <v>3</v>
      </c>
      <c r="T627" s="152">
        <v>5</v>
      </c>
      <c r="U627" s="1">
        <v>4</v>
      </c>
      <c r="V627" s="1">
        <v>2</v>
      </c>
    </row>
    <row r="628" spans="17:22" x14ac:dyDescent="0.25">
      <c r="Q628" s="152">
        <v>13</v>
      </c>
      <c r="R628" s="162">
        <v>2</v>
      </c>
      <c r="S628" s="152">
        <v>3</v>
      </c>
      <c r="T628" s="152">
        <v>5</v>
      </c>
      <c r="U628" s="1">
        <v>4</v>
      </c>
      <c r="V628" s="1">
        <v>2</v>
      </c>
    </row>
    <row r="629" spans="17:22" x14ac:dyDescent="0.25">
      <c r="Q629" s="152">
        <v>12</v>
      </c>
      <c r="R629" s="162">
        <v>1</v>
      </c>
      <c r="S629" s="152">
        <v>3</v>
      </c>
      <c r="T629" s="152">
        <v>6</v>
      </c>
      <c r="U629" s="1">
        <v>4</v>
      </c>
      <c r="V629" s="1">
        <v>2</v>
      </c>
    </row>
    <row r="630" spans="17:22" x14ac:dyDescent="0.25">
      <c r="Q630" s="152">
        <v>11</v>
      </c>
      <c r="R630" s="162">
        <v>0</v>
      </c>
      <c r="S630" s="152">
        <v>4</v>
      </c>
      <c r="T630" s="152">
        <v>5</v>
      </c>
      <c r="U630" s="1">
        <v>4</v>
      </c>
      <c r="V630" s="1">
        <v>2</v>
      </c>
    </row>
    <row r="631" spans="17:22" x14ac:dyDescent="0.25">
      <c r="Q631" s="152">
        <v>12</v>
      </c>
      <c r="R631" s="162">
        <v>0</v>
      </c>
      <c r="S631" s="152">
        <v>3</v>
      </c>
      <c r="T631" s="152">
        <v>6</v>
      </c>
      <c r="U631" s="1">
        <v>4</v>
      </c>
      <c r="V631" s="1">
        <v>2</v>
      </c>
    </row>
    <row r="632" spans="17:22" x14ac:dyDescent="0.25">
      <c r="Q632" s="152">
        <v>13</v>
      </c>
      <c r="R632" s="162">
        <v>1</v>
      </c>
      <c r="S632" s="152">
        <v>4</v>
      </c>
      <c r="T632" s="152">
        <v>6</v>
      </c>
      <c r="U632" s="1">
        <v>3</v>
      </c>
      <c r="V632" s="1">
        <v>1</v>
      </c>
    </row>
    <row r="633" spans="17:22" x14ac:dyDescent="0.25">
      <c r="Q633" s="152">
        <v>11</v>
      </c>
      <c r="R633" s="162">
        <v>1</v>
      </c>
      <c r="S633" s="152">
        <v>4</v>
      </c>
      <c r="T633" s="152">
        <v>6</v>
      </c>
      <c r="U633" s="1">
        <v>4</v>
      </c>
      <c r="V633" s="1">
        <v>2</v>
      </c>
    </row>
    <row r="634" spans="17:22" x14ac:dyDescent="0.25">
      <c r="Q634" s="152">
        <v>12</v>
      </c>
      <c r="R634" s="162">
        <v>2</v>
      </c>
      <c r="S634" s="152">
        <v>3</v>
      </c>
      <c r="T634" s="152">
        <v>5</v>
      </c>
      <c r="U634" s="1">
        <v>4</v>
      </c>
      <c r="V634" s="1">
        <v>2</v>
      </c>
    </row>
    <row r="635" spans="17:22" x14ac:dyDescent="0.25">
      <c r="Q635" s="152">
        <v>13</v>
      </c>
      <c r="R635" s="162">
        <v>2</v>
      </c>
      <c r="S635" s="152">
        <v>4</v>
      </c>
      <c r="T635" s="152">
        <v>5</v>
      </c>
      <c r="U635" s="1">
        <v>4</v>
      </c>
      <c r="V635" s="1">
        <v>2</v>
      </c>
    </row>
    <row r="636" spans="17:22" x14ac:dyDescent="0.25">
      <c r="Q636" s="152">
        <v>12</v>
      </c>
      <c r="R636" s="162">
        <v>2</v>
      </c>
      <c r="S636" s="152">
        <v>4</v>
      </c>
      <c r="T636" s="152">
        <v>6</v>
      </c>
      <c r="U636" s="1">
        <v>4</v>
      </c>
      <c r="V636" s="1">
        <v>2</v>
      </c>
    </row>
    <row r="637" spans="17:22" x14ac:dyDescent="0.25">
      <c r="Q637" s="152">
        <v>11</v>
      </c>
      <c r="R637" s="162">
        <v>1</v>
      </c>
      <c r="S637" s="152">
        <v>3</v>
      </c>
      <c r="T637" s="152">
        <v>6</v>
      </c>
      <c r="U637" s="1">
        <v>4</v>
      </c>
      <c r="V637" s="1">
        <v>1</v>
      </c>
    </row>
    <row r="638" spans="17:22" x14ac:dyDescent="0.25">
      <c r="Q638" s="152">
        <v>13</v>
      </c>
      <c r="R638" s="162">
        <v>1</v>
      </c>
      <c r="S638" s="152">
        <v>3</v>
      </c>
      <c r="T638" s="152">
        <v>5</v>
      </c>
      <c r="U638" s="1">
        <v>3</v>
      </c>
      <c r="V638" s="1">
        <v>1</v>
      </c>
    </row>
    <row r="639" spans="17:22" x14ac:dyDescent="0.25">
      <c r="Q639" s="152">
        <v>13</v>
      </c>
      <c r="R639" s="162">
        <v>1</v>
      </c>
      <c r="S639" s="152">
        <v>4</v>
      </c>
      <c r="T639" s="152">
        <v>5</v>
      </c>
      <c r="U639" s="1">
        <v>4</v>
      </c>
      <c r="V639" s="1">
        <v>1</v>
      </c>
    </row>
    <row r="640" spans="17:22" x14ac:dyDescent="0.25">
      <c r="Q640" s="152">
        <v>12</v>
      </c>
      <c r="R640" s="162">
        <v>1</v>
      </c>
      <c r="S640" s="152">
        <v>3</v>
      </c>
      <c r="T640" s="152">
        <v>5</v>
      </c>
      <c r="U640" s="1">
        <v>4</v>
      </c>
      <c r="V640" s="1">
        <v>2</v>
      </c>
    </row>
    <row r="641" spans="17:22" x14ac:dyDescent="0.25">
      <c r="Q641" s="152">
        <v>12</v>
      </c>
      <c r="R641" s="162">
        <v>0</v>
      </c>
      <c r="S641" s="152">
        <v>4</v>
      </c>
      <c r="T641" s="152">
        <v>5</v>
      </c>
      <c r="U641" s="1">
        <v>4</v>
      </c>
      <c r="V641" s="1">
        <v>1</v>
      </c>
    </row>
    <row r="642" spans="17:22" x14ac:dyDescent="0.25">
      <c r="Q642" s="152">
        <v>12</v>
      </c>
      <c r="R642" s="162">
        <v>2</v>
      </c>
      <c r="S642" s="152">
        <v>4</v>
      </c>
      <c r="T642" s="152">
        <v>5</v>
      </c>
      <c r="U642" s="1">
        <v>3</v>
      </c>
      <c r="V642" s="1">
        <v>1</v>
      </c>
    </row>
    <row r="643" spans="17:22" x14ac:dyDescent="0.25">
      <c r="Q643" s="152">
        <v>13</v>
      </c>
      <c r="R643" s="162">
        <v>1</v>
      </c>
      <c r="S643" s="152">
        <v>4</v>
      </c>
      <c r="T643" s="152">
        <v>5</v>
      </c>
      <c r="U643" s="1">
        <v>4</v>
      </c>
      <c r="V643" s="1">
        <v>1</v>
      </c>
    </row>
    <row r="644" spans="17:22" x14ac:dyDescent="0.25">
      <c r="Q644" s="152">
        <v>11</v>
      </c>
      <c r="R644" s="162">
        <v>1</v>
      </c>
      <c r="S644" s="152">
        <v>3</v>
      </c>
      <c r="T644" s="152">
        <v>5</v>
      </c>
      <c r="U644" s="1">
        <v>3</v>
      </c>
      <c r="V644" s="1">
        <v>2</v>
      </c>
    </row>
    <row r="645" spans="17:22" x14ac:dyDescent="0.25">
      <c r="Q645" s="152">
        <v>12</v>
      </c>
      <c r="R645" s="162">
        <v>1</v>
      </c>
      <c r="S645" s="152">
        <v>4</v>
      </c>
      <c r="T645" s="152">
        <v>6</v>
      </c>
      <c r="U645" s="1">
        <v>4</v>
      </c>
      <c r="V645" s="1">
        <v>2</v>
      </c>
    </row>
    <row r="646" spans="17:22" x14ac:dyDescent="0.25">
      <c r="Q646" s="152">
        <v>13</v>
      </c>
      <c r="R646" s="162">
        <v>1</v>
      </c>
      <c r="S646" s="152">
        <v>4</v>
      </c>
      <c r="T646" s="152">
        <v>5</v>
      </c>
      <c r="U646" s="1">
        <v>4</v>
      </c>
      <c r="V646" s="1">
        <v>2</v>
      </c>
    </row>
    <row r="647" spans="17:22" x14ac:dyDescent="0.25">
      <c r="Q647" s="152">
        <v>13</v>
      </c>
      <c r="R647" s="162">
        <v>2</v>
      </c>
      <c r="S647" s="152">
        <v>4</v>
      </c>
      <c r="T647" s="152">
        <v>5</v>
      </c>
      <c r="U647" s="1">
        <v>4</v>
      </c>
      <c r="V647" s="1">
        <v>2</v>
      </c>
    </row>
    <row r="648" spans="17:22" x14ac:dyDescent="0.25">
      <c r="Q648" s="152">
        <v>13</v>
      </c>
      <c r="R648" s="162">
        <v>1</v>
      </c>
      <c r="S648" s="152">
        <v>4</v>
      </c>
      <c r="T648" s="152">
        <v>5</v>
      </c>
      <c r="U648" s="1">
        <v>3</v>
      </c>
      <c r="V648" s="1">
        <v>1</v>
      </c>
    </row>
    <row r="649" spans="17:22" x14ac:dyDescent="0.25">
      <c r="Q649" s="152">
        <v>12</v>
      </c>
      <c r="R649" s="162">
        <v>0</v>
      </c>
      <c r="S649" s="152">
        <v>4</v>
      </c>
      <c r="T649" s="152">
        <v>5</v>
      </c>
      <c r="U649" s="1">
        <v>3</v>
      </c>
      <c r="V649" s="1">
        <v>2</v>
      </c>
    </row>
    <row r="650" spans="17:22" x14ac:dyDescent="0.25">
      <c r="Q650" s="152">
        <v>12</v>
      </c>
      <c r="R650" s="162">
        <v>1</v>
      </c>
      <c r="S650" s="152">
        <v>3</v>
      </c>
      <c r="T650" s="152">
        <v>5</v>
      </c>
      <c r="U650" s="1">
        <v>3</v>
      </c>
      <c r="V650" s="1">
        <v>2</v>
      </c>
    </row>
    <row r="651" spans="17:22" x14ac:dyDescent="0.25">
      <c r="Q651" s="152">
        <v>12</v>
      </c>
      <c r="R651" s="162">
        <v>1</v>
      </c>
      <c r="S651" s="152">
        <v>3</v>
      </c>
      <c r="T651" s="152">
        <v>5</v>
      </c>
      <c r="U651" s="1">
        <v>3</v>
      </c>
      <c r="V651" s="1">
        <v>2</v>
      </c>
    </row>
    <row r="652" spans="17:22" x14ac:dyDescent="0.25">
      <c r="Q652" s="152">
        <v>12</v>
      </c>
      <c r="R652" s="162">
        <v>0</v>
      </c>
      <c r="S652" s="152">
        <v>4</v>
      </c>
      <c r="T652" s="152">
        <v>5</v>
      </c>
      <c r="U652" s="1">
        <v>4</v>
      </c>
      <c r="V652" s="1">
        <v>2</v>
      </c>
    </row>
    <row r="653" spans="17:22" x14ac:dyDescent="0.25">
      <c r="Q653" s="152">
        <v>12</v>
      </c>
      <c r="R653" s="162">
        <v>2</v>
      </c>
      <c r="S653" s="152">
        <v>3</v>
      </c>
      <c r="T653" s="152">
        <v>6</v>
      </c>
      <c r="U653" s="1">
        <v>3</v>
      </c>
      <c r="V653" s="1">
        <v>1</v>
      </c>
    </row>
    <row r="654" spans="17:22" x14ac:dyDescent="0.25">
      <c r="Q654" s="152">
        <v>11</v>
      </c>
      <c r="R654" s="162">
        <v>1</v>
      </c>
      <c r="S654" s="152">
        <v>4</v>
      </c>
      <c r="T654" s="152">
        <v>5</v>
      </c>
      <c r="U654" s="1">
        <v>4</v>
      </c>
      <c r="V654" s="1">
        <v>1</v>
      </c>
    </row>
    <row r="655" spans="17:22" x14ac:dyDescent="0.25">
      <c r="Q655" s="152">
        <v>13</v>
      </c>
      <c r="R655" s="162">
        <v>1</v>
      </c>
      <c r="S655" s="152">
        <v>3</v>
      </c>
      <c r="T655" s="152">
        <v>5</v>
      </c>
      <c r="U655" s="1">
        <v>3</v>
      </c>
      <c r="V655" s="1">
        <v>2</v>
      </c>
    </row>
    <row r="656" spans="17:22" x14ac:dyDescent="0.25">
      <c r="Q656" s="152">
        <v>11</v>
      </c>
      <c r="R656" s="162">
        <v>0</v>
      </c>
      <c r="S656" s="152">
        <v>4</v>
      </c>
      <c r="T656" s="152">
        <v>5</v>
      </c>
      <c r="U656" s="1">
        <v>3</v>
      </c>
      <c r="V656" s="1">
        <v>2</v>
      </c>
    </row>
    <row r="657" spans="17:22" x14ac:dyDescent="0.25">
      <c r="Q657" s="152">
        <v>13</v>
      </c>
      <c r="R657" s="162">
        <v>0</v>
      </c>
      <c r="S657" s="152">
        <v>3</v>
      </c>
      <c r="T657" s="152">
        <v>5</v>
      </c>
      <c r="U657" s="1">
        <v>3</v>
      </c>
      <c r="V657" s="1">
        <v>2</v>
      </c>
    </row>
    <row r="658" spans="17:22" x14ac:dyDescent="0.25">
      <c r="Q658" s="152">
        <v>12</v>
      </c>
      <c r="R658" s="162">
        <v>1</v>
      </c>
      <c r="S658" s="152">
        <v>3</v>
      </c>
      <c r="T658" s="152">
        <v>5</v>
      </c>
      <c r="U658" s="1">
        <v>3</v>
      </c>
      <c r="V658" s="1">
        <v>2</v>
      </c>
    </row>
    <row r="659" spans="17:22" x14ac:dyDescent="0.25">
      <c r="Q659" s="152">
        <v>12</v>
      </c>
      <c r="R659" s="162">
        <v>0</v>
      </c>
      <c r="S659" s="152">
        <v>4</v>
      </c>
      <c r="T659" s="152">
        <v>5</v>
      </c>
      <c r="U659" s="1">
        <v>4</v>
      </c>
      <c r="V659" s="1">
        <v>2</v>
      </c>
    </row>
    <row r="660" spans="17:22" x14ac:dyDescent="0.25">
      <c r="Q660" s="152">
        <v>11</v>
      </c>
      <c r="R660" s="162">
        <v>1</v>
      </c>
      <c r="S660" s="152">
        <v>3</v>
      </c>
      <c r="T660" s="152">
        <v>5</v>
      </c>
      <c r="U660" s="1">
        <v>4</v>
      </c>
      <c r="V660" s="1">
        <v>1</v>
      </c>
    </row>
    <row r="661" spans="17:22" x14ac:dyDescent="0.25">
      <c r="Q661" s="152">
        <v>12</v>
      </c>
      <c r="R661" s="162">
        <v>1</v>
      </c>
      <c r="S661" s="152">
        <v>3</v>
      </c>
      <c r="T661" s="152">
        <v>5</v>
      </c>
      <c r="U661" s="1">
        <v>4</v>
      </c>
      <c r="V661" s="1">
        <v>2</v>
      </c>
    </row>
    <row r="662" spans="17:22" x14ac:dyDescent="0.25">
      <c r="Q662" s="152">
        <v>12</v>
      </c>
      <c r="R662" s="162">
        <v>1</v>
      </c>
      <c r="S662" s="152">
        <v>3</v>
      </c>
      <c r="T662" s="152">
        <v>5</v>
      </c>
      <c r="U662" s="1">
        <v>4</v>
      </c>
      <c r="V662" s="1">
        <v>2</v>
      </c>
    </row>
    <row r="663" spans="17:22" x14ac:dyDescent="0.25">
      <c r="Q663" s="152">
        <v>13</v>
      </c>
      <c r="R663" s="162">
        <v>1</v>
      </c>
      <c r="S663" s="152">
        <v>3</v>
      </c>
      <c r="T663" s="152">
        <v>6</v>
      </c>
      <c r="U663" s="1">
        <v>3</v>
      </c>
      <c r="V663" s="1">
        <v>2</v>
      </c>
    </row>
    <row r="664" spans="17:22" x14ac:dyDescent="0.25">
      <c r="Q664" s="152">
        <v>11</v>
      </c>
      <c r="R664" s="162">
        <v>0</v>
      </c>
      <c r="S664" s="152">
        <v>4</v>
      </c>
      <c r="T664" s="152">
        <v>5</v>
      </c>
      <c r="U664" s="1">
        <v>3</v>
      </c>
      <c r="V664" s="1">
        <v>1</v>
      </c>
    </row>
    <row r="665" spans="17:22" x14ac:dyDescent="0.25">
      <c r="Q665" s="152">
        <v>13</v>
      </c>
      <c r="R665" s="162">
        <v>0</v>
      </c>
      <c r="S665" s="152">
        <v>3</v>
      </c>
      <c r="T665" s="152">
        <v>5</v>
      </c>
      <c r="U665" s="1">
        <v>3</v>
      </c>
      <c r="V665" s="1">
        <v>2</v>
      </c>
    </row>
    <row r="666" spans="17:22" x14ac:dyDescent="0.25">
      <c r="Q666" s="152">
        <v>11</v>
      </c>
      <c r="R666" s="162">
        <v>2</v>
      </c>
      <c r="S666" s="152">
        <v>3</v>
      </c>
      <c r="T666" s="152">
        <v>5</v>
      </c>
      <c r="U666" s="1">
        <v>3</v>
      </c>
      <c r="V666" s="1">
        <v>2</v>
      </c>
    </row>
    <row r="667" spans="17:22" x14ac:dyDescent="0.25">
      <c r="Q667" s="152">
        <v>11</v>
      </c>
      <c r="R667" s="162">
        <v>2</v>
      </c>
      <c r="S667" s="152">
        <v>3</v>
      </c>
      <c r="T667" s="152">
        <v>5</v>
      </c>
      <c r="U667" s="1">
        <v>3</v>
      </c>
      <c r="V667" s="1">
        <v>2</v>
      </c>
    </row>
    <row r="668" spans="17:22" x14ac:dyDescent="0.25">
      <c r="Q668" s="152">
        <v>11</v>
      </c>
      <c r="R668" s="162">
        <v>1</v>
      </c>
      <c r="S668" s="152">
        <v>3</v>
      </c>
      <c r="T668" s="152">
        <v>5</v>
      </c>
      <c r="U668" s="1">
        <v>3</v>
      </c>
      <c r="V668" s="1">
        <v>2</v>
      </c>
    </row>
    <row r="669" spans="17:22" x14ac:dyDescent="0.25">
      <c r="Q669" s="152">
        <v>11</v>
      </c>
      <c r="R669" s="162">
        <v>0</v>
      </c>
      <c r="S669" s="152">
        <v>4</v>
      </c>
      <c r="T669" s="152">
        <v>5</v>
      </c>
      <c r="U669" s="1">
        <v>3</v>
      </c>
      <c r="V669" s="1">
        <v>2</v>
      </c>
    </row>
    <row r="670" spans="17:22" x14ac:dyDescent="0.25">
      <c r="Q670" s="152">
        <v>11</v>
      </c>
      <c r="R670" s="162">
        <v>0</v>
      </c>
      <c r="S670" s="152">
        <v>3</v>
      </c>
      <c r="T670" s="152">
        <v>5</v>
      </c>
      <c r="U670" s="1">
        <v>3</v>
      </c>
      <c r="V670" s="1">
        <v>1</v>
      </c>
    </row>
    <row r="671" spans="17:22" x14ac:dyDescent="0.25">
      <c r="Q671" s="152">
        <v>12</v>
      </c>
      <c r="R671" s="162">
        <v>2</v>
      </c>
      <c r="S671" s="152">
        <v>3</v>
      </c>
      <c r="T671" s="152">
        <v>6</v>
      </c>
      <c r="U671" s="1">
        <v>3</v>
      </c>
      <c r="V671" s="1">
        <v>2</v>
      </c>
    </row>
    <row r="672" spans="17:22" x14ac:dyDescent="0.25">
      <c r="Q672" s="152">
        <v>13</v>
      </c>
      <c r="R672" s="162">
        <v>1</v>
      </c>
      <c r="S672" s="152">
        <v>4</v>
      </c>
      <c r="T672" s="152">
        <v>6</v>
      </c>
      <c r="U672" s="1">
        <v>4</v>
      </c>
      <c r="V672" s="1">
        <v>2</v>
      </c>
    </row>
    <row r="673" spans="17:22" x14ac:dyDescent="0.25">
      <c r="Q673" s="152">
        <v>12</v>
      </c>
      <c r="R673" s="162">
        <v>1</v>
      </c>
      <c r="S673" s="152">
        <v>3</v>
      </c>
      <c r="T673" s="152">
        <v>5</v>
      </c>
      <c r="U673" s="1">
        <v>3</v>
      </c>
      <c r="V673" s="1">
        <v>2</v>
      </c>
    </row>
    <row r="674" spans="17:22" x14ac:dyDescent="0.25">
      <c r="Q674" s="152">
        <v>11</v>
      </c>
      <c r="R674" s="162">
        <v>0</v>
      </c>
      <c r="S674" s="152">
        <v>3</v>
      </c>
      <c r="T674" s="152">
        <v>5</v>
      </c>
      <c r="U674" s="1">
        <v>3</v>
      </c>
      <c r="V674" s="1">
        <v>2</v>
      </c>
    </row>
    <row r="675" spans="17:22" x14ac:dyDescent="0.25">
      <c r="Q675" s="152">
        <v>12</v>
      </c>
      <c r="R675" s="162">
        <v>1</v>
      </c>
      <c r="S675" s="152">
        <v>4</v>
      </c>
      <c r="T675" s="152">
        <v>5</v>
      </c>
      <c r="U675" s="1">
        <v>4</v>
      </c>
      <c r="V675" s="1">
        <v>2</v>
      </c>
    </row>
    <row r="676" spans="17:22" x14ac:dyDescent="0.25">
      <c r="Q676" s="152">
        <v>11</v>
      </c>
      <c r="R676" s="162">
        <v>1</v>
      </c>
      <c r="S676" s="152">
        <v>3</v>
      </c>
      <c r="T676" s="152">
        <v>6</v>
      </c>
      <c r="U676" s="1">
        <v>4</v>
      </c>
      <c r="V676" s="1">
        <v>2</v>
      </c>
    </row>
    <row r="677" spans="17:22" x14ac:dyDescent="0.25">
      <c r="Q677" s="152">
        <v>12</v>
      </c>
      <c r="R677" s="162">
        <v>0</v>
      </c>
      <c r="S677" s="152">
        <v>4</v>
      </c>
      <c r="T677" s="152">
        <v>5</v>
      </c>
      <c r="U677" s="1">
        <v>4</v>
      </c>
      <c r="V677" s="1">
        <v>2</v>
      </c>
    </row>
    <row r="678" spans="17:22" x14ac:dyDescent="0.25">
      <c r="Q678" s="152">
        <v>13</v>
      </c>
      <c r="R678" s="162">
        <v>2</v>
      </c>
      <c r="S678" s="152">
        <v>3</v>
      </c>
      <c r="T678" s="152">
        <v>5</v>
      </c>
      <c r="U678" s="1">
        <v>3</v>
      </c>
      <c r="V678" s="1">
        <v>1</v>
      </c>
    </row>
    <row r="679" spans="17:22" x14ac:dyDescent="0.25">
      <c r="Q679" s="152">
        <v>11</v>
      </c>
      <c r="R679" s="162">
        <v>0</v>
      </c>
      <c r="S679" s="152">
        <v>3</v>
      </c>
      <c r="T679" s="152">
        <v>5</v>
      </c>
      <c r="U679" s="1">
        <v>4</v>
      </c>
      <c r="V679" s="1">
        <v>1</v>
      </c>
    </row>
    <row r="680" spans="17:22" x14ac:dyDescent="0.25">
      <c r="Q680" s="152">
        <v>13</v>
      </c>
      <c r="R680" s="162">
        <v>1</v>
      </c>
      <c r="S680" s="152">
        <v>3</v>
      </c>
      <c r="T680" s="152">
        <v>5</v>
      </c>
      <c r="U680" s="1">
        <v>3</v>
      </c>
      <c r="V680" s="1">
        <v>1</v>
      </c>
    </row>
    <row r="681" spans="17:22" x14ac:dyDescent="0.25">
      <c r="Q681" s="152">
        <v>13</v>
      </c>
      <c r="R681" s="162">
        <v>0</v>
      </c>
      <c r="S681" s="152">
        <v>4</v>
      </c>
      <c r="T681" s="152">
        <v>5</v>
      </c>
      <c r="U681" s="1">
        <v>3</v>
      </c>
      <c r="V681" s="1">
        <v>2</v>
      </c>
    </row>
    <row r="682" spans="17:22" x14ac:dyDescent="0.25">
      <c r="Q682" s="152">
        <v>13</v>
      </c>
      <c r="R682" s="162">
        <v>0</v>
      </c>
      <c r="S682" s="152">
        <v>3</v>
      </c>
      <c r="T682" s="152">
        <v>5</v>
      </c>
      <c r="U682" s="1">
        <v>3</v>
      </c>
      <c r="V682" s="1">
        <v>2</v>
      </c>
    </row>
    <row r="683" spans="17:22" x14ac:dyDescent="0.25">
      <c r="Q683" s="152">
        <v>11</v>
      </c>
      <c r="R683" s="162">
        <v>2</v>
      </c>
      <c r="S683" s="152">
        <v>4</v>
      </c>
      <c r="T683" s="152">
        <v>6</v>
      </c>
      <c r="U683" s="1">
        <v>4</v>
      </c>
      <c r="V683" s="1">
        <v>1</v>
      </c>
    </row>
    <row r="684" spans="17:22" x14ac:dyDescent="0.25">
      <c r="Q684" s="152">
        <v>13</v>
      </c>
      <c r="R684" s="162">
        <v>2</v>
      </c>
      <c r="S684" s="152">
        <v>3</v>
      </c>
      <c r="T684" s="152">
        <v>5</v>
      </c>
      <c r="U684" s="1">
        <v>3</v>
      </c>
      <c r="V684" s="1">
        <v>2</v>
      </c>
    </row>
    <row r="685" spans="17:22" x14ac:dyDescent="0.25">
      <c r="Q685" s="152">
        <v>13</v>
      </c>
      <c r="R685" s="162">
        <v>1</v>
      </c>
      <c r="S685" s="152">
        <v>4</v>
      </c>
      <c r="T685" s="152">
        <v>6</v>
      </c>
      <c r="U685" s="1">
        <v>4</v>
      </c>
      <c r="V685" s="1">
        <v>2</v>
      </c>
    </row>
    <row r="686" spans="17:22" x14ac:dyDescent="0.25">
      <c r="Q686" s="152">
        <v>12</v>
      </c>
      <c r="R686" s="162">
        <v>2</v>
      </c>
      <c r="S686" s="152">
        <v>4</v>
      </c>
      <c r="T686" s="152">
        <v>5</v>
      </c>
      <c r="U686" s="1">
        <v>4</v>
      </c>
      <c r="V686" s="1">
        <v>2</v>
      </c>
    </row>
    <row r="687" spans="17:22" x14ac:dyDescent="0.25">
      <c r="Q687" s="152">
        <v>13</v>
      </c>
      <c r="R687" s="162">
        <v>1</v>
      </c>
      <c r="S687" s="152">
        <v>4</v>
      </c>
      <c r="T687" s="152">
        <v>5</v>
      </c>
      <c r="U687" s="1">
        <v>4</v>
      </c>
      <c r="V687" s="1">
        <v>2</v>
      </c>
    </row>
    <row r="688" spans="17:22" x14ac:dyDescent="0.25">
      <c r="Q688" s="152">
        <v>11</v>
      </c>
      <c r="R688" s="162">
        <v>1</v>
      </c>
      <c r="S688" s="152">
        <v>3</v>
      </c>
      <c r="T688" s="152">
        <v>5</v>
      </c>
      <c r="U688" s="1">
        <v>3</v>
      </c>
      <c r="V688" s="1">
        <v>2</v>
      </c>
    </row>
    <row r="689" spans="17:22" x14ac:dyDescent="0.25">
      <c r="Q689" s="152">
        <v>13</v>
      </c>
      <c r="R689" s="162">
        <v>1</v>
      </c>
      <c r="S689" s="152">
        <v>4</v>
      </c>
      <c r="T689" s="152">
        <v>5</v>
      </c>
      <c r="U689" s="1">
        <v>4</v>
      </c>
      <c r="V689" s="1">
        <v>2</v>
      </c>
    </row>
    <row r="690" spans="17:22" x14ac:dyDescent="0.25">
      <c r="Q690" s="152">
        <v>12</v>
      </c>
      <c r="R690" s="162">
        <v>1</v>
      </c>
      <c r="S690" s="152">
        <v>3</v>
      </c>
      <c r="T690" s="152">
        <v>5</v>
      </c>
      <c r="U690" s="1">
        <v>3</v>
      </c>
      <c r="V690" s="1">
        <v>2</v>
      </c>
    </row>
    <row r="691" spans="17:22" x14ac:dyDescent="0.25">
      <c r="Q691" s="152">
        <v>12</v>
      </c>
      <c r="R691" s="162">
        <v>1</v>
      </c>
      <c r="S691" s="152">
        <v>4</v>
      </c>
      <c r="T691" s="152">
        <v>5</v>
      </c>
      <c r="U691" s="1">
        <v>4</v>
      </c>
      <c r="V691" s="1">
        <v>1</v>
      </c>
    </row>
    <row r="692" spans="17:22" x14ac:dyDescent="0.25">
      <c r="Q692" s="152">
        <v>11</v>
      </c>
      <c r="R692" s="162">
        <v>2</v>
      </c>
      <c r="S692" s="152">
        <v>3</v>
      </c>
      <c r="T692" s="152">
        <v>5</v>
      </c>
      <c r="U692" s="1">
        <v>4</v>
      </c>
      <c r="V692" s="1">
        <v>2</v>
      </c>
    </row>
    <row r="693" spans="17:22" x14ac:dyDescent="0.25">
      <c r="Q693" s="152">
        <v>13</v>
      </c>
      <c r="R693" s="162">
        <v>2</v>
      </c>
      <c r="S693" s="152">
        <v>3</v>
      </c>
      <c r="T693" s="152">
        <v>5</v>
      </c>
      <c r="U693" s="1">
        <v>4</v>
      </c>
      <c r="V693" s="1">
        <v>2</v>
      </c>
    </row>
    <row r="694" spans="17:22" x14ac:dyDescent="0.25">
      <c r="Q694" s="152">
        <v>11</v>
      </c>
      <c r="R694" s="162">
        <v>2</v>
      </c>
      <c r="S694" s="152">
        <v>4</v>
      </c>
      <c r="T694" s="152">
        <v>5</v>
      </c>
      <c r="U694" s="1">
        <v>4</v>
      </c>
      <c r="V694" s="1">
        <v>2</v>
      </c>
    </row>
    <row r="695" spans="17:22" x14ac:dyDescent="0.25">
      <c r="Q695" s="152">
        <v>12</v>
      </c>
      <c r="R695" s="162">
        <v>1</v>
      </c>
      <c r="S695" s="152">
        <v>4</v>
      </c>
      <c r="T695" s="152">
        <v>6</v>
      </c>
      <c r="U695" s="1">
        <v>4</v>
      </c>
      <c r="V695" s="1">
        <v>1</v>
      </c>
    </row>
    <row r="696" spans="17:22" x14ac:dyDescent="0.25">
      <c r="Q696" s="152">
        <v>12</v>
      </c>
      <c r="R696" s="162">
        <v>1</v>
      </c>
      <c r="S696" s="152">
        <v>4</v>
      </c>
      <c r="T696" s="152">
        <v>5</v>
      </c>
      <c r="U696" s="1">
        <v>4</v>
      </c>
      <c r="V696" s="1">
        <v>1</v>
      </c>
    </row>
    <row r="697" spans="17:22" x14ac:dyDescent="0.25">
      <c r="Q697" s="152">
        <v>12</v>
      </c>
      <c r="R697" s="162">
        <v>2</v>
      </c>
      <c r="S697" s="152">
        <v>3</v>
      </c>
      <c r="T697" s="152">
        <v>6</v>
      </c>
      <c r="U697" s="1">
        <v>4</v>
      </c>
      <c r="V697" s="1">
        <v>2</v>
      </c>
    </row>
    <row r="698" spans="17:22" x14ac:dyDescent="0.25">
      <c r="Q698" s="152">
        <v>13</v>
      </c>
      <c r="R698" s="162">
        <v>1</v>
      </c>
      <c r="S698" s="152">
        <v>3</v>
      </c>
      <c r="T698" s="152">
        <v>6</v>
      </c>
      <c r="U698" s="1">
        <v>3</v>
      </c>
      <c r="V698" s="1">
        <v>2</v>
      </c>
    </row>
    <row r="699" spans="17:22" x14ac:dyDescent="0.25">
      <c r="Q699" s="152">
        <v>12</v>
      </c>
      <c r="R699" s="162">
        <v>0</v>
      </c>
      <c r="S699" s="152">
        <v>3</v>
      </c>
      <c r="T699" s="152">
        <v>5</v>
      </c>
      <c r="U699" s="1">
        <v>3</v>
      </c>
      <c r="V699" s="1">
        <v>1</v>
      </c>
    </row>
    <row r="700" spans="17:22" x14ac:dyDescent="0.25">
      <c r="Q700" s="152">
        <v>13</v>
      </c>
      <c r="R700" s="162">
        <v>1</v>
      </c>
      <c r="S700" s="152">
        <v>4</v>
      </c>
      <c r="T700" s="152">
        <v>5</v>
      </c>
      <c r="U700" s="1">
        <v>4</v>
      </c>
      <c r="V700" s="1">
        <v>1</v>
      </c>
    </row>
    <row r="701" spans="17:22" x14ac:dyDescent="0.25">
      <c r="Q701" s="152">
        <v>13</v>
      </c>
      <c r="R701" s="162">
        <v>1</v>
      </c>
      <c r="S701" s="152">
        <v>3</v>
      </c>
      <c r="T701" s="152">
        <v>5</v>
      </c>
      <c r="U701" s="1">
        <v>4</v>
      </c>
      <c r="V701" s="1">
        <v>2</v>
      </c>
    </row>
    <row r="702" spans="17:22" x14ac:dyDescent="0.25">
      <c r="Q702" s="152">
        <v>11</v>
      </c>
      <c r="R702" s="162">
        <v>0</v>
      </c>
      <c r="S702" s="152">
        <v>3</v>
      </c>
      <c r="T702" s="152">
        <v>5</v>
      </c>
      <c r="U702" s="1">
        <v>4</v>
      </c>
      <c r="V702" s="1">
        <v>2</v>
      </c>
    </row>
    <row r="703" spans="17:22" x14ac:dyDescent="0.25">
      <c r="Q703" s="152">
        <v>12</v>
      </c>
      <c r="R703" s="162">
        <v>2</v>
      </c>
      <c r="S703" s="152">
        <v>4</v>
      </c>
      <c r="T703" s="152">
        <v>5</v>
      </c>
      <c r="U703" s="1">
        <v>3</v>
      </c>
      <c r="V703" s="1">
        <v>1</v>
      </c>
    </row>
    <row r="704" spans="17:22" x14ac:dyDescent="0.25">
      <c r="Q704" s="152">
        <v>11</v>
      </c>
      <c r="R704" s="162">
        <v>1</v>
      </c>
      <c r="S704" s="152">
        <v>3</v>
      </c>
      <c r="T704" s="152">
        <v>5</v>
      </c>
      <c r="U704" s="1">
        <v>4</v>
      </c>
      <c r="V704" s="1">
        <v>2</v>
      </c>
    </row>
    <row r="705" spans="17:22" x14ac:dyDescent="0.25">
      <c r="Q705" s="152">
        <v>11</v>
      </c>
      <c r="R705" s="162">
        <v>2</v>
      </c>
      <c r="S705" s="152">
        <v>3</v>
      </c>
      <c r="T705" s="152">
        <v>5</v>
      </c>
      <c r="U705" s="1">
        <v>4</v>
      </c>
      <c r="V705" s="1">
        <v>2</v>
      </c>
    </row>
    <row r="706" spans="17:22" x14ac:dyDescent="0.25">
      <c r="Q706" s="152">
        <v>12</v>
      </c>
      <c r="R706" s="162">
        <v>0</v>
      </c>
      <c r="S706" s="152">
        <v>3</v>
      </c>
      <c r="T706" s="152">
        <v>5</v>
      </c>
      <c r="U706" s="1">
        <v>4</v>
      </c>
      <c r="V706" s="1">
        <v>1</v>
      </c>
    </row>
    <row r="707" spans="17:22" x14ac:dyDescent="0.25">
      <c r="Q707" s="152">
        <v>13</v>
      </c>
      <c r="R707" s="162">
        <v>2</v>
      </c>
      <c r="S707" s="152">
        <v>3</v>
      </c>
      <c r="T707" s="152">
        <v>5</v>
      </c>
      <c r="U707" s="1">
        <v>4</v>
      </c>
      <c r="V707" s="1">
        <v>2</v>
      </c>
    </row>
    <row r="708" spans="17:22" x14ac:dyDescent="0.25">
      <c r="Q708" s="152">
        <v>13</v>
      </c>
      <c r="R708" s="162">
        <v>1</v>
      </c>
      <c r="S708" s="152">
        <v>3</v>
      </c>
      <c r="T708" s="152">
        <v>5</v>
      </c>
      <c r="U708" s="1">
        <v>3</v>
      </c>
      <c r="V708" s="1">
        <v>1</v>
      </c>
    </row>
    <row r="709" spans="17:22" x14ac:dyDescent="0.25">
      <c r="Q709" s="152">
        <v>13</v>
      </c>
      <c r="R709" s="162">
        <v>1</v>
      </c>
      <c r="S709" s="152">
        <v>4</v>
      </c>
      <c r="T709" s="152">
        <v>6</v>
      </c>
      <c r="U709" s="1">
        <v>3</v>
      </c>
      <c r="V709" s="1">
        <v>1</v>
      </c>
    </row>
    <row r="710" spans="17:22" x14ac:dyDescent="0.25">
      <c r="Q710" s="152">
        <v>11</v>
      </c>
      <c r="R710" s="162">
        <v>1</v>
      </c>
      <c r="S710" s="152">
        <v>3</v>
      </c>
      <c r="T710" s="152">
        <v>5</v>
      </c>
      <c r="U710" s="1">
        <v>4</v>
      </c>
      <c r="V710" s="1">
        <v>2</v>
      </c>
    </row>
    <row r="711" spans="17:22" x14ac:dyDescent="0.25">
      <c r="Q711" s="324">
        <v>11</v>
      </c>
      <c r="R711" s="324">
        <v>1</v>
      </c>
      <c r="S711" s="324">
        <v>3</v>
      </c>
      <c r="T711" s="324">
        <v>5</v>
      </c>
      <c r="U711" s="324">
        <v>4</v>
      </c>
      <c r="V711" s="324">
        <v>2</v>
      </c>
    </row>
    <row r="712" spans="17:22" x14ac:dyDescent="0.25">
      <c r="Q712" s="152">
        <v>12</v>
      </c>
      <c r="R712" s="162">
        <v>1</v>
      </c>
      <c r="S712" s="152">
        <v>4</v>
      </c>
      <c r="T712" s="152">
        <v>5</v>
      </c>
      <c r="U712" s="1">
        <v>4</v>
      </c>
      <c r="V712" s="1">
        <v>2</v>
      </c>
    </row>
    <row r="713" spans="17:22" x14ac:dyDescent="0.25">
      <c r="Q713" s="152">
        <v>11</v>
      </c>
      <c r="R713" s="162">
        <v>1</v>
      </c>
      <c r="S713" s="152">
        <v>3</v>
      </c>
      <c r="T713" s="152">
        <v>5</v>
      </c>
      <c r="U713" s="1">
        <v>3</v>
      </c>
      <c r="V713" s="1">
        <v>2</v>
      </c>
    </row>
    <row r="714" spans="17:22" x14ac:dyDescent="0.25">
      <c r="Q714" s="152">
        <v>13</v>
      </c>
      <c r="R714" s="162">
        <v>2</v>
      </c>
      <c r="S714" s="152">
        <v>4</v>
      </c>
      <c r="T714" s="152">
        <v>5</v>
      </c>
      <c r="U714" s="1">
        <v>4</v>
      </c>
      <c r="V714" s="1">
        <v>1</v>
      </c>
    </row>
    <row r="715" spans="17:22" x14ac:dyDescent="0.25">
      <c r="Q715" s="152">
        <v>11</v>
      </c>
      <c r="R715" s="211">
        <v>2</v>
      </c>
      <c r="S715" s="152">
        <v>3</v>
      </c>
      <c r="T715" s="152">
        <v>6</v>
      </c>
      <c r="U715" s="152">
        <v>3</v>
      </c>
      <c r="V715" s="152">
        <v>2</v>
      </c>
    </row>
    <row r="716" spans="17:22" x14ac:dyDescent="0.25">
      <c r="Q716" s="152">
        <v>12</v>
      </c>
      <c r="R716" s="211">
        <v>1</v>
      </c>
      <c r="S716" s="152">
        <v>3</v>
      </c>
      <c r="T716" s="152">
        <v>6</v>
      </c>
      <c r="U716" s="152">
        <v>4</v>
      </c>
      <c r="V716" s="152">
        <v>1</v>
      </c>
    </row>
    <row r="717" spans="17:22" x14ac:dyDescent="0.25">
      <c r="Q717" s="152">
        <v>12</v>
      </c>
      <c r="R717" s="211">
        <v>2</v>
      </c>
      <c r="S717" s="152">
        <v>3</v>
      </c>
      <c r="T717" s="152">
        <v>5</v>
      </c>
      <c r="U717" s="152">
        <v>4</v>
      </c>
      <c r="V717" s="152">
        <v>2</v>
      </c>
    </row>
    <row r="718" spans="17:22" x14ac:dyDescent="0.25">
      <c r="Q718" s="152">
        <v>12</v>
      </c>
      <c r="R718" s="162">
        <v>2</v>
      </c>
      <c r="S718" s="152">
        <v>3</v>
      </c>
      <c r="T718" s="152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S44"/>
  <sheetViews>
    <sheetView zoomScaleNormal="100" workbookViewId="0">
      <selection activeCell="K2" sqref="K2:AA26"/>
    </sheetView>
  </sheetViews>
  <sheetFormatPr defaultRowHeight="15.75" customHeight="1" x14ac:dyDescent="0.25"/>
  <cols>
    <col min="1" max="1" width="7.140625" style="290" customWidth="1"/>
    <col min="2" max="4" width="7.140625" style="356" customWidth="1"/>
    <col min="5" max="5" width="7.140625" style="357" customWidth="1"/>
    <col min="6" max="6" width="5.42578125" style="254" customWidth="1"/>
    <col min="7" max="9" width="6.42578125" style="254" customWidth="1"/>
    <col min="10" max="10" width="6.42578125" style="356" customWidth="1"/>
    <col min="11" max="11" width="4.28515625" style="66" customWidth="1"/>
    <col min="12" max="12" width="8.140625" style="356" customWidth="1"/>
    <col min="13" max="18" width="4.7109375" style="262" customWidth="1"/>
    <col min="19" max="19" width="5.85546875" style="359" customWidth="1"/>
    <col min="20" max="20" width="4.140625" style="359" customWidth="1"/>
    <col min="21" max="23" width="4.7109375" style="262" customWidth="1"/>
    <col min="24" max="24" width="4.7109375" style="359" customWidth="1"/>
    <col min="25" max="26" width="4.7109375" style="262" customWidth="1"/>
    <col min="27" max="27" width="7.140625" style="262" customWidth="1"/>
    <col min="28" max="28" width="5" style="66" customWidth="1"/>
    <col min="29" max="31" width="5.5703125" style="262" customWidth="1"/>
    <col min="32" max="32" width="5.5703125" style="359" customWidth="1"/>
    <col min="33" max="34" width="5.5703125" style="262" customWidth="1"/>
    <col min="35" max="35" width="7.85546875" style="262" customWidth="1"/>
    <col min="36" max="36" width="5.140625" style="66" customWidth="1"/>
    <col min="37" max="45" width="3.5703125" style="262" customWidth="1"/>
    <col min="46" max="46" width="7" style="66" customWidth="1"/>
    <col min="47" max="52" width="6.85546875" style="254" customWidth="1"/>
    <col min="53" max="53" width="4" style="66" customWidth="1"/>
    <col min="54" max="59" width="9.140625" style="254"/>
    <col min="60" max="60" width="9.140625" style="68"/>
    <col min="61" max="61" width="4.7109375" style="66" customWidth="1"/>
    <col min="62" max="62" width="4.7109375" style="254" customWidth="1"/>
    <col min="63" max="70" width="6.7109375" style="254" customWidth="1"/>
    <col min="71" max="71" width="6.7109375" style="255" customWidth="1"/>
    <col min="72" max="16384" width="9.140625" style="254"/>
  </cols>
  <sheetData>
    <row r="1" spans="1:71" ht="30" customHeight="1" x14ac:dyDescent="0.25">
      <c r="A1" s="492" t="s">
        <v>209</v>
      </c>
      <c r="B1" s="493"/>
      <c r="C1" s="493"/>
      <c r="D1" s="493"/>
      <c r="E1" s="493"/>
      <c r="F1" s="493"/>
      <c r="G1" s="493"/>
      <c r="H1" s="493"/>
      <c r="I1" s="493"/>
      <c r="J1" s="493"/>
      <c r="K1" s="493"/>
      <c r="L1" s="493"/>
      <c r="M1" s="493"/>
      <c r="N1" s="493"/>
      <c r="O1" s="493"/>
      <c r="P1" s="493"/>
      <c r="Q1" s="493"/>
      <c r="R1" s="493"/>
      <c r="S1" s="493"/>
      <c r="T1" s="493"/>
      <c r="U1" s="493"/>
      <c r="V1" s="493"/>
      <c r="W1" s="493"/>
      <c r="X1" s="493"/>
      <c r="Y1" s="493"/>
      <c r="Z1" s="493"/>
      <c r="AA1" s="493"/>
      <c r="AB1" s="493"/>
      <c r="AC1" s="493"/>
      <c r="AD1" s="493"/>
      <c r="AE1" s="493"/>
      <c r="AF1" s="493"/>
      <c r="AG1" s="493"/>
      <c r="AH1" s="493"/>
      <c r="AI1" s="493"/>
      <c r="AJ1" s="493"/>
      <c r="AK1" s="493"/>
      <c r="AL1" s="493"/>
      <c r="AM1" s="493"/>
      <c r="AN1" s="493"/>
      <c r="AO1" s="493"/>
      <c r="AP1" s="493"/>
      <c r="AQ1" s="493"/>
      <c r="AR1" s="493"/>
      <c r="AS1" s="493"/>
      <c r="AT1" s="500" t="s">
        <v>221</v>
      </c>
      <c r="AU1" s="501"/>
      <c r="AV1" s="501"/>
      <c r="AW1" s="501"/>
      <c r="AX1" s="501"/>
      <c r="AY1" s="501"/>
      <c r="AZ1" s="501"/>
      <c r="BA1" s="501"/>
      <c r="BB1" s="501"/>
      <c r="BC1" s="501"/>
      <c r="BD1" s="501"/>
      <c r="BE1" s="501"/>
      <c r="BF1" s="501"/>
      <c r="BG1" s="501"/>
      <c r="BH1" s="501"/>
      <c r="BI1" s="501"/>
      <c r="BJ1" s="501"/>
      <c r="BK1" s="501"/>
      <c r="BL1" s="501"/>
      <c r="BM1" s="501"/>
      <c r="BN1" s="501"/>
      <c r="BO1" s="501"/>
      <c r="BP1" s="501"/>
      <c r="BQ1" s="501"/>
      <c r="BR1" s="501"/>
      <c r="BS1" s="502"/>
    </row>
    <row r="2" spans="1:71" s="176" customFormat="1" ht="15.75" customHeight="1" x14ac:dyDescent="0.25">
      <c r="A2" s="504" t="s">
        <v>215</v>
      </c>
      <c r="B2" s="505"/>
      <c r="C2" s="505"/>
      <c r="D2" s="505"/>
      <c r="E2" s="506"/>
      <c r="F2" s="504" t="s">
        <v>60</v>
      </c>
      <c r="G2" s="505"/>
      <c r="H2" s="505"/>
      <c r="I2" s="505"/>
      <c r="J2" s="506"/>
      <c r="K2" s="519" t="s">
        <v>227</v>
      </c>
      <c r="L2" s="520"/>
      <c r="M2" s="520"/>
      <c r="N2" s="520"/>
      <c r="O2" s="520"/>
      <c r="P2" s="520"/>
      <c r="Q2" s="520"/>
      <c r="R2" s="520"/>
      <c r="S2" s="520"/>
      <c r="T2" s="520"/>
      <c r="U2" s="520"/>
      <c r="V2" s="520"/>
      <c r="W2" s="520"/>
      <c r="X2" s="520"/>
      <c r="Y2" s="520"/>
      <c r="Z2" s="520"/>
      <c r="AA2" s="521"/>
      <c r="AB2" s="504" t="s">
        <v>250</v>
      </c>
      <c r="AC2" s="505"/>
      <c r="AD2" s="505"/>
      <c r="AE2" s="505"/>
      <c r="AF2" s="505"/>
      <c r="AG2" s="505"/>
      <c r="AH2" s="505"/>
      <c r="AI2" s="506"/>
      <c r="AJ2" s="504" t="s">
        <v>235</v>
      </c>
      <c r="AK2" s="505"/>
      <c r="AL2" s="505"/>
      <c r="AM2" s="505"/>
      <c r="AN2" s="505"/>
      <c r="AO2" s="505"/>
      <c r="AP2" s="505"/>
      <c r="AQ2" s="505"/>
      <c r="AR2" s="505"/>
      <c r="AS2" s="506"/>
      <c r="AT2" s="522" t="s">
        <v>220</v>
      </c>
      <c r="AU2" s="523"/>
      <c r="AV2" s="523"/>
      <c r="AW2" s="523"/>
      <c r="AX2" s="523"/>
      <c r="AY2" s="523"/>
      <c r="AZ2" s="524"/>
      <c r="BA2" s="497" t="s">
        <v>213</v>
      </c>
      <c r="BB2" s="498"/>
      <c r="BC2" s="498"/>
      <c r="BD2" s="498"/>
      <c r="BE2" s="498"/>
      <c r="BF2" s="498"/>
      <c r="BG2" s="498"/>
      <c r="BH2" s="524"/>
      <c r="BI2" s="498" t="s">
        <v>214</v>
      </c>
      <c r="BJ2" s="498"/>
      <c r="BK2" s="498"/>
      <c r="BL2" s="498"/>
      <c r="BM2" s="498"/>
      <c r="BN2" s="498"/>
      <c r="BO2" s="498"/>
      <c r="BP2" s="498"/>
      <c r="BQ2" s="498"/>
      <c r="BR2" s="498"/>
      <c r="BS2" s="499"/>
    </row>
    <row r="3" spans="1:71" ht="15.75" customHeight="1" x14ac:dyDescent="0.25">
      <c r="A3" s="230"/>
      <c r="B3" s="361" t="s">
        <v>65</v>
      </c>
      <c r="C3" s="362" t="s">
        <v>67</v>
      </c>
      <c r="D3" s="363" t="s">
        <v>71</v>
      </c>
      <c r="E3" s="364" t="s">
        <v>326</v>
      </c>
      <c r="F3" s="358"/>
      <c r="G3" s="358" t="s">
        <v>18</v>
      </c>
      <c r="H3" s="358" t="s">
        <v>17</v>
      </c>
      <c r="I3" s="358" t="s">
        <v>112</v>
      </c>
      <c r="J3" s="399" t="s">
        <v>325</v>
      </c>
      <c r="K3" s="398" t="s">
        <v>234</v>
      </c>
      <c r="L3" s="399" t="s">
        <v>324</v>
      </c>
      <c r="M3" s="399" t="s">
        <v>228</v>
      </c>
      <c r="N3" s="399" t="s">
        <v>249</v>
      </c>
      <c r="O3" s="399" t="s">
        <v>229</v>
      </c>
      <c r="P3" s="399" t="s">
        <v>230</v>
      </c>
      <c r="Q3" s="399" t="s">
        <v>208</v>
      </c>
      <c r="R3" s="399" t="s">
        <v>252</v>
      </c>
      <c r="S3" s="399" t="s">
        <v>322</v>
      </c>
      <c r="T3" s="399" t="s">
        <v>321</v>
      </c>
      <c r="U3" s="399" t="s">
        <v>253</v>
      </c>
      <c r="V3" s="399" t="s">
        <v>254</v>
      </c>
      <c r="W3" s="399" t="s">
        <v>255</v>
      </c>
      <c r="X3" s="399" t="s">
        <v>323</v>
      </c>
      <c r="Y3" s="399" t="s">
        <v>256</v>
      </c>
      <c r="Z3" s="399" t="s">
        <v>247</v>
      </c>
      <c r="AA3" s="261" t="s">
        <v>248</v>
      </c>
      <c r="AB3" s="399"/>
      <c r="AC3" s="260" t="s">
        <v>18</v>
      </c>
      <c r="AD3" s="260" t="s">
        <v>17</v>
      </c>
      <c r="AE3" s="260" t="s">
        <v>112</v>
      </c>
      <c r="AF3" s="358" t="s">
        <v>325</v>
      </c>
      <c r="AG3" s="260" t="s">
        <v>258</v>
      </c>
      <c r="AH3" s="260" t="s">
        <v>68</v>
      </c>
      <c r="AI3" s="261" t="s">
        <v>92</v>
      </c>
      <c r="AJ3" s="259"/>
      <c r="AK3" s="260" t="s">
        <v>53</v>
      </c>
      <c r="AL3" s="260" t="s">
        <v>2</v>
      </c>
      <c r="AM3" s="260" t="s">
        <v>72</v>
      </c>
      <c r="AN3" s="260" t="s">
        <v>0</v>
      </c>
      <c r="AO3" s="260" t="s">
        <v>5</v>
      </c>
      <c r="AP3" s="260" t="s">
        <v>8</v>
      </c>
      <c r="AQ3" s="260" t="s">
        <v>206</v>
      </c>
      <c r="AR3" s="260" t="s">
        <v>125</v>
      </c>
      <c r="AS3" s="358" t="s">
        <v>207</v>
      </c>
      <c r="AT3" s="365" t="s">
        <v>65</v>
      </c>
      <c r="AU3" s="366" t="s">
        <v>204</v>
      </c>
      <c r="AV3" s="366" t="s">
        <v>14</v>
      </c>
      <c r="AW3" s="366" t="s">
        <v>205</v>
      </c>
      <c r="AX3" s="358" t="s">
        <v>86</v>
      </c>
      <c r="AY3" s="358" t="s">
        <v>14</v>
      </c>
      <c r="AZ3" s="261" t="s">
        <v>205</v>
      </c>
      <c r="BA3" s="503" t="s">
        <v>204</v>
      </c>
      <c r="BB3" s="503"/>
      <c r="BC3" s="263" t="s">
        <v>278</v>
      </c>
      <c r="BD3" s="264" t="s">
        <v>279</v>
      </c>
      <c r="BE3" s="170" t="s">
        <v>280</v>
      </c>
      <c r="BF3" s="265" t="s">
        <v>281</v>
      </c>
      <c r="BG3" s="65" t="s">
        <v>282</v>
      </c>
      <c r="BH3" s="387" t="s">
        <v>64</v>
      </c>
      <c r="BI3" s="507" t="s">
        <v>18</v>
      </c>
      <c r="BJ3" s="251"/>
      <c r="BK3" s="251" t="s">
        <v>53</v>
      </c>
      <c r="BL3" s="251" t="s">
        <v>2</v>
      </c>
      <c r="BM3" s="251" t="s">
        <v>72</v>
      </c>
      <c r="BN3" s="251" t="s">
        <v>0</v>
      </c>
      <c r="BO3" s="251" t="s">
        <v>5</v>
      </c>
      <c r="BP3" s="251" t="s">
        <v>8</v>
      </c>
      <c r="BQ3" s="251" t="s">
        <v>206</v>
      </c>
      <c r="BR3" s="251" t="s">
        <v>125</v>
      </c>
      <c r="BS3" s="154" t="s">
        <v>207</v>
      </c>
    </row>
    <row r="4" spans="1:71" ht="15.75" customHeight="1" x14ac:dyDescent="0.25">
      <c r="A4" s="354" t="s">
        <v>204</v>
      </c>
      <c r="B4" s="355"/>
      <c r="C4" s="356">
        <v>30</v>
      </c>
      <c r="D4" s="356">
        <v>40</v>
      </c>
      <c r="E4" s="357">
        <v>40</v>
      </c>
      <c r="F4" s="263" t="s">
        <v>278</v>
      </c>
      <c r="G4" s="64">
        <v>2960</v>
      </c>
      <c r="H4" s="64">
        <v>3240</v>
      </c>
      <c r="I4" s="64">
        <v>479</v>
      </c>
      <c r="J4" s="64">
        <v>0</v>
      </c>
      <c r="K4" s="290">
        <v>0</v>
      </c>
      <c r="L4" s="396" t="s">
        <v>319</v>
      </c>
      <c r="M4" s="397" t="s">
        <v>211</v>
      </c>
      <c r="N4" s="397" t="s">
        <v>211</v>
      </c>
      <c r="O4" s="397" t="s">
        <v>211</v>
      </c>
      <c r="P4" s="397" t="s">
        <v>211</v>
      </c>
      <c r="Q4" s="397" t="s">
        <v>211</v>
      </c>
      <c r="R4" s="397" t="s">
        <v>211</v>
      </c>
      <c r="S4" s="397" t="s">
        <v>211</v>
      </c>
      <c r="T4" s="397" t="s">
        <v>211</v>
      </c>
      <c r="U4" s="397">
        <v>420</v>
      </c>
      <c r="V4" s="397">
        <v>330</v>
      </c>
      <c r="W4" s="397">
        <v>59</v>
      </c>
      <c r="X4" s="397">
        <v>10</v>
      </c>
      <c r="Y4" s="397">
        <v>15</v>
      </c>
      <c r="Z4" s="397">
        <v>45</v>
      </c>
      <c r="AA4" s="319">
        <v>55000000</v>
      </c>
      <c r="AB4" s="263" t="s">
        <v>278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19">
        <v>0</v>
      </c>
      <c r="AJ4" s="253" t="s">
        <v>283</v>
      </c>
      <c r="AK4" s="278">
        <v>31</v>
      </c>
      <c r="AL4" s="278">
        <v>31</v>
      </c>
      <c r="AM4" s="278">
        <v>31</v>
      </c>
      <c r="AN4" s="278">
        <v>31</v>
      </c>
      <c r="AO4" s="278">
        <v>31</v>
      </c>
      <c r="AP4" s="278">
        <v>31</v>
      </c>
      <c r="AQ4" s="278">
        <v>31</v>
      </c>
      <c r="AR4" s="278">
        <v>31</v>
      </c>
      <c r="AS4" s="278">
        <v>31</v>
      </c>
      <c r="AT4" s="354" t="s">
        <v>18</v>
      </c>
      <c r="AU4" s="180" t="e">
        <f>AVERAGE(D咢牙!A:A)</f>
        <v>#DIV/0!</v>
      </c>
      <c r="AV4" s="233">
        <f>COUNT(D咢牙!A:A)</f>
        <v>0</v>
      </c>
      <c r="AW4" s="180" t="e">
        <f>$B$4/AU4</f>
        <v>#DIV/0!</v>
      </c>
      <c r="AX4" s="103" t="e">
        <f>AVERAGE(D咢牙!B:B)</f>
        <v>#DIV/0!</v>
      </c>
      <c r="AY4" s="234">
        <f>COUNT(D咢牙!B:B)</f>
        <v>0</v>
      </c>
      <c r="AZ4" s="102" t="e">
        <f>$B$5/AX4</f>
        <v>#DIV/0!</v>
      </c>
      <c r="BA4" s="525" t="s">
        <v>18</v>
      </c>
      <c r="BB4" s="358" t="s">
        <v>210</v>
      </c>
      <c r="BC4" s="380">
        <f>MAX(SUM(BK5:BS5) - G4 + AC4,0)</f>
        <v>0</v>
      </c>
      <c r="BD4" s="381">
        <f>MAX(SUM(BK6:BS6) - G5 + AC5,0)</f>
        <v>0</v>
      </c>
      <c r="BE4" s="382">
        <f>MAX(SUM(BK4:BS4) - G6 + AC6,0)</f>
        <v>0</v>
      </c>
      <c r="BF4" s="383">
        <f>MAX(SUM(BK8:BS8) - G7 + AC7,0)</f>
        <v>0</v>
      </c>
      <c r="BG4" s="384">
        <f>MAX(SUM(BK7:BS7) - G8 + AC8,0)</f>
        <v>0</v>
      </c>
      <c r="BH4" s="385">
        <f t="shared" ref="BH4:BH9" si="0">SUM(BC4:BG4)</f>
        <v>0</v>
      </c>
      <c r="BI4" s="508"/>
      <c r="BJ4" s="263" t="s">
        <v>283</v>
      </c>
      <c r="BK4" s="16">
        <f t="shared" ref="BK4:BS8" si="1">IF(ISBLANK(AK4),0,VLOOKUP(AK4,$K:$AA,11,FALSE))</f>
        <v>100</v>
      </c>
      <c r="BL4" s="16">
        <f t="shared" si="1"/>
        <v>100</v>
      </c>
      <c r="BM4" s="16">
        <f t="shared" si="1"/>
        <v>100</v>
      </c>
      <c r="BN4" s="16">
        <f t="shared" si="1"/>
        <v>100</v>
      </c>
      <c r="BO4" s="16">
        <f t="shared" si="1"/>
        <v>100</v>
      </c>
      <c r="BP4" s="16">
        <f t="shared" si="1"/>
        <v>100</v>
      </c>
      <c r="BQ4" s="16">
        <f t="shared" si="1"/>
        <v>100</v>
      </c>
      <c r="BR4" s="16">
        <f t="shared" si="1"/>
        <v>100</v>
      </c>
      <c r="BS4" s="15">
        <f t="shared" si="1"/>
        <v>100</v>
      </c>
    </row>
    <row r="5" spans="1:71" ht="15.75" customHeight="1" x14ac:dyDescent="0.25">
      <c r="A5" s="352" t="s">
        <v>86</v>
      </c>
      <c r="B5" s="353"/>
      <c r="C5" s="289">
        <v>30</v>
      </c>
      <c r="D5" s="289">
        <v>40</v>
      </c>
      <c r="E5" s="305">
        <v>40</v>
      </c>
      <c r="F5" s="264" t="s">
        <v>279</v>
      </c>
      <c r="G5" s="61">
        <v>2903</v>
      </c>
      <c r="H5" s="61">
        <v>2012</v>
      </c>
      <c r="I5" s="61">
        <v>529</v>
      </c>
      <c r="J5" s="61">
        <v>0</v>
      </c>
      <c r="K5" s="290">
        <v>1</v>
      </c>
      <c r="L5" s="396" t="s">
        <v>319</v>
      </c>
      <c r="M5" s="397" t="s">
        <v>222</v>
      </c>
      <c r="N5" s="397" t="s">
        <v>211</v>
      </c>
      <c r="O5" s="397" t="s">
        <v>211</v>
      </c>
      <c r="P5" s="397" t="s">
        <v>211</v>
      </c>
      <c r="Q5" s="397" t="s">
        <v>211</v>
      </c>
      <c r="R5" s="397" t="s">
        <v>211</v>
      </c>
      <c r="S5" s="397" t="s">
        <v>211</v>
      </c>
      <c r="T5" s="397" t="s">
        <v>211</v>
      </c>
      <c r="U5" s="397">
        <v>380</v>
      </c>
      <c r="V5" s="397">
        <v>300</v>
      </c>
      <c r="W5" s="397">
        <v>59</v>
      </c>
      <c r="X5" s="397">
        <v>10</v>
      </c>
      <c r="Y5" s="397">
        <v>14</v>
      </c>
      <c r="Z5" s="397">
        <v>45</v>
      </c>
      <c r="AA5" s="319">
        <v>53000000</v>
      </c>
      <c r="AB5" s="264" t="s">
        <v>279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19">
        <v>0</v>
      </c>
      <c r="AJ5" s="252" t="s">
        <v>284</v>
      </c>
      <c r="AK5" s="280">
        <v>29</v>
      </c>
      <c r="AL5" s="280">
        <v>29</v>
      </c>
      <c r="AM5" s="280">
        <v>29</v>
      </c>
      <c r="AN5" s="280">
        <v>29</v>
      </c>
      <c r="AO5" s="280">
        <v>29</v>
      </c>
      <c r="AP5" s="280">
        <v>29</v>
      </c>
      <c r="AQ5" s="280">
        <v>29</v>
      </c>
      <c r="AR5" s="280">
        <v>29</v>
      </c>
      <c r="AS5" s="280">
        <v>29</v>
      </c>
      <c r="AT5" s="177" t="s">
        <v>67</v>
      </c>
      <c r="AU5" s="179" t="s">
        <v>204</v>
      </c>
      <c r="AV5" s="179" t="s">
        <v>14</v>
      </c>
      <c r="AW5" s="179" t="s">
        <v>205</v>
      </c>
      <c r="AX5" s="210" t="s">
        <v>86</v>
      </c>
      <c r="AY5" s="235" t="s">
        <v>14</v>
      </c>
      <c r="AZ5" s="271" t="s">
        <v>205</v>
      </c>
      <c r="BA5" s="495"/>
      <c r="BB5" s="355" t="s">
        <v>73</v>
      </c>
      <c r="BC5" s="64" t="e">
        <f>ROUNDUP(BC4/IF($BA$3="共鬥",$AX$4,IF($BA$3="單機",$AU$4)),0)</f>
        <v>#DIV/0!</v>
      </c>
      <c r="BD5" s="61" t="e">
        <f>ROUNDUP(BD4/IF($BA$3="共鬥",$AX$4,IF($BA$3="單機",$AU$4)),0)</f>
        <v>#DIV/0!</v>
      </c>
      <c r="BE5" s="62" t="e">
        <f>ROUNDUP(BE4/IF($BA$3="共鬥",$AX$4,IF($BA$3="單機",$AU$4)),0)</f>
        <v>#DIV/0!</v>
      </c>
      <c r="BF5" s="113" t="e">
        <f>ROUNDUP(BF4/IF($BA$3="共鬥",$AX$4,IF($BA$3="單機",$AU$4)),0)</f>
        <v>#DIV/0!</v>
      </c>
      <c r="BG5" s="63" t="e">
        <f>ROUNDUP(BG4/IF($BA$3="共鬥",$AX$4,IF($BA$3="單機",$AU$4)),0)</f>
        <v>#DIV/0!</v>
      </c>
      <c r="BH5" s="206" t="e">
        <f t="shared" si="0"/>
        <v>#DIV/0!</v>
      </c>
      <c r="BI5" s="508"/>
      <c r="BJ5" s="264" t="s">
        <v>284</v>
      </c>
      <c r="BK5" s="33">
        <f t="shared" si="1"/>
        <v>120</v>
      </c>
      <c r="BL5" s="33">
        <f t="shared" si="1"/>
        <v>120</v>
      </c>
      <c r="BM5" s="33">
        <f t="shared" si="1"/>
        <v>120</v>
      </c>
      <c r="BN5" s="33">
        <f t="shared" si="1"/>
        <v>120</v>
      </c>
      <c r="BO5" s="33">
        <f t="shared" si="1"/>
        <v>120</v>
      </c>
      <c r="BP5" s="33">
        <f t="shared" si="1"/>
        <v>120</v>
      </c>
      <c r="BQ5" s="33">
        <f t="shared" si="1"/>
        <v>120</v>
      </c>
      <c r="BR5" s="33">
        <f t="shared" si="1"/>
        <v>120</v>
      </c>
      <c r="BS5" s="172">
        <f t="shared" si="1"/>
        <v>120</v>
      </c>
    </row>
    <row r="6" spans="1:71" ht="15.75" customHeight="1" x14ac:dyDescent="0.25">
      <c r="F6" s="170" t="s">
        <v>280</v>
      </c>
      <c r="G6" s="62">
        <v>2358</v>
      </c>
      <c r="H6" s="62">
        <v>2266</v>
      </c>
      <c r="I6" s="62">
        <v>370</v>
      </c>
      <c r="J6" s="62">
        <v>238</v>
      </c>
      <c r="K6" s="290">
        <v>2</v>
      </c>
      <c r="L6" s="396" t="s">
        <v>319</v>
      </c>
      <c r="M6" s="397" t="s">
        <v>222</v>
      </c>
      <c r="N6" s="397" t="s">
        <v>222</v>
      </c>
      <c r="O6" s="397" t="s">
        <v>211</v>
      </c>
      <c r="P6" s="397" t="s">
        <v>211</v>
      </c>
      <c r="Q6" s="397" t="s">
        <v>211</v>
      </c>
      <c r="R6" s="397" t="s">
        <v>211</v>
      </c>
      <c r="S6" s="397" t="s">
        <v>211</v>
      </c>
      <c r="T6" s="397" t="s">
        <v>211</v>
      </c>
      <c r="U6" s="397">
        <v>220</v>
      </c>
      <c r="V6" s="397">
        <v>180</v>
      </c>
      <c r="W6" s="397">
        <v>59</v>
      </c>
      <c r="X6" s="397">
        <v>10</v>
      </c>
      <c r="Y6" s="397">
        <v>10</v>
      </c>
      <c r="Z6" s="397">
        <v>45</v>
      </c>
      <c r="AA6" s="319">
        <v>45000000</v>
      </c>
      <c r="AB6" s="170" t="s">
        <v>280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19">
        <v>0</v>
      </c>
      <c r="AJ6" s="258" t="s">
        <v>285</v>
      </c>
      <c r="AK6" s="282">
        <v>31</v>
      </c>
      <c r="AL6" s="282">
        <v>31</v>
      </c>
      <c r="AM6" s="282">
        <v>31</v>
      </c>
      <c r="AN6" s="282">
        <v>31</v>
      </c>
      <c r="AO6" s="282">
        <v>31</v>
      </c>
      <c r="AP6" s="282">
        <v>31</v>
      </c>
      <c r="AQ6" s="282">
        <v>31</v>
      </c>
      <c r="AR6" s="282">
        <v>31</v>
      </c>
      <c r="AS6" s="282">
        <v>31</v>
      </c>
      <c r="AT6" s="354" t="s">
        <v>18</v>
      </c>
      <c r="AU6" s="180">
        <f>AVERAGE(D咢牙!$C:$C)</f>
        <v>3</v>
      </c>
      <c r="AV6" s="233">
        <f>COUNT(D咢牙!#REF!)</f>
        <v>0</v>
      </c>
      <c r="AW6" s="180">
        <f>$C$4/AU6</f>
        <v>10</v>
      </c>
      <c r="AX6" s="103">
        <f>AVERAGE(D咢牙!E:E)</f>
        <v>3.3098591549295775</v>
      </c>
      <c r="AY6" s="234">
        <f>COUNT(D咢牙!E:E)</f>
        <v>71</v>
      </c>
      <c r="AZ6" s="102">
        <f>$C$5/AX6</f>
        <v>9.0638297872340416</v>
      </c>
      <c r="BA6" s="495"/>
      <c r="BB6" s="355" t="s">
        <v>257</v>
      </c>
      <c r="BC6" s="181" t="e">
        <f>ROUNDUP(BC5/(RECOVER_AP / $C$5)*RECOVER_DIAMS,0)</f>
        <v>#DIV/0!</v>
      </c>
      <c r="BD6" s="184" t="e">
        <f>ROUNDUP(BD5/(RECOVER_AP / $C$5)*RECOVER_DIAMS,0)</f>
        <v>#DIV/0!</v>
      </c>
      <c r="BE6" s="182" t="e">
        <f>ROUNDUP(BE5/(RECOVER_AP / $C$5)*RECOVER_DIAMS,0)</f>
        <v>#DIV/0!</v>
      </c>
      <c r="BF6" s="183" t="e">
        <f>ROUNDUP(BF5/(RECOVER_AP / $C$5)*RECOVER_DIAMS,0)</f>
        <v>#DIV/0!</v>
      </c>
      <c r="BG6" s="197" t="e">
        <f>ROUNDUP(BG5/(RECOVER_AP / $C$5)*RECOVER_DIAMS,0)</f>
        <v>#DIV/0!</v>
      </c>
      <c r="BH6" s="207" t="e">
        <f t="shared" si="0"/>
        <v>#DIV/0!</v>
      </c>
      <c r="BI6" s="508"/>
      <c r="BJ6" s="170" t="s">
        <v>285</v>
      </c>
      <c r="BK6" s="171">
        <f t="shared" si="1"/>
        <v>100</v>
      </c>
      <c r="BL6" s="171">
        <f t="shared" si="1"/>
        <v>100</v>
      </c>
      <c r="BM6" s="171">
        <f t="shared" si="1"/>
        <v>100</v>
      </c>
      <c r="BN6" s="171">
        <f t="shared" si="1"/>
        <v>100</v>
      </c>
      <c r="BO6" s="171">
        <f t="shared" si="1"/>
        <v>100</v>
      </c>
      <c r="BP6" s="171">
        <f t="shared" si="1"/>
        <v>100</v>
      </c>
      <c r="BQ6" s="171">
        <f t="shared" si="1"/>
        <v>100</v>
      </c>
      <c r="BR6" s="171">
        <f t="shared" si="1"/>
        <v>100</v>
      </c>
      <c r="BS6" s="173">
        <f t="shared" si="1"/>
        <v>100</v>
      </c>
    </row>
    <row r="7" spans="1:71" ht="15.75" customHeight="1" x14ac:dyDescent="0.25">
      <c r="F7" s="265" t="s">
        <v>281</v>
      </c>
      <c r="G7" s="113">
        <v>2833</v>
      </c>
      <c r="H7" s="113">
        <v>3196</v>
      </c>
      <c r="I7" s="113">
        <v>835</v>
      </c>
      <c r="J7" s="113">
        <v>2</v>
      </c>
      <c r="K7" s="290">
        <v>3</v>
      </c>
      <c r="L7" s="396" t="s">
        <v>319</v>
      </c>
      <c r="M7" s="397" t="s">
        <v>222</v>
      </c>
      <c r="N7" s="397" t="s">
        <v>211</v>
      </c>
      <c r="O7" s="397" t="s">
        <v>222</v>
      </c>
      <c r="P7" s="397" t="s">
        <v>211</v>
      </c>
      <c r="Q7" s="397" t="s">
        <v>211</v>
      </c>
      <c r="R7" s="397" t="s">
        <v>211</v>
      </c>
      <c r="S7" s="397" t="s">
        <v>211</v>
      </c>
      <c r="T7" s="397" t="s">
        <v>211</v>
      </c>
      <c r="U7" s="397">
        <v>364</v>
      </c>
      <c r="V7" s="397">
        <v>290</v>
      </c>
      <c r="W7" s="397">
        <v>52</v>
      </c>
      <c r="X7" s="397">
        <v>10</v>
      </c>
      <c r="Y7" s="397">
        <v>4</v>
      </c>
      <c r="Z7" s="397">
        <v>44</v>
      </c>
      <c r="AA7" s="319">
        <v>50500000</v>
      </c>
      <c r="AB7" s="265" t="s">
        <v>281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19">
        <v>0</v>
      </c>
      <c r="AJ7" s="257" t="s">
        <v>286</v>
      </c>
      <c r="AK7" s="284">
        <v>29</v>
      </c>
      <c r="AL7" s="284">
        <v>29</v>
      </c>
      <c r="AM7" s="284">
        <v>29</v>
      </c>
      <c r="AN7" s="284">
        <v>29</v>
      </c>
      <c r="AO7" s="284">
        <v>29</v>
      </c>
      <c r="AP7" s="284">
        <v>29</v>
      </c>
      <c r="AQ7" s="284">
        <v>29</v>
      </c>
      <c r="AR7" s="284">
        <v>29</v>
      </c>
      <c r="AS7" s="284">
        <v>29</v>
      </c>
      <c r="AT7" s="354" t="s">
        <v>17</v>
      </c>
      <c r="AU7" s="180">
        <f>AVERAGE(D咢牙!$D:$D)</f>
        <v>3</v>
      </c>
      <c r="AV7" s="233">
        <f>COUNT(D咢牙!#REF!)</f>
        <v>0</v>
      </c>
      <c r="AW7" s="180">
        <f>$C$4/AU7</f>
        <v>10</v>
      </c>
      <c r="AX7" s="103">
        <f>AVERAGE(D咢牙!F:F) + AVERAGE(D咢牙!G:G)</f>
        <v>7.6969696969696972</v>
      </c>
      <c r="AY7" s="234">
        <f>COUNT(D咢牙!F:F)</f>
        <v>72</v>
      </c>
      <c r="AZ7" s="102">
        <f>$C$5/AX7</f>
        <v>3.8976377952755903</v>
      </c>
      <c r="BA7" s="495"/>
      <c r="BB7" s="355" t="s">
        <v>74</v>
      </c>
      <c r="BC7" s="64">
        <f>ROUNDUP(BC4/IF($BA$3="共鬥",$AX$6,IF($BA$3="單機",$AU$6)),0)</f>
        <v>0</v>
      </c>
      <c r="BD7" s="61">
        <f>ROUNDUP(BD4/IF($BA$3="共鬥",$AX$6,IF($BA$3="單機",$AU$6)),0)</f>
        <v>0</v>
      </c>
      <c r="BE7" s="62">
        <f>ROUNDUP(BE4/IF($BA$3="共鬥",$AX$6,IF($BA$3="單機",$AU$6)),0)</f>
        <v>0</v>
      </c>
      <c r="BF7" s="113">
        <f>ROUNDUP(BF4/IF($BA$3="共鬥",$AX$6,IF($BA$3="單機",$AU$6)),0)</f>
        <v>0</v>
      </c>
      <c r="BG7" s="63">
        <f>ROUNDUP(BG4/IF($BA$3="共鬥",$AX$6,IF($BA$3="單機",$AU$6)),0)</f>
        <v>0</v>
      </c>
      <c r="BH7" s="206">
        <f t="shared" si="0"/>
        <v>0</v>
      </c>
      <c r="BI7" s="508"/>
      <c r="BJ7" s="265" t="s">
        <v>286</v>
      </c>
      <c r="BK7" s="112">
        <f t="shared" si="1"/>
        <v>120</v>
      </c>
      <c r="BL7" s="112">
        <f t="shared" si="1"/>
        <v>120</v>
      </c>
      <c r="BM7" s="112">
        <f t="shared" si="1"/>
        <v>120</v>
      </c>
      <c r="BN7" s="112">
        <f t="shared" si="1"/>
        <v>120</v>
      </c>
      <c r="BO7" s="112">
        <f t="shared" si="1"/>
        <v>120</v>
      </c>
      <c r="BP7" s="112">
        <f t="shared" si="1"/>
        <v>120</v>
      </c>
      <c r="BQ7" s="112">
        <f t="shared" si="1"/>
        <v>120</v>
      </c>
      <c r="BR7" s="112">
        <f t="shared" si="1"/>
        <v>120</v>
      </c>
      <c r="BS7" s="174">
        <f t="shared" si="1"/>
        <v>120</v>
      </c>
    </row>
    <row r="8" spans="1:71" ht="15.75" customHeight="1" x14ac:dyDescent="0.25">
      <c r="F8" s="12" t="s">
        <v>282</v>
      </c>
      <c r="G8" s="360">
        <v>1900</v>
      </c>
      <c r="H8" s="360">
        <v>2382</v>
      </c>
      <c r="I8" s="360">
        <v>659</v>
      </c>
      <c r="J8" s="360">
        <v>0</v>
      </c>
      <c r="K8" s="290">
        <v>4</v>
      </c>
      <c r="L8" s="396" t="s">
        <v>319</v>
      </c>
      <c r="M8" s="397" t="s">
        <v>222</v>
      </c>
      <c r="N8" s="397" t="s">
        <v>222</v>
      </c>
      <c r="O8" s="397" t="s">
        <v>222</v>
      </c>
      <c r="P8" s="397" t="s">
        <v>211</v>
      </c>
      <c r="Q8" s="397" t="s">
        <v>211</v>
      </c>
      <c r="R8" s="397" t="s">
        <v>211</v>
      </c>
      <c r="S8" s="397" t="s">
        <v>211</v>
      </c>
      <c r="T8" s="397" t="s">
        <v>211</v>
      </c>
      <c r="U8" s="397">
        <v>204</v>
      </c>
      <c r="V8" s="397">
        <v>170</v>
      </c>
      <c r="W8" s="397">
        <v>52</v>
      </c>
      <c r="X8" s="397">
        <v>10</v>
      </c>
      <c r="Y8" s="397">
        <v>0</v>
      </c>
      <c r="Z8" s="397">
        <v>44</v>
      </c>
      <c r="AA8" s="319">
        <v>42500000</v>
      </c>
      <c r="AB8" s="12" t="s">
        <v>282</v>
      </c>
      <c r="AC8" s="296">
        <v>0</v>
      </c>
      <c r="AD8" s="296">
        <v>0</v>
      </c>
      <c r="AE8" s="296">
        <v>0</v>
      </c>
      <c r="AF8" s="296">
        <v>0</v>
      </c>
      <c r="AG8" s="296">
        <v>0</v>
      </c>
      <c r="AH8" s="296">
        <v>0</v>
      </c>
      <c r="AI8" s="320">
        <v>0</v>
      </c>
      <c r="AJ8" s="244" t="s">
        <v>287</v>
      </c>
      <c r="AK8" s="286">
        <v>31</v>
      </c>
      <c r="AL8" s="286">
        <v>31</v>
      </c>
      <c r="AM8" s="286">
        <v>31</v>
      </c>
      <c r="AN8" s="286">
        <v>31</v>
      </c>
      <c r="AO8" s="286">
        <v>31</v>
      </c>
      <c r="AP8" s="286">
        <v>31</v>
      </c>
      <c r="AQ8" s="286">
        <v>31</v>
      </c>
      <c r="AR8" s="286">
        <v>31</v>
      </c>
      <c r="AS8" s="286">
        <v>31</v>
      </c>
      <c r="AT8" s="178" t="s">
        <v>71</v>
      </c>
      <c r="AU8" s="179" t="s">
        <v>204</v>
      </c>
      <c r="AV8" s="179" t="s">
        <v>14</v>
      </c>
      <c r="AW8" s="179" t="s">
        <v>205</v>
      </c>
      <c r="AX8" s="210" t="s">
        <v>86</v>
      </c>
      <c r="AY8" s="235" t="s">
        <v>14</v>
      </c>
      <c r="AZ8" s="271" t="s">
        <v>205</v>
      </c>
      <c r="BA8" s="488"/>
      <c r="BB8" s="353" t="s">
        <v>217</v>
      </c>
      <c r="BC8" s="373">
        <f>ROUNDUP(BC7/(RECOVER_AP / $D$5)*RECOVER_DIAMS,0)</f>
        <v>0</v>
      </c>
      <c r="BD8" s="374">
        <f>ROUNDUP(BD7/(RECOVER_AP / $D$5)*RECOVER_DIAMS,0)</f>
        <v>0</v>
      </c>
      <c r="BE8" s="375">
        <f>ROUNDUP(BE7/(RECOVER_AP / $D$5)*RECOVER_DIAMS,0)</f>
        <v>0</v>
      </c>
      <c r="BF8" s="376">
        <f>ROUNDUP(BF7/(RECOVER_AP / $D$5)*RECOVER_DIAMS,0)</f>
        <v>0</v>
      </c>
      <c r="BG8" s="377">
        <f>ROUNDUP(BG7/(RECOVER_AP / $D$5)*RECOVER_DIAMS,0)</f>
        <v>0</v>
      </c>
      <c r="BH8" s="386">
        <f t="shared" si="0"/>
        <v>0</v>
      </c>
      <c r="BI8" s="509"/>
      <c r="BJ8" s="12" t="s">
        <v>287</v>
      </c>
      <c r="BK8" s="13">
        <f t="shared" si="1"/>
        <v>100</v>
      </c>
      <c r="BL8" s="13">
        <f t="shared" si="1"/>
        <v>100</v>
      </c>
      <c r="BM8" s="13">
        <f t="shared" si="1"/>
        <v>100</v>
      </c>
      <c r="BN8" s="13">
        <f t="shared" si="1"/>
        <v>100</v>
      </c>
      <c r="BO8" s="13">
        <f t="shared" si="1"/>
        <v>100</v>
      </c>
      <c r="BP8" s="13">
        <f t="shared" si="1"/>
        <v>100</v>
      </c>
      <c r="BQ8" s="13">
        <f t="shared" si="1"/>
        <v>100</v>
      </c>
      <c r="BR8" s="13">
        <f t="shared" si="1"/>
        <v>100</v>
      </c>
      <c r="BS8" s="101">
        <f t="shared" si="1"/>
        <v>100</v>
      </c>
    </row>
    <row r="9" spans="1:71" ht="15.75" customHeight="1" x14ac:dyDescent="0.25">
      <c r="F9" s="495" t="s">
        <v>216</v>
      </c>
      <c r="G9" s="503"/>
      <c r="H9" s="503"/>
      <c r="I9" s="512">
        <v>5639</v>
      </c>
      <c r="J9" s="512"/>
      <c r="K9" s="290">
        <v>5</v>
      </c>
      <c r="L9" s="396" t="s">
        <v>319</v>
      </c>
      <c r="M9" s="397" t="s">
        <v>222</v>
      </c>
      <c r="N9" s="397" t="s">
        <v>222</v>
      </c>
      <c r="O9" s="397" t="s">
        <v>222</v>
      </c>
      <c r="P9" s="397" t="s">
        <v>222</v>
      </c>
      <c r="Q9" s="397" t="s">
        <v>211</v>
      </c>
      <c r="R9" s="397" t="s">
        <v>211</v>
      </c>
      <c r="S9" s="397" t="s">
        <v>211</v>
      </c>
      <c r="T9" s="397" t="s">
        <v>211</v>
      </c>
      <c r="U9" s="397">
        <v>188</v>
      </c>
      <c r="V9" s="397">
        <v>160</v>
      </c>
      <c r="W9" s="397">
        <v>45</v>
      </c>
      <c r="X9" s="397">
        <v>10</v>
      </c>
      <c r="Y9" s="397">
        <v>0</v>
      </c>
      <c r="Z9" s="397">
        <v>43</v>
      </c>
      <c r="AA9" s="319">
        <v>35000000</v>
      </c>
      <c r="AB9" s="397"/>
      <c r="AC9" s="276"/>
      <c r="AD9" s="276"/>
      <c r="AE9" s="276"/>
      <c r="AF9" s="356"/>
      <c r="AG9" s="276"/>
      <c r="AH9" s="276"/>
      <c r="AI9" s="276"/>
      <c r="AT9" s="354" t="s">
        <v>17</v>
      </c>
      <c r="AU9" s="180">
        <f>AVERAGE(D咢牙!H:H)</f>
        <v>2.6842105263157894</v>
      </c>
      <c r="AV9" s="233">
        <f>COUNT(D咢牙!H:H)</f>
        <v>19</v>
      </c>
      <c r="AW9" s="180">
        <f>$D$4/AU9</f>
        <v>14.901960784313726</v>
      </c>
      <c r="AX9" s="103">
        <f>AVERAGE(D咢牙!K:K)</f>
        <v>4</v>
      </c>
      <c r="AY9" s="234">
        <f>COUNT(D咢牙!K:K)</f>
        <v>297</v>
      </c>
      <c r="AZ9" s="102">
        <f>$D$5/AX9</f>
        <v>10</v>
      </c>
      <c r="BA9" s="525" t="s">
        <v>17</v>
      </c>
      <c r="BB9" s="358" t="s">
        <v>210</v>
      </c>
      <c r="BC9" s="380">
        <f>MAX(SUM(BK11:BS11) - H4 + AD4,0)</f>
        <v>0</v>
      </c>
      <c r="BD9" s="381">
        <f>MAX(SUM(BK12:BS12) - H5 + AD5,0)</f>
        <v>0</v>
      </c>
      <c r="BE9" s="382">
        <f>MAX(SUM(BK10:BS10) - H6 + AD6,0)</f>
        <v>0</v>
      </c>
      <c r="BF9" s="383">
        <f>MAX(SUM(BK14:BS14) - H7 + AD7,0)</f>
        <v>0</v>
      </c>
      <c r="BG9" s="384">
        <f>MAX(SUM(BK13:BS13) - H8 + AD8,0)</f>
        <v>0</v>
      </c>
      <c r="BH9" s="385">
        <f t="shared" si="0"/>
        <v>0</v>
      </c>
      <c r="BI9" s="507" t="s">
        <v>17</v>
      </c>
      <c r="BJ9" s="260"/>
      <c r="BK9" s="260" t="s">
        <v>53</v>
      </c>
      <c r="BL9" s="260" t="s">
        <v>2</v>
      </c>
      <c r="BM9" s="260" t="s">
        <v>72</v>
      </c>
      <c r="BN9" s="260" t="s">
        <v>0</v>
      </c>
      <c r="BO9" s="260" t="s">
        <v>5</v>
      </c>
      <c r="BP9" s="260" t="s">
        <v>8</v>
      </c>
      <c r="BQ9" s="260" t="s">
        <v>206</v>
      </c>
      <c r="BR9" s="260" t="s">
        <v>125</v>
      </c>
      <c r="BS9" s="261" t="s">
        <v>207</v>
      </c>
    </row>
    <row r="10" spans="1:71" ht="15.75" customHeight="1" x14ac:dyDescent="0.25">
      <c r="F10" s="495" t="s">
        <v>259</v>
      </c>
      <c r="G10" s="503"/>
      <c r="H10" s="526">
        <v>295</v>
      </c>
      <c r="I10" s="526"/>
      <c r="J10" s="526"/>
      <c r="K10" s="290">
        <v>6</v>
      </c>
      <c r="L10" s="396" t="s">
        <v>319</v>
      </c>
      <c r="M10" s="397" t="s">
        <v>222</v>
      </c>
      <c r="N10" s="397" t="s">
        <v>222</v>
      </c>
      <c r="O10" s="397" t="s">
        <v>222</v>
      </c>
      <c r="P10" s="397" t="s">
        <v>222</v>
      </c>
      <c r="Q10" s="397" t="s">
        <v>222</v>
      </c>
      <c r="R10" s="397" t="s">
        <v>211</v>
      </c>
      <c r="S10" s="397" t="s">
        <v>211</v>
      </c>
      <c r="T10" s="397" t="s">
        <v>211</v>
      </c>
      <c r="U10" s="397">
        <v>88</v>
      </c>
      <c r="V10" s="397">
        <v>60</v>
      </c>
      <c r="W10" s="397">
        <v>31</v>
      </c>
      <c r="X10" s="397">
        <v>10</v>
      </c>
      <c r="Y10" s="397">
        <v>0</v>
      </c>
      <c r="Z10" s="397">
        <v>13</v>
      </c>
      <c r="AA10" s="319">
        <v>25000000</v>
      </c>
      <c r="AB10" s="397"/>
      <c r="AI10" s="276"/>
      <c r="AT10" s="354" t="s">
        <v>112</v>
      </c>
      <c r="AU10" s="180">
        <f>AVERAGE(D咢牙!I:I)</f>
        <v>4</v>
      </c>
      <c r="AV10" s="233">
        <f>COUNT(D咢牙!I:I)</f>
        <v>19</v>
      </c>
      <c r="AW10" s="180">
        <f>$D$4/AU10</f>
        <v>10</v>
      </c>
      <c r="AX10" s="103">
        <f>AVERAGE(D咢牙!L:L)</f>
        <v>6</v>
      </c>
      <c r="AY10" s="234">
        <f>COUNT(D咢牙!L:L)</f>
        <v>297</v>
      </c>
      <c r="AZ10" s="102">
        <f>$D$5/AX10</f>
        <v>6.666666666666667</v>
      </c>
      <c r="BA10" s="495"/>
      <c r="BB10" s="355" t="s">
        <v>74</v>
      </c>
      <c r="BC10" s="64">
        <f>ROUNDUP(BC9/IF($BA$3="共鬥",$AX$7,IF($BA$3="單機",$AU$7)),0)</f>
        <v>0</v>
      </c>
      <c r="BD10" s="61">
        <f>ROUNDUP(BD9/IF($BA$3="共鬥",$AX$7,IF($BA$3="單機",$AU$7)),0)</f>
        <v>0</v>
      </c>
      <c r="BE10" s="62">
        <f>ROUNDUP(BE9/IF($BA$3="共鬥",$AX$7,IF($BA$3="單機",$AU$7)),0)</f>
        <v>0</v>
      </c>
      <c r="BF10" s="113">
        <f>ROUNDUP(BF9/IF($BA$3="共鬥",$AX$7,IF($BA$3="單機",$AU$7)),0)</f>
        <v>0</v>
      </c>
      <c r="BG10" s="63">
        <f>ROUNDUP(BG9/IF($BA$3="共鬥",$AX$7,IF($BA$3="單機",$AU$7)),0)</f>
        <v>0</v>
      </c>
      <c r="BH10" s="206">
        <f t="shared" ref="BH10:BH16" si="2">SUM(BC10:BG10)</f>
        <v>0</v>
      </c>
      <c r="BI10" s="508"/>
      <c r="BJ10" s="263" t="s">
        <v>283</v>
      </c>
      <c r="BK10" s="16">
        <f t="shared" ref="BK10:BS14" si="3">IF(ISBLANK(AK4),0,VLOOKUP(AK4,$K:$AA,12,FALSE))</f>
        <v>100</v>
      </c>
      <c r="BL10" s="16">
        <f t="shared" si="3"/>
        <v>100</v>
      </c>
      <c r="BM10" s="16">
        <f t="shared" si="3"/>
        <v>100</v>
      </c>
      <c r="BN10" s="16">
        <f t="shared" si="3"/>
        <v>100</v>
      </c>
      <c r="BO10" s="16">
        <f t="shared" si="3"/>
        <v>100</v>
      </c>
      <c r="BP10" s="16">
        <f t="shared" si="3"/>
        <v>100</v>
      </c>
      <c r="BQ10" s="16">
        <f t="shared" si="3"/>
        <v>100</v>
      </c>
      <c r="BR10" s="16">
        <f t="shared" si="3"/>
        <v>100</v>
      </c>
      <c r="BS10" s="15">
        <f t="shared" si="3"/>
        <v>100</v>
      </c>
    </row>
    <row r="11" spans="1:71" ht="15.75" customHeight="1" x14ac:dyDescent="0.25">
      <c r="F11" s="488" t="s">
        <v>226</v>
      </c>
      <c r="G11" s="489"/>
      <c r="H11" s="490">
        <v>512790199</v>
      </c>
      <c r="I11" s="490"/>
      <c r="J11" s="490"/>
      <c r="K11" s="290">
        <v>7</v>
      </c>
      <c r="L11" s="396" t="s">
        <v>319</v>
      </c>
      <c r="M11" s="397" t="s">
        <v>222</v>
      </c>
      <c r="N11" s="397" t="s">
        <v>222</v>
      </c>
      <c r="O11" s="397" t="s">
        <v>222</v>
      </c>
      <c r="P11" s="397" t="s">
        <v>222</v>
      </c>
      <c r="Q11" s="397" t="s">
        <v>211</v>
      </c>
      <c r="R11" s="397" t="s">
        <v>222</v>
      </c>
      <c r="S11" s="397" t="s">
        <v>211</v>
      </c>
      <c r="T11" s="397" t="s">
        <v>211</v>
      </c>
      <c r="U11" s="397">
        <v>140</v>
      </c>
      <c r="V11" s="397">
        <v>130</v>
      </c>
      <c r="W11" s="397">
        <v>24</v>
      </c>
      <c r="X11" s="397">
        <v>10</v>
      </c>
      <c r="Y11" s="397">
        <v>0</v>
      </c>
      <c r="Z11" s="397">
        <v>40</v>
      </c>
      <c r="AA11" s="319">
        <v>12500000</v>
      </c>
      <c r="AB11" s="397"/>
      <c r="AT11" s="354" t="s">
        <v>68</v>
      </c>
      <c r="AU11" s="180">
        <f>AVERAGE(D咢牙!J:J)</f>
        <v>1.4736842105263157</v>
      </c>
      <c r="AV11" s="233">
        <f>COUNT(D咢牙!J:J)</f>
        <v>19</v>
      </c>
      <c r="AW11" s="180">
        <f>$D$4/AU11</f>
        <v>27.142857142857146</v>
      </c>
      <c r="AX11" s="103">
        <f>AVERAGE(D咢牙!M:M)</f>
        <v>1.9158249158249159</v>
      </c>
      <c r="AY11" s="234">
        <f>COUNT(D咢牙!M:M)</f>
        <v>297</v>
      </c>
      <c r="AZ11" s="102">
        <f>$D$5/AX11</f>
        <v>20.878734622144112</v>
      </c>
      <c r="BA11" s="495"/>
      <c r="BB11" s="355" t="s">
        <v>217</v>
      </c>
      <c r="BC11" s="181">
        <f>ROUNDUP(BC10/(RECOVER_AP / $C$5)*RECOVER_DIAMS,0)</f>
        <v>0</v>
      </c>
      <c r="BD11" s="184">
        <f>ROUNDUP(BD10/(RECOVER_AP / $C$5)*RECOVER_DIAMS,0)</f>
        <v>0</v>
      </c>
      <c r="BE11" s="182">
        <f>ROUNDUP(BE10/(RECOVER_AP / $C$5)*RECOVER_DIAMS,0)</f>
        <v>0</v>
      </c>
      <c r="BF11" s="183">
        <f>ROUNDUP(BF10/(RECOVER_AP / $C$5)*RECOVER_DIAMS,0)</f>
        <v>0</v>
      </c>
      <c r="BG11" s="197">
        <f>ROUNDUP(BG10/(RECOVER_AP / $C$5)*RECOVER_DIAMS,0)</f>
        <v>0</v>
      </c>
      <c r="BH11" s="207">
        <f t="shared" si="2"/>
        <v>0</v>
      </c>
      <c r="BI11" s="508"/>
      <c r="BJ11" s="264" t="s">
        <v>284</v>
      </c>
      <c r="BK11" s="33">
        <f t="shared" si="3"/>
        <v>100</v>
      </c>
      <c r="BL11" s="33">
        <f t="shared" si="3"/>
        <v>100</v>
      </c>
      <c r="BM11" s="33">
        <f t="shared" si="3"/>
        <v>100</v>
      </c>
      <c r="BN11" s="33">
        <f t="shared" si="3"/>
        <v>100</v>
      </c>
      <c r="BO11" s="33">
        <f t="shared" si="3"/>
        <v>100</v>
      </c>
      <c r="BP11" s="33">
        <f t="shared" si="3"/>
        <v>100</v>
      </c>
      <c r="BQ11" s="33">
        <f t="shared" si="3"/>
        <v>100</v>
      </c>
      <c r="BR11" s="33">
        <f t="shared" si="3"/>
        <v>100</v>
      </c>
      <c r="BS11" s="172">
        <f t="shared" si="3"/>
        <v>100</v>
      </c>
    </row>
    <row r="12" spans="1:71" ht="15.75" customHeight="1" x14ac:dyDescent="0.25">
      <c r="K12" s="290">
        <v>8</v>
      </c>
      <c r="L12" s="396" t="s">
        <v>319</v>
      </c>
      <c r="M12" s="397" t="s">
        <v>222</v>
      </c>
      <c r="N12" s="397" t="s">
        <v>222</v>
      </c>
      <c r="O12" s="397" t="s">
        <v>222</v>
      </c>
      <c r="P12" s="397" t="s">
        <v>222</v>
      </c>
      <c r="Q12" s="397" t="s">
        <v>222</v>
      </c>
      <c r="R12" s="397" t="s">
        <v>222</v>
      </c>
      <c r="S12" s="397" t="s">
        <v>211</v>
      </c>
      <c r="T12" s="397" t="s">
        <v>211</v>
      </c>
      <c r="U12" s="397">
        <v>40</v>
      </c>
      <c r="V12" s="397">
        <v>30</v>
      </c>
      <c r="W12" s="397">
        <v>10</v>
      </c>
      <c r="X12" s="397">
        <v>10</v>
      </c>
      <c r="Y12" s="397">
        <v>0</v>
      </c>
      <c r="Z12" s="397">
        <v>10</v>
      </c>
      <c r="AA12" s="319">
        <v>2500000</v>
      </c>
      <c r="AB12" s="397"/>
      <c r="AT12" s="370" t="s">
        <v>326</v>
      </c>
      <c r="AU12" s="179" t="s">
        <v>204</v>
      </c>
      <c r="AV12" s="179" t="s">
        <v>14</v>
      </c>
      <c r="AW12" s="179" t="s">
        <v>205</v>
      </c>
      <c r="AX12" s="355" t="s">
        <v>86</v>
      </c>
      <c r="AY12" s="355" t="s">
        <v>14</v>
      </c>
      <c r="AZ12" s="154" t="s">
        <v>205</v>
      </c>
      <c r="BA12" s="495"/>
      <c r="BB12" s="355" t="s">
        <v>114</v>
      </c>
      <c r="BC12" s="64">
        <f>ROUNDUP(BC9/IF($BA$3="共鬥",$AX$9,IF($BA$3="單機",$AU$9)),0)</f>
        <v>0</v>
      </c>
      <c r="BD12" s="61">
        <f>ROUNDUP(BD9/IF($BA$3="共鬥",$AX$9,IF($BA$3="單機",$AU$9)),0)</f>
        <v>0</v>
      </c>
      <c r="BE12" s="62">
        <f>ROUNDUP(BE9/IF($BA$3="共鬥",$AX$9,IF($BA$3="單機",$AU$9)),0)</f>
        <v>0</v>
      </c>
      <c r="BF12" s="113">
        <f>ROUNDUP(BF9/IF($BA$3="共鬥",$AX$9,IF($BA$3="單機",$AU$9)),0)</f>
        <v>0</v>
      </c>
      <c r="BG12" s="63">
        <f>ROUNDUP(BG9/IF($BA$3="共鬥",$AX$9,IF($BA$3="單機",$AU$9)),0)</f>
        <v>0</v>
      </c>
      <c r="BH12" s="206">
        <f t="shared" si="2"/>
        <v>0</v>
      </c>
      <c r="BI12" s="508"/>
      <c r="BJ12" s="170" t="s">
        <v>285</v>
      </c>
      <c r="BK12" s="171">
        <f t="shared" si="3"/>
        <v>100</v>
      </c>
      <c r="BL12" s="171">
        <f t="shared" si="3"/>
        <v>100</v>
      </c>
      <c r="BM12" s="171">
        <f t="shared" si="3"/>
        <v>100</v>
      </c>
      <c r="BN12" s="171">
        <f t="shared" si="3"/>
        <v>100</v>
      </c>
      <c r="BO12" s="171">
        <f t="shared" si="3"/>
        <v>100</v>
      </c>
      <c r="BP12" s="171">
        <f t="shared" si="3"/>
        <v>100</v>
      </c>
      <c r="BQ12" s="171">
        <f t="shared" si="3"/>
        <v>100</v>
      </c>
      <c r="BR12" s="171">
        <f t="shared" si="3"/>
        <v>100</v>
      </c>
      <c r="BS12" s="173">
        <f t="shared" si="3"/>
        <v>100</v>
      </c>
    </row>
    <row r="13" spans="1:71" ht="15.75" customHeight="1" x14ac:dyDescent="0.25">
      <c r="K13" s="290">
        <v>9</v>
      </c>
      <c r="L13" s="396" t="s">
        <v>319</v>
      </c>
      <c r="M13" s="397" t="s">
        <v>222</v>
      </c>
      <c r="N13" s="397" t="s">
        <v>222</v>
      </c>
      <c r="O13" s="397" t="s">
        <v>222</v>
      </c>
      <c r="P13" s="397" t="s">
        <v>222</v>
      </c>
      <c r="Q13" s="397" t="s">
        <v>211</v>
      </c>
      <c r="R13" s="397" t="s">
        <v>222</v>
      </c>
      <c r="S13" s="397" t="s">
        <v>222</v>
      </c>
      <c r="T13" s="397" t="s">
        <v>211</v>
      </c>
      <c r="U13" s="397">
        <v>100</v>
      </c>
      <c r="V13" s="397">
        <v>100</v>
      </c>
      <c r="W13" s="397">
        <v>14</v>
      </c>
      <c r="X13" s="397">
        <v>0</v>
      </c>
      <c r="Y13" s="397">
        <v>0</v>
      </c>
      <c r="Z13" s="397">
        <v>30</v>
      </c>
      <c r="AA13" s="319">
        <v>10000000</v>
      </c>
      <c r="AB13" s="397"/>
      <c r="AT13" s="352" t="s">
        <v>325</v>
      </c>
      <c r="AU13" s="367">
        <v>4</v>
      </c>
      <c r="AV13" s="371" t="s">
        <v>327</v>
      </c>
      <c r="AW13" s="367">
        <f>$E$4/AU13</f>
        <v>10</v>
      </c>
      <c r="AX13" s="368">
        <v>8</v>
      </c>
      <c r="AY13" s="372" t="s">
        <v>327</v>
      </c>
      <c r="AZ13" s="369">
        <f>$E$5/AX13</f>
        <v>5</v>
      </c>
      <c r="BA13" s="488"/>
      <c r="BB13" s="353" t="s">
        <v>218</v>
      </c>
      <c r="BC13" s="373">
        <f>ROUNDUP(BC12/(RECOVER_AP / $D$5)*RECOVER_DIAMS,0)</f>
        <v>0</v>
      </c>
      <c r="BD13" s="374">
        <f>ROUNDUP(BD12/(RECOVER_AP / $D$5)*RECOVER_DIAMS,0)</f>
        <v>0</v>
      </c>
      <c r="BE13" s="375">
        <f>ROUNDUP(BE12/(RECOVER_AP / $D$5)*RECOVER_DIAMS,0)</f>
        <v>0</v>
      </c>
      <c r="BF13" s="376">
        <f>ROUNDUP(BF12/(RECOVER_AP / $D$5)*RECOVER_DIAMS,0)</f>
        <v>0</v>
      </c>
      <c r="BG13" s="377">
        <f>ROUNDUP(BG12/(RECOVER_AP / $D$5)*RECOVER_DIAMS,0)</f>
        <v>0</v>
      </c>
      <c r="BH13" s="386">
        <f t="shared" si="2"/>
        <v>0</v>
      </c>
      <c r="BI13" s="508"/>
      <c r="BJ13" s="265" t="s">
        <v>286</v>
      </c>
      <c r="BK13" s="112">
        <f t="shared" si="3"/>
        <v>100</v>
      </c>
      <c r="BL13" s="112">
        <f t="shared" si="3"/>
        <v>100</v>
      </c>
      <c r="BM13" s="112">
        <f t="shared" si="3"/>
        <v>100</v>
      </c>
      <c r="BN13" s="112">
        <f t="shared" si="3"/>
        <v>100</v>
      </c>
      <c r="BO13" s="112">
        <f t="shared" si="3"/>
        <v>100</v>
      </c>
      <c r="BP13" s="112">
        <f t="shared" si="3"/>
        <v>100</v>
      </c>
      <c r="BQ13" s="112">
        <f t="shared" si="3"/>
        <v>100</v>
      </c>
      <c r="BR13" s="112">
        <f t="shared" si="3"/>
        <v>100</v>
      </c>
      <c r="BS13" s="174">
        <f t="shared" si="3"/>
        <v>100</v>
      </c>
    </row>
    <row r="14" spans="1:71" ht="15.75" customHeight="1" x14ac:dyDescent="0.25">
      <c r="K14" s="290">
        <v>10</v>
      </c>
      <c r="L14" s="396" t="s">
        <v>319</v>
      </c>
      <c r="M14" s="397" t="s">
        <v>222</v>
      </c>
      <c r="N14" s="397" t="s">
        <v>222</v>
      </c>
      <c r="O14" s="397" t="s">
        <v>222</v>
      </c>
      <c r="P14" s="397" t="s">
        <v>222</v>
      </c>
      <c r="Q14" s="397" t="s">
        <v>222</v>
      </c>
      <c r="R14" s="397" t="s">
        <v>222</v>
      </c>
      <c r="S14" s="397" t="s">
        <v>222</v>
      </c>
      <c r="T14" s="397" t="s">
        <v>211</v>
      </c>
      <c r="U14" s="397">
        <v>0</v>
      </c>
      <c r="V14" s="397">
        <v>0</v>
      </c>
      <c r="W14" s="397">
        <v>0</v>
      </c>
      <c r="X14" s="397">
        <v>0</v>
      </c>
      <c r="Y14" s="397">
        <v>0</v>
      </c>
      <c r="Z14" s="397">
        <v>0</v>
      </c>
      <c r="AA14" s="319">
        <v>0</v>
      </c>
      <c r="AB14" s="397"/>
      <c r="AC14" s="317"/>
      <c r="AD14" s="317"/>
      <c r="BA14" s="525" t="s">
        <v>112</v>
      </c>
      <c r="BB14" s="358" t="s">
        <v>210</v>
      </c>
      <c r="BC14" s="380">
        <f>MAX(SUM(BK17:BS17) - I4 + AE4,0)</f>
        <v>0</v>
      </c>
      <c r="BD14" s="381">
        <f>MAX(SUM(BK18:BS18) - I5 + AE5,0)</f>
        <v>0</v>
      </c>
      <c r="BE14" s="382">
        <f>MAX(SUM(BK16:BS16) - I6 + AE6,0)</f>
        <v>0</v>
      </c>
      <c r="BF14" s="383">
        <f>MAX(SUM(BK20:BS20) - I7 + AE7,0)</f>
        <v>0</v>
      </c>
      <c r="BG14" s="384">
        <f>MAX(SUM(BK19:BS19) - I8 + AE8,0)</f>
        <v>0</v>
      </c>
      <c r="BH14" s="385">
        <f t="shared" si="2"/>
        <v>0</v>
      </c>
      <c r="BI14" s="509"/>
      <c r="BJ14" s="12" t="s">
        <v>287</v>
      </c>
      <c r="BK14" s="13">
        <f t="shared" si="3"/>
        <v>100</v>
      </c>
      <c r="BL14" s="13">
        <f t="shared" si="3"/>
        <v>100</v>
      </c>
      <c r="BM14" s="13">
        <f t="shared" si="3"/>
        <v>100</v>
      </c>
      <c r="BN14" s="13">
        <f t="shared" si="3"/>
        <v>100</v>
      </c>
      <c r="BO14" s="13">
        <f t="shared" si="3"/>
        <v>100</v>
      </c>
      <c r="BP14" s="13">
        <f t="shared" si="3"/>
        <v>100</v>
      </c>
      <c r="BQ14" s="13">
        <f t="shared" si="3"/>
        <v>100</v>
      </c>
      <c r="BR14" s="13">
        <f t="shared" si="3"/>
        <v>100</v>
      </c>
      <c r="BS14" s="101">
        <f t="shared" si="3"/>
        <v>100</v>
      </c>
    </row>
    <row r="15" spans="1:71" ht="15.75" customHeight="1" x14ac:dyDescent="0.25">
      <c r="K15" s="290">
        <v>21</v>
      </c>
      <c r="L15" s="396" t="s">
        <v>320</v>
      </c>
      <c r="M15" s="397" t="s">
        <v>211</v>
      </c>
      <c r="N15" s="397" t="s">
        <v>211</v>
      </c>
      <c r="O15" s="397" t="s">
        <v>211</v>
      </c>
      <c r="P15" s="397" t="s">
        <v>211</v>
      </c>
      <c r="Q15" s="397" t="s">
        <v>211</v>
      </c>
      <c r="R15" s="397" t="s">
        <v>211</v>
      </c>
      <c r="S15" s="397" t="s">
        <v>211</v>
      </c>
      <c r="T15" s="397" t="s">
        <v>211</v>
      </c>
      <c r="U15" s="397">
        <v>500</v>
      </c>
      <c r="V15" s="397">
        <v>400</v>
      </c>
      <c r="W15" s="397">
        <v>89</v>
      </c>
      <c r="X15" s="397">
        <v>30</v>
      </c>
      <c r="Y15" s="397">
        <v>15</v>
      </c>
      <c r="Z15" s="397">
        <v>65</v>
      </c>
      <c r="AA15" s="319">
        <v>57000000</v>
      </c>
      <c r="AB15" s="397"/>
      <c r="AC15" s="317"/>
      <c r="AD15" s="317"/>
      <c r="AE15" s="359"/>
      <c r="BA15" s="495"/>
      <c r="BB15" s="355" t="s">
        <v>114</v>
      </c>
      <c r="BC15" s="64">
        <f>ROUNDUP(BC14/IF($BA$3="共鬥",$AX$10,IF($BA$3="單機",$AU$10)),0)</f>
        <v>0</v>
      </c>
      <c r="BD15" s="61">
        <f>ROUNDUP(BD14/IF($BA$3="共鬥",$AX$10,IF($BA$3="單機",$AU$10)),0)</f>
        <v>0</v>
      </c>
      <c r="BE15" s="62">
        <f>ROUNDUP(BE14/IF($BA$3="共鬥",$AX$10,IF($BA$3="單機",$AU$10)),0)</f>
        <v>0</v>
      </c>
      <c r="BF15" s="113">
        <f>ROUNDUP(BF14/IF($BA$3="共鬥",$AX$10,IF($BA$3="單機",$AU$10)),0)</f>
        <v>0</v>
      </c>
      <c r="BG15" s="63">
        <f>ROUNDUP(BG14/IF($BA$3="共鬥",$AX$10,IF($BA$3="單機",$AU$10)),0)</f>
        <v>0</v>
      </c>
      <c r="BH15" s="206">
        <f t="shared" si="2"/>
        <v>0</v>
      </c>
      <c r="BI15" s="507" t="s">
        <v>112</v>
      </c>
      <c r="BJ15" s="260"/>
      <c r="BK15" s="260" t="s">
        <v>53</v>
      </c>
      <c r="BL15" s="260" t="s">
        <v>2</v>
      </c>
      <c r="BM15" s="260" t="s">
        <v>72</v>
      </c>
      <c r="BN15" s="260" t="s">
        <v>0</v>
      </c>
      <c r="BO15" s="260" t="s">
        <v>5</v>
      </c>
      <c r="BP15" s="260" t="s">
        <v>8</v>
      </c>
      <c r="BQ15" s="260" t="s">
        <v>206</v>
      </c>
      <c r="BR15" s="260" t="s">
        <v>125</v>
      </c>
      <c r="BS15" s="261" t="s">
        <v>207</v>
      </c>
    </row>
    <row r="16" spans="1:71" ht="15.75" customHeight="1" x14ac:dyDescent="0.25">
      <c r="K16" s="290">
        <f>K15+1</f>
        <v>22</v>
      </c>
      <c r="L16" s="396" t="s">
        <v>320</v>
      </c>
      <c r="M16" s="397" t="s">
        <v>222</v>
      </c>
      <c r="N16" s="397" t="s">
        <v>211</v>
      </c>
      <c r="O16" s="397" t="s">
        <v>211</v>
      </c>
      <c r="P16" s="397" t="s">
        <v>211</v>
      </c>
      <c r="Q16" s="397" t="s">
        <v>211</v>
      </c>
      <c r="R16" s="397" t="s">
        <v>211</v>
      </c>
      <c r="S16" s="397" t="s">
        <v>211</v>
      </c>
      <c r="T16" s="397" t="s">
        <v>211</v>
      </c>
      <c r="U16" s="397">
        <v>460</v>
      </c>
      <c r="V16" s="397">
        <v>370</v>
      </c>
      <c r="W16" s="397">
        <v>89</v>
      </c>
      <c r="X16" s="397">
        <v>30</v>
      </c>
      <c r="Y16" s="397">
        <v>14</v>
      </c>
      <c r="Z16" s="397">
        <v>65</v>
      </c>
      <c r="AA16" s="319">
        <v>55000000</v>
      </c>
      <c r="AB16" s="397"/>
      <c r="AC16" s="317"/>
      <c r="AD16" s="317"/>
      <c r="AE16" s="359"/>
      <c r="BA16" s="495"/>
      <c r="BB16" s="355" t="s">
        <v>218</v>
      </c>
      <c r="BC16" s="181">
        <f>ROUNDUP(BC15/(RECOVER_AP / $D$5)*RECOVER_DIAMS,0)</f>
        <v>0</v>
      </c>
      <c r="BD16" s="184">
        <f>ROUNDUP(BD15/(RECOVER_AP / $D$5)*RECOVER_DIAMS,0)</f>
        <v>0</v>
      </c>
      <c r="BE16" s="182">
        <f>ROUNDUP(BE15/(RECOVER_AP / $D$5)*RECOVER_DIAMS,0)</f>
        <v>0</v>
      </c>
      <c r="BF16" s="183">
        <f>ROUNDUP(BF15/(RECOVER_AP / $D$5)*RECOVER_DIAMS,0)</f>
        <v>0</v>
      </c>
      <c r="BG16" s="197">
        <f>ROUNDUP(BG15/(RECOVER_AP / $D$5)*RECOVER_DIAMS,0)</f>
        <v>0</v>
      </c>
      <c r="BH16" s="207">
        <f t="shared" si="2"/>
        <v>0</v>
      </c>
      <c r="BI16" s="508"/>
      <c r="BJ16" s="263" t="s">
        <v>283</v>
      </c>
      <c r="BK16" s="16">
        <f t="shared" ref="BK16:BS20" si="4">IF(ISBLANK(AK4),0,VLOOKUP(AK4,$K:$AA,13,FALSE))</f>
        <v>14</v>
      </c>
      <c r="BL16" s="16">
        <f t="shared" si="4"/>
        <v>14</v>
      </c>
      <c r="BM16" s="16">
        <f t="shared" si="4"/>
        <v>14</v>
      </c>
      <c r="BN16" s="16">
        <f t="shared" si="4"/>
        <v>14</v>
      </c>
      <c r="BO16" s="16">
        <f t="shared" si="4"/>
        <v>14</v>
      </c>
      <c r="BP16" s="16">
        <f t="shared" si="4"/>
        <v>14</v>
      </c>
      <c r="BQ16" s="16">
        <f t="shared" si="4"/>
        <v>14</v>
      </c>
      <c r="BR16" s="16">
        <f t="shared" si="4"/>
        <v>14</v>
      </c>
      <c r="BS16" s="15">
        <f t="shared" si="4"/>
        <v>14</v>
      </c>
    </row>
    <row r="17" spans="11:71" ht="15.75" customHeight="1" x14ac:dyDescent="0.25">
      <c r="K17" s="290">
        <f t="shared" ref="K17:K24" si="5">K16+1</f>
        <v>23</v>
      </c>
      <c r="L17" s="396" t="s">
        <v>320</v>
      </c>
      <c r="M17" s="397" t="s">
        <v>222</v>
      </c>
      <c r="N17" s="397" t="s">
        <v>222</v>
      </c>
      <c r="O17" s="397" t="s">
        <v>211</v>
      </c>
      <c r="P17" s="397" t="s">
        <v>211</v>
      </c>
      <c r="Q17" s="397" t="s">
        <v>211</v>
      </c>
      <c r="R17" s="397" t="s">
        <v>211</v>
      </c>
      <c r="S17" s="397" t="s">
        <v>211</v>
      </c>
      <c r="T17" s="397" t="s">
        <v>211</v>
      </c>
      <c r="U17" s="397">
        <v>300</v>
      </c>
      <c r="V17" s="397">
        <v>250</v>
      </c>
      <c r="W17" s="397">
        <v>89</v>
      </c>
      <c r="X17" s="397">
        <v>30</v>
      </c>
      <c r="Y17" s="397">
        <v>10</v>
      </c>
      <c r="Z17" s="397">
        <v>65</v>
      </c>
      <c r="AA17" s="319">
        <v>47000000</v>
      </c>
      <c r="AB17" s="397"/>
      <c r="AC17" s="317"/>
      <c r="AD17" s="317"/>
      <c r="AE17" s="359"/>
      <c r="BA17" s="525" t="s">
        <v>325</v>
      </c>
      <c r="BB17" s="358" t="s">
        <v>210</v>
      </c>
      <c r="BC17" s="380">
        <f>MAX(SUM(BK23:BS23) - J4 + AF4,0)</f>
        <v>270</v>
      </c>
      <c r="BD17" s="381">
        <f>MAX(SUM(BK24:BS24) - J5 + AF5,0)</f>
        <v>0</v>
      </c>
      <c r="BE17" s="382">
        <f>MAX(SUM(BK22:BS22) - J6 + AF6,0)</f>
        <v>0</v>
      </c>
      <c r="BF17" s="383">
        <f>MAX(SUM(BK26:BS26) - J7 + AF7,0)</f>
        <v>0</v>
      </c>
      <c r="BG17" s="384">
        <f>MAX(SUM(BK25:BS25) - J8 + AF8,0)</f>
        <v>270</v>
      </c>
      <c r="BH17" s="385">
        <f>SUM(BC14:BG14)</f>
        <v>0</v>
      </c>
      <c r="BI17" s="529"/>
      <c r="BJ17" s="264" t="s">
        <v>284</v>
      </c>
      <c r="BK17" s="33">
        <f t="shared" si="4"/>
        <v>40</v>
      </c>
      <c r="BL17" s="33">
        <f t="shared" si="4"/>
        <v>40</v>
      </c>
      <c r="BM17" s="33">
        <f t="shared" si="4"/>
        <v>40</v>
      </c>
      <c r="BN17" s="33">
        <f t="shared" si="4"/>
        <v>40</v>
      </c>
      <c r="BO17" s="33">
        <f t="shared" si="4"/>
        <v>40</v>
      </c>
      <c r="BP17" s="33">
        <f t="shared" si="4"/>
        <v>40</v>
      </c>
      <c r="BQ17" s="33">
        <f t="shared" si="4"/>
        <v>40</v>
      </c>
      <c r="BR17" s="33">
        <f t="shared" si="4"/>
        <v>40</v>
      </c>
      <c r="BS17" s="172">
        <f t="shared" si="4"/>
        <v>40</v>
      </c>
    </row>
    <row r="18" spans="11:71" ht="15.75" customHeight="1" x14ac:dyDescent="0.25">
      <c r="K18" s="290">
        <f t="shared" si="5"/>
        <v>24</v>
      </c>
      <c r="L18" s="396" t="s">
        <v>320</v>
      </c>
      <c r="M18" s="397" t="s">
        <v>222</v>
      </c>
      <c r="N18" s="397" t="s">
        <v>211</v>
      </c>
      <c r="O18" s="397" t="s">
        <v>222</v>
      </c>
      <c r="P18" s="397" t="s">
        <v>211</v>
      </c>
      <c r="Q18" s="397" t="s">
        <v>211</v>
      </c>
      <c r="R18" s="397" t="s">
        <v>211</v>
      </c>
      <c r="S18" s="397" t="s">
        <v>211</v>
      </c>
      <c r="T18" s="397" t="s">
        <v>211</v>
      </c>
      <c r="U18" s="397">
        <v>444</v>
      </c>
      <c r="V18" s="397">
        <v>360</v>
      </c>
      <c r="W18" s="397">
        <v>82</v>
      </c>
      <c r="X18" s="397">
        <v>30</v>
      </c>
      <c r="Y18" s="397">
        <v>4</v>
      </c>
      <c r="Z18" s="397">
        <v>64</v>
      </c>
      <c r="AA18" s="319">
        <v>52500000</v>
      </c>
      <c r="AB18" s="397"/>
      <c r="AC18" s="317"/>
      <c r="AD18" s="317"/>
      <c r="AE18" s="359"/>
      <c r="BA18" s="495"/>
      <c r="BB18" s="355" t="s">
        <v>328</v>
      </c>
      <c r="BC18" s="388">
        <f>ROUNDUP(BC17/IF($BA$3="共鬥",$AX$13,IF($BA$3="單機",$AU$13)),0)</f>
        <v>68</v>
      </c>
      <c r="BD18" s="389">
        <f>ROUNDUP(BD17/IF($BA$3="共鬥",$AX$13,IF($BA$3="單機",$AU$13)),0)</f>
        <v>0</v>
      </c>
      <c r="BE18" s="390">
        <f>ROUNDUP(BE17/IF($BA$3="共鬥",$AX$13,IF($BA$3="單機",$AU$13)),0)</f>
        <v>0</v>
      </c>
      <c r="BF18" s="391">
        <f>ROUNDUP(BF17/IF($BA$3="共鬥",$AX$13,IF($BA$3="單機",$AU$13)),0)</f>
        <v>0</v>
      </c>
      <c r="BG18" s="392">
        <f>ROUNDUP(BG17/IF($BA$3="共鬥",$AX$13,IF($BA$3="單機",$AU$13)),0)</f>
        <v>68</v>
      </c>
      <c r="BH18" s="393">
        <f>SUM(BC18:BG18)</f>
        <v>136</v>
      </c>
      <c r="BI18" s="529"/>
      <c r="BJ18" s="170" t="s">
        <v>285</v>
      </c>
      <c r="BK18" s="171">
        <f t="shared" si="4"/>
        <v>14</v>
      </c>
      <c r="BL18" s="171">
        <f t="shared" si="4"/>
        <v>14</v>
      </c>
      <c r="BM18" s="171">
        <f t="shared" si="4"/>
        <v>14</v>
      </c>
      <c r="BN18" s="171">
        <f t="shared" si="4"/>
        <v>14</v>
      </c>
      <c r="BO18" s="171">
        <f t="shared" si="4"/>
        <v>14</v>
      </c>
      <c r="BP18" s="171">
        <f t="shared" si="4"/>
        <v>14</v>
      </c>
      <c r="BQ18" s="171">
        <f t="shared" si="4"/>
        <v>14</v>
      </c>
      <c r="BR18" s="171">
        <f t="shared" si="4"/>
        <v>14</v>
      </c>
      <c r="BS18" s="173">
        <f t="shared" si="4"/>
        <v>14</v>
      </c>
    </row>
    <row r="19" spans="11:71" ht="15.75" customHeight="1" x14ac:dyDescent="0.25">
      <c r="K19" s="290">
        <f t="shared" si="5"/>
        <v>25</v>
      </c>
      <c r="L19" s="396" t="s">
        <v>320</v>
      </c>
      <c r="M19" s="397" t="s">
        <v>222</v>
      </c>
      <c r="N19" s="397" t="s">
        <v>222</v>
      </c>
      <c r="O19" s="397" t="s">
        <v>222</v>
      </c>
      <c r="P19" s="397" t="s">
        <v>211</v>
      </c>
      <c r="Q19" s="397" t="s">
        <v>211</v>
      </c>
      <c r="R19" s="397" t="s">
        <v>211</v>
      </c>
      <c r="S19" s="397" t="s">
        <v>211</v>
      </c>
      <c r="T19" s="397" t="s">
        <v>211</v>
      </c>
      <c r="U19" s="397">
        <v>284</v>
      </c>
      <c r="V19" s="397">
        <v>240</v>
      </c>
      <c r="W19" s="397">
        <v>82</v>
      </c>
      <c r="X19" s="397">
        <v>30</v>
      </c>
      <c r="Y19" s="397">
        <v>0</v>
      </c>
      <c r="Z19" s="397">
        <v>64</v>
      </c>
      <c r="AA19" s="319">
        <v>44500000</v>
      </c>
      <c r="AB19" s="397"/>
      <c r="AC19" s="317"/>
      <c r="AD19" s="317"/>
      <c r="AE19" s="359"/>
      <c r="BA19" s="488"/>
      <c r="BB19" s="353" t="s">
        <v>218</v>
      </c>
      <c r="BC19" s="373">
        <f>ROUNDUP(BC18/(RECOVER_AP / $D$5)*RECOVER_DIAMS,0)</f>
        <v>680</v>
      </c>
      <c r="BD19" s="374">
        <f>ROUNDUP(BD18/(RECOVER_AP / $D$5)*RECOVER_DIAMS,0)</f>
        <v>0</v>
      </c>
      <c r="BE19" s="375">
        <f>ROUNDUP(BE18/(RECOVER_AP / $D$5)*RECOVER_DIAMS,0)</f>
        <v>0</v>
      </c>
      <c r="BF19" s="376">
        <f>ROUNDUP(BF18/(RECOVER_AP / $D$5)*RECOVER_DIAMS,0)</f>
        <v>0</v>
      </c>
      <c r="BG19" s="377">
        <f>ROUNDUP(BG18/(RECOVER_AP / $D$5)*RECOVER_DIAMS,0)</f>
        <v>680</v>
      </c>
      <c r="BH19" s="386">
        <f>SUM(BC19:BG19)</f>
        <v>1360</v>
      </c>
      <c r="BI19" s="529"/>
      <c r="BJ19" s="265" t="s">
        <v>286</v>
      </c>
      <c r="BK19" s="112">
        <f t="shared" si="4"/>
        <v>40</v>
      </c>
      <c r="BL19" s="112">
        <f t="shared" si="4"/>
        <v>40</v>
      </c>
      <c r="BM19" s="112">
        <f t="shared" si="4"/>
        <v>40</v>
      </c>
      <c r="BN19" s="112">
        <f t="shared" si="4"/>
        <v>40</v>
      </c>
      <c r="BO19" s="112">
        <f t="shared" si="4"/>
        <v>40</v>
      </c>
      <c r="BP19" s="112">
        <f t="shared" si="4"/>
        <v>40</v>
      </c>
      <c r="BQ19" s="112">
        <f t="shared" si="4"/>
        <v>40</v>
      </c>
      <c r="BR19" s="112">
        <f t="shared" si="4"/>
        <v>40</v>
      </c>
      <c r="BS19" s="174">
        <f t="shared" si="4"/>
        <v>40</v>
      </c>
    </row>
    <row r="20" spans="11:71" ht="15.75" customHeight="1" x14ac:dyDescent="0.25">
      <c r="K20" s="290">
        <f t="shared" si="5"/>
        <v>26</v>
      </c>
      <c r="L20" s="396" t="s">
        <v>320</v>
      </c>
      <c r="M20" s="397" t="s">
        <v>222</v>
      </c>
      <c r="N20" s="397" t="s">
        <v>222</v>
      </c>
      <c r="O20" s="397" t="s">
        <v>222</v>
      </c>
      <c r="P20" s="397" t="s">
        <v>222</v>
      </c>
      <c r="Q20" s="397" t="s">
        <v>211</v>
      </c>
      <c r="R20" s="397" t="s">
        <v>211</v>
      </c>
      <c r="S20" s="397" t="s">
        <v>211</v>
      </c>
      <c r="T20" s="397" t="s">
        <v>211</v>
      </c>
      <c r="U20" s="397">
        <v>268</v>
      </c>
      <c r="V20" s="397">
        <v>230</v>
      </c>
      <c r="W20" s="397">
        <v>75</v>
      </c>
      <c r="X20" s="397">
        <v>30</v>
      </c>
      <c r="Y20" s="397">
        <v>0</v>
      </c>
      <c r="Z20" s="397">
        <v>63</v>
      </c>
      <c r="AA20" s="319">
        <v>37000000</v>
      </c>
      <c r="AB20" s="397"/>
      <c r="AC20" s="317"/>
      <c r="AD20" s="317"/>
      <c r="AE20" s="359"/>
      <c r="BA20" s="352" t="s">
        <v>258</v>
      </c>
      <c r="BB20" s="353" t="s">
        <v>210</v>
      </c>
      <c r="BC20" s="527">
        <f>MAX(SUM(BK28:BS32) - H10 + SUM(AG4:AG8),0)</f>
        <v>0</v>
      </c>
      <c r="BD20" s="527"/>
      <c r="BE20" s="527"/>
      <c r="BF20" s="527"/>
      <c r="BG20" s="527"/>
      <c r="BH20" s="528"/>
      <c r="BI20" s="509"/>
      <c r="BJ20" s="12" t="s">
        <v>287</v>
      </c>
      <c r="BK20" s="13">
        <f t="shared" si="4"/>
        <v>14</v>
      </c>
      <c r="BL20" s="13">
        <f t="shared" si="4"/>
        <v>14</v>
      </c>
      <c r="BM20" s="13">
        <f t="shared" si="4"/>
        <v>14</v>
      </c>
      <c r="BN20" s="13">
        <f t="shared" si="4"/>
        <v>14</v>
      </c>
      <c r="BO20" s="13">
        <f t="shared" si="4"/>
        <v>14</v>
      </c>
      <c r="BP20" s="13">
        <f t="shared" si="4"/>
        <v>14</v>
      </c>
      <c r="BQ20" s="13">
        <f t="shared" si="4"/>
        <v>14</v>
      </c>
      <c r="BR20" s="13">
        <f t="shared" si="4"/>
        <v>14</v>
      </c>
      <c r="BS20" s="101">
        <f t="shared" si="4"/>
        <v>14</v>
      </c>
    </row>
    <row r="21" spans="11:71" ht="15.75" customHeight="1" x14ac:dyDescent="0.25">
      <c r="K21" s="290">
        <f t="shared" si="5"/>
        <v>27</v>
      </c>
      <c r="L21" s="396" t="s">
        <v>320</v>
      </c>
      <c r="M21" s="397" t="s">
        <v>222</v>
      </c>
      <c r="N21" s="397" t="s">
        <v>222</v>
      </c>
      <c r="O21" s="397" t="s">
        <v>222</v>
      </c>
      <c r="P21" s="397" t="s">
        <v>222</v>
      </c>
      <c r="Q21" s="397" t="s">
        <v>222</v>
      </c>
      <c r="R21" s="397" t="s">
        <v>211</v>
      </c>
      <c r="S21" s="397" t="s">
        <v>211</v>
      </c>
      <c r="T21" s="397" t="s">
        <v>211</v>
      </c>
      <c r="U21" s="397">
        <v>168</v>
      </c>
      <c r="V21" s="397">
        <v>130</v>
      </c>
      <c r="W21" s="397">
        <v>61</v>
      </c>
      <c r="X21" s="397">
        <v>30</v>
      </c>
      <c r="Y21" s="397">
        <v>0</v>
      </c>
      <c r="Z21" s="397">
        <v>33</v>
      </c>
      <c r="AA21" s="319">
        <v>27000000</v>
      </c>
      <c r="AB21" s="397"/>
      <c r="AC21" s="317"/>
      <c r="AD21" s="317"/>
      <c r="AE21" s="359"/>
      <c r="BA21" s="525" t="s">
        <v>68</v>
      </c>
      <c r="BB21" s="358" t="s">
        <v>210</v>
      </c>
      <c r="BC21" s="530">
        <f>MAX(SUM(BK34:BS38) - I9 + SUM(AH4:AH8),0)</f>
        <v>0</v>
      </c>
      <c r="BD21" s="530"/>
      <c r="BE21" s="530"/>
      <c r="BF21" s="530"/>
      <c r="BG21" s="530"/>
      <c r="BH21" s="531"/>
      <c r="BI21" s="507" t="s">
        <v>325</v>
      </c>
      <c r="BJ21" s="358"/>
      <c r="BK21" s="358" t="s">
        <v>53</v>
      </c>
      <c r="BL21" s="358" t="s">
        <v>2</v>
      </c>
      <c r="BM21" s="358" t="s">
        <v>72</v>
      </c>
      <c r="BN21" s="358" t="s">
        <v>0</v>
      </c>
      <c r="BO21" s="358" t="s">
        <v>5</v>
      </c>
      <c r="BP21" s="358" t="s">
        <v>8</v>
      </c>
      <c r="BQ21" s="358" t="s">
        <v>206</v>
      </c>
      <c r="BR21" s="358" t="s">
        <v>125</v>
      </c>
      <c r="BS21" s="261" t="s">
        <v>207</v>
      </c>
    </row>
    <row r="22" spans="11:71" ht="15.75" customHeight="1" x14ac:dyDescent="0.25">
      <c r="K22" s="290">
        <f t="shared" si="5"/>
        <v>28</v>
      </c>
      <c r="L22" s="396" t="s">
        <v>320</v>
      </c>
      <c r="M22" s="397" t="s">
        <v>222</v>
      </c>
      <c r="N22" s="397" t="s">
        <v>222</v>
      </c>
      <c r="O22" s="397" t="s">
        <v>222</v>
      </c>
      <c r="P22" s="397" t="s">
        <v>222</v>
      </c>
      <c r="Q22" s="397" t="s">
        <v>211</v>
      </c>
      <c r="R22" s="397" t="s">
        <v>222</v>
      </c>
      <c r="S22" s="397" t="s">
        <v>211</v>
      </c>
      <c r="T22" s="397" t="s">
        <v>211</v>
      </c>
      <c r="U22" s="397">
        <v>220</v>
      </c>
      <c r="V22" s="397">
        <v>200</v>
      </c>
      <c r="W22" s="397">
        <v>54</v>
      </c>
      <c r="X22" s="397">
        <v>30</v>
      </c>
      <c r="Y22" s="397">
        <v>0</v>
      </c>
      <c r="Z22" s="397">
        <v>60</v>
      </c>
      <c r="AA22" s="319">
        <v>14500000</v>
      </c>
      <c r="AB22" s="397"/>
      <c r="AC22" s="317"/>
      <c r="AD22" s="317"/>
      <c r="AE22" s="359"/>
      <c r="BA22" s="488"/>
      <c r="BB22" s="353" t="s">
        <v>225</v>
      </c>
      <c r="BC22" s="532">
        <f>ROUNDUP(BC21/IF($BA$3="共鬥",$AX$11,IF($BA$3="單機",$AU$11)),0)</f>
        <v>0</v>
      </c>
      <c r="BD22" s="532"/>
      <c r="BE22" s="532"/>
      <c r="BF22" s="532"/>
      <c r="BG22" s="532"/>
      <c r="BH22" s="533"/>
      <c r="BI22" s="508"/>
      <c r="BJ22" s="263" t="s">
        <v>283</v>
      </c>
      <c r="BK22" s="16">
        <f t="shared" ref="BK22:BS26" si="6">IF(ISBLANK(AK4),0,VLOOKUP(AK4,$K:$AA,14,FALSE))</f>
        <v>0</v>
      </c>
      <c r="BL22" s="16">
        <f t="shared" si="6"/>
        <v>0</v>
      </c>
      <c r="BM22" s="16">
        <f t="shared" si="6"/>
        <v>0</v>
      </c>
      <c r="BN22" s="16">
        <f t="shared" si="6"/>
        <v>0</v>
      </c>
      <c r="BO22" s="16">
        <f t="shared" si="6"/>
        <v>0</v>
      </c>
      <c r="BP22" s="16">
        <f t="shared" si="6"/>
        <v>0</v>
      </c>
      <c r="BQ22" s="16">
        <f t="shared" si="6"/>
        <v>0</v>
      </c>
      <c r="BR22" s="16">
        <f t="shared" si="6"/>
        <v>0</v>
      </c>
      <c r="BS22" s="15">
        <f t="shared" si="6"/>
        <v>0</v>
      </c>
    </row>
    <row r="23" spans="11:71" ht="15.75" customHeight="1" x14ac:dyDescent="0.25">
      <c r="K23" s="290">
        <f t="shared" si="5"/>
        <v>29</v>
      </c>
      <c r="L23" s="396" t="s">
        <v>320</v>
      </c>
      <c r="M23" s="397" t="s">
        <v>222</v>
      </c>
      <c r="N23" s="397" t="s">
        <v>222</v>
      </c>
      <c r="O23" s="397" t="s">
        <v>222</v>
      </c>
      <c r="P23" s="397" t="s">
        <v>222</v>
      </c>
      <c r="Q23" s="397" t="s">
        <v>222</v>
      </c>
      <c r="R23" s="397" t="s">
        <v>222</v>
      </c>
      <c r="S23" s="397" t="s">
        <v>211</v>
      </c>
      <c r="T23" s="397" t="s">
        <v>211</v>
      </c>
      <c r="U23" s="397">
        <v>120</v>
      </c>
      <c r="V23" s="397">
        <v>100</v>
      </c>
      <c r="W23" s="397">
        <v>40</v>
      </c>
      <c r="X23" s="397">
        <v>30</v>
      </c>
      <c r="Y23" s="397">
        <v>0</v>
      </c>
      <c r="Z23" s="397">
        <v>30</v>
      </c>
      <c r="AA23" s="319">
        <v>4500000</v>
      </c>
      <c r="AB23" s="397"/>
      <c r="AC23" s="317"/>
      <c r="AD23" s="359"/>
      <c r="BA23" s="378" t="s">
        <v>92</v>
      </c>
      <c r="BB23" s="379" t="s">
        <v>210</v>
      </c>
      <c r="BC23" s="534">
        <f>MAX(SUM(BK40:BS44) - H11 + SUM(AI4:AI8),0)</f>
        <v>0</v>
      </c>
      <c r="BD23" s="534"/>
      <c r="BE23" s="534"/>
      <c r="BF23" s="534"/>
      <c r="BG23" s="534"/>
      <c r="BH23" s="535"/>
      <c r="BI23" s="508"/>
      <c r="BJ23" s="264" t="s">
        <v>284</v>
      </c>
      <c r="BK23" s="33">
        <f t="shared" si="6"/>
        <v>30</v>
      </c>
      <c r="BL23" s="33">
        <f t="shared" si="6"/>
        <v>30</v>
      </c>
      <c r="BM23" s="33">
        <f t="shared" si="6"/>
        <v>30</v>
      </c>
      <c r="BN23" s="33">
        <f t="shared" si="6"/>
        <v>30</v>
      </c>
      <c r="BO23" s="33">
        <f t="shared" si="6"/>
        <v>30</v>
      </c>
      <c r="BP23" s="33">
        <f t="shared" si="6"/>
        <v>30</v>
      </c>
      <c r="BQ23" s="33">
        <f t="shared" si="6"/>
        <v>30</v>
      </c>
      <c r="BR23" s="33">
        <f t="shared" si="6"/>
        <v>30</v>
      </c>
      <c r="BS23" s="172">
        <f t="shared" si="6"/>
        <v>30</v>
      </c>
    </row>
    <row r="24" spans="11:71" ht="15.75" customHeight="1" x14ac:dyDescent="0.25">
      <c r="K24" s="290">
        <f t="shared" si="5"/>
        <v>30</v>
      </c>
      <c r="L24" s="396" t="s">
        <v>320</v>
      </c>
      <c r="M24" s="397" t="s">
        <v>222</v>
      </c>
      <c r="N24" s="397" t="s">
        <v>222</v>
      </c>
      <c r="O24" s="397" t="s">
        <v>222</v>
      </c>
      <c r="P24" s="397" t="s">
        <v>222</v>
      </c>
      <c r="Q24" s="397" t="s">
        <v>222</v>
      </c>
      <c r="R24" s="397" t="s">
        <v>222</v>
      </c>
      <c r="S24" s="397" t="s">
        <v>222</v>
      </c>
      <c r="T24" s="397" t="s">
        <v>211</v>
      </c>
      <c r="U24" s="397">
        <v>80</v>
      </c>
      <c r="V24" s="397">
        <v>70</v>
      </c>
      <c r="W24" s="397">
        <v>30</v>
      </c>
      <c r="X24" s="397">
        <v>20</v>
      </c>
      <c r="Y24" s="397">
        <v>0</v>
      </c>
      <c r="Z24" s="397">
        <v>20</v>
      </c>
      <c r="AA24" s="319">
        <v>2000000</v>
      </c>
      <c r="AB24" s="397"/>
      <c r="BI24" s="508"/>
      <c r="BJ24" s="170" t="s">
        <v>285</v>
      </c>
      <c r="BK24" s="171">
        <f t="shared" si="6"/>
        <v>0</v>
      </c>
      <c r="BL24" s="171">
        <f t="shared" si="6"/>
        <v>0</v>
      </c>
      <c r="BM24" s="171">
        <f t="shared" si="6"/>
        <v>0</v>
      </c>
      <c r="BN24" s="171">
        <f t="shared" si="6"/>
        <v>0</v>
      </c>
      <c r="BO24" s="171">
        <f t="shared" si="6"/>
        <v>0</v>
      </c>
      <c r="BP24" s="171">
        <f t="shared" si="6"/>
        <v>0</v>
      </c>
      <c r="BQ24" s="171">
        <f t="shared" si="6"/>
        <v>0</v>
      </c>
      <c r="BR24" s="171">
        <f t="shared" si="6"/>
        <v>0</v>
      </c>
      <c r="BS24" s="173">
        <f t="shared" si="6"/>
        <v>0</v>
      </c>
    </row>
    <row r="25" spans="11:71" ht="15.75" customHeight="1" x14ac:dyDescent="0.25">
      <c r="K25" s="290">
        <v>31</v>
      </c>
      <c r="L25" s="396" t="s">
        <v>320</v>
      </c>
      <c r="M25" s="397" t="s">
        <v>222</v>
      </c>
      <c r="N25" s="397" t="s">
        <v>222</v>
      </c>
      <c r="O25" s="397" t="s">
        <v>222</v>
      </c>
      <c r="P25" s="397" t="s">
        <v>222</v>
      </c>
      <c r="Q25" s="397" t="s">
        <v>211</v>
      </c>
      <c r="R25" s="397" t="s">
        <v>222</v>
      </c>
      <c r="S25" s="397" t="s">
        <v>222</v>
      </c>
      <c r="T25" s="397" t="s">
        <v>222</v>
      </c>
      <c r="U25" s="397">
        <v>100</v>
      </c>
      <c r="V25" s="397">
        <v>100</v>
      </c>
      <c r="W25" s="397">
        <v>14</v>
      </c>
      <c r="X25" s="397">
        <v>0</v>
      </c>
      <c r="Y25" s="397">
        <v>0</v>
      </c>
      <c r="Z25" s="397">
        <v>30</v>
      </c>
      <c r="AA25" s="319">
        <v>10000000</v>
      </c>
      <c r="AB25" s="397"/>
      <c r="BI25" s="508"/>
      <c r="BJ25" s="265" t="s">
        <v>286</v>
      </c>
      <c r="BK25" s="112">
        <f t="shared" si="6"/>
        <v>30</v>
      </c>
      <c r="BL25" s="112">
        <f t="shared" si="6"/>
        <v>30</v>
      </c>
      <c r="BM25" s="112">
        <f t="shared" si="6"/>
        <v>30</v>
      </c>
      <c r="BN25" s="112">
        <f t="shared" si="6"/>
        <v>30</v>
      </c>
      <c r="BO25" s="112">
        <f t="shared" si="6"/>
        <v>30</v>
      </c>
      <c r="BP25" s="112">
        <f t="shared" si="6"/>
        <v>30</v>
      </c>
      <c r="BQ25" s="112">
        <f t="shared" si="6"/>
        <v>30</v>
      </c>
      <c r="BR25" s="112">
        <f t="shared" si="6"/>
        <v>30</v>
      </c>
      <c r="BS25" s="174">
        <f t="shared" si="6"/>
        <v>30</v>
      </c>
    </row>
    <row r="26" spans="11:71" ht="15.75" customHeight="1" x14ac:dyDescent="0.25">
      <c r="K26" s="288">
        <v>32</v>
      </c>
      <c r="L26" s="394" t="s">
        <v>320</v>
      </c>
      <c r="M26" s="289" t="s">
        <v>222</v>
      </c>
      <c r="N26" s="289" t="s">
        <v>222</v>
      </c>
      <c r="O26" s="289" t="s">
        <v>222</v>
      </c>
      <c r="P26" s="289" t="s">
        <v>222</v>
      </c>
      <c r="Q26" s="289" t="s">
        <v>222</v>
      </c>
      <c r="R26" s="289" t="s">
        <v>222</v>
      </c>
      <c r="S26" s="289" t="s">
        <v>222</v>
      </c>
      <c r="T26" s="289" t="s">
        <v>222</v>
      </c>
      <c r="U26" s="289">
        <v>0</v>
      </c>
      <c r="V26" s="289">
        <v>0</v>
      </c>
      <c r="W26" s="289">
        <v>0</v>
      </c>
      <c r="X26" s="289">
        <v>0</v>
      </c>
      <c r="Y26" s="289">
        <v>0</v>
      </c>
      <c r="Z26" s="289">
        <v>0</v>
      </c>
      <c r="AA26" s="395">
        <v>0</v>
      </c>
      <c r="AB26" s="397"/>
      <c r="BI26" s="509"/>
      <c r="BJ26" s="12" t="s">
        <v>287</v>
      </c>
      <c r="BK26" s="13">
        <f t="shared" si="6"/>
        <v>0</v>
      </c>
      <c r="BL26" s="13">
        <f t="shared" si="6"/>
        <v>0</v>
      </c>
      <c r="BM26" s="13">
        <f t="shared" si="6"/>
        <v>0</v>
      </c>
      <c r="BN26" s="13">
        <f t="shared" si="6"/>
        <v>0</v>
      </c>
      <c r="BO26" s="13">
        <f t="shared" si="6"/>
        <v>0</v>
      </c>
      <c r="BP26" s="13">
        <f t="shared" si="6"/>
        <v>0</v>
      </c>
      <c r="BQ26" s="13">
        <f t="shared" si="6"/>
        <v>0</v>
      </c>
      <c r="BR26" s="13">
        <f t="shared" si="6"/>
        <v>0</v>
      </c>
      <c r="BS26" s="101">
        <f t="shared" si="6"/>
        <v>0</v>
      </c>
    </row>
    <row r="27" spans="11:71" ht="15.75" customHeight="1" x14ac:dyDescent="0.25">
      <c r="K27" s="290"/>
      <c r="L27" s="396"/>
      <c r="M27" s="397"/>
      <c r="N27" s="397"/>
      <c r="O27" s="397"/>
      <c r="P27" s="397"/>
      <c r="Q27" s="397"/>
      <c r="R27" s="397"/>
      <c r="S27" s="397"/>
      <c r="T27" s="397"/>
      <c r="U27" s="397"/>
      <c r="V27" s="397"/>
      <c r="W27" s="397"/>
      <c r="X27" s="397"/>
      <c r="Y27" s="397"/>
      <c r="Z27" s="397"/>
      <c r="AA27" s="317"/>
      <c r="BI27" s="507" t="s">
        <v>258</v>
      </c>
      <c r="BJ27" s="260"/>
      <c r="BK27" s="260" t="s">
        <v>53</v>
      </c>
      <c r="BL27" s="260" t="s">
        <v>2</v>
      </c>
      <c r="BM27" s="260" t="s">
        <v>72</v>
      </c>
      <c r="BN27" s="260" t="s">
        <v>0</v>
      </c>
      <c r="BO27" s="260" t="s">
        <v>5</v>
      </c>
      <c r="BP27" s="260" t="s">
        <v>8</v>
      </c>
      <c r="BQ27" s="260" t="s">
        <v>206</v>
      </c>
      <c r="BR27" s="260" t="s">
        <v>125</v>
      </c>
      <c r="BS27" s="261" t="s">
        <v>207</v>
      </c>
    </row>
    <row r="28" spans="11:71" ht="15.75" customHeight="1" x14ac:dyDescent="0.25">
      <c r="K28" s="290"/>
      <c r="BI28" s="508"/>
      <c r="BJ28" s="263" t="s">
        <v>283</v>
      </c>
      <c r="BK28" s="16">
        <f t="shared" ref="BK28:BS32" si="7">IF(ISBLANK(AK4),0,VLOOKUP(AK4,$K:$AA,15,FALSE))</f>
        <v>0</v>
      </c>
      <c r="BL28" s="16">
        <f t="shared" si="7"/>
        <v>0</v>
      </c>
      <c r="BM28" s="16">
        <f t="shared" si="7"/>
        <v>0</v>
      </c>
      <c r="BN28" s="16">
        <f t="shared" si="7"/>
        <v>0</v>
      </c>
      <c r="BO28" s="16">
        <f t="shared" si="7"/>
        <v>0</v>
      </c>
      <c r="BP28" s="16">
        <f t="shared" si="7"/>
        <v>0</v>
      </c>
      <c r="BQ28" s="16">
        <f t="shared" si="7"/>
        <v>0</v>
      </c>
      <c r="BR28" s="16">
        <f t="shared" si="7"/>
        <v>0</v>
      </c>
      <c r="BS28" s="15">
        <f t="shared" si="7"/>
        <v>0</v>
      </c>
    </row>
    <row r="29" spans="11:71" ht="15.75" customHeight="1" x14ac:dyDescent="0.25">
      <c r="BI29" s="508"/>
      <c r="BJ29" s="264" t="s">
        <v>284</v>
      </c>
      <c r="BK29" s="33">
        <f t="shared" si="7"/>
        <v>0</v>
      </c>
      <c r="BL29" s="33">
        <f t="shared" si="7"/>
        <v>0</v>
      </c>
      <c r="BM29" s="33">
        <f t="shared" si="7"/>
        <v>0</v>
      </c>
      <c r="BN29" s="33">
        <f t="shared" si="7"/>
        <v>0</v>
      </c>
      <c r="BO29" s="33">
        <f t="shared" si="7"/>
        <v>0</v>
      </c>
      <c r="BP29" s="33">
        <f t="shared" si="7"/>
        <v>0</v>
      </c>
      <c r="BQ29" s="33">
        <f t="shared" si="7"/>
        <v>0</v>
      </c>
      <c r="BR29" s="33">
        <f t="shared" si="7"/>
        <v>0</v>
      </c>
      <c r="BS29" s="172">
        <f t="shared" si="7"/>
        <v>0</v>
      </c>
    </row>
    <row r="30" spans="11:71" ht="15.75" customHeight="1" x14ac:dyDescent="0.25">
      <c r="BI30" s="508"/>
      <c r="BJ30" s="170" t="s">
        <v>285</v>
      </c>
      <c r="BK30" s="171">
        <f t="shared" si="7"/>
        <v>0</v>
      </c>
      <c r="BL30" s="171">
        <f t="shared" si="7"/>
        <v>0</v>
      </c>
      <c r="BM30" s="171">
        <f t="shared" si="7"/>
        <v>0</v>
      </c>
      <c r="BN30" s="171">
        <f t="shared" si="7"/>
        <v>0</v>
      </c>
      <c r="BO30" s="171">
        <f t="shared" si="7"/>
        <v>0</v>
      </c>
      <c r="BP30" s="171">
        <f t="shared" si="7"/>
        <v>0</v>
      </c>
      <c r="BQ30" s="171">
        <f t="shared" si="7"/>
        <v>0</v>
      </c>
      <c r="BR30" s="171">
        <f t="shared" si="7"/>
        <v>0</v>
      </c>
      <c r="BS30" s="173">
        <f t="shared" si="7"/>
        <v>0</v>
      </c>
    </row>
    <row r="31" spans="11:71" ht="15.75" customHeight="1" x14ac:dyDescent="0.25">
      <c r="BI31" s="508"/>
      <c r="BJ31" s="265" t="s">
        <v>286</v>
      </c>
      <c r="BK31" s="112">
        <f t="shared" si="7"/>
        <v>0</v>
      </c>
      <c r="BL31" s="112">
        <f t="shared" si="7"/>
        <v>0</v>
      </c>
      <c r="BM31" s="112">
        <f t="shared" si="7"/>
        <v>0</v>
      </c>
      <c r="BN31" s="112">
        <f t="shared" si="7"/>
        <v>0</v>
      </c>
      <c r="BO31" s="112">
        <f t="shared" si="7"/>
        <v>0</v>
      </c>
      <c r="BP31" s="112">
        <f t="shared" si="7"/>
        <v>0</v>
      </c>
      <c r="BQ31" s="112">
        <f t="shared" si="7"/>
        <v>0</v>
      </c>
      <c r="BR31" s="112">
        <f t="shared" si="7"/>
        <v>0</v>
      </c>
      <c r="BS31" s="174">
        <f t="shared" si="7"/>
        <v>0</v>
      </c>
    </row>
    <row r="32" spans="11:71" ht="15.75" customHeight="1" x14ac:dyDescent="0.25">
      <c r="BI32" s="509"/>
      <c r="BJ32" s="12" t="s">
        <v>287</v>
      </c>
      <c r="BK32" s="13">
        <f t="shared" si="7"/>
        <v>0</v>
      </c>
      <c r="BL32" s="13">
        <f t="shared" si="7"/>
        <v>0</v>
      </c>
      <c r="BM32" s="13">
        <f t="shared" si="7"/>
        <v>0</v>
      </c>
      <c r="BN32" s="13">
        <f t="shared" si="7"/>
        <v>0</v>
      </c>
      <c r="BO32" s="13">
        <f t="shared" si="7"/>
        <v>0</v>
      </c>
      <c r="BP32" s="13">
        <f t="shared" si="7"/>
        <v>0</v>
      </c>
      <c r="BQ32" s="13">
        <f t="shared" si="7"/>
        <v>0</v>
      </c>
      <c r="BR32" s="13">
        <f t="shared" si="7"/>
        <v>0</v>
      </c>
      <c r="BS32" s="101">
        <f t="shared" si="7"/>
        <v>0</v>
      </c>
    </row>
    <row r="33" spans="61:71" ht="15.75" customHeight="1" x14ac:dyDescent="0.25">
      <c r="BI33" s="507" t="s">
        <v>68</v>
      </c>
      <c r="BJ33" s="260"/>
      <c r="BK33" s="260" t="s">
        <v>53</v>
      </c>
      <c r="BL33" s="260" t="s">
        <v>2</v>
      </c>
      <c r="BM33" s="260" t="s">
        <v>72</v>
      </c>
      <c r="BN33" s="260" t="s">
        <v>0</v>
      </c>
      <c r="BO33" s="260" t="s">
        <v>5</v>
      </c>
      <c r="BP33" s="260" t="s">
        <v>8</v>
      </c>
      <c r="BQ33" s="260" t="s">
        <v>206</v>
      </c>
      <c r="BR33" s="260" t="s">
        <v>125</v>
      </c>
      <c r="BS33" s="261" t="s">
        <v>207</v>
      </c>
    </row>
    <row r="34" spans="61:71" ht="15.75" customHeight="1" x14ac:dyDescent="0.25">
      <c r="BI34" s="508"/>
      <c r="BJ34" s="263" t="s">
        <v>283</v>
      </c>
      <c r="BK34" s="16">
        <f t="shared" ref="BK34:BS38" si="8">IF(ISBLANK(AK4),0,VLOOKUP(AK4,$K:$AA,16,FALSE))</f>
        <v>30</v>
      </c>
      <c r="BL34" s="16">
        <f t="shared" si="8"/>
        <v>30</v>
      </c>
      <c r="BM34" s="16">
        <f t="shared" si="8"/>
        <v>30</v>
      </c>
      <c r="BN34" s="16">
        <f t="shared" si="8"/>
        <v>30</v>
      </c>
      <c r="BO34" s="16">
        <f t="shared" si="8"/>
        <v>30</v>
      </c>
      <c r="BP34" s="16">
        <f t="shared" si="8"/>
        <v>30</v>
      </c>
      <c r="BQ34" s="16">
        <f t="shared" si="8"/>
        <v>30</v>
      </c>
      <c r="BR34" s="16">
        <f t="shared" si="8"/>
        <v>30</v>
      </c>
      <c r="BS34" s="15">
        <f t="shared" si="8"/>
        <v>30</v>
      </c>
    </row>
    <row r="35" spans="61:71" ht="15.75" customHeight="1" x14ac:dyDescent="0.25">
      <c r="BI35" s="508"/>
      <c r="BJ35" s="264" t="s">
        <v>284</v>
      </c>
      <c r="BK35" s="33">
        <f t="shared" si="8"/>
        <v>30</v>
      </c>
      <c r="BL35" s="33">
        <f t="shared" si="8"/>
        <v>30</v>
      </c>
      <c r="BM35" s="33">
        <f t="shared" si="8"/>
        <v>30</v>
      </c>
      <c r="BN35" s="33">
        <f t="shared" si="8"/>
        <v>30</v>
      </c>
      <c r="BO35" s="33">
        <f t="shared" si="8"/>
        <v>30</v>
      </c>
      <c r="BP35" s="33">
        <f t="shared" si="8"/>
        <v>30</v>
      </c>
      <c r="BQ35" s="33">
        <f t="shared" si="8"/>
        <v>30</v>
      </c>
      <c r="BR35" s="33">
        <f t="shared" si="8"/>
        <v>30</v>
      </c>
      <c r="BS35" s="172">
        <f t="shared" si="8"/>
        <v>30</v>
      </c>
    </row>
    <row r="36" spans="61:71" ht="15.75" customHeight="1" x14ac:dyDescent="0.25">
      <c r="BI36" s="508"/>
      <c r="BJ36" s="170" t="s">
        <v>285</v>
      </c>
      <c r="BK36" s="171">
        <f t="shared" si="8"/>
        <v>30</v>
      </c>
      <c r="BL36" s="171">
        <f t="shared" si="8"/>
        <v>30</v>
      </c>
      <c r="BM36" s="171">
        <f t="shared" si="8"/>
        <v>30</v>
      </c>
      <c r="BN36" s="171">
        <f t="shared" si="8"/>
        <v>30</v>
      </c>
      <c r="BO36" s="171">
        <f t="shared" si="8"/>
        <v>30</v>
      </c>
      <c r="BP36" s="171">
        <f t="shared" si="8"/>
        <v>30</v>
      </c>
      <c r="BQ36" s="171">
        <f t="shared" si="8"/>
        <v>30</v>
      </c>
      <c r="BR36" s="171">
        <f t="shared" si="8"/>
        <v>30</v>
      </c>
      <c r="BS36" s="173">
        <f t="shared" si="8"/>
        <v>30</v>
      </c>
    </row>
    <row r="37" spans="61:71" ht="15.75" customHeight="1" x14ac:dyDescent="0.25">
      <c r="BI37" s="508"/>
      <c r="BJ37" s="265" t="s">
        <v>286</v>
      </c>
      <c r="BK37" s="112">
        <f t="shared" si="8"/>
        <v>30</v>
      </c>
      <c r="BL37" s="112">
        <f t="shared" si="8"/>
        <v>30</v>
      </c>
      <c r="BM37" s="112">
        <f t="shared" si="8"/>
        <v>30</v>
      </c>
      <c r="BN37" s="112">
        <f t="shared" si="8"/>
        <v>30</v>
      </c>
      <c r="BO37" s="112">
        <f t="shared" si="8"/>
        <v>30</v>
      </c>
      <c r="BP37" s="112">
        <f t="shared" si="8"/>
        <v>30</v>
      </c>
      <c r="BQ37" s="112">
        <f t="shared" si="8"/>
        <v>30</v>
      </c>
      <c r="BR37" s="112">
        <f t="shared" si="8"/>
        <v>30</v>
      </c>
      <c r="BS37" s="174">
        <f t="shared" si="8"/>
        <v>30</v>
      </c>
    </row>
    <row r="38" spans="61:71" ht="15.75" customHeight="1" x14ac:dyDescent="0.25">
      <c r="BI38" s="509"/>
      <c r="BJ38" s="12" t="s">
        <v>287</v>
      </c>
      <c r="BK38" s="13">
        <f t="shared" si="8"/>
        <v>30</v>
      </c>
      <c r="BL38" s="13">
        <f t="shared" si="8"/>
        <v>30</v>
      </c>
      <c r="BM38" s="13">
        <f t="shared" si="8"/>
        <v>30</v>
      </c>
      <c r="BN38" s="13">
        <f t="shared" si="8"/>
        <v>30</v>
      </c>
      <c r="BO38" s="13">
        <f t="shared" si="8"/>
        <v>30</v>
      </c>
      <c r="BP38" s="13">
        <f t="shared" si="8"/>
        <v>30</v>
      </c>
      <c r="BQ38" s="13">
        <f t="shared" si="8"/>
        <v>30</v>
      </c>
      <c r="BR38" s="13">
        <f t="shared" si="8"/>
        <v>30</v>
      </c>
      <c r="BS38" s="101">
        <f t="shared" si="8"/>
        <v>30</v>
      </c>
    </row>
    <row r="39" spans="61:71" ht="15.75" customHeight="1" x14ac:dyDescent="0.25">
      <c r="BI39" s="507" t="s">
        <v>92</v>
      </c>
      <c r="BJ39" s="260"/>
      <c r="BK39" s="260" t="s">
        <v>53</v>
      </c>
      <c r="BL39" s="260" t="s">
        <v>2</v>
      </c>
      <c r="BM39" s="260" t="s">
        <v>72</v>
      </c>
      <c r="BN39" s="260" t="s">
        <v>0</v>
      </c>
      <c r="BO39" s="260" t="s">
        <v>5</v>
      </c>
      <c r="BP39" s="260" t="s">
        <v>8</v>
      </c>
      <c r="BQ39" s="260" t="s">
        <v>206</v>
      </c>
      <c r="BR39" s="260" t="s">
        <v>125</v>
      </c>
      <c r="BS39" s="261" t="s">
        <v>207</v>
      </c>
    </row>
    <row r="40" spans="61:71" ht="15.75" customHeight="1" x14ac:dyDescent="0.25">
      <c r="BI40" s="508"/>
      <c r="BJ40" s="263" t="s">
        <v>283</v>
      </c>
      <c r="BK40" s="307">
        <f t="shared" ref="BK40:BS44" si="9">IF(ISBLANK(AK4),0,VLOOKUP(AK4,$K:$AA,17,FALSE))</f>
        <v>10000000</v>
      </c>
      <c r="BL40" s="307">
        <f t="shared" si="9"/>
        <v>10000000</v>
      </c>
      <c r="BM40" s="307">
        <f t="shared" si="9"/>
        <v>10000000</v>
      </c>
      <c r="BN40" s="307">
        <f t="shared" si="9"/>
        <v>10000000</v>
      </c>
      <c r="BO40" s="307">
        <f t="shared" si="9"/>
        <v>10000000</v>
      </c>
      <c r="BP40" s="307">
        <f t="shared" si="9"/>
        <v>10000000</v>
      </c>
      <c r="BQ40" s="307">
        <f t="shared" si="9"/>
        <v>10000000</v>
      </c>
      <c r="BR40" s="307">
        <f t="shared" si="9"/>
        <v>10000000</v>
      </c>
      <c r="BS40" s="308">
        <f t="shared" si="9"/>
        <v>10000000</v>
      </c>
    </row>
    <row r="41" spans="61:71" ht="15.75" customHeight="1" x14ac:dyDescent="0.25">
      <c r="BI41" s="508"/>
      <c r="BJ41" s="264" t="s">
        <v>284</v>
      </c>
      <c r="BK41" s="309">
        <f t="shared" si="9"/>
        <v>4500000</v>
      </c>
      <c r="BL41" s="309">
        <f t="shared" si="9"/>
        <v>4500000</v>
      </c>
      <c r="BM41" s="309">
        <f t="shared" si="9"/>
        <v>4500000</v>
      </c>
      <c r="BN41" s="309">
        <f t="shared" si="9"/>
        <v>4500000</v>
      </c>
      <c r="BO41" s="309">
        <f t="shared" si="9"/>
        <v>4500000</v>
      </c>
      <c r="BP41" s="309">
        <f t="shared" si="9"/>
        <v>4500000</v>
      </c>
      <c r="BQ41" s="309">
        <f t="shared" si="9"/>
        <v>4500000</v>
      </c>
      <c r="BR41" s="309">
        <f t="shared" si="9"/>
        <v>4500000</v>
      </c>
      <c r="BS41" s="310">
        <f t="shared" si="9"/>
        <v>4500000</v>
      </c>
    </row>
    <row r="42" spans="61:71" ht="15.75" customHeight="1" x14ac:dyDescent="0.25">
      <c r="BI42" s="508"/>
      <c r="BJ42" s="170" t="s">
        <v>285</v>
      </c>
      <c r="BK42" s="311">
        <f t="shared" si="9"/>
        <v>10000000</v>
      </c>
      <c r="BL42" s="311">
        <f t="shared" si="9"/>
        <v>10000000</v>
      </c>
      <c r="BM42" s="311">
        <f t="shared" si="9"/>
        <v>10000000</v>
      </c>
      <c r="BN42" s="311">
        <f t="shared" si="9"/>
        <v>10000000</v>
      </c>
      <c r="BO42" s="311">
        <f t="shared" si="9"/>
        <v>10000000</v>
      </c>
      <c r="BP42" s="311">
        <f t="shared" si="9"/>
        <v>10000000</v>
      </c>
      <c r="BQ42" s="311">
        <f t="shared" si="9"/>
        <v>10000000</v>
      </c>
      <c r="BR42" s="311">
        <f t="shared" si="9"/>
        <v>10000000</v>
      </c>
      <c r="BS42" s="312">
        <f t="shared" si="9"/>
        <v>10000000</v>
      </c>
    </row>
    <row r="43" spans="61:71" ht="15.75" customHeight="1" x14ac:dyDescent="0.25">
      <c r="BI43" s="508"/>
      <c r="BJ43" s="265" t="s">
        <v>286</v>
      </c>
      <c r="BK43" s="313">
        <f t="shared" si="9"/>
        <v>4500000</v>
      </c>
      <c r="BL43" s="313">
        <f t="shared" si="9"/>
        <v>4500000</v>
      </c>
      <c r="BM43" s="313">
        <f t="shared" si="9"/>
        <v>4500000</v>
      </c>
      <c r="BN43" s="313">
        <f t="shared" si="9"/>
        <v>4500000</v>
      </c>
      <c r="BO43" s="313">
        <f t="shared" si="9"/>
        <v>4500000</v>
      </c>
      <c r="BP43" s="313">
        <f t="shared" si="9"/>
        <v>4500000</v>
      </c>
      <c r="BQ43" s="313">
        <f t="shared" si="9"/>
        <v>4500000</v>
      </c>
      <c r="BR43" s="313">
        <f t="shared" si="9"/>
        <v>4500000</v>
      </c>
      <c r="BS43" s="314">
        <f t="shared" si="9"/>
        <v>4500000</v>
      </c>
    </row>
    <row r="44" spans="61:71" ht="15.75" customHeight="1" x14ac:dyDescent="0.25">
      <c r="BI44" s="509"/>
      <c r="BJ44" s="12" t="s">
        <v>287</v>
      </c>
      <c r="BK44" s="315">
        <f t="shared" si="9"/>
        <v>10000000</v>
      </c>
      <c r="BL44" s="315">
        <f t="shared" si="9"/>
        <v>10000000</v>
      </c>
      <c r="BM44" s="315">
        <f t="shared" si="9"/>
        <v>10000000</v>
      </c>
      <c r="BN44" s="315">
        <f t="shared" si="9"/>
        <v>10000000</v>
      </c>
      <c r="BO44" s="315">
        <f t="shared" si="9"/>
        <v>10000000</v>
      </c>
      <c r="BP44" s="315">
        <f t="shared" si="9"/>
        <v>10000000</v>
      </c>
      <c r="BQ44" s="315">
        <f t="shared" si="9"/>
        <v>10000000</v>
      </c>
      <c r="BR44" s="315">
        <f t="shared" si="9"/>
        <v>10000000</v>
      </c>
      <c r="BS44" s="316">
        <f t="shared" si="9"/>
        <v>10000000</v>
      </c>
    </row>
  </sheetData>
  <mergeCells count="33">
    <mergeCell ref="BI33:BI38"/>
    <mergeCell ref="BI39:BI44"/>
    <mergeCell ref="BA21:BA22"/>
    <mergeCell ref="BC20:BH20"/>
    <mergeCell ref="F10:G10"/>
    <mergeCell ref="BI15:BI20"/>
    <mergeCell ref="BC21:BH21"/>
    <mergeCell ref="BC22:BH22"/>
    <mergeCell ref="BC23:BH23"/>
    <mergeCell ref="BI27:BI32"/>
    <mergeCell ref="BI21:BI26"/>
    <mergeCell ref="BA17:BA19"/>
    <mergeCell ref="BA3:BB3"/>
    <mergeCell ref="BI3:BI8"/>
    <mergeCell ref="BA4:BA8"/>
    <mergeCell ref="F9:H9"/>
    <mergeCell ref="BA9:BA13"/>
    <mergeCell ref="BI9:BI14"/>
    <mergeCell ref="F11:G11"/>
    <mergeCell ref="BA14:BA16"/>
    <mergeCell ref="H10:J10"/>
    <mergeCell ref="H11:J11"/>
    <mergeCell ref="I9:J9"/>
    <mergeCell ref="A1:AS1"/>
    <mergeCell ref="AT1:BS1"/>
    <mergeCell ref="K2:AA2"/>
    <mergeCell ref="AB2:AI2"/>
    <mergeCell ref="AJ2:AS2"/>
    <mergeCell ref="AT2:AZ2"/>
    <mergeCell ref="BA2:BH2"/>
    <mergeCell ref="BI2:BS2"/>
    <mergeCell ref="F2:J2"/>
    <mergeCell ref="A2:E2"/>
  </mergeCells>
  <conditionalFormatting sqref="AK4:AS8">
    <cfRule type="colorScale" priority="29">
      <colorScale>
        <cfvo type="num" val="MIN($K$15:$K$26)"/>
        <cfvo type="percentile" val="50"/>
        <cfvo type="num" val="MAX($K$15:$K$26)"/>
        <color rgb="FFFFBDBD"/>
        <color rgb="FFFFFFBD"/>
        <color rgb="FFBDFFBD"/>
      </colorScale>
    </cfRule>
  </conditionalFormatting>
  <conditionalFormatting sqref="M13:T13 M27:T27 M4:R13 S4:T14">
    <cfRule type="cellIs" dxfId="55" priority="30" operator="equal">
      <formula>"X"</formula>
    </cfRule>
    <cfRule type="cellIs" dxfId="54" priority="72" operator="equal">
      <formula>"O"</formula>
    </cfRule>
  </conditionalFormatting>
  <conditionalFormatting sqref="M14:R14">
    <cfRule type="cellIs" dxfId="53" priority="17" operator="equal">
      <formula>"X"</formula>
    </cfRule>
    <cfRule type="cellIs" dxfId="52" priority="18" operator="equal">
      <formula>"O"</formula>
    </cfRule>
  </conditionalFormatting>
  <conditionalFormatting sqref="M26:R26">
    <cfRule type="cellIs" dxfId="51" priority="5" operator="equal">
      <formula>"X"</formula>
    </cfRule>
    <cfRule type="cellIs" dxfId="50" priority="6" operator="equal">
      <formula>"O"</formula>
    </cfRule>
  </conditionalFormatting>
  <conditionalFormatting sqref="M15:R23">
    <cfRule type="cellIs" dxfId="49" priority="13" operator="equal">
      <formula>"X"</formula>
    </cfRule>
    <cfRule type="cellIs" dxfId="48" priority="14" operator="equal">
      <formula>"O"</formula>
    </cfRule>
  </conditionalFormatting>
  <conditionalFormatting sqref="S15:T24">
    <cfRule type="cellIs" dxfId="47" priority="11" operator="equal">
      <formula>"X"</formula>
    </cfRule>
    <cfRule type="cellIs" dxfId="46" priority="12" operator="equal">
      <formula>"O"</formula>
    </cfRule>
  </conditionalFormatting>
  <conditionalFormatting sqref="M24:R24">
    <cfRule type="cellIs" dxfId="45" priority="9" operator="equal">
      <formula>"X"</formula>
    </cfRule>
    <cfRule type="cellIs" dxfId="44" priority="10" operator="equal">
      <formula>"O"</formula>
    </cfRule>
  </conditionalFormatting>
  <conditionalFormatting sqref="S26:T26">
    <cfRule type="cellIs" dxfId="43" priority="7" operator="equal">
      <formula>"X"</formula>
    </cfRule>
    <cfRule type="cellIs" dxfId="42" priority="8" operator="equal">
      <formula>"O"</formula>
    </cfRule>
  </conditionalFormatting>
  <conditionalFormatting sqref="M25:R25">
    <cfRule type="cellIs" dxfId="41" priority="1" operator="equal">
      <formula>"X"</formula>
    </cfRule>
    <cfRule type="cellIs" dxfId="40" priority="2" operator="equal">
      <formula>"O"</formula>
    </cfRule>
  </conditionalFormatting>
  <conditionalFormatting sqref="S25:T25">
    <cfRule type="cellIs" dxfId="39" priority="3" operator="equal">
      <formula>"X"</formula>
    </cfRule>
    <cfRule type="cellIs" dxfId="38" priority="4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Y578"/>
  <sheetViews>
    <sheetView workbookViewId="0">
      <pane ySplit="4" topLeftCell="A17" activePane="bottomLeft" state="frozen"/>
      <selection pane="bottomLeft" activeCell="N27" sqref="N27"/>
    </sheetView>
  </sheetViews>
  <sheetFormatPr defaultColWidth="9.28515625" defaultRowHeight="15" x14ac:dyDescent="0.25"/>
  <cols>
    <col min="1" max="13" width="4.7109375" style="68" customWidth="1"/>
    <col min="14" max="14" width="9.28515625" style="254"/>
    <col min="15" max="15" width="9.28515625" style="72"/>
    <col min="16" max="17" width="9.28515625" style="419"/>
    <col min="18" max="19" width="9.28515625" style="72"/>
    <col min="20" max="21" width="9.28515625" style="91"/>
    <col min="22" max="22" width="9.28515625" style="72"/>
    <col min="23" max="16384" width="9.28515625" style="71"/>
  </cols>
  <sheetData>
    <row r="1" spans="1:21" x14ac:dyDescent="0.25">
      <c r="A1" s="69" t="s">
        <v>65</v>
      </c>
      <c r="B1" s="69" t="s">
        <v>65</v>
      </c>
      <c r="C1" s="536" t="s">
        <v>67</v>
      </c>
      <c r="D1" s="536"/>
      <c r="E1" s="536"/>
      <c r="F1" s="536"/>
      <c r="G1" s="536"/>
      <c r="H1" s="536" t="s">
        <v>71</v>
      </c>
      <c r="I1" s="536"/>
      <c r="J1" s="536"/>
      <c r="K1" s="536" t="s">
        <v>71</v>
      </c>
      <c r="L1" s="536"/>
      <c r="M1" s="536"/>
      <c r="O1" s="518" t="s">
        <v>75</v>
      </c>
      <c r="P1" s="518" t="s">
        <v>358</v>
      </c>
      <c r="Q1" s="518"/>
      <c r="R1" s="518" t="s">
        <v>134</v>
      </c>
      <c r="S1" s="518"/>
      <c r="T1" s="518" t="s">
        <v>113</v>
      </c>
      <c r="U1" s="518"/>
    </row>
    <row r="2" spans="1:21" s="262" customFormat="1" x14ac:dyDescent="0.25">
      <c r="A2" s="69" t="s">
        <v>204</v>
      </c>
      <c r="B2" s="69" t="s">
        <v>86</v>
      </c>
      <c r="C2" s="536" t="s">
        <v>204</v>
      </c>
      <c r="D2" s="536"/>
      <c r="E2" s="536" t="s">
        <v>86</v>
      </c>
      <c r="F2" s="536"/>
      <c r="G2" s="536"/>
      <c r="H2" s="536" t="s">
        <v>204</v>
      </c>
      <c r="I2" s="536"/>
      <c r="J2" s="536"/>
      <c r="K2" s="536" t="s">
        <v>86</v>
      </c>
      <c r="L2" s="536"/>
      <c r="M2" s="536"/>
      <c r="N2" s="277"/>
      <c r="O2" s="518"/>
      <c r="P2" s="518"/>
      <c r="Q2" s="518"/>
      <c r="R2" s="518"/>
      <c r="S2" s="518"/>
      <c r="T2" s="518"/>
      <c r="U2" s="518"/>
    </row>
    <row r="3" spans="1:21" s="262" customFormat="1" x14ac:dyDescent="0.25">
      <c r="A3" s="69" t="s">
        <v>202</v>
      </c>
      <c r="B3" s="69" t="s">
        <v>202</v>
      </c>
      <c r="C3" s="536" t="s">
        <v>202</v>
      </c>
      <c r="D3" s="536"/>
      <c r="E3" s="536" t="s">
        <v>202</v>
      </c>
      <c r="F3" s="536"/>
      <c r="G3" s="321" t="s">
        <v>203</v>
      </c>
      <c r="H3" s="536" t="s">
        <v>202</v>
      </c>
      <c r="I3" s="536"/>
      <c r="J3" s="536"/>
      <c r="K3" s="536" t="s">
        <v>202</v>
      </c>
      <c r="L3" s="536"/>
      <c r="M3" s="536"/>
      <c r="N3" s="277"/>
      <c r="O3" s="518"/>
      <c r="P3" s="518" t="s">
        <v>18</v>
      </c>
      <c r="Q3" s="518" t="s">
        <v>17</v>
      </c>
      <c r="R3" s="518" t="s">
        <v>18</v>
      </c>
      <c r="S3" s="518" t="s">
        <v>17</v>
      </c>
      <c r="T3" s="518" t="s">
        <v>18</v>
      </c>
      <c r="U3" s="518" t="s">
        <v>17</v>
      </c>
    </row>
    <row r="4" spans="1:21" x14ac:dyDescent="0.25">
      <c r="A4" s="69" t="s">
        <v>18</v>
      </c>
      <c r="B4" s="69" t="s">
        <v>18</v>
      </c>
      <c r="C4" s="321" t="s">
        <v>18</v>
      </c>
      <c r="D4" s="321" t="s">
        <v>17</v>
      </c>
      <c r="E4" s="69" t="s">
        <v>18</v>
      </c>
      <c r="F4" s="69" t="s">
        <v>17</v>
      </c>
      <c r="G4" s="321" t="s">
        <v>17</v>
      </c>
      <c r="H4" s="69" t="s">
        <v>17</v>
      </c>
      <c r="I4" s="69" t="s">
        <v>112</v>
      </c>
      <c r="J4" s="69" t="s">
        <v>68</v>
      </c>
      <c r="K4" s="69" t="s">
        <v>17</v>
      </c>
      <c r="L4" s="69" t="s">
        <v>112</v>
      </c>
      <c r="M4" s="69" t="s">
        <v>68</v>
      </c>
      <c r="O4" s="518"/>
      <c r="P4" s="518"/>
      <c r="Q4" s="518"/>
      <c r="R4" s="518"/>
      <c r="S4" s="518"/>
      <c r="T4" s="518"/>
      <c r="U4" s="518"/>
    </row>
    <row r="5" spans="1:21" x14ac:dyDescent="0.25">
      <c r="C5" s="68">
        <v>3</v>
      </c>
      <c r="D5" s="68">
        <v>3</v>
      </c>
      <c r="E5" s="68">
        <v>3</v>
      </c>
      <c r="F5" s="68">
        <v>5</v>
      </c>
      <c r="G5" s="68">
        <v>3</v>
      </c>
      <c r="H5" s="68">
        <v>3</v>
      </c>
      <c r="I5" s="68">
        <v>4</v>
      </c>
      <c r="J5" s="68">
        <v>1</v>
      </c>
      <c r="K5" s="68">
        <v>4</v>
      </c>
      <c r="L5" s="68">
        <v>6</v>
      </c>
      <c r="M5" s="68">
        <v>1</v>
      </c>
      <c r="O5" s="72">
        <v>0</v>
      </c>
      <c r="P5" s="419">
        <f>SUM(T6:T$35)</f>
        <v>1055</v>
      </c>
      <c r="Q5" s="419">
        <f>SUM(U6:U$35)</f>
        <v>205</v>
      </c>
      <c r="R5" s="91">
        <f>SUM(T6:T$30)</f>
        <v>825</v>
      </c>
      <c r="S5" s="91">
        <f>SUM(U6:U$30)</f>
        <v>125</v>
      </c>
      <c r="T5" s="91">
        <v>20</v>
      </c>
      <c r="U5" s="91">
        <v>0</v>
      </c>
    </row>
    <row r="6" spans="1:21" x14ac:dyDescent="0.25">
      <c r="C6" s="68">
        <v>3</v>
      </c>
      <c r="D6" s="68">
        <v>3</v>
      </c>
      <c r="E6" s="68">
        <v>3</v>
      </c>
      <c r="F6" s="68">
        <v>5</v>
      </c>
      <c r="G6" s="68">
        <v>3</v>
      </c>
      <c r="H6" s="68">
        <v>3</v>
      </c>
      <c r="I6" s="68">
        <v>4</v>
      </c>
      <c r="J6" s="68">
        <v>1</v>
      </c>
      <c r="K6" s="68">
        <v>4</v>
      </c>
      <c r="L6" s="68">
        <v>6</v>
      </c>
      <c r="M6" s="68">
        <v>2</v>
      </c>
      <c r="O6" s="72">
        <v>1</v>
      </c>
      <c r="P6" s="419">
        <f>SUM(T7:T$35)</f>
        <v>1045</v>
      </c>
      <c r="Q6" s="419">
        <f>SUM(U7:U$35)</f>
        <v>205</v>
      </c>
      <c r="R6" s="91">
        <f>SUM(T7:T$30)</f>
        <v>815</v>
      </c>
      <c r="S6" s="91">
        <f>SUM(U7:U$30)</f>
        <v>125</v>
      </c>
      <c r="T6" s="91">
        <v>10</v>
      </c>
      <c r="U6" s="91">
        <v>0</v>
      </c>
    </row>
    <row r="7" spans="1:21" x14ac:dyDescent="0.25">
      <c r="E7" s="68">
        <v>3</v>
      </c>
      <c r="F7" s="68">
        <v>5</v>
      </c>
      <c r="G7" s="68">
        <v>3</v>
      </c>
      <c r="H7" s="68">
        <v>3</v>
      </c>
      <c r="I7" s="68">
        <v>4</v>
      </c>
      <c r="J7" s="68">
        <v>2</v>
      </c>
      <c r="K7" s="68">
        <v>4</v>
      </c>
      <c r="L7" s="68">
        <v>6</v>
      </c>
      <c r="M7" s="68">
        <v>2</v>
      </c>
      <c r="O7" s="72">
        <v>2</v>
      </c>
      <c r="P7" s="419">
        <f>SUM(T8:T$35)</f>
        <v>1035</v>
      </c>
      <c r="Q7" s="419">
        <f>SUM(U8:U$35)</f>
        <v>205</v>
      </c>
      <c r="R7" s="91">
        <f>SUM(T8:T$30)</f>
        <v>805</v>
      </c>
      <c r="S7" s="91">
        <f>SUM(U8:U$30)</f>
        <v>125</v>
      </c>
      <c r="T7" s="91">
        <v>10</v>
      </c>
      <c r="U7" s="91">
        <v>0</v>
      </c>
    </row>
    <row r="8" spans="1:21" x14ac:dyDescent="0.25">
      <c r="E8" s="68">
        <v>4</v>
      </c>
      <c r="F8" s="68">
        <v>5</v>
      </c>
      <c r="G8" s="68">
        <v>2</v>
      </c>
      <c r="H8" s="68">
        <v>3</v>
      </c>
      <c r="I8" s="68">
        <v>4</v>
      </c>
      <c r="J8" s="68">
        <v>1</v>
      </c>
      <c r="K8" s="68">
        <v>4</v>
      </c>
      <c r="L8" s="68">
        <v>6</v>
      </c>
      <c r="M8" s="68">
        <v>2</v>
      </c>
      <c r="O8" s="72">
        <v>3</v>
      </c>
      <c r="P8" s="419">
        <f>SUM(T9:T$35)</f>
        <v>1015</v>
      </c>
      <c r="Q8" s="419">
        <f>SUM(U9:U$35)</f>
        <v>205</v>
      </c>
      <c r="R8" s="91">
        <f>SUM(T9:T$30)</f>
        <v>785</v>
      </c>
      <c r="S8" s="91">
        <f>SUM(U9:U$30)</f>
        <v>125</v>
      </c>
      <c r="T8" s="91">
        <v>20</v>
      </c>
      <c r="U8" s="91">
        <v>0</v>
      </c>
    </row>
    <row r="9" spans="1:21" x14ac:dyDescent="0.25">
      <c r="E9" s="68">
        <v>4</v>
      </c>
      <c r="F9" s="68">
        <v>5</v>
      </c>
      <c r="G9" s="68">
        <v>3</v>
      </c>
      <c r="H9" s="68">
        <v>2</v>
      </c>
      <c r="I9" s="68">
        <v>4</v>
      </c>
      <c r="J9" s="68">
        <v>1</v>
      </c>
      <c r="K9" s="68">
        <v>4</v>
      </c>
      <c r="L9" s="68">
        <v>6</v>
      </c>
      <c r="M9" s="68">
        <v>2</v>
      </c>
      <c r="O9" s="72">
        <v>4</v>
      </c>
      <c r="P9" s="419">
        <f>SUM(T10:T$35)</f>
        <v>995</v>
      </c>
      <c r="Q9" s="419">
        <f>SUM(U10:U$35)</f>
        <v>205</v>
      </c>
      <c r="R9" s="91">
        <f>SUM(T10:T$30)</f>
        <v>765</v>
      </c>
      <c r="S9" s="91">
        <f>SUM(U10:U$30)</f>
        <v>125</v>
      </c>
      <c r="T9" s="91">
        <v>20</v>
      </c>
      <c r="U9" s="91">
        <v>0</v>
      </c>
    </row>
    <row r="10" spans="1:21" x14ac:dyDescent="0.25">
      <c r="E10" s="68">
        <v>3</v>
      </c>
      <c r="F10" s="68">
        <v>5</v>
      </c>
      <c r="G10" s="68">
        <v>3</v>
      </c>
      <c r="H10" s="68">
        <v>2</v>
      </c>
      <c r="I10" s="68">
        <v>4</v>
      </c>
      <c r="J10" s="68">
        <v>1</v>
      </c>
      <c r="K10" s="68">
        <v>4</v>
      </c>
      <c r="L10" s="68">
        <v>6</v>
      </c>
      <c r="M10" s="68">
        <v>2</v>
      </c>
      <c r="O10" s="72">
        <v>5</v>
      </c>
      <c r="P10" s="419">
        <f>SUM(T11:T$35)</f>
        <v>965</v>
      </c>
      <c r="Q10" s="419">
        <f>SUM(U11:U$35)</f>
        <v>205</v>
      </c>
      <c r="R10" s="91">
        <f>SUM(T11:T$30)</f>
        <v>735</v>
      </c>
      <c r="S10" s="91">
        <f>SUM(U11:U$30)</f>
        <v>125</v>
      </c>
      <c r="T10" s="91">
        <v>30</v>
      </c>
      <c r="U10" s="91">
        <v>0</v>
      </c>
    </row>
    <row r="11" spans="1:21" x14ac:dyDescent="0.25">
      <c r="E11" s="68">
        <v>4</v>
      </c>
      <c r="F11" s="68">
        <v>5</v>
      </c>
      <c r="G11" s="68">
        <v>3</v>
      </c>
      <c r="H11" s="68">
        <v>3</v>
      </c>
      <c r="I11" s="68">
        <v>4</v>
      </c>
      <c r="J11" s="68">
        <v>1</v>
      </c>
      <c r="K11" s="68">
        <v>4</v>
      </c>
      <c r="L11" s="68">
        <v>6</v>
      </c>
      <c r="M11" s="68">
        <v>2</v>
      </c>
      <c r="O11" s="72">
        <v>6</v>
      </c>
      <c r="P11" s="419">
        <f>SUM(T12:T$35)</f>
        <v>935</v>
      </c>
      <c r="Q11" s="419">
        <f>SUM(U12:U$35)</f>
        <v>205</v>
      </c>
      <c r="R11" s="91">
        <f>SUM(T12:T$30)</f>
        <v>705</v>
      </c>
      <c r="S11" s="91">
        <f>SUM(U12:U$30)</f>
        <v>125</v>
      </c>
      <c r="T11" s="91">
        <v>30</v>
      </c>
      <c r="U11" s="91">
        <v>0</v>
      </c>
    </row>
    <row r="12" spans="1:21" x14ac:dyDescent="0.25">
      <c r="E12" s="68">
        <v>3</v>
      </c>
      <c r="F12" s="68">
        <v>5</v>
      </c>
      <c r="H12" s="68">
        <v>3</v>
      </c>
      <c r="I12" s="68">
        <v>4</v>
      </c>
      <c r="J12" s="68">
        <v>2</v>
      </c>
      <c r="K12" s="68">
        <v>4</v>
      </c>
      <c r="L12" s="68">
        <v>6</v>
      </c>
      <c r="M12" s="68">
        <v>2</v>
      </c>
      <c r="O12" s="72">
        <v>7</v>
      </c>
      <c r="P12" s="419">
        <f>SUM(T13:T$35)</f>
        <v>905</v>
      </c>
      <c r="Q12" s="419">
        <f>SUM(U13:U$35)</f>
        <v>205</v>
      </c>
      <c r="R12" s="91">
        <f>SUM(T13:T$30)</f>
        <v>675</v>
      </c>
      <c r="S12" s="91">
        <f>SUM(U13:U$30)</f>
        <v>125</v>
      </c>
      <c r="T12" s="91">
        <v>30</v>
      </c>
      <c r="U12" s="91">
        <v>0</v>
      </c>
    </row>
    <row r="13" spans="1:21" x14ac:dyDescent="0.25">
      <c r="E13" s="68">
        <v>3</v>
      </c>
      <c r="F13" s="68">
        <v>5</v>
      </c>
      <c r="G13" s="68">
        <v>3</v>
      </c>
      <c r="H13" s="68">
        <v>2</v>
      </c>
      <c r="I13" s="68">
        <v>4</v>
      </c>
      <c r="J13" s="68">
        <v>1</v>
      </c>
      <c r="K13" s="68">
        <v>4</v>
      </c>
      <c r="L13" s="68">
        <v>6</v>
      </c>
      <c r="M13" s="68">
        <v>2</v>
      </c>
      <c r="O13" s="72">
        <v>8</v>
      </c>
      <c r="P13" s="419">
        <f>SUM(T14:T$35)</f>
        <v>875</v>
      </c>
      <c r="Q13" s="419">
        <f>SUM(U14:U$35)</f>
        <v>205</v>
      </c>
      <c r="R13" s="91">
        <f>SUM(T14:T$30)</f>
        <v>645</v>
      </c>
      <c r="S13" s="91">
        <f>SUM(U14:U$30)</f>
        <v>125</v>
      </c>
      <c r="T13" s="91">
        <v>30</v>
      </c>
      <c r="U13" s="91">
        <v>0</v>
      </c>
    </row>
    <row r="14" spans="1:21" x14ac:dyDescent="0.25">
      <c r="F14" s="68">
        <v>5</v>
      </c>
      <c r="G14" s="68">
        <v>3</v>
      </c>
      <c r="H14" s="68">
        <v>3</v>
      </c>
      <c r="I14" s="68">
        <v>4</v>
      </c>
      <c r="J14" s="68">
        <v>2</v>
      </c>
      <c r="K14" s="68">
        <v>4</v>
      </c>
      <c r="L14" s="68">
        <v>6</v>
      </c>
      <c r="M14" s="68">
        <v>2</v>
      </c>
      <c r="O14" s="72">
        <v>9</v>
      </c>
      <c r="P14" s="419">
        <f>SUM(T15:T$35)</f>
        <v>845</v>
      </c>
      <c r="Q14" s="419">
        <f>SUM(U15:U$35)</f>
        <v>205</v>
      </c>
      <c r="R14" s="91">
        <f>SUM(T15:T$30)</f>
        <v>615</v>
      </c>
      <c r="S14" s="91">
        <f>SUM(U15:U$30)</f>
        <v>125</v>
      </c>
      <c r="T14" s="91">
        <v>30</v>
      </c>
      <c r="U14" s="91">
        <v>0</v>
      </c>
    </row>
    <row r="15" spans="1:21" x14ac:dyDescent="0.25">
      <c r="E15" s="68">
        <v>4</v>
      </c>
      <c r="F15" s="68">
        <v>5</v>
      </c>
      <c r="G15" s="68">
        <v>3</v>
      </c>
      <c r="H15" s="68">
        <v>3</v>
      </c>
      <c r="I15" s="68">
        <v>4</v>
      </c>
      <c r="J15" s="68">
        <v>2</v>
      </c>
      <c r="K15" s="68">
        <v>4</v>
      </c>
      <c r="L15" s="68">
        <v>6</v>
      </c>
      <c r="M15" s="68">
        <v>2</v>
      </c>
      <c r="O15" s="72">
        <v>10</v>
      </c>
      <c r="P15" s="419">
        <f>SUM(T16:T$35)</f>
        <v>810</v>
      </c>
      <c r="Q15" s="419">
        <f>SUM(U16:U$35)</f>
        <v>200</v>
      </c>
      <c r="R15" s="91">
        <f>SUM(T16:T$30)</f>
        <v>580</v>
      </c>
      <c r="S15" s="91">
        <f>SUM(U16:U$30)</f>
        <v>120</v>
      </c>
      <c r="T15" s="91">
        <v>35</v>
      </c>
      <c r="U15" s="91">
        <v>5</v>
      </c>
    </row>
    <row r="16" spans="1:21" x14ac:dyDescent="0.25">
      <c r="E16" s="68">
        <v>3</v>
      </c>
      <c r="F16" s="68">
        <v>5</v>
      </c>
      <c r="G16" s="68">
        <v>2</v>
      </c>
      <c r="H16" s="68">
        <v>3</v>
      </c>
      <c r="I16" s="68">
        <v>4</v>
      </c>
      <c r="J16" s="68">
        <v>2</v>
      </c>
      <c r="K16" s="68">
        <v>4</v>
      </c>
      <c r="L16" s="68">
        <v>6</v>
      </c>
      <c r="M16" s="68">
        <v>2</v>
      </c>
      <c r="O16" s="72">
        <v>11</v>
      </c>
      <c r="P16" s="419">
        <f>SUM(T17:T$35)</f>
        <v>775</v>
      </c>
      <c r="Q16" s="419">
        <f>SUM(U17:U$35)</f>
        <v>195</v>
      </c>
      <c r="R16" s="91">
        <f>SUM(T17:T$30)</f>
        <v>545</v>
      </c>
      <c r="S16" s="91">
        <f>SUM(U17:U$30)</f>
        <v>115</v>
      </c>
      <c r="T16" s="91">
        <v>35</v>
      </c>
      <c r="U16" s="91">
        <v>5</v>
      </c>
    </row>
    <row r="17" spans="5:25" x14ac:dyDescent="0.25">
      <c r="E17" s="68">
        <v>3</v>
      </c>
      <c r="F17" s="68">
        <v>5</v>
      </c>
      <c r="G17" s="68">
        <v>3</v>
      </c>
      <c r="H17" s="68">
        <v>2</v>
      </c>
      <c r="I17" s="68">
        <v>4</v>
      </c>
      <c r="J17" s="68">
        <v>2</v>
      </c>
      <c r="K17" s="68">
        <v>4</v>
      </c>
      <c r="L17" s="68">
        <v>6</v>
      </c>
      <c r="M17" s="68">
        <v>2</v>
      </c>
      <c r="O17" s="72">
        <v>12</v>
      </c>
      <c r="P17" s="419">
        <f>SUM(T18:T$35)</f>
        <v>740</v>
      </c>
      <c r="Q17" s="419">
        <f>SUM(U18:U$35)</f>
        <v>190</v>
      </c>
      <c r="R17" s="91">
        <f>SUM(T18:T$30)</f>
        <v>510</v>
      </c>
      <c r="S17" s="91">
        <f>SUM(U18:U$30)</f>
        <v>110</v>
      </c>
      <c r="T17" s="91">
        <v>35</v>
      </c>
      <c r="U17" s="91">
        <v>5</v>
      </c>
      <c r="W17" s="71" t="s">
        <v>71</v>
      </c>
      <c r="X17" s="71">
        <v>261</v>
      </c>
      <c r="Y17" s="71" t="s">
        <v>457</v>
      </c>
    </row>
    <row r="18" spans="5:25" x14ac:dyDescent="0.25">
      <c r="E18" s="68">
        <v>3</v>
      </c>
      <c r="F18" s="68">
        <v>5</v>
      </c>
      <c r="G18" s="68">
        <v>3</v>
      </c>
      <c r="H18" s="68">
        <v>2</v>
      </c>
      <c r="I18" s="68">
        <v>4</v>
      </c>
      <c r="J18" s="68">
        <v>1</v>
      </c>
      <c r="K18" s="68">
        <v>4</v>
      </c>
      <c r="L18" s="68">
        <v>6</v>
      </c>
      <c r="M18" s="68">
        <v>2</v>
      </c>
      <c r="O18" s="72">
        <v>13</v>
      </c>
      <c r="P18" s="419">
        <f>SUM(T19:T$35)</f>
        <v>705</v>
      </c>
      <c r="Q18" s="419">
        <f>SUM(U19:U$35)</f>
        <v>185</v>
      </c>
      <c r="R18" s="91">
        <f>SUM(T19:T$30)</f>
        <v>475</v>
      </c>
      <c r="S18" s="91">
        <f>SUM(U19:U$30)</f>
        <v>105</v>
      </c>
      <c r="T18" s="91">
        <v>35</v>
      </c>
      <c r="U18" s="91">
        <v>5</v>
      </c>
      <c r="W18" s="71" t="s">
        <v>204</v>
      </c>
      <c r="X18" s="71">
        <f>396+195</f>
        <v>591</v>
      </c>
      <c r="Y18" s="71" t="s">
        <v>112</v>
      </c>
    </row>
    <row r="19" spans="5:25" x14ac:dyDescent="0.25">
      <c r="E19" s="68">
        <v>3</v>
      </c>
      <c r="F19" s="68">
        <v>5</v>
      </c>
      <c r="G19" s="68">
        <v>3</v>
      </c>
      <c r="H19" s="68">
        <v>3</v>
      </c>
      <c r="I19" s="68">
        <v>4</v>
      </c>
      <c r="J19" s="68">
        <v>1</v>
      </c>
      <c r="K19" s="68">
        <v>4</v>
      </c>
      <c r="L19" s="68">
        <v>6</v>
      </c>
      <c r="M19" s="68">
        <v>2</v>
      </c>
      <c r="O19" s="72">
        <v>14</v>
      </c>
      <c r="P19" s="419">
        <f>SUM(T20:T$35)</f>
        <v>670</v>
      </c>
      <c r="Q19" s="419">
        <f>SUM(U20:U$35)</f>
        <v>180</v>
      </c>
      <c r="R19" s="91">
        <f>SUM(T20:T$30)</f>
        <v>440</v>
      </c>
      <c r="S19" s="91">
        <f>SUM(U20:U$30)</f>
        <v>100</v>
      </c>
      <c r="T19" s="91">
        <v>35</v>
      </c>
      <c r="U19" s="91">
        <v>5</v>
      </c>
      <c r="X19" s="71">
        <v>146</v>
      </c>
      <c r="Y19" s="71" t="s">
        <v>68</v>
      </c>
    </row>
    <row r="20" spans="5:25" x14ac:dyDescent="0.25">
      <c r="E20" s="68">
        <v>3</v>
      </c>
      <c r="F20" s="68">
        <v>5</v>
      </c>
      <c r="G20" s="68">
        <v>3</v>
      </c>
      <c r="H20" s="68">
        <v>3</v>
      </c>
      <c r="I20" s="68">
        <v>4</v>
      </c>
      <c r="J20" s="68">
        <v>2</v>
      </c>
      <c r="K20" s="68">
        <v>4</v>
      </c>
      <c r="L20" s="68">
        <v>6</v>
      </c>
      <c r="M20" s="68">
        <v>2</v>
      </c>
      <c r="O20" s="72">
        <v>15</v>
      </c>
      <c r="P20" s="419">
        <f>SUM(T21:T$35)</f>
        <v>630</v>
      </c>
      <c r="Q20" s="419">
        <f>SUM(U21:U$35)</f>
        <v>170</v>
      </c>
      <c r="R20" s="91">
        <f>SUM(T21:T$30)</f>
        <v>400</v>
      </c>
      <c r="S20" s="91">
        <f>SUM(U21:U$30)</f>
        <v>90</v>
      </c>
      <c r="T20" s="91">
        <v>40</v>
      </c>
      <c r="U20" s="91">
        <v>10</v>
      </c>
      <c r="V20" s="91"/>
    </row>
    <row r="21" spans="5:25" x14ac:dyDescent="0.25">
      <c r="E21" s="68">
        <v>3</v>
      </c>
      <c r="F21" s="68">
        <v>5</v>
      </c>
      <c r="G21" s="68">
        <v>3</v>
      </c>
      <c r="H21" s="68">
        <v>3</v>
      </c>
      <c r="I21" s="68">
        <v>4</v>
      </c>
      <c r="J21" s="68">
        <v>1</v>
      </c>
      <c r="K21" s="68">
        <v>4</v>
      </c>
      <c r="L21" s="68">
        <v>6</v>
      </c>
      <c r="M21" s="68">
        <v>1</v>
      </c>
      <c r="O21" s="91">
        <v>16</v>
      </c>
      <c r="P21" s="419">
        <f>SUM(T22:T$35)</f>
        <v>590</v>
      </c>
      <c r="Q21" s="419">
        <f>SUM(U22:U$35)</f>
        <v>160</v>
      </c>
      <c r="R21" s="91">
        <f>SUM(T22:T$30)</f>
        <v>360</v>
      </c>
      <c r="S21" s="91">
        <f>SUM(U22:U$30)</f>
        <v>80</v>
      </c>
      <c r="T21" s="91">
        <v>40</v>
      </c>
      <c r="U21" s="91">
        <v>10</v>
      </c>
      <c r="V21" s="91"/>
    </row>
    <row r="22" spans="5:25" x14ac:dyDescent="0.25">
      <c r="E22" s="68">
        <v>3</v>
      </c>
      <c r="F22" s="68">
        <v>5</v>
      </c>
      <c r="G22" s="68">
        <v>2</v>
      </c>
      <c r="H22" s="68">
        <v>2</v>
      </c>
      <c r="I22" s="68">
        <v>4</v>
      </c>
      <c r="J22" s="68">
        <v>2</v>
      </c>
      <c r="K22" s="68">
        <v>4</v>
      </c>
      <c r="L22" s="68">
        <v>6</v>
      </c>
      <c r="M22" s="68">
        <v>2</v>
      </c>
      <c r="O22" s="91">
        <v>17</v>
      </c>
      <c r="P22" s="419">
        <f>SUM(T23:T$35)</f>
        <v>550</v>
      </c>
      <c r="Q22" s="419">
        <f>SUM(U23:U$35)</f>
        <v>150</v>
      </c>
      <c r="R22" s="91">
        <f>SUM(T23:T$30)</f>
        <v>320</v>
      </c>
      <c r="S22" s="91">
        <f>SUM(U23:U$30)</f>
        <v>70</v>
      </c>
      <c r="T22" s="91">
        <v>40</v>
      </c>
      <c r="U22" s="91">
        <v>10</v>
      </c>
      <c r="V22" s="91"/>
    </row>
    <row r="23" spans="5:25" x14ac:dyDescent="0.25">
      <c r="E23" s="68">
        <v>4</v>
      </c>
      <c r="F23" s="68">
        <v>5</v>
      </c>
      <c r="G23" s="68">
        <v>3</v>
      </c>
      <c r="H23" s="68">
        <v>3</v>
      </c>
      <c r="I23" s="68">
        <v>4</v>
      </c>
      <c r="J23" s="68">
        <v>2</v>
      </c>
      <c r="K23" s="68">
        <v>4</v>
      </c>
      <c r="L23" s="68">
        <v>6</v>
      </c>
      <c r="M23" s="68">
        <v>2</v>
      </c>
      <c r="O23" s="91">
        <v>18</v>
      </c>
      <c r="P23" s="419">
        <f>SUM(T24:T$35)</f>
        <v>510</v>
      </c>
      <c r="Q23" s="419">
        <f>SUM(U24:U$35)</f>
        <v>140</v>
      </c>
      <c r="R23" s="91">
        <f>SUM(T24:T$30)</f>
        <v>280</v>
      </c>
      <c r="S23" s="91">
        <f>SUM(U24:U$30)</f>
        <v>60</v>
      </c>
      <c r="T23" s="91">
        <v>40</v>
      </c>
      <c r="U23" s="91">
        <v>10</v>
      </c>
      <c r="V23" s="91"/>
    </row>
    <row r="24" spans="5:25" x14ac:dyDescent="0.25">
      <c r="E24" s="68">
        <v>3</v>
      </c>
      <c r="F24" s="68">
        <v>5</v>
      </c>
      <c r="G24" s="68">
        <v>3</v>
      </c>
      <c r="K24" s="68">
        <v>4</v>
      </c>
      <c r="L24" s="68">
        <v>6</v>
      </c>
      <c r="M24" s="68">
        <v>2</v>
      </c>
      <c r="O24" s="91">
        <v>19</v>
      </c>
      <c r="P24" s="419">
        <f>SUM(T25:T$35)</f>
        <v>470</v>
      </c>
      <c r="Q24" s="419">
        <f>SUM(U25:U$35)</f>
        <v>130</v>
      </c>
      <c r="R24" s="91">
        <f>SUM(T25:T$30)</f>
        <v>240</v>
      </c>
      <c r="S24" s="91">
        <f>SUM(U25:U$30)</f>
        <v>50</v>
      </c>
      <c r="T24" s="91">
        <v>40</v>
      </c>
      <c r="U24" s="91">
        <v>10</v>
      </c>
      <c r="V24" s="91"/>
    </row>
    <row r="25" spans="5:25" x14ac:dyDescent="0.25">
      <c r="E25" s="68">
        <v>3</v>
      </c>
      <c r="F25" s="68">
        <v>5</v>
      </c>
      <c r="G25" s="68">
        <v>2</v>
      </c>
      <c r="K25" s="68">
        <v>4</v>
      </c>
      <c r="L25" s="68">
        <v>6</v>
      </c>
      <c r="M25" s="68">
        <v>2</v>
      </c>
      <c r="O25" s="91">
        <v>20</v>
      </c>
      <c r="P25" s="419">
        <f>SUM(T26:T$35)</f>
        <v>430</v>
      </c>
      <c r="Q25" s="419">
        <f>SUM(U26:U$35)</f>
        <v>120</v>
      </c>
      <c r="R25" s="91">
        <f>SUM(T26:T$30)</f>
        <v>200</v>
      </c>
      <c r="S25" s="91">
        <f>SUM(U26:U$30)</f>
        <v>40</v>
      </c>
      <c r="T25" s="91">
        <v>40</v>
      </c>
      <c r="U25" s="91">
        <v>10</v>
      </c>
      <c r="V25" s="91"/>
    </row>
    <row r="26" spans="5:25" x14ac:dyDescent="0.25">
      <c r="E26" s="68">
        <v>3</v>
      </c>
      <c r="F26" s="68">
        <v>5</v>
      </c>
      <c r="G26" s="68">
        <v>3</v>
      </c>
      <c r="K26" s="68">
        <v>4</v>
      </c>
      <c r="L26" s="68">
        <v>6</v>
      </c>
      <c r="M26" s="68">
        <v>1</v>
      </c>
      <c r="O26" s="91">
        <v>21</v>
      </c>
      <c r="P26" s="419">
        <f>SUM(T27:T$35)</f>
        <v>390</v>
      </c>
      <c r="Q26" s="419">
        <f>SUM(U27:U$35)</f>
        <v>110</v>
      </c>
      <c r="R26" s="91">
        <f>SUM(T27:T$30)</f>
        <v>160</v>
      </c>
      <c r="S26" s="91">
        <f>SUM(U27:U$30)</f>
        <v>30</v>
      </c>
      <c r="T26" s="91">
        <v>40</v>
      </c>
      <c r="U26" s="91">
        <v>10</v>
      </c>
      <c r="V26" s="91"/>
    </row>
    <row r="27" spans="5:25" x14ac:dyDescent="0.25">
      <c r="E27" s="68">
        <v>3</v>
      </c>
      <c r="F27" s="68">
        <v>5</v>
      </c>
      <c r="G27" s="68">
        <v>2</v>
      </c>
      <c r="K27" s="68">
        <v>4</v>
      </c>
      <c r="L27" s="68">
        <v>6</v>
      </c>
      <c r="M27" s="68">
        <v>2</v>
      </c>
      <c r="O27" s="91">
        <v>22</v>
      </c>
      <c r="P27" s="419">
        <f>SUM(T28:T$35)</f>
        <v>350</v>
      </c>
      <c r="Q27" s="419">
        <f>SUM(U28:U$35)</f>
        <v>110</v>
      </c>
      <c r="R27" s="91">
        <f>SUM(T28:T$30)</f>
        <v>120</v>
      </c>
      <c r="S27" s="91">
        <f>SUM(U28:U$30)</f>
        <v>30</v>
      </c>
      <c r="T27" s="91">
        <v>40</v>
      </c>
      <c r="U27" s="91" t="s">
        <v>357</v>
      </c>
      <c r="V27" s="91"/>
    </row>
    <row r="28" spans="5:25" x14ac:dyDescent="0.25">
      <c r="E28" s="68">
        <v>3</v>
      </c>
      <c r="F28" s="68">
        <v>5</v>
      </c>
      <c r="G28" s="68">
        <v>3</v>
      </c>
      <c r="K28" s="68">
        <v>4</v>
      </c>
      <c r="L28" s="68">
        <v>6</v>
      </c>
      <c r="M28" s="68">
        <v>2</v>
      </c>
      <c r="O28" s="91">
        <v>23</v>
      </c>
      <c r="P28" s="419">
        <f>SUM(T29:T$35)</f>
        <v>310</v>
      </c>
      <c r="Q28" s="419">
        <f>SUM(U29:U$35)</f>
        <v>100</v>
      </c>
      <c r="R28" s="91">
        <f>SUM(T29:T$30)</f>
        <v>80</v>
      </c>
      <c r="S28" s="91">
        <f>SUM(U29:U$30)</f>
        <v>20</v>
      </c>
      <c r="T28" s="91">
        <v>40</v>
      </c>
      <c r="U28" s="91">
        <v>10</v>
      </c>
      <c r="V28" s="91"/>
    </row>
    <row r="29" spans="5:25" x14ac:dyDescent="0.25">
      <c r="E29" s="68">
        <v>3</v>
      </c>
      <c r="F29" s="68">
        <v>5</v>
      </c>
      <c r="G29" s="68">
        <v>3</v>
      </c>
      <c r="K29" s="68">
        <v>4</v>
      </c>
      <c r="L29" s="68">
        <v>6</v>
      </c>
      <c r="M29" s="68">
        <v>2</v>
      </c>
      <c r="O29" s="91">
        <v>24</v>
      </c>
      <c r="P29" s="419">
        <f>SUM(T30:T$35)</f>
        <v>270</v>
      </c>
      <c r="Q29" s="419">
        <f>SUM(U30:U$35)</f>
        <v>90</v>
      </c>
      <c r="R29" s="91">
        <f>SUM(T30:T$30)</f>
        <v>40</v>
      </c>
      <c r="S29" s="91">
        <f>SUM(U30:U$30)</f>
        <v>10</v>
      </c>
      <c r="T29" s="91">
        <v>40</v>
      </c>
      <c r="U29" s="91">
        <v>10</v>
      </c>
      <c r="V29" s="91"/>
    </row>
    <row r="30" spans="5:25" x14ac:dyDescent="0.25">
      <c r="E30" s="68">
        <v>4</v>
      </c>
      <c r="F30" s="68">
        <v>5</v>
      </c>
      <c r="G30" s="68">
        <v>3</v>
      </c>
      <c r="K30" s="68">
        <v>4</v>
      </c>
      <c r="L30" s="68">
        <v>6</v>
      </c>
      <c r="M30" s="68">
        <v>2</v>
      </c>
      <c r="O30" s="91">
        <v>25</v>
      </c>
      <c r="P30" s="419">
        <f>SUM(T31:T$35)</f>
        <v>230</v>
      </c>
      <c r="Q30" s="419">
        <f>SUM(U31:U$35)</f>
        <v>80</v>
      </c>
      <c r="R30" s="91">
        <v>0</v>
      </c>
      <c r="S30" s="91">
        <v>0</v>
      </c>
      <c r="T30" s="91">
        <v>40</v>
      </c>
      <c r="U30" s="91">
        <v>10</v>
      </c>
    </row>
    <row r="31" spans="5:25" x14ac:dyDescent="0.25">
      <c r="E31" s="68">
        <v>3</v>
      </c>
      <c r="F31" s="68">
        <v>5</v>
      </c>
      <c r="G31" s="68">
        <v>3</v>
      </c>
      <c r="K31" s="68">
        <v>4</v>
      </c>
      <c r="L31" s="68">
        <v>6</v>
      </c>
      <c r="M31" s="68">
        <v>2</v>
      </c>
      <c r="O31" s="72">
        <v>26</v>
      </c>
      <c r="P31" s="419">
        <f>SUM(T32:T$35)</f>
        <v>185</v>
      </c>
      <c r="Q31" s="419">
        <f>SUM(U32:U$35)</f>
        <v>65</v>
      </c>
      <c r="R31" s="419">
        <v>0</v>
      </c>
      <c r="S31" s="419">
        <v>0</v>
      </c>
      <c r="T31" s="91">
        <v>45</v>
      </c>
      <c r="U31" s="91">
        <v>15</v>
      </c>
      <c r="V31" s="71"/>
    </row>
    <row r="32" spans="5:25" x14ac:dyDescent="0.25">
      <c r="E32" s="68">
        <v>3</v>
      </c>
      <c r="F32" s="68">
        <v>5</v>
      </c>
      <c r="G32" s="68">
        <v>2</v>
      </c>
      <c r="K32" s="68">
        <v>4</v>
      </c>
      <c r="L32" s="68">
        <v>6</v>
      </c>
      <c r="M32" s="68">
        <v>2</v>
      </c>
      <c r="O32" s="71">
        <v>27</v>
      </c>
      <c r="P32" s="419">
        <f>SUM(T33:T$35)</f>
        <v>140</v>
      </c>
      <c r="Q32" s="419">
        <f>SUM(U33:U$35)</f>
        <v>50</v>
      </c>
      <c r="R32" s="419">
        <v>0</v>
      </c>
      <c r="S32" s="419">
        <v>0</v>
      </c>
      <c r="T32" s="91">
        <v>45</v>
      </c>
      <c r="U32" s="71">
        <v>15</v>
      </c>
      <c r="V32" s="71"/>
    </row>
    <row r="33" spans="5:22" x14ac:dyDescent="0.25">
      <c r="E33" s="68">
        <v>4</v>
      </c>
      <c r="F33" s="68">
        <v>5</v>
      </c>
      <c r="G33" s="68">
        <v>2</v>
      </c>
      <c r="K33" s="68">
        <v>4</v>
      </c>
      <c r="L33" s="68">
        <v>6</v>
      </c>
      <c r="M33" s="68">
        <v>2</v>
      </c>
      <c r="O33" s="71">
        <v>28</v>
      </c>
      <c r="P33" s="419">
        <f>SUM(T34:T$35)</f>
        <v>95</v>
      </c>
      <c r="Q33" s="419">
        <f>SUM(U34:U$35)</f>
        <v>35</v>
      </c>
      <c r="R33" s="419">
        <v>0</v>
      </c>
      <c r="S33" s="419">
        <v>0</v>
      </c>
      <c r="T33" s="91">
        <v>45</v>
      </c>
      <c r="U33" s="71">
        <v>15</v>
      </c>
      <c r="V33" s="71"/>
    </row>
    <row r="34" spans="5:22" x14ac:dyDescent="0.25">
      <c r="E34" s="68">
        <v>3</v>
      </c>
      <c r="F34" s="68">
        <v>5</v>
      </c>
      <c r="G34" s="68">
        <v>2</v>
      </c>
      <c r="K34" s="68">
        <v>4</v>
      </c>
      <c r="L34" s="68">
        <v>6</v>
      </c>
      <c r="M34" s="68">
        <v>2</v>
      </c>
      <c r="O34" s="71">
        <v>29</v>
      </c>
      <c r="P34" s="419">
        <f>SUM(T35:T$35)</f>
        <v>50</v>
      </c>
      <c r="Q34" s="419">
        <f>SUM(U35:U$35)</f>
        <v>20</v>
      </c>
      <c r="R34" s="419">
        <v>0</v>
      </c>
      <c r="S34" s="419">
        <v>0</v>
      </c>
      <c r="T34" s="91">
        <v>45</v>
      </c>
      <c r="U34" s="71">
        <v>15</v>
      </c>
      <c r="V34" s="71"/>
    </row>
    <row r="35" spans="5:22" x14ac:dyDescent="0.25">
      <c r="E35" s="68">
        <v>4</v>
      </c>
      <c r="F35" s="68">
        <v>5</v>
      </c>
      <c r="G35" s="68">
        <v>2</v>
      </c>
      <c r="K35" s="68">
        <v>4</v>
      </c>
      <c r="L35" s="68">
        <v>6</v>
      </c>
      <c r="M35" s="68">
        <v>2</v>
      </c>
      <c r="O35" s="71">
        <v>30</v>
      </c>
      <c r="P35" s="419">
        <v>0</v>
      </c>
      <c r="Q35" s="419">
        <v>0</v>
      </c>
      <c r="R35" s="419">
        <v>0</v>
      </c>
      <c r="S35" s="419">
        <v>0</v>
      </c>
      <c r="T35" s="91">
        <v>50</v>
      </c>
      <c r="U35" s="71">
        <v>20</v>
      </c>
      <c r="V35" s="71"/>
    </row>
    <row r="36" spans="5:22" x14ac:dyDescent="0.25">
      <c r="E36" s="68">
        <v>3</v>
      </c>
      <c r="F36" s="68">
        <v>5</v>
      </c>
      <c r="G36" s="68">
        <v>3</v>
      </c>
      <c r="K36" s="68">
        <v>4</v>
      </c>
      <c r="L36" s="68">
        <v>6</v>
      </c>
      <c r="M36" s="68">
        <v>2</v>
      </c>
      <c r="O36" s="71"/>
      <c r="R36" s="71"/>
      <c r="S36" s="71"/>
      <c r="U36" s="71"/>
      <c r="V36" s="71"/>
    </row>
    <row r="37" spans="5:22" x14ac:dyDescent="0.25">
      <c r="E37" s="68">
        <v>4</v>
      </c>
      <c r="F37" s="68">
        <v>5</v>
      </c>
      <c r="G37" s="68">
        <v>3</v>
      </c>
      <c r="K37" s="68">
        <v>4</v>
      </c>
      <c r="L37" s="68">
        <v>6</v>
      </c>
      <c r="M37" s="68">
        <v>2</v>
      </c>
      <c r="O37" s="71"/>
      <c r="R37" s="71"/>
      <c r="S37" s="71"/>
      <c r="U37" s="71"/>
      <c r="V37" s="71"/>
    </row>
    <row r="38" spans="5:22" x14ac:dyDescent="0.25">
      <c r="E38" s="68">
        <v>3</v>
      </c>
      <c r="F38" s="68">
        <v>5</v>
      </c>
      <c r="G38" s="68">
        <v>2</v>
      </c>
      <c r="K38" s="68">
        <v>4</v>
      </c>
      <c r="L38" s="68">
        <v>6</v>
      </c>
      <c r="M38" s="68">
        <v>2</v>
      </c>
      <c r="O38" s="71"/>
      <c r="R38" s="71"/>
      <c r="S38" s="71"/>
      <c r="U38" s="71"/>
      <c r="V38" s="71"/>
    </row>
    <row r="39" spans="5:22" x14ac:dyDescent="0.25">
      <c r="E39" s="68">
        <v>4</v>
      </c>
      <c r="F39" s="68">
        <v>5</v>
      </c>
      <c r="K39" s="68">
        <v>4</v>
      </c>
      <c r="L39" s="68">
        <v>6</v>
      </c>
      <c r="M39" s="68">
        <v>2</v>
      </c>
      <c r="O39" s="71"/>
      <c r="R39" s="71"/>
      <c r="S39" s="71"/>
      <c r="U39" s="71"/>
      <c r="V39" s="71"/>
    </row>
    <row r="40" spans="5:22" x14ac:dyDescent="0.25">
      <c r="E40" s="68">
        <v>4</v>
      </c>
      <c r="F40" s="68">
        <v>5</v>
      </c>
      <c r="K40" s="68">
        <v>4</v>
      </c>
      <c r="L40" s="68">
        <v>6</v>
      </c>
      <c r="M40" s="68">
        <v>2</v>
      </c>
      <c r="O40" s="71"/>
      <c r="R40" s="71"/>
      <c r="S40" s="71"/>
      <c r="U40" s="71"/>
      <c r="V40" s="71"/>
    </row>
    <row r="41" spans="5:22" x14ac:dyDescent="0.25">
      <c r="E41" s="68">
        <v>4</v>
      </c>
      <c r="F41" s="68">
        <v>5</v>
      </c>
      <c r="K41" s="68">
        <v>4</v>
      </c>
      <c r="L41" s="68">
        <v>6</v>
      </c>
      <c r="M41" s="68">
        <v>2</v>
      </c>
      <c r="O41" s="71"/>
      <c r="R41" s="71"/>
      <c r="S41" s="71"/>
      <c r="U41" s="71"/>
      <c r="V41" s="71"/>
    </row>
    <row r="42" spans="5:22" x14ac:dyDescent="0.25">
      <c r="E42" s="68">
        <v>3</v>
      </c>
      <c r="F42" s="68">
        <v>5</v>
      </c>
      <c r="K42" s="68">
        <v>4</v>
      </c>
      <c r="L42" s="68">
        <v>6</v>
      </c>
      <c r="M42" s="68">
        <v>1</v>
      </c>
      <c r="O42" s="71"/>
      <c r="R42" s="71"/>
      <c r="S42" s="71"/>
      <c r="U42" s="71"/>
      <c r="V42" s="71"/>
    </row>
    <row r="43" spans="5:22" x14ac:dyDescent="0.25">
      <c r="E43" s="68">
        <v>3</v>
      </c>
      <c r="F43" s="68">
        <v>5</v>
      </c>
      <c r="K43" s="68">
        <v>4</v>
      </c>
      <c r="L43" s="68">
        <v>6</v>
      </c>
      <c r="M43" s="68">
        <v>2</v>
      </c>
      <c r="O43" s="71"/>
      <c r="R43" s="71"/>
      <c r="S43" s="71"/>
      <c r="U43" s="71"/>
      <c r="V43" s="71"/>
    </row>
    <row r="44" spans="5:22" x14ac:dyDescent="0.25">
      <c r="E44" s="68">
        <v>3</v>
      </c>
      <c r="F44" s="68">
        <v>5</v>
      </c>
      <c r="K44" s="68">
        <v>4</v>
      </c>
      <c r="L44" s="68">
        <v>6</v>
      </c>
      <c r="M44" s="68">
        <v>2</v>
      </c>
      <c r="O44" s="71"/>
      <c r="R44" s="71"/>
      <c r="S44" s="71"/>
      <c r="U44" s="71"/>
      <c r="V44" s="71"/>
    </row>
    <row r="45" spans="5:22" x14ac:dyDescent="0.25">
      <c r="E45" s="68">
        <v>4</v>
      </c>
      <c r="F45" s="68">
        <v>5</v>
      </c>
      <c r="K45" s="68">
        <v>4</v>
      </c>
      <c r="L45" s="68">
        <v>6</v>
      </c>
      <c r="M45" s="68">
        <v>2</v>
      </c>
      <c r="O45" s="71"/>
      <c r="R45" s="71"/>
      <c r="S45" s="71"/>
      <c r="U45" s="71"/>
      <c r="V45" s="71"/>
    </row>
    <row r="46" spans="5:22" x14ac:dyDescent="0.25">
      <c r="E46" s="68">
        <v>3</v>
      </c>
      <c r="F46" s="68">
        <v>5</v>
      </c>
      <c r="K46" s="68">
        <v>4</v>
      </c>
      <c r="L46" s="68">
        <v>6</v>
      </c>
      <c r="M46" s="68">
        <v>2</v>
      </c>
      <c r="O46" s="71"/>
      <c r="R46" s="71"/>
      <c r="S46" s="71"/>
      <c r="U46" s="71"/>
      <c r="V46" s="71"/>
    </row>
    <row r="47" spans="5:22" x14ac:dyDescent="0.25">
      <c r="E47" s="68">
        <v>3</v>
      </c>
      <c r="F47" s="68">
        <v>5</v>
      </c>
      <c r="K47" s="68">
        <v>4</v>
      </c>
      <c r="L47" s="68">
        <v>6</v>
      </c>
      <c r="M47" s="68">
        <v>2</v>
      </c>
      <c r="O47" s="71"/>
      <c r="R47" s="71"/>
      <c r="S47" s="71"/>
      <c r="U47" s="71"/>
      <c r="V47" s="71"/>
    </row>
    <row r="48" spans="5:22" x14ac:dyDescent="0.25">
      <c r="E48" s="68">
        <v>3</v>
      </c>
      <c r="F48" s="68">
        <v>5</v>
      </c>
      <c r="K48" s="68">
        <v>4</v>
      </c>
      <c r="L48" s="68">
        <v>6</v>
      </c>
      <c r="M48" s="68">
        <v>2</v>
      </c>
      <c r="O48" s="71"/>
      <c r="R48" s="71"/>
      <c r="S48" s="71"/>
      <c r="U48" s="71"/>
    </row>
    <row r="49" spans="5:13" x14ac:dyDescent="0.25">
      <c r="E49" s="68">
        <v>3</v>
      </c>
      <c r="F49" s="68">
        <v>5</v>
      </c>
      <c r="K49" s="68">
        <v>4</v>
      </c>
      <c r="L49" s="68">
        <v>6</v>
      </c>
      <c r="M49" s="68">
        <v>2</v>
      </c>
    </row>
    <row r="50" spans="5:13" x14ac:dyDescent="0.25">
      <c r="E50" s="68">
        <v>3</v>
      </c>
      <c r="F50" s="68">
        <v>5</v>
      </c>
      <c r="K50" s="68">
        <v>4</v>
      </c>
      <c r="L50" s="68">
        <v>6</v>
      </c>
      <c r="M50" s="68">
        <v>2</v>
      </c>
    </row>
    <row r="51" spans="5:13" x14ac:dyDescent="0.25">
      <c r="E51" s="68">
        <v>4</v>
      </c>
      <c r="F51" s="68">
        <v>5</v>
      </c>
      <c r="K51" s="68">
        <v>4</v>
      </c>
      <c r="L51" s="68">
        <v>6</v>
      </c>
      <c r="M51" s="68">
        <v>2</v>
      </c>
    </row>
    <row r="52" spans="5:13" x14ac:dyDescent="0.25">
      <c r="E52" s="68">
        <v>3</v>
      </c>
      <c r="F52" s="68">
        <v>5</v>
      </c>
      <c r="K52" s="68">
        <v>4</v>
      </c>
      <c r="L52" s="68">
        <v>6</v>
      </c>
      <c r="M52" s="68">
        <v>2</v>
      </c>
    </row>
    <row r="53" spans="5:13" x14ac:dyDescent="0.25">
      <c r="E53" s="68">
        <v>3</v>
      </c>
      <c r="F53" s="68">
        <v>5</v>
      </c>
      <c r="K53" s="68">
        <v>4</v>
      </c>
      <c r="L53" s="68">
        <v>6</v>
      </c>
      <c r="M53" s="68">
        <v>2</v>
      </c>
    </row>
    <row r="54" spans="5:13" x14ac:dyDescent="0.25">
      <c r="E54" s="68">
        <v>3</v>
      </c>
      <c r="F54" s="68">
        <v>5</v>
      </c>
      <c r="K54" s="68">
        <v>4</v>
      </c>
      <c r="L54" s="68">
        <v>6</v>
      </c>
      <c r="M54" s="68">
        <v>2</v>
      </c>
    </row>
    <row r="55" spans="5:13" x14ac:dyDescent="0.25">
      <c r="E55" s="68">
        <v>3</v>
      </c>
      <c r="F55" s="68">
        <v>5</v>
      </c>
      <c r="K55" s="68">
        <v>4</v>
      </c>
      <c r="L55" s="68">
        <v>6</v>
      </c>
      <c r="M55" s="68">
        <v>2</v>
      </c>
    </row>
    <row r="56" spans="5:13" x14ac:dyDescent="0.25">
      <c r="E56" s="68">
        <v>3</v>
      </c>
      <c r="F56" s="68">
        <v>5</v>
      </c>
      <c r="K56" s="68">
        <v>4</v>
      </c>
      <c r="L56" s="68">
        <v>6</v>
      </c>
      <c r="M56" s="68">
        <v>2</v>
      </c>
    </row>
    <row r="57" spans="5:13" x14ac:dyDescent="0.25">
      <c r="E57" s="68">
        <v>4</v>
      </c>
      <c r="F57" s="68">
        <v>5</v>
      </c>
      <c r="K57" s="68">
        <v>4</v>
      </c>
      <c r="L57" s="68">
        <v>6</v>
      </c>
      <c r="M57" s="68">
        <v>2</v>
      </c>
    </row>
    <row r="58" spans="5:13" x14ac:dyDescent="0.25">
      <c r="E58" s="68">
        <v>4</v>
      </c>
      <c r="F58" s="68">
        <v>5</v>
      </c>
      <c r="K58" s="68">
        <v>4</v>
      </c>
      <c r="L58" s="68">
        <v>6</v>
      </c>
      <c r="M58" s="68">
        <v>1</v>
      </c>
    </row>
    <row r="59" spans="5:13" x14ac:dyDescent="0.25">
      <c r="E59" s="68">
        <v>3</v>
      </c>
      <c r="F59" s="68">
        <v>5</v>
      </c>
      <c r="K59" s="68">
        <v>4</v>
      </c>
      <c r="L59" s="68">
        <v>6</v>
      </c>
      <c r="M59" s="68">
        <v>1</v>
      </c>
    </row>
    <row r="60" spans="5:13" x14ac:dyDescent="0.25">
      <c r="E60" s="68">
        <v>4</v>
      </c>
      <c r="F60" s="68">
        <v>5</v>
      </c>
      <c r="K60" s="68">
        <v>4</v>
      </c>
      <c r="L60" s="68">
        <v>6</v>
      </c>
      <c r="M60" s="68">
        <v>2</v>
      </c>
    </row>
    <row r="61" spans="5:13" x14ac:dyDescent="0.25">
      <c r="E61" s="68">
        <v>3</v>
      </c>
      <c r="F61" s="68">
        <v>5</v>
      </c>
      <c r="K61" s="68">
        <v>4</v>
      </c>
      <c r="L61" s="68">
        <v>6</v>
      </c>
      <c r="M61" s="68">
        <v>2</v>
      </c>
    </row>
    <row r="62" spans="5:13" x14ac:dyDescent="0.25">
      <c r="E62" s="68">
        <v>4</v>
      </c>
      <c r="F62" s="68">
        <v>5</v>
      </c>
      <c r="K62" s="68">
        <v>4</v>
      </c>
      <c r="L62" s="68">
        <v>6</v>
      </c>
      <c r="M62" s="68">
        <v>2</v>
      </c>
    </row>
    <row r="63" spans="5:13" x14ac:dyDescent="0.25">
      <c r="E63" s="68">
        <v>4</v>
      </c>
      <c r="F63" s="68">
        <v>5</v>
      </c>
      <c r="K63" s="68">
        <v>4</v>
      </c>
      <c r="L63" s="68">
        <v>6</v>
      </c>
      <c r="M63" s="68">
        <v>2</v>
      </c>
    </row>
    <row r="64" spans="5:13" x14ac:dyDescent="0.25">
      <c r="E64" s="68">
        <v>3</v>
      </c>
      <c r="F64" s="68">
        <v>5</v>
      </c>
      <c r="K64" s="68">
        <v>4</v>
      </c>
      <c r="L64" s="68">
        <v>6</v>
      </c>
      <c r="M64" s="68">
        <v>2</v>
      </c>
    </row>
    <row r="65" spans="5:13" x14ac:dyDescent="0.25">
      <c r="E65" s="68">
        <v>3</v>
      </c>
      <c r="F65" s="68">
        <v>5</v>
      </c>
      <c r="K65" s="68">
        <v>4</v>
      </c>
      <c r="L65" s="68">
        <v>6</v>
      </c>
      <c r="M65" s="68">
        <v>2</v>
      </c>
    </row>
    <row r="66" spans="5:13" x14ac:dyDescent="0.25">
      <c r="E66" s="68">
        <v>4</v>
      </c>
      <c r="F66" s="68">
        <v>5</v>
      </c>
      <c r="K66" s="68">
        <v>4</v>
      </c>
      <c r="L66" s="68">
        <v>6</v>
      </c>
      <c r="M66" s="68">
        <v>2</v>
      </c>
    </row>
    <row r="67" spans="5:13" x14ac:dyDescent="0.25">
      <c r="E67" s="68">
        <v>3</v>
      </c>
      <c r="F67" s="68">
        <v>5</v>
      </c>
      <c r="K67" s="68">
        <v>4</v>
      </c>
      <c r="L67" s="68">
        <v>6</v>
      </c>
      <c r="M67" s="68">
        <v>1</v>
      </c>
    </row>
    <row r="68" spans="5:13" x14ac:dyDescent="0.25">
      <c r="E68" s="68">
        <v>3</v>
      </c>
      <c r="F68" s="68">
        <v>5</v>
      </c>
      <c r="K68" s="68">
        <v>4</v>
      </c>
      <c r="L68" s="68">
        <v>6</v>
      </c>
      <c r="M68" s="68">
        <v>2</v>
      </c>
    </row>
    <row r="69" spans="5:13" x14ac:dyDescent="0.25">
      <c r="E69" s="68">
        <v>3</v>
      </c>
      <c r="F69" s="68">
        <v>5</v>
      </c>
      <c r="K69" s="68">
        <v>4</v>
      </c>
      <c r="L69" s="68">
        <v>6</v>
      </c>
      <c r="M69" s="68">
        <v>2</v>
      </c>
    </row>
    <row r="70" spans="5:13" x14ac:dyDescent="0.25">
      <c r="E70" s="68">
        <v>4</v>
      </c>
      <c r="F70" s="68">
        <v>5</v>
      </c>
      <c r="K70" s="68">
        <v>4</v>
      </c>
      <c r="L70" s="68">
        <v>6</v>
      </c>
      <c r="M70" s="68">
        <v>1</v>
      </c>
    </row>
    <row r="71" spans="5:13" x14ac:dyDescent="0.25">
      <c r="E71" s="68">
        <v>3</v>
      </c>
      <c r="F71" s="68">
        <v>5</v>
      </c>
      <c r="K71" s="68">
        <v>4</v>
      </c>
      <c r="L71" s="68">
        <v>6</v>
      </c>
      <c r="M71" s="68">
        <v>2</v>
      </c>
    </row>
    <row r="72" spans="5:13" x14ac:dyDescent="0.25">
      <c r="E72" s="68">
        <v>3</v>
      </c>
      <c r="F72" s="68">
        <v>5</v>
      </c>
      <c r="K72" s="68">
        <v>4</v>
      </c>
      <c r="L72" s="68">
        <v>6</v>
      </c>
      <c r="M72" s="68">
        <v>2</v>
      </c>
    </row>
    <row r="73" spans="5:13" x14ac:dyDescent="0.25">
      <c r="E73" s="68">
        <v>4</v>
      </c>
      <c r="F73" s="68">
        <v>5</v>
      </c>
      <c r="K73" s="68">
        <v>4</v>
      </c>
      <c r="L73" s="68">
        <v>6</v>
      </c>
      <c r="M73" s="68">
        <v>2</v>
      </c>
    </row>
    <row r="74" spans="5:13" x14ac:dyDescent="0.25">
      <c r="E74" s="68">
        <v>3</v>
      </c>
      <c r="F74" s="68">
        <v>5</v>
      </c>
      <c r="K74" s="68">
        <v>4</v>
      </c>
      <c r="L74" s="68">
        <v>6</v>
      </c>
      <c r="M74" s="68">
        <v>2</v>
      </c>
    </row>
    <row r="75" spans="5:13" x14ac:dyDescent="0.25">
      <c r="E75" s="68">
        <v>3</v>
      </c>
      <c r="F75" s="68">
        <v>5</v>
      </c>
      <c r="K75" s="68">
        <v>4</v>
      </c>
      <c r="L75" s="68">
        <v>6</v>
      </c>
      <c r="M75" s="68">
        <v>2</v>
      </c>
    </row>
    <row r="76" spans="5:13" x14ac:dyDescent="0.25">
      <c r="E76" s="68">
        <v>3</v>
      </c>
      <c r="F76" s="68">
        <v>5</v>
      </c>
      <c r="K76" s="68">
        <v>4</v>
      </c>
      <c r="L76" s="68">
        <v>6</v>
      </c>
      <c r="M76" s="68">
        <v>1</v>
      </c>
    </row>
    <row r="77" spans="5:13" x14ac:dyDescent="0.25">
      <c r="K77" s="68">
        <v>4</v>
      </c>
      <c r="L77" s="68">
        <v>6</v>
      </c>
      <c r="M77" s="68">
        <v>2</v>
      </c>
    </row>
    <row r="78" spans="5:13" x14ac:dyDescent="0.25">
      <c r="K78" s="68">
        <v>4</v>
      </c>
      <c r="L78" s="68">
        <v>6</v>
      </c>
      <c r="M78" s="68">
        <v>2</v>
      </c>
    </row>
    <row r="79" spans="5:13" x14ac:dyDescent="0.25">
      <c r="K79" s="68">
        <v>4</v>
      </c>
      <c r="L79" s="68">
        <v>6</v>
      </c>
      <c r="M79" s="68">
        <v>2</v>
      </c>
    </row>
    <row r="80" spans="5:13" x14ac:dyDescent="0.25">
      <c r="K80" s="68">
        <v>4</v>
      </c>
      <c r="L80" s="68">
        <v>6</v>
      </c>
      <c r="M80" s="68">
        <v>1</v>
      </c>
    </row>
    <row r="81" spans="11:13" x14ac:dyDescent="0.25">
      <c r="K81" s="68">
        <v>4</v>
      </c>
      <c r="L81" s="68">
        <v>6</v>
      </c>
      <c r="M81" s="68">
        <v>2</v>
      </c>
    </row>
    <row r="82" spans="11:13" x14ac:dyDescent="0.25">
      <c r="K82" s="68">
        <v>4</v>
      </c>
      <c r="L82" s="68">
        <v>6</v>
      </c>
      <c r="M82" s="68">
        <v>2</v>
      </c>
    </row>
    <row r="83" spans="11:13" x14ac:dyDescent="0.25">
      <c r="K83" s="68">
        <v>4</v>
      </c>
      <c r="L83" s="68">
        <v>6</v>
      </c>
      <c r="M83" s="68">
        <v>2</v>
      </c>
    </row>
    <row r="84" spans="11:13" x14ac:dyDescent="0.25">
      <c r="K84" s="68">
        <v>4</v>
      </c>
      <c r="L84" s="68">
        <v>6</v>
      </c>
      <c r="M84" s="68">
        <v>2</v>
      </c>
    </row>
    <row r="85" spans="11:13" x14ac:dyDescent="0.25">
      <c r="K85" s="68">
        <v>4</v>
      </c>
      <c r="L85" s="68">
        <v>6</v>
      </c>
      <c r="M85" s="68">
        <v>2</v>
      </c>
    </row>
    <row r="86" spans="11:13" x14ac:dyDescent="0.25">
      <c r="K86" s="68">
        <v>4</v>
      </c>
      <c r="L86" s="68">
        <v>6</v>
      </c>
      <c r="M86" s="68">
        <v>2</v>
      </c>
    </row>
    <row r="87" spans="11:13" x14ac:dyDescent="0.25">
      <c r="K87" s="68">
        <v>4</v>
      </c>
      <c r="L87" s="68">
        <v>6</v>
      </c>
      <c r="M87" s="68">
        <v>2</v>
      </c>
    </row>
    <row r="88" spans="11:13" x14ac:dyDescent="0.25">
      <c r="K88" s="68">
        <v>4</v>
      </c>
      <c r="L88" s="68">
        <v>6</v>
      </c>
      <c r="M88" s="68">
        <v>2</v>
      </c>
    </row>
    <row r="89" spans="11:13" x14ac:dyDescent="0.25">
      <c r="K89" s="68">
        <v>4</v>
      </c>
      <c r="L89" s="68">
        <v>6</v>
      </c>
      <c r="M89" s="68">
        <v>2</v>
      </c>
    </row>
    <row r="90" spans="11:13" x14ac:dyDescent="0.25">
      <c r="K90" s="68">
        <v>4</v>
      </c>
      <c r="L90" s="68">
        <v>6</v>
      </c>
      <c r="M90" s="68">
        <v>2</v>
      </c>
    </row>
    <row r="91" spans="11:13" x14ac:dyDescent="0.25">
      <c r="K91" s="68">
        <v>4</v>
      </c>
      <c r="L91" s="68">
        <v>6</v>
      </c>
      <c r="M91" s="68">
        <v>2</v>
      </c>
    </row>
    <row r="92" spans="11:13" x14ac:dyDescent="0.25">
      <c r="K92" s="68">
        <v>4</v>
      </c>
      <c r="L92" s="68">
        <v>6</v>
      </c>
      <c r="M92" s="68">
        <v>2</v>
      </c>
    </row>
    <row r="93" spans="11:13" x14ac:dyDescent="0.25">
      <c r="K93" s="68">
        <v>4</v>
      </c>
      <c r="L93" s="68">
        <v>6</v>
      </c>
      <c r="M93" s="68">
        <v>2</v>
      </c>
    </row>
    <row r="94" spans="11:13" x14ac:dyDescent="0.25">
      <c r="K94" s="68">
        <v>4</v>
      </c>
      <c r="L94" s="68">
        <v>6</v>
      </c>
      <c r="M94" s="68">
        <v>2</v>
      </c>
    </row>
    <row r="95" spans="11:13" x14ac:dyDescent="0.25">
      <c r="K95" s="68">
        <v>4</v>
      </c>
      <c r="L95" s="68">
        <v>6</v>
      </c>
      <c r="M95" s="68">
        <v>2</v>
      </c>
    </row>
    <row r="96" spans="11:13" x14ac:dyDescent="0.25">
      <c r="K96" s="68">
        <v>4</v>
      </c>
      <c r="L96" s="68">
        <v>6</v>
      </c>
      <c r="M96" s="68">
        <v>2</v>
      </c>
    </row>
    <row r="97" spans="11:13" x14ac:dyDescent="0.25">
      <c r="K97" s="68">
        <v>4</v>
      </c>
      <c r="L97" s="68">
        <v>6</v>
      </c>
      <c r="M97" s="68">
        <v>2</v>
      </c>
    </row>
    <row r="98" spans="11:13" x14ac:dyDescent="0.25">
      <c r="K98" s="68">
        <v>4</v>
      </c>
      <c r="L98" s="68">
        <v>6</v>
      </c>
      <c r="M98" s="68">
        <v>2</v>
      </c>
    </row>
    <row r="99" spans="11:13" x14ac:dyDescent="0.25">
      <c r="K99" s="68">
        <v>4</v>
      </c>
      <c r="L99" s="68">
        <v>6</v>
      </c>
      <c r="M99" s="68">
        <v>2</v>
      </c>
    </row>
    <row r="100" spans="11:13" x14ac:dyDescent="0.25">
      <c r="K100" s="68">
        <v>4</v>
      </c>
      <c r="L100" s="68">
        <v>6</v>
      </c>
      <c r="M100" s="68">
        <v>2</v>
      </c>
    </row>
    <row r="101" spans="11:13" x14ac:dyDescent="0.25">
      <c r="K101" s="68">
        <v>4</v>
      </c>
      <c r="L101" s="68">
        <v>6</v>
      </c>
      <c r="M101" s="68">
        <v>2</v>
      </c>
    </row>
    <row r="102" spans="11:13" x14ac:dyDescent="0.25">
      <c r="K102" s="68">
        <v>4</v>
      </c>
      <c r="L102" s="68">
        <v>6</v>
      </c>
      <c r="M102" s="68">
        <v>2</v>
      </c>
    </row>
    <row r="103" spans="11:13" x14ac:dyDescent="0.25">
      <c r="K103" s="68">
        <v>4</v>
      </c>
      <c r="L103" s="68">
        <v>6</v>
      </c>
      <c r="M103" s="68">
        <v>1</v>
      </c>
    </row>
    <row r="104" spans="11:13" x14ac:dyDescent="0.25">
      <c r="K104" s="68">
        <v>4</v>
      </c>
      <c r="L104" s="68">
        <v>6</v>
      </c>
      <c r="M104" s="68">
        <v>2</v>
      </c>
    </row>
    <row r="105" spans="11:13" x14ac:dyDescent="0.25">
      <c r="K105" s="68">
        <v>4</v>
      </c>
      <c r="L105" s="68">
        <v>6</v>
      </c>
      <c r="M105" s="68">
        <v>2</v>
      </c>
    </row>
    <row r="106" spans="11:13" x14ac:dyDescent="0.25">
      <c r="K106" s="68">
        <v>4</v>
      </c>
      <c r="L106" s="68">
        <v>6</v>
      </c>
      <c r="M106" s="68">
        <v>1</v>
      </c>
    </row>
    <row r="107" spans="11:13" x14ac:dyDescent="0.25">
      <c r="K107" s="68">
        <v>4</v>
      </c>
      <c r="L107" s="68">
        <v>6</v>
      </c>
      <c r="M107" s="68">
        <v>2</v>
      </c>
    </row>
    <row r="108" spans="11:13" x14ac:dyDescent="0.25">
      <c r="K108" s="68">
        <v>4</v>
      </c>
      <c r="L108" s="68">
        <v>6</v>
      </c>
      <c r="M108" s="68">
        <v>2</v>
      </c>
    </row>
    <row r="109" spans="11:13" x14ac:dyDescent="0.25">
      <c r="K109" s="68">
        <v>4</v>
      </c>
      <c r="L109" s="68">
        <v>6</v>
      </c>
      <c r="M109" s="68">
        <v>2</v>
      </c>
    </row>
    <row r="110" spans="11:13" x14ac:dyDescent="0.25">
      <c r="K110" s="68">
        <v>4</v>
      </c>
      <c r="L110" s="68">
        <v>6</v>
      </c>
      <c r="M110" s="68">
        <v>2</v>
      </c>
    </row>
    <row r="111" spans="11:13" x14ac:dyDescent="0.25">
      <c r="K111" s="68">
        <v>4</v>
      </c>
      <c r="L111" s="68">
        <v>6</v>
      </c>
      <c r="M111" s="68">
        <v>2</v>
      </c>
    </row>
    <row r="112" spans="11:13" x14ac:dyDescent="0.25">
      <c r="K112" s="68">
        <v>4</v>
      </c>
      <c r="L112" s="68">
        <v>6</v>
      </c>
      <c r="M112" s="68">
        <v>2</v>
      </c>
    </row>
    <row r="113" spans="11:15" x14ac:dyDescent="0.25">
      <c r="K113" s="68">
        <v>4</v>
      </c>
      <c r="L113" s="68">
        <v>6</v>
      </c>
      <c r="M113" s="68">
        <v>2</v>
      </c>
    </row>
    <row r="114" spans="11:15" x14ac:dyDescent="0.25">
      <c r="K114" s="68">
        <v>4</v>
      </c>
      <c r="L114" s="68">
        <v>6</v>
      </c>
      <c r="M114" s="68">
        <v>2</v>
      </c>
    </row>
    <row r="115" spans="11:15" x14ac:dyDescent="0.25">
      <c r="K115" s="68">
        <v>4</v>
      </c>
      <c r="L115" s="68">
        <v>6</v>
      </c>
      <c r="M115" s="68">
        <v>2</v>
      </c>
    </row>
    <row r="116" spans="11:15" x14ac:dyDescent="0.25">
      <c r="K116" s="68">
        <v>4</v>
      </c>
      <c r="L116" s="68">
        <v>6</v>
      </c>
      <c r="M116" s="68">
        <v>2</v>
      </c>
    </row>
    <row r="117" spans="11:15" x14ac:dyDescent="0.25">
      <c r="K117" s="68">
        <v>4</v>
      </c>
      <c r="L117" s="68">
        <v>6</v>
      </c>
      <c r="M117" s="68">
        <v>2</v>
      </c>
    </row>
    <row r="118" spans="11:15" x14ac:dyDescent="0.25">
      <c r="K118" s="68">
        <v>4</v>
      </c>
      <c r="L118" s="68">
        <v>6</v>
      </c>
      <c r="M118" s="68">
        <v>2</v>
      </c>
    </row>
    <row r="119" spans="11:15" x14ac:dyDescent="0.25">
      <c r="K119" s="68">
        <v>4</v>
      </c>
      <c r="L119" s="68">
        <v>6</v>
      </c>
      <c r="M119" s="68">
        <v>2</v>
      </c>
    </row>
    <row r="120" spans="11:15" x14ac:dyDescent="0.25">
      <c r="K120" s="68">
        <v>4</v>
      </c>
      <c r="L120" s="68">
        <v>6</v>
      </c>
      <c r="M120" s="68">
        <v>2</v>
      </c>
    </row>
    <row r="121" spans="11:15" x14ac:dyDescent="0.25">
      <c r="K121" s="68">
        <v>4</v>
      </c>
      <c r="L121" s="68">
        <v>6</v>
      </c>
      <c r="M121" s="68">
        <v>2</v>
      </c>
    </row>
    <row r="122" spans="11:15" x14ac:dyDescent="0.25">
      <c r="K122" s="68">
        <v>4</v>
      </c>
      <c r="L122" s="68">
        <v>6</v>
      </c>
      <c r="M122" s="68">
        <v>2</v>
      </c>
    </row>
    <row r="123" spans="11:15" x14ac:dyDescent="0.25">
      <c r="K123" s="68">
        <v>4</v>
      </c>
      <c r="L123" s="68">
        <v>6</v>
      </c>
      <c r="M123" s="68">
        <v>2</v>
      </c>
    </row>
    <row r="124" spans="11:15" x14ac:dyDescent="0.25">
      <c r="K124" s="68">
        <v>4</v>
      </c>
      <c r="L124" s="68">
        <v>6</v>
      </c>
      <c r="M124" s="68">
        <v>2</v>
      </c>
    </row>
    <row r="125" spans="11:15" x14ac:dyDescent="0.25">
      <c r="K125" s="68">
        <v>4</v>
      </c>
      <c r="L125" s="68">
        <v>6</v>
      </c>
      <c r="M125" s="68">
        <v>2</v>
      </c>
      <c r="O125" s="17"/>
    </row>
    <row r="126" spans="11:15" x14ac:dyDescent="0.25">
      <c r="K126" s="68">
        <v>4</v>
      </c>
      <c r="L126" s="68">
        <v>6</v>
      </c>
      <c r="M126" s="68">
        <v>2</v>
      </c>
      <c r="O126" s="17"/>
    </row>
    <row r="127" spans="11:15" x14ac:dyDescent="0.25">
      <c r="K127" s="68">
        <v>4</v>
      </c>
      <c r="L127" s="68">
        <v>6</v>
      </c>
      <c r="M127" s="68">
        <v>2</v>
      </c>
      <c r="O127" s="17"/>
    </row>
    <row r="128" spans="11:15" x14ac:dyDescent="0.25">
      <c r="K128" s="68">
        <v>4</v>
      </c>
      <c r="L128" s="68">
        <v>6</v>
      </c>
      <c r="M128" s="68">
        <v>2</v>
      </c>
      <c r="O128" s="17"/>
    </row>
    <row r="129" spans="11:15" x14ac:dyDescent="0.25">
      <c r="K129" s="68">
        <v>4</v>
      </c>
      <c r="L129" s="68">
        <v>6</v>
      </c>
      <c r="M129" s="68">
        <v>2</v>
      </c>
      <c r="O129" s="17"/>
    </row>
    <row r="130" spans="11:15" x14ac:dyDescent="0.25">
      <c r="K130" s="68">
        <v>4</v>
      </c>
      <c r="L130" s="68">
        <v>6</v>
      </c>
      <c r="M130" s="68">
        <v>2</v>
      </c>
    </row>
    <row r="131" spans="11:15" x14ac:dyDescent="0.25">
      <c r="K131" s="68">
        <v>4</v>
      </c>
      <c r="L131" s="68">
        <v>6</v>
      </c>
      <c r="M131" s="68">
        <v>2</v>
      </c>
    </row>
    <row r="132" spans="11:15" x14ac:dyDescent="0.25">
      <c r="K132" s="68">
        <v>4</v>
      </c>
      <c r="L132" s="68">
        <v>6</v>
      </c>
      <c r="M132" s="68">
        <v>2</v>
      </c>
    </row>
    <row r="133" spans="11:15" x14ac:dyDescent="0.25">
      <c r="K133" s="68">
        <v>4</v>
      </c>
      <c r="L133" s="68">
        <v>6</v>
      </c>
      <c r="M133" s="68">
        <v>2</v>
      </c>
    </row>
    <row r="134" spans="11:15" x14ac:dyDescent="0.25">
      <c r="K134" s="68">
        <v>4</v>
      </c>
      <c r="L134" s="68">
        <v>6</v>
      </c>
      <c r="M134" s="68">
        <v>2</v>
      </c>
    </row>
    <row r="135" spans="11:15" x14ac:dyDescent="0.25">
      <c r="K135" s="68">
        <v>4</v>
      </c>
      <c r="L135" s="68">
        <v>6</v>
      </c>
      <c r="M135" s="68">
        <v>1</v>
      </c>
    </row>
    <row r="136" spans="11:15" x14ac:dyDescent="0.25">
      <c r="K136" s="68">
        <v>4</v>
      </c>
      <c r="L136" s="68">
        <v>6</v>
      </c>
      <c r="M136" s="68">
        <v>2</v>
      </c>
    </row>
    <row r="137" spans="11:15" x14ac:dyDescent="0.25">
      <c r="K137" s="68">
        <v>4</v>
      </c>
      <c r="L137" s="68">
        <v>6</v>
      </c>
      <c r="M137" s="68">
        <v>2</v>
      </c>
    </row>
    <row r="138" spans="11:15" x14ac:dyDescent="0.25">
      <c r="K138" s="68">
        <v>4</v>
      </c>
      <c r="L138" s="68">
        <v>6</v>
      </c>
      <c r="M138" s="68">
        <v>2</v>
      </c>
    </row>
    <row r="139" spans="11:15" x14ac:dyDescent="0.25">
      <c r="K139" s="68">
        <v>4</v>
      </c>
      <c r="L139" s="68">
        <v>6</v>
      </c>
      <c r="M139" s="68">
        <v>2</v>
      </c>
    </row>
    <row r="140" spans="11:15" x14ac:dyDescent="0.25">
      <c r="K140" s="68">
        <v>4</v>
      </c>
      <c r="L140" s="68">
        <v>6</v>
      </c>
      <c r="M140" s="68">
        <v>2</v>
      </c>
    </row>
    <row r="141" spans="11:15" x14ac:dyDescent="0.25">
      <c r="K141" s="68">
        <v>4</v>
      </c>
      <c r="L141" s="68">
        <v>6</v>
      </c>
      <c r="M141" s="68">
        <v>2</v>
      </c>
    </row>
    <row r="142" spans="11:15" ht="15" customHeight="1" x14ac:dyDescent="0.25">
      <c r="K142" s="68">
        <v>4</v>
      </c>
      <c r="L142" s="68">
        <v>6</v>
      </c>
      <c r="M142" s="68">
        <v>2</v>
      </c>
    </row>
    <row r="143" spans="11:15" ht="15" customHeight="1" x14ac:dyDescent="0.25">
      <c r="K143" s="68">
        <v>4</v>
      </c>
      <c r="L143" s="68">
        <v>6</v>
      </c>
      <c r="M143" s="68">
        <v>2</v>
      </c>
    </row>
    <row r="144" spans="11:15" x14ac:dyDescent="0.25">
      <c r="K144" s="68">
        <v>4</v>
      </c>
      <c r="L144" s="68">
        <v>6</v>
      </c>
      <c r="M144" s="68">
        <v>2</v>
      </c>
    </row>
    <row r="145" spans="11:13" x14ac:dyDescent="0.25">
      <c r="K145" s="68">
        <v>4</v>
      </c>
      <c r="L145" s="68">
        <v>6</v>
      </c>
      <c r="M145" s="68">
        <v>1</v>
      </c>
    </row>
    <row r="146" spans="11:13" x14ac:dyDescent="0.25">
      <c r="K146" s="68">
        <v>4</v>
      </c>
      <c r="L146" s="68">
        <v>6</v>
      </c>
      <c r="M146" s="68">
        <v>2</v>
      </c>
    </row>
    <row r="147" spans="11:13" x14ac:dyDescent="0.25">
      <c r="K147" s="68">
        <v>4</v>
      </c>
      <c r="L147" s="68">
        <v>6</v>
      </c>
      <c r="M147" s="68">
        <v>2</v>
      </c>
    </row>
    <row r="148" spans="11:13" x14ac:dyDescent="0.25">
      <c r="K148" s="68">
        <v>4</v>
      </c>
      <c r="L148" s="68">
        <v>6</v>
      </c>
      <c r="M148" s="68">
        <v>2</v>
      </c>
    </row>
    <row r="149" spans="11:13" x14ac:dyDescent="0.25">
      <c r="K149" s="68">
        <v>4</v>
      </c>
      <c r="L149" s="68">
        <v>6</v>
      </c>
      <c r="M149" s="68">
        <v>1</v>
      </c>
    </row>
    <row r="150" spans="11:13" x14ac:dyDescent="0.25">
      <c r="K150" s="68">
        <v>4</v>
      </c>
      <c r="L150" s="68">
        <v>6</v>
      </c>
      <c r="M150" s="68">
        <v>2</v>
      </c>
    </row>
    <row r="151" spans="11:13" x14ac:dyDescent="0.25">
      <c r="K151" s="68">
        <v>4</v>
      </c>
      <c r="L151" s="68">
        <v>6</v>
      </c>
      <c r="M151" s="68">
        <v>2</v>
      </c>
    </row>
    <row r="152" spans="11:13" x14ac:dyDescent="0.25">
      <c r="K152" s="68">
        <v>4</v>
      </c>
      <c r="L152" s="68">
        <v>6</v>
      </c>
      <c r="M152" s="68">
        <v>2</v>
      </c>
    </row>
    <row r="153" spans="11:13" x14ac:dyDescent="0.25">
      <c r="K153" s="68">
        <v>4</v>
      </c>
      <c r="L153" s="68">
        <v>6</v>
      </c>
      <c r="M153" s="68">
        <v>2</v>
      </c>
    </row>
    <row r="154" spans="11:13" x14ac:dyDescent="0.25">
      <c r="K154" s="68">
        <v>4</v>
      </c>
      <c r="L154" s="68">
        <v>6</v>
      </c>
      <c r="M154" s="68">
        <v>2</v>
      </c>
    </row>
    <row r="155" spans="11:13" x14ac:dyDescent="0.25">
      <c r="K155" s="68">
        <v>4</v>
      </c>
      <c r="L155" s="68">
        <v>6</v>
      </c>
      <c r="M155" s="68">
        <v>2</v>
      </c>
    </row>
    <row r="156" spans="11:13" x14ac:dyDescent="0.25">
      <c r="K156" s="68">
        <v>4</v>
      </c>
      <c r="L156" s="68">
        <v>6</v>
      </c>
      <c r="M156" s="68">
        <v>2</v>
      </c>
    </row>
    <row r="157" spans="11:13" x14ac:dyDescent="0.25">
      <c r="K157" s="68">
        <v>4</v>
      </c>
      <c r="L157" s="68">
        <v>6</v>
      </c>
      <c r="M157" s="68">
        <v>2</v>
      </c>
    </row>
    <row r="158" spans="11:13" x14ac:dyDescent="0.25">
      <c r="K158" s="68">
        <v>4</v>
      </c>
      <c r="L158" s="68">
        <v>6</v>
      </c>
      <c r="M158" s="68">
        <v>1</v>
      </c>
    </row>
    <row r="159" spans="11:13" x14ac:dyDescent="0.25">
      <c r="K159" s="68">
        <v>4</v>
      </c>
      <c r="L159" s="68">
        <v>6</v>
      </c>
      <c r="M159" s="68">
        <v>2</v>
      </c>
    </row>
    <row r="160" spans="11:13" x14ac:dyDescent="0.25">
      <c r="K160" s="68">
        <v>4</v>
      </c>
      <c r="L160" s="68">
        <v>6</v>
      </c>
      <c r="M160" s="68">
        <v>2</v>
      </c>
    </row>
    <row r="161" spans="11:13" x14ac:dyDescent="0.25">
      <c r="K161" s="68">
        <v>4</v>
      </c>
      <c r="L161" s="68">
        <v>6</v>
      </c>
      <c r="M161" s="68">
        <v>2</v>
      </c>
    </row>
    <row r="162" spans="11:13" x14ac:dyDescent="0.25">
      <c r="K162" s="68">
        <v>4</v>
      </c>
      <c r="L162" s="68">
        <v>6</v>
      </c>
      <c r="M162" s="68">
        <v>2</v>
      </c>
    </row>
    <row r="163" spans="11:13" x14ac:dyDescent="0.25">
      <c r="K163" s="68">
        <v>4</v>
      </c>
      <c r="L163" s="68">
        <v>6</v>
      </c>
      <c r="M163" s="68">
        <v>2</v>
      </c>
    </row>
    <row r="164" spans="11:13" x14ac:dyDescent="0.25">
      <c r="K164" s="68">
        <v>4</v>
      </c>
      <c r="L164" s="68">
        <v>6</v>
      </c>
      <c r="M164" s="68">
        <v>2</v>
      </c>
    </row>
    <row r="165" spans="11:13" x14ac:dyDescent="0.25">
      <c r="K165" s="68">
        <v>4</v>
      </c>
      <c r="L165" s="68">
        <v>6</v>
      </c>
      <c r="M165" s="68">
        <v>2</v>
      </c>
    </row>
    <row r="166" spans="11:13" x14ac:dyDescent="0.25">
      <c r="K166" s="68">
        <v>4</v>
      </c>
      <c r="L166" s="68">
        <v>6</v>
      </c>
      <c r="M166" s="68">
        <v>2</v>
      </c>
    </row>
    <row r="167" spans="11:13" x14ac:dyDescent="0.25">
      <c r="K167" s="68">
        <v>4</v>
      </c>
      <c r="L167" s="68">
        <v>6</v>
      </c>
      <c r="M167" s="68">
        <v>2</v>
      </c>
    </row>
    <row r="168" spans="11:13" x14ac:dyDescent="0.25">
      <c r="K168" s="68">
        <v>4</v>
      </c>
      <c r="L168" s="68">
        <v>6</v>
      </c>
      <c r="M168" s="68">
        <v>2</v>
      </c>
    </row>
    <row r="169" spans="11:13" x14ac:dyDescent="0.25">
      <c r="K169" s="68">
        <v>4</v>
      </c>
      <c r="L169" s="68">
        <v>6</v>
      </c>
      <c r="M169" s="68">
        <v>2</v>
      </c>
    </row>
    <row r="170" spans="11:13" x14ac:dyDescent="0.25">
      <c r="K170" s="68">
        <v>4</v>
      </c>
      <c r="L170" s="68">
        <v>6</v>
      </c>
      <c r="M170" s="68">
        <v>2</v>
      </c>
    </row>
    <row r="171" spans="11:13" x14ac:dyDescent="0.25">
      <c r="K171" s="68">
        <v>4</v>
      </c>
      <c r="L171" s="68">
        <v>6</v>
      </c>
      <c r="M171" s="68">
        <v>2</v>
      </c>
    </row>
    <row r="172" spans="11:13" x14ac:dyDescent="0.25">
      <c r="K172" s="68">
        <v>4</v>
      </c>
      <c r="L172" s="68">
        <v>6</v>
      </c>
      <c r="M172" s="68">
        <v>2</v>
      </c>
    </row>
    <row r="173" spans="11:13" x14ac:dyDescent="0.25">
      <c r="K173" s="68">
        <v>4</v>
      </c>
      <c r="L173" s="68">
        <v>6</v>
      </c>
      <c r="M173" s="68">
        <v>2</v>
      </c>
    </row>
    <row r="174" spans="11:13" x14ac:dyDescent="0.25">
      <c r="K174" s="68">
        <v>4</v>
      </c>
      <c r="L174" s="68">
        <v>6</v>
      </c>
      <c r="M174" s="68">
        <v>2</v>
      </c>
    </row>
    <row r="175" spans="11:13" x14ac:dyDescent="0.25">
      <c r="K175" s="68">
        <v>4</v>
      </c>
      <c r="L175" s="68">
        <v>6</v>
      </c>
      <c r="M175" s="68">
        <v>2</v>
      </c>
    </row>
    <row r="176" spans="11:13" x14ac:dyDescent="0.25">
      <c r="K176" s="68">
        <v>4</v>
      </c>
      <c r="L176" s="68">
        <v>6</v>
      </c>
      <c r="M176" s="68">
        <v>2</v>
      </c>
    </row>
    <row r="177" spans="11:13" x14ac:dyDescent="0.25">
      <c r="K177" s="68">
        <v>4</v>
      </c>
      <c r="L177" s="68">
        <v>6</v>
      </c>
      <c r="M177" s="68">
        <v>2</v>
      </c>
    </row>
    <row r="178" spans="11:13" x14ac:dyDescent="0.25">
      <c r="K178" s="68">
        <v>4</v>
      </c>
      <c r="L178" s="68">
        <v>6</v>
      </c>
      <c r="M178" s="68">
        <v>2</v>
      </c>
    </row>
    <row r="179" spans="11:13" x14ac:dyDescent="0.25">
      <c r="K179" s="68">
        <v>4</v>
      </c>
      <c r="L179" s="68">
        <v>6</v>
      </c>
      <c r="M179" s="68">
        <v>1</v>
      </c>
    </row>
    <row r="180" spans="11:13" x14ac:dyDescent="0.25">
      <c r="K180" s="68">
        <v>4</v>
      </c>
      <c r="L180" s="68">
        <v>6</v>
      </c>
      <c r="M180" s="68">
        <v>2</v>
      </c>
    </row>
    <row r="181" spans="11:13" x14ac:dyDescent="0.25">
      <c r="K181" s="68">
        <v>4</v>
      </c>
      <c r="L181" s="68">
        <v>6</v>
      </c>
      <c r="M181" s="68">
        <v>2</v>
      </c>
    </row>
    <row r="182" spans="11:13" x14ac:dyDescent="0.25">
      <c r="K182" s="68">
        <v>4</v>
      </c>
      <c r="L182" s="68">
        <v>6</v>
      </c>
      <c r="M182" s="68">
        <v>2</v>
      </c>
    </row>
    <row r="183" spans="11:13" x14ac:dyDescent="0.25">
      <c r="K183" s="68">
        <v>4</v>
      </c>
      <c r="L183" s="68">
        <v>6</v>
      </c>
      <c r="M183" s="68">
        <v>2</v>
      </c>
    </row>
    <row r="184" spans="11:13" x14ac:dyDescent="0.25">
      <c r="K184" s="68">
        <v>4</v>
      </c>
      <c r="L184" s="68">
        <v>6</v>
      </c>
      <c r="M184" s="68">
        <v>2</v>
      </c>
    </row>
    <row r="185" spans="11:13" x14ac:dyDescent="0.25">
      <c r="K185" s="68">
        <v>4</v>
      </c>
      <c r="L185" s="68">
        <v>6</v>
      </c>
      <c r="M185" s="68">
        <v>2</v>
      </c>
    </row>
    <row r="186" spans="11:13" x14ac:dyDescent="0.25">
      <c r="K186" s="68">
        <v>4</v>
      </c>
      <c r="L186" s="68">
        <v>6</v>
      </c>
      <c r="M186" s="68">
        <v>2</v>
      </c>
    </row>
    <row r="187" spans="11:13" x14ac:dyDescent="0.25">
      <c r="K187" s="68">
        <v>4</v>
      </c>
      <c r="L187" s="68">
        <v>6</v>
      </c>
      <c r="M187" s="68">
        <v>2</v>
      </c>
    </row>
    <row r="188" spans="11:13" x14ac:dyDescent="0.25">
      <c r="K188" s="68">
        <v>4</v>
      </c>
      <c r="L188" s="68">
        <v>6</v>
      </c>
      <c r="M188" s="68">
        <v>2</v>
      </c>
    </row>
    <row r="189" spans="11:13" x14ac:dyDescent="0.25">
      <c r="K189" s="68">
        <v>4</v>
      </c>
      <c r="L189" s="68">
        <v>6</v>
      </c>
      <c r="M189" s="68">
        <v>2</v>
      </c>
    </row>
    <row r="190" spans="11:13" x14ac:dyDescent="0.25">
      <c r="K190" s="68">
        <v>4</v>
      </c>
      <c r="L190" s="68">
        <v>6</v>
      </c>
      <c r="M190" s="68">
        <v>2</v>
      </c>
    </row>
    <row r="191" spans="11:13" x14ac:dyDescent="0.25">
      <c r="K191" s="68">
        <v>4</v>
      </c>
      <c r="L191" s="68">
        <v>6</v>
      </c>
      <c r="M191" s="68">
        <v>2</v>
      </c>
    </row>
    <row r="192" spans="11:13" x14ac:dyDescent="0.25">
      <c r="K192" s="68">
        <v>4</v>
      </c>
      <c r="L192" s="68">
        <v>6</v>
      </c>
      <c r="M192" s="68">
        <v>2</v>
      </c>
    </row>
    <row r="193" spans="11:13" x14ac:dyDescent="0.25">
      <c r="K193" s="68">
        <v>4</v>
      </c>
      <c r="L193" s="68">
        <v>6</v>
      </c>
      <c r="M193" s="68">
        <v>2</v>
      </c>
    </row>
    <row r="194" spans="11:13" x14ac:dyDescent="0.25">
      <c r="K194" s="68">
        <v>4</v>
      </c>
      <c r="L194" s="68">
        <v>6</v>
      </c>
      <c r="M194" s="68">
        <v>2</v>
      </c>
    </row>
    <row r="195" spans="11:13" x14ac:dyDescent="0.25">
      <c r="K195" s="68">
        <v>4</v>
      </c>
      <c r="L195" s="68">
        <v>6</v>
      </c>
      <c r="M195" s="68">
        <v>2</v>
      </c>
    </row>
    <row r="196" spans="11:13" x14ac:dyDescent="0.25">
      <c r="K196" s="68">
        <v>4</v>
      </c>
      <c r="L196" s="68">
        <v>6</v>
      </c>
      <c r="M196" s="68">
        <v>1</v>
      </c>
    </row>
    <row r="197" spans="11:13" x14ac:dyDescent="0.25">
      <c r="K197" s="68">
        <v>4</v>
      </c>
      <c r="L197" s="68">
        <v>6</v>
      </c>
      <c r="M197" s="68">
        <v>1</v>
      </c>
    </row>
    <row r="198" spans="11:13" x14ac:dyDescent="0.25">
      <c r="K198" s="68">
        <v>4</v>
      </c>
      <c r="L198" s="68">
        <v>6</v>
      </c>
      <c r="M198" s="68">
        <v>2</v>
      </c>
    </row>
    <row r="199" spans="11:13" x14ac:dyDescent="0.25">
      <c r="K199" s="68">
        <v>4</v>
      </c>
      <c r="L199" s="68">
        <v>6</v>
      </c>
      <c r="M199" s="68">
        <v>2</v>
      </c>
    </row>
    <row r="200" spans="11:13" x14ac:dyDescent="0.25">
      <c r="K200" s="68">
        <v>4</v>
      </c>
      <c r="L200" s="68">
        <v>6</v>
      </c>
      <c r="M200" s="68">
        <v>2</v>
      </c>
    </row>
    <row r="201" spans="11:13" x14ac:dyDescent="0.25">
      <c r="K201" s="68">
        <v>4</v>
      </c>
      <c r="L201" s="68">
        <v>6</v>
      </c>
      <c r="M201" s="68">
        <v>2</v>
      </c>
    </row>
    <row r="202" spans="11:13" x14ac:dyDescent="0.25">
      <c r="K202" s="68">
        <v>4</v>
      </c>
      <c r="L202" s="68">
        <v>6</v>
      </c>
      <c r="M202" s="68">
        <v>2</v>
      </c>
    </row>
    <row r="203" spans="11:13" x14ac:dyDescent="0.25">
      <c r="K203" s="68">
        <v>4</v>
      </c>
      <c r="L203" s="68">
        <v>6</v>
      </c>
      <c r="M203" s="68">
        <v>2</v>
      </c>
    </row>
    <row r="204" spans="11:13" x14ac:dyDescent="0.25">
      <c r="K204" s="68">
        <v>4</v>
      </c>
      <c r="L204" s="68">
        <v>6</v>
      </c>
      <c r="M204" s="68">
        <v>2</v>
      </c>
    </row>
    <row r="205" spans="11:13" x14ac:dyDescent="0.25">
      <c r="K205" s="68">
        <v>4</v>
      </c>
      <c r="L205" s="68">
        <v>6</v>
      </c>
      <c r="M205" s="68">
        <v>2</v>
      </c>
    </row>
    <row r="206" spans="11:13" x14ac:dyDescent="0.25">
      <c r="K206" s="68">
        <v>4</v>
      </c>
      <c r="L206" s="68">
        <v>6</v>
      </c>
      <c r="M206" s="68">
        <v>1</v>
      </c>
    </row>
    <row r="207" spans="11:13" x14ac:dyDescent="0.25">
      <c r="K207" s="68">
        <v>4</v>
      </c>
      <c r="L207" s="68">
        <v>6</v>
      </c>
      <c r="M207" s="68">
        <v>2</v>
      </c>
    </row>
    <row r="208" spans="11:13" x14ac:dyDescent="0.25">
      <c r="K208" s="68">
        <v>4</v>
      </c>
      <c r="L208" s="68">
        <v>6</v>
      </c>
      <c r="M208" s="68">
        <v>2</v>
      </c>
    </row>
    <row r="209" spans="11:13" x14ac:dyDescent="0.25">
      <c r="K209" s="68">
        <v>4</v>
      </c>
      <c r="L209" s="68">
        <v>6</v>
      </c>
      <c r="M209" s="68">
        <v>2</v>
      </c>
    </row>
    <row r="210" spans="11:13" x14ac:dyDescent="0.25">
      <c r="K210" s="68">
        <v>4</v>
      </c>
      <c r="L210" s="68">
        <v>6</v>
      </c>
      <c r="M210" s="68">
        <v>2</v>
      </c>
    </row>
    <row r="211" spans="11:13" x14ac:dyDescent="0.25">
      <c r="K211" s="68">
        <v>4</v>
      </c>
      <c r="L211" s="68">
        <v>6</v>
      </c>
      <c r="M211" s="68">
        <v>2</v>
      </c>
    </row>
    <row r="212" spans="11:13" x14ac:dyDescent="0.25">
      <c r="K212" s="68">
        <v>4</v>
      </c>
      <c r="L212" s="68">
        <v>6</v>
      </c>
      <c r="M212" s="68">
        <v>2</v>
      </c>
    </row>
    <row r="213" spans="11:13" x14ac:dyDescent="0.25">
      <c r="K213" s="68">
        <v>4</v>
      </c>
      <c r="L213" s="68">
        <v>6</v>
      </c>
      <c r="M213" s="68">
        <v>2</v>
      </c>
    </row>
    <row r="214" spans="11:13" x14ac:dyDescent="0.25">
      <c r="K214" s="68">
        <v>4</v>
      </c>
      <c r="L214" s="68">
        <v>6</v>
      </c>
      <c r="M214" s="68">
        <v>2</v>
      </c>
    </row>
    <row r="215" spans="11:13" x14ac:dyDescent="0.25">
      <c r="K215" s="68">
        <v>4</v>
      </c>
      <c r="L215" s="68">
        <v>6</v>
      </c>
      <c r="M215" s="68">
        <v>2</v>
      </c>
    </row>
    <row r="216" spans="11:13" x14ac:dyDescent="0.25">
      <c r="K216" s="68">
        <v>4</v>
      </c>
      <c r="L216" s="68">
        <v>6</v>
      </c>
      <c r="M216" s="68">
        <v>2</v>
      </c>
    </row>
    <row r="217" spans="11:13" x14ac:dyDescent="0.25">
      <c r="K217" s="68">
        <v>4</v>
      </c>
      <c r="L217" s="68">
        <v>6</v>
      </c>
      <c r="M217" s="68">
        <v>2</v>
      </c>
    </row>
    <row r="218" spans="11:13" x14ac:dyDescent="0.25">
      <c r="K218" s="68">
        <v>4</v>
      </c>
      <c r="L218" s="68">
        <v>6</v>
      </c>
      <c r="M218" s="68">
        <v>2</v>
      </c>
    </row>
    <row r="219" spans="11:13" x14ac:dyDescent="0.25">
      <c r="K219" s="68">
        <v>4</v>
      </c>
      <c r="L219" s="68">
        <v>6</v>
      </c>
      <c r="M219" s="68">
        <v>2</v>
      </c>
    </row>
    <row r="220" spans="11:13" x14ac:dyDescent="0.25">
      <c r="K220" s="68">
        <v>4</v>
      </c>
      <c r="L220" s="68">
        <v>6</v>
      </c>
      <c r="M220" s="68">
        <v>2</v>
      </c>
    </row>
    <row r="221" spans="11:13" x14ac:dyDescent="0.25">
      <c r="K221" s="68">
        <v>4</v>
      </c>
      <c r="L221" s="68">
        <v>6</v>
      </c>
      <c r="M221" s="68">
        <v>2</v>
      </c>
    </row>
    <row r="222" spans="11:13" x14ac:dyDescent="0.25">
      <c r="K222" s="68">
        <v>4</v>
      </c>
      <c r="L222" s="68">
        <v>6</v>
      </c>
      <c r="M222" s="68">
        <v>2</v>
      </c>
    </row>
    <row r="223" spans="11:13" x14ac:dyDescent="0.25">
      <c r="K223" s="68">
        <v>4</v>
      </c>
      <c r="L223" s="68">
        <v>6</v>
      </c>
      <c r="M223" s="68">
        <v>2</v>
      </c>
    </row>
    <row r="224" spans="11:13" x14ac:dyDescent="0.25">
      <c r="K224" s="68">
        <v>4</v>
      </c>
      <c r="L224" s="68">
        <v>6</v>
      </c>
      <c r="M224" s="68">
        <v>2</v>
      </c>
    </row>
    <row r="225" spans="11:13" x14ac:dyDescent="0.25">
      <c r="K225" s="68">
        <v>4</v>
      </c>
      <c r="L225" s="68">
        <v>6</v>
      </c>
      <c r="M225" s="68">
        <v>1</v>
      </c>
    </row>
    <row r="226" spans="11:13" x14ac:dyDescent="0.25">
      <c r="K226" s="68">
        <v>4</v>
      </c>
      <c r="L226" s="68">
        <v>6</v>
      </c>
      <c r="M226" s="68">
        <v>2</v>
      </c>
    </row>
    <row r="227" spans="11:13" x14ac:dyDescent="0.25">
      <c r="K227" s="68">
        <v>4</v>
      </c>
      <c r="L227" s="68">
        <v>6</v>
      </c>
      <c r="M227" s="68">
        <v>2</v>
      </c>
    </row>
    <row r="228" spans="11:13" x14ac:dyDescent="0.25">
      <c r="K228" s="68">
        <v>4</v>
      </c>
      <c r="L228" s="68">
        <v>6</v>
      </c>
      <c r="M228" s="68">
        <v>2</v>
      </c>
    </row>
    <row r="229" spans="11:13" x14ac:dyDescent="0.25">
      <c r="K229" s="68">
        <v>4</v>
      </c>
      <c r="L229" s="68">
        <v>6</v>
      </c>
      <c r="M229" s="68">
        <v>2</v>
      </c>
    </row>
    <row r="230" spans="11:13" x14ac:dyDescent="0.25">
      <c r="K230" s="68">
        <v>4</v>
      </c>
      <c r="L230" s="68">
        <v>6</v>
      </c>
      <c r="M230" s="68">
        <v>2</v>
      </c>
    </row>
    <row r="231" spans="11:13" x14ac:dyDescent="0.25">
      <c r="K231" s="68">
        <v>4</v>
      </c>
      <c r="L231" s="68">
        <v>6</v>
      </c>
      <c r="M231" s="68">
        <v>2</v>
      </c>
    </row>
    <row r="232" spans="11:13" x14ac:dyDescent="0.25">
      <c r="K232" s="68">
        <v>4</v>
      </c>
      <c r="L232" s="68">
        <v>6</v>
      </c>
      <c r="M232" s="68">
        <v>2</v>
      </c>
    </row>
    <row r="233" spans="11:13" x14ac:dyDescent="0.25">
      <c r="K233" s="68">
        <v>4</v>
      </c>
      <c r="L233" s="68">
        <v>6</v>
      </c>
      <c r="M233" s="68">
        <v>1</v>
      </c>
    </row>
    <row r="234" spans="11:13" x14ac:dyDescent="0.25">
      <c r="K234" s="68">
        <v>4</v>
      </c>
      <c r="L234" s="68">
        <v>6</v>
      </c>
      <c r="M234" s="68">
        <v>2</v>
      </c>
    </row>
    <row r="235" spans="11:13" x14ac:dyDescent="0.25">
      <c r="K235" s="68">
        <v>4</v>
      </c>
      <c r="L235" s="68">
        <v>6</v>
      </c>
      <c r="M235" s="68">
        <v>2</v>
      </c>
    </row>
    <row r="236" spans="11:13" x14ac:dyDescent="0.25">
      <c r="K236" s="68">
        <v>4</v>
      </c>
      <c r="L236" s="68">
        <v>6</v>
      </c>
      <c r="M236" s="68">
        <v>2</v>
      </c>
    </row>
    <row r="237" spans="11:13" x14ac:dyDescent="0.25">
      <c r="K237" s="68">
        <v>4</v>
      </c>
      <c r="L237" s="68">
        <v>6</v>
      </c>
      <c r="M237" s="68">
        <v>2</v>
      </c>
    </row>
    <row r="238" spans="11:13" x14ac:dyDescent="0.25">
      <c r="K238" s="68">
        <v>4</v>
      </c>
      <c r="L238" s="68">
        <v>6</v>
      </c>
      <c r="M238" s="68">
        <v>2</v>
      </c>
    </row>
    <row r="239" spans="11:13" x14ac:dyDescent="0.25">
      <c r="K239" s="68">
        <v>4</v>
      </c>
      <c r="L239" s="68">
        <v>6</v>
      </c>
      <c r="M239" s="68">
        <v>2</v>
      </c>
    </row>
    <row r="240" spans="11:13" x14ac:dyDescent="0.25">
      <c r="K240" s="68">
        <v>4</v>
      </c>
      <c r="L240" s="68">
        <v>6</v>
      </c>
      <c r="M240" s="68">
        <v>2</v>
      </c>
    </row>
    <row r="241" spans="11:13" x14ac:dyDescent="0.25">
      <c r="K241" s="68">
        <v>4</v>
      </c>
      <c r="L241" s="68">
        <v>6</v>
      </c>
      <c r="M241" s="68">
        <v>2</v>
      </c>
    </row>
    <row r="242" spans="11:13" x14ac:dyDescent="0.25">
      <c r="K242" s="68">
        <v>4</v>
      </c>
      <c r="L242" s="68">
        <v>6</v>
      </c>
      <c r="M242" s="68">
        <v>2</v>
      </c>
    </row>
    <row r="243" spans="11:13" x14ac:dyDescent="0.25">
      <c r="K243" s="68">
        <v>4</v>
      </c>
      <c r="L243" s="68">
        <v>6</v>
      </c>
      <c r="M243" s="68">
        <v>2</v>
      </c>
    </row>
    <row r="244" spans="11:13" x14ac:dyDescent="0.25">
      <c r="K244" s="68">
        <v>4</v>
      </c>
      <c r="L244" s="68">
        <v>6</v>
      </c>
      <c r="M244" s="68">
        <v>2</v>
      </c>
    </row>
    <row r="245" spans="11:13" x14ac:dyDescent="0.25">
      <c r="K245" s="68">
        <v>4</v>
      </c>
      <c r="L245" s="68">
        <v>6</v>
      </c>
      <c r="M245" s="68">
        <v>2</v>
      </c>
    </row>
    <row r="246" spans="11:13" x14ac:dyDescent="0.25">
      <c r="K246" s="68">
        <v>4</v>
      </c>
      <c r="L246" s="68">
        <v>6</v>
      </c>
      <c r="M246" s="68">
        <v>2</v>
      </c>
    </row>
    <row r="247" spans="11:13" x14ac:dyDescent="0.25">
      <c r="K247" s="68">
        <v>4</v>
      </c>
      <c r="L247" s="68">
        <v>6</v>
      </c>
      <c r="M247" s="68">
        <v>2</v>
      </c>
    </row>
    <row r="248" spans="11:13" x14ac:dyDescent="0.25">
      <c r="K248" s="68">
        <v>4</v>
      </c>
      <c r="L248" s="68">
        <v>6</v>
      </c>
      <c r="M248" s="68">
        <v>2</v>
      </c>
    </row>
    <row r="249" spans="11:13" x14ac:dyDescent="0.25">
      <c r="K249" s="68">
        <v>4</v>
      </c>
      <c r="L249" s="68">
        <v>6</v>
      </c>
      <c r="M249" s="68">
        <v>2</v>
      </c>
    </row>
    <row r="250" spans="11:13" x14ac:dyDescent="0.25">
      <c r="K250" s="68">
        <v>4</v>
      </c>
      <c r="L250" s="68">
        <v>6</v>
      </c>
      <c r="M250" s="68">
        <v>2</v>
      </c>
    </row>
    <row r="251" spans="11:13" x14ac:dyDescent="0.25">
      <c r="K251" s="68">
        <v>4</v>
      </c>
      <c r="L251" s="68">
        <v>6</v>
      </c>
      <c r="M251" s="68">
        <v>2</v>
      </c>
    </row>
    <row r="252" spans="11:13" x14ac:dyDescent="0.25">
      <c r="K252" s="68">
        <v>4</v>
      </c>
      <c r="L252" s="68">
        <v>6</v>
      </c>
      <c r="M252" s="68">
        <v>2</v>
      </c>
    </row>
    <row r="253" spans="11:13" x14ac:dyDescent="0.25">
      <c r="K253" s="68">
        <v>4</v>
      </c>
      <c r="L253" s="68">
        <v>6</v>
      </c>
      <c r="M253" s="68">
        <v>1</v>
      </c>
    </row>
    <row r="254" spans="11:13" x14ac:dyDescent="0.25">
      <c r="K254" s="68">
        <v>4</v>
      </c>
      <c r="L254" s="68">
        <v>6</v>
      </c>
      <c r="M254" s="68">
        <v>2</v>
      </c>
    </row>
    <row r="255" spans="11:13" x14ac:dyDescent="0.25">
      <c r="K255" s="68">
        <v>4</v>
      </c>
      <c r="L255" s="68">
        <v>6</v>
      </c>
      <c r="M255" s="68">
        <v>2</v>
      </c>
    </row>
    <row r="256" spans="11:13" x14ac:dyDescent="0.25">
      <c r="K256" s="68">
        <v>4</v>
      </c>
      <c r="L256" s="68">
        <v>6</v>
      </c>
      <c r="M256" s="68">
        <v>2</v>
      </c>
    </row>
    <row r="257" spans="11:13" x14ac:dyDescent="0.25">
      <c r="K257" s="68">
        <v>4</v>
      </c>
      <c r="L257" s="68">
        <v>6</v>
      </c>
      <c r="M257" s="68">
        <v>2</v>
      </c>
    </row>
    <row r="258" spans="11:13" x14ac:dyDescent="0.25">
      <c r="K258" s="68">
        <v>4</v>
      </c>
      <c r="L258" s="68">
        <v>6</v>
      </c>
      <c r="M258" s="68">
        <v>2</v>
      </c>
    </row>
    <row r="259" spans="11:13" x14ac:dyDescent="0.25">
      <c r="K259" s="68">
        <v>4</v>
      </c>
      <c r="L259" s="68">
        <v>6</v>
      </c>
      <c r="M259" s="68">
        <v>2</v>
      </c>
    </row>
    <row r="260" spans="11:13" x14ac:dyDescent="0.25">
      <c r="K260" s="68">
        <v>4</v>
      </c>
      <c r="L260" s="68">
        <v>6</v>
      </c>
      <c r="M260" s="68">
        <v>2</v>
      </c>
    </row>
    <row r="261" spans="11:13" x14ac:dyDescent="0.25">
      <c r="K261" s="68">
        <v>4</v>
      </c>
      <c r="L261" s="68">
        <v>6</v>
      </c>
      <c r="M261" s="68">
        <v>2</v>
      </c>
    </row>
    <row r="262" spans="11:13" x14ac:dyDescent="0.25">
      <c r="K262" s="68">
        <v>4</v>
      </c>
      <c r="L262" s="68">
        <v>6</v>
      </c>
      <c r="M262" s="68">
        <v>2</v>
      </c>
    </row>
    <row r="263" spans="11:13" x14ac:dyDescent="0.25">
      <c r="K263" s="68">
        <v>4</v>
      </c>
      <c r="L263" s="68">
        <v>6</v>
      </c>
      <c r="M263" s="68">
        <v>2</v>
      </c>
    </row>
    <row r="264" spans="11:13" x14ac:dyDescent="0.25">
      <c r="K264" s="68">
        <v>4</v>
      </c>
      <c r="L264" s="68">
        <v>6</v>
      </c>
      <c r="M264" s="68">
        <v>2</v>
      </c>
    </row>
    <row r="265" spans="11:13" x14ac:dyDescent="0.25">
      <c r="K265" s="68">
        <v>4</v>
      </c>
      <c r="L265" s="68">
        <v>6</v>
      </c>
      <c r="M265" s="68">
        <v>2</v>
      </c>
    </row>
    <row r="266" spans="11:13" x14ac:dyDescent="0.25">
      <c r="K266" s="68">
        <v>4</v>
      </c>
      <c r="L266" s="68">
        <v>6</v>
      </c>
      <c r="M266" s="68">
        <v>2</v>
      </c>
    </row>
    <row r="267" spans="11:13" x14ac:dyDescent="0.25">
      <c r="K267" s="68">
        <v>4</v>
      </c>
      <c r="L267" s="68">
        <v>6</v>
      </c>
      <c r="M267" s="68">
        <v>2</v>
      </c>
    </row>
    <row r="268" spans="11:13" x14ac:dyDescent="0.25">
      <c r="K268" s="68">
        <v>4</v>
      </c>
      <c r="L268" s="68">
        <v>6</v>
      </c>
      <c r="M268" s="68">
        <v>2</v>
      </c>
    </row>
    <row r="269" spans="11:13" x14ac:dyDescent="0.25">
      <c r="K269" s="68">
        <v>4</v>
      </c>
      <c r="L269" s="68">
        <v>6</v>
      </c>
      <c r="M269" s="68">
        <v>2</v>
      </c>
    </row>
    <row r="270" spans="11:13" x14ac:dyDescent="0.25">
      <c r="K270" s="68">
        <v>4</v>
      </c>
      <c r="L270" s="68">
        <v>6</v>
      </c>
      <c r="M270" s="68">
        <v>2</v>
      </c>
    </row>
    <row r="271" spans="11:13" x14ac:dyDescent="0.25">
      <c r="K271" s="68">
        <v>4</v>
      </c>
      <c r="L271" s="68">
        <v>6</v>
      </c>
      <c r="M271" s="68">
        <v>2</v>
      </c>
    </row>
    <row r="272" spans="11:13" x14ac:dyDescent="0.25">
      <c r="K272" s="68">
        <v>4</v>
      </c>
      <c r="L272" s="68">
        <v>6</v>
      </c>
      <c r="M272" s="68">
        <v>2</v>
      </c>
    </row>
    <row r="273" spans="11:13" x14ac:dyDescent="0.25">
      <c r="K273" s="68">
        <v>4</v>
      </c>
      <c r="L273" s="68">
        <v>6</v>
      </c>
      <c r="M273" s="68">
        <v>2</v>
      </c>
    </row>
    <row r="274" spans="11:13" x14ac:dyDescent="0.25">
      <c r="K274" s="68">
        <v>4</v>
      </c>
      <c r="L274" s="68">
        <v>6</v>
      </c>
      <c r="M274" s="68">
        <v>1</v>
      </c>
    </row>
    <row r="275" spans="11:13" x14ac:dyDescent="0.25">
      <c r="K275" s="68">
        <v>4</v>
      </c>
      <c r="L275" s="68">
        <v>6</v>
      </c>
      <c r="M275" s="68">
        <v>2</v>
      </c>
    </row>
    <row r="276" spans="11:13" x14ac:dyDescent="0.25">
      <c r="K276" s="68">
        <v>4</v>
      </c>
      <c r="L276" s="68">
        <v>6</v>
      </c>
      <c r="M276" s="68">
        <v>2</v>
      </c>
    </row>
    <row r="277" spans="11:13" x14ac:dyDescent="0.25">
      <c r="K277" s="68">
        <v>4</v>
      </c>
      <c r="L277" s="68">
        <v>6</v>
      </c>
      <c r="M277" s="68">
        <v>2</v>
      </c>
    </row>
    <row r="278" spans="11:13" x14ac:dyDescent="0.25">
      <c r="K278" s="68">
        <v>4</v>
      </c>
      <c r="L278" s="68">
        <v>6</v>
      </c>
      <c r="M278" s="68">
        <v>2</v>
      </c>
    </row>
    <row r="279" spans="11:13" x14ac:dyDescent="0.25">
      <c r="K279" s="68">
        <v>4</v>
      </c>
      <c r="L279" s="68">
        <v>6</v>
      </c>
      <c r="M279" s="68">
        <v>2</v>
      </c>
    </row>
    <row r="280" spans="11:13" x14ac:dyDescent="0.25">
      <c r="K280" s="68">
        <v>4</v>
      </c>
      <c r="L280" s="68">
        <v>6</v>
      </c>
      <c r="M280" s="68">
        <v>2</v>
      </c>
    </row>
    <row r="281" spans="11:13" x14ac:dyDescent="0.25">
      <c r="K281" s="68">
        <v>4</v>
      </c>
      <c r="L281" s="68">
        <v>6</v>
      </c>
      <c r="M281" s="68">
        <v>2</v>
      </c>
    </row>
    <row r="282" spans="11:13" x14ac:dyDescent="0.25">
      <c r="K282" s="68">
        <v>4</v>
      </c>
      <c r="L282" s="68">
        <v>6</v>
      </c>
      <c r="M282" s="68">
        <v>2</v>
      </c>
    </row>
    <row r="283" spans="11:13" x14ac:dyDescent="0.25">
      <c r="K283" s="68">
        <v>4</v>
      </c>
      <c r="L283" s="68">
        <v>6</v>
      </c>
      <c r="M283" s="68">
        <v>2</v>
      </c>
    </row>
    <row r="284" spans="11:13" x14ac:dyDescent="0.25">
      <c r="K284" s="68">
        <v>4</v>
      </c>
      <c r="L284" s="68">
        <v>6</v>
      </c>
      <c r="M284" s="68">
        <v>2</v>
      </c>
    </row>
    <row r="285" spans="11:13" x14ac:dyDescent="0.25">
      <c r="K285" s="68">
        <v>4</v>
      </c>
      <c r="L285" s="68">
        <v>6</v>
      </c>
      <c r="M285" s="68">
        <v>2</v>
      </c>
    </row>
    <row r="286" spans="11:13" x14ac:dyDescent="0.25">
      <c r="K286" s="68">
        <v>4</v>
      </c>
      <c r="L286" s="68">
        <v>6</v>
      </c>
      <c r="M286" s="68">
        <v>2</v>
      </c>
    </row>
    <row r="287" spans="11:13" x14ac:dyDescent="0.25">
      <c r="K287" s="68">
        <v>4</v>
      </c>
      <c r="L287" s="68">
        <v>6</v>
      </c>
      <c r="M287" s="68">
        <v>2</v>
      </c>
    </row>
    <row r="288" spans="11:13" x14ac:dyDescent="0.25">
      <c r="K288" s="68">
        <v>4</v>
      </c>
      <c r="L288" s="68">
        <v>6</v>
      </c>
      <c r="M288" s="68">
        <v>2</v>
      </c>
    </row>
    <row r="289" spans="11:15" x14ac:dyDescent="0.25">
      <c r="K289" s="68">
        <v>4</v>
      </c>
      <c r="L289" s="68">
        <v>6</v>
      </c>
      <c r="M289" s="68">
        <v>2</v>
      </c>
    </row>
    <row r="290" spans="11:15" x14ac:dyDescent="0.25">
      <c r="K290" s="68">
        <v>4</v>
      </c>
      <c r="L290" s="68">
        <v>6</v>
      </c>
      <c r="M290" s="68">
        <v>2</v>
      </c>
    </row>
    <row r="291" spans="11:15" x14ac:dyDescent="0.25">
      <c r="K291" s="68">
        <v>4</v>
      </c>
      <c r="L291" s="68">
        <v>6</v>
      </c>
      <c r="M291" s="68">
        <v>2</v>
      </c>
      <c r="O291" s="350"/>
    </row>
    <row r="292" spans="11:15" x14ac:dyDescent="0.25">
      <c r="K292" s="68">
        <v>4</v>
      </c>
      <c r="L292" s="68">
        <v>6</v>
      </c>
      <c r="M292" s="68">
        <v>2</v>
      </c>
    </row>
    <row r="293" spans="11:15" x14ac:dyDescent="0.25">
      <c r="K293" s="68">
        <v>4</v>
      </c>
      <c r="L293" s="68">
        <v>6</v>
      </c>
      <c r="M293" s="68">
        <v>1</v>
      </c>
    </row>
    <row r="294" spans="11:15" x14ac:dyDescent="0.25">
      <c r="K294" s="68">
        <v>4</v>
      </c>
      <c r="L294" s="68">
        <v>6</v>
      </c>
      <c r="M294" s="68">
        <v>2</v>
      </c>
    </row>
    <row r="295" spans="11:15" x14ac:dyDescent="0.25">
      <c r="K295" s="68">
        <v>4</v>
      </c>
      <c r="L295" s="68">
        <v>6</v>
      </c>
      <c r="M295" s="68">
        <v>2</v>
      </c>
    </row>
    <row r="296" spans="11:15" x14ac:dyDescent="0.25">
      <c r="K296" s="68">
        <v>4</v>
      </c>
      <c r="L296" s="68">
        <v>6</v>
      </c>
      <c r="M296" s="68">
        <v>2</v>
      </c>
    </row>
    <row r="297" spans="11:15" x14ac:dyDescent="0.25">
      <c r="K297" s="68">
        <v>4</v>
      </c>
      <c r="L297" s="68">
        <v>6</v>
      </c>
      <c r="M297" s="68">
        <v>2</v>
      </c>
    </row>
    <row r="298" spans="11:15" x14ac:dyDescent="0.25">
      <c r="K298" s="68">
        <v>4</v>
      </c>
      <c r="L298" s="68">
        <v>6</v>
      </c>
      <c r="M298" s="68">
        <v>2</v>
      </c>
    </row>
    <row r="299" spans="11:15" x14ac:dyDescent="0.25">
      <c r="K299" s="68">
        <v>4</v>
      </c>
      <c r="L299" s="68">
        <v>6</v>
      </c>
      <c r="M299" s="68">
        <v>2</v>
      </c>
    </row>
    <row r="300" spans="11:15" x14ac:dyDescent="0.25">
      <c r="K300" s="68">
        <v>4</v>
      </c>
      <c r="L300" s="68">
        <v>6</v>
      </c>
      <c r="M300" s="68">
        <v>2</v>
      </c>
    </row>
    <row r="301" spans="11:15" x14ac:dyDescent="0.25">
      <c r="K301" s="68">
        <v>4</v>
      </c>
      <c r="L301" s="68">
        <v>6</v>
      </c>
      <c r="M301" s="68">
        <v>2</v>
      </c>
    </row>
    <row r="534" spans="15:19" x14ac:dyDescent="0.25">
      <c r="O534" s="145"/>
      <c r="R534" s="145"/>
      <c r="S534" s="145"/>
    </row>
    <row r="535" spans="15:19" x14ac:dyDescent="0.25">
      <c r="O535" s="145"/>
      <c r="R535" s="145"/>
      <c r="S535" s="145"/>
    </row>
    <row r="536" spans="15:19" x14ac:dyDescent="0.25">
      <c r="O536" s="145"/>
      <c r="R536" s="145"/>
      <c r="S536" s="145"/>
    </row>
    <row r="537" spans="15:19" x14ac:dyDescent="0.25">
      <c r="O537" s="145"/>
      <c r="R537" s="145"/>
      <c r="S537" s="145"/>
    </row>
    <row r="538" spans="15:19" x14ac:dyDescent="0.25">
      <c r="O538" s="145"/>
      <c r="R538" s="145"/>
      <c r="S538" s="145"/>
    </row>
    <row r="539" spans="15:19" x14ac:dyDescent="0.25">
      <c r="O539" s="145"/>
      <c r="R539" s="145"/>
      <c r="S539" s="145"/>
    </row>
    <row r="540" spans="15:19" x14ac:dyDescent="0.25">
      <c r="O540" s="145"/>
      <c r="R540" s="145"/>
      <c r="S540" s="145"/>
    </row>
    <row r="541" spans="15:19" x14ac:dyDescent="0.25">
      <c r="O541" s="145"/>
      <c r="R541" s="145"/>
      <c r="S541" s="145"/>
    </row>
    <row r="542" spans="15:19" x14ac:dyDescent="0.25">
      <c r="O542" s="145"/>
      <c r="R542" s="145"/>
      <c r="S542" s="145"/>
    </row>
    <row r="543" spans="15:19" x14ac:dyDescent="0.25">
      <c r="O543" s="145"/>
      <c r="R543" s="145"/>
      <c r="S543" s="145"/>
    </row>
    <row r="544" spans="15:19" x14ac:dyDescent="0.25">
      <c r="O544" s="145"/>
    </row>
    <row r="545" spans="15:15" x14ac:dyDescent="0.25">
      <c r="O545" s="145"/>
    </row>
    <row r="546" spans="15:15" x14ac:dyDescent="0.25">
      <c r="O546" s="145"/>
    </row>
    <row r="547" spans="15:15" x14ac:dyDescent="0.25">
      <c r="O547" s="145"/>
    </row>
    <row r="548" spans="15:15" x14ac:dyDescent="0.25">
      <c r="O548" s="145"/>
    </row>
    <row r="549" spans="15:15" x14ac:dyDescent="0.25">
      <c r="O549" s="145"/>
    </row>
    <row r="550" spans="15:15" x14ac:dyDescent="0.25">
      <c r="O550" s="145"/>
    </row>
    <row r="551" spans="15:15" x14ac:dyDescent="0.25">
      <c r="O551" s="145"/>
    </row>
    <row r="552" spans="15:15" x14ac:dyDescent="0.25">
      <c r="O552" s="145"/>
    </row>
    <row r="553" spans="15:15" x14ac:dyDescent="0.25">
      <c r="O553" s="145"/>
    </row>
    <row r="554" spans="15:15" x14ac:dyDescent="0.25">
      <c r="O554" s="145"/>
    </row>
    <row r="555" spans="15:15" x14ac:dyDescent="0.25">
      <c r="O555" s="145"/>
    </row>
    <row r="556" spans="15:15" x14ac:dyDescent="0.25">
      <c r="O556" s="145"/>
    </row>
    <row r="557" spans="15:15" x14ac:dyDescent="0.25">
      <c r="O557" s="145"/>
    </row>
    <row r="558" spans="15:15" x14ac:dyDescent="0.25">
      <c r="O558" s="145"/>
    </row>
    <row r="559" spans="15:15" x14ac:dyDescent="0.25">
      <c r="O559" s="145"/>
    </row>
    <row r="560" spans="15:15" x14ac:dyDescent="0.25">
      <c r="O560" s="145"/>
    </row>
    <row r="561" spans="15:15" x14ac:dyDescent="0.25">
      <c r="O561" s="145"/>
    </row>
    <row r="562" spans="15:15" x14ac:dyDescent="0.25">
      <c r="O562" s="145"/>
    </row>
    <row r="563" spans="15:15" x14ac:dyDescent="0.25">
      <c r="O563" s="145"/>
    </row>
    <row r="564" spans="15:15" x14ac:dyDescent="0.25">
      <c r="O564" s="145"/>
    </row>
    <row r="565" spans="15:15" x14ac:dyDescent="0.25">
      <c r="O565" s="145"/>
    </row>
    <row r="566" spans="15:15" x14ac:dyDescent="0.25">
      <c r="O566" s="145"/>
    </row>
    <row r="567" spans="15:15" x14ac:dyDescent="0.25">
      <c r="O567" s="145"/>
    </row>
    <row r="568" spans="15:15" x14ac:dyDescent="0.25">
      <c r="O568" s="145"/>
    </row>
    <row r="569" spans="15:15" x14ac:dyDescent="0.25">
      <c r="O569" s="145"/>
    </row>
    <row r="570" spans="15:15" x14ac:dyDescent="0.25">
      <c r="O570" s="145"/>
    </row>
    <row r="571" spans="15:15" x14ac:dyDescent="0.25">
      <c r="O571" s="145"/>
    </row>
    <row r="572" spans="15:15" x14ac:dyDescent="0.25">
      <c r="O572" s="145"/>
    </row>
    <row r="573" spans="15:15" x14ac:dyDescent="0.25">
      <c r="O573" s="145"/>
    </row>
    <row r="574" spans="15:15" x14ac:dyDescent="0.25">
      <c r="O574" s="145"/>
    </row>
    <row r="575" spans="15:15" x14ac:dyDescent="0.25">
      <c r="O575" s="145"/>
    </row>
    <row r="576" spans="15:15" x14ac:dyDescent="0.25">
      <c r="O576" s="145"/>
    </row>
    <row r="577" spans="15:15" x14ac:dyDescent="0.25">
      <c r="O577" s="145"/>
    </row>
    <row r="578" spans="15:15" x14ac:dyDescent="0.25">
      <c r="O578" s="145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1">
    <mergeCell ref="O1:O4"/>
    <mergeCell ref="T1:U2"/>
    <mergeCell ref="R1:S2"/>
    <mergeCell ref="U3:U4"/>
    <mergeCell ref="T3:T4"/>
    <mergeCell ref="S3:S4"/>
    <mergeCell ref="R3:R4"/>
    <mergeCell ref="P1:Q2"/>
    <mergeCell ref="P3:P4"/>
    <mergeCell ref="Q3:Q4"/>
    <mergeCell ref="K1:M1"/>
    <mergeCell ref="K3:M3"/>
    <mergeCell ref="K2:M2"/>
    <mergeCell ref="C2:D2"/>
    <mergeCell ref="E3:F3"/>
    <mergeCell ref="H1:J1"/>
    <mergeCell ref="H2:J2"/>
    <mergeCell ref="H3:J3"/>
    <mergeCell ref="E2:G2"/>
    <mergeCell ref="C3:D3"/>
    <mergeCell ref="C1:G1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E2" sqref="E2:L8"/>
    </sheetView>
  </sheetViews>
  <sheetFormatPr defaultRowHeight="15.75" customHeight="1" x14ac:dyDescent="0.25"/>
  <cols>
    <col min="1" max="4" width="5.28515625" style="215" customWidth="1"/>
    <col min="5" max="5" width="3.140625" style="66" customWidth="1"/>
    <col min="6" max="12" width="4.7109375" style="215" customWidth="1"/>
    <col min="13" max="13" width="3.5703125" style="66" customWidth="1"/>
    <col min="14" max="22" width="3.5703125" style="215" customWidth="1"/>
    <col min="23" max="23" width="6.140625" style="66" customWidth="1"/>
    <col min="24" max="27" width="6.42578125" style="220" customWidth="1"/>
    <col min="28" max="28" width="3.85546875" style="66" customWidth="1"/>
    <col min="29" max="29" width="5.5703125" style="220" customWidth="1"/>
    <col min="30" max="35" width="7.7109375" style="220" customWidth="1"/>
    <col min="36" max="36" width="3.7109375" style="66" customWidth="1"/>
    <col min="37" max="37" width="3.7109375" style="220" customWidth="1"/>
    <col min="38" max="45" width="4.28515625" style="220" customWidth="1"/>
    <col min="46" max="46" width="4.28515625" style="221" customWidth="1"/>
    <col min="47" max="16384" width="9.140625" style="215"/>
  </cols>
  <sheetData>
    <row r="1" spans="1:46" ht="30" customHeight="1" x14ac:dyDescent="0.25">
      <c r="A1" s="540" t="s">
        <v>209</v>
      </c>
      <c r="B1" s="540"/>
      <c r="C1" s="540"/>
      <c r="D1" s="540"/>
      <c r="E1" s="540"/>
      <c r="F1" s="540"/>
      <c r="G1" s="540"/>
      <c r="H1" s="540"/>
      <c r="I1" s="540"/>
      <c r="J1" s="540"/>
      <c r="K1" s="540"/>
      <c r="L1" s="540"/>
      <c r="M1" s="540"/>
      <c r="N1" s="540"/>
      <c r="O1" s="540"/>
      <c r="P1" s="540"/>
      <c r="Q1" s="540"/>
      <c r="R1" s="540"/>
      <c r="S1" s="540"/>
      <c r="T1" s="540"/>
      <c r="U1" s="540"/>
      <c r="V1" s="540"/>
      <c r="W1" s="492" t="s">
        <v>243</v>
      </c>
      <c r="X1" s="493"/>
      <c r="Y1" s="493"/>
      <c r="Z1" s="493"/>
      <c r="AA1" s="493"/>
      <c r="AB1" s="493"/>
      <c r="AC1" s="493"/>
      <c r="AD1" s="493"/>
      <c r="AE1" s="493"/>
      <c r="AF1" s="493"/>
      <c r="AG1" s="493"/>
      <c r="AH1" s="493"/>
      <c r="AI1" s="493"/>
      <c r="AJ1" s="493"/>
      <c r="AK1" s="493"/>
      <c r="AL1" s="493"/>
      <c r="AM1" s="493"/>
      <c r="AN1" s="493"/>
      <c r="AO1" s="493"/>
      <c r="AP1" s="493"/>
      <c r="AQ1" s="493"/>
      <c r="AR1" s="493"/>
      <c r="AS1" s="493"/>
      <c r="AT1" s="541"/>
    </row>
    <row r="2" spans="1:46" ht="15.75" customHeight="1" x14ac:dyDescent="0.25">
      <c r="A2" s="504" t="s">
        <v>60</v>
      </c>
      <c r="B2" s="505"/>
      <c r="C2" s="505"/>
      <c r="D2" s="506"/>
      <c r="E2" s="504" t="s">
        <v>227</v>
      </c>
      <c r="F2" s="505"/>
      <c r="G2" s="505"/>
      <c r="H2" s="505"/>
      <c r="I2" s="505"/>
      <c r="J2" s="505"/>
      <c r="K2" s="505"/>
      <c r="L2" s="506"/>
      <c r="M2" s="504" t="s">
        <v>235</v>
      </c>
      <c r="N2" s="505"/>
      <c r="O2" s="505"/>
      <c r="P2" s="505"/>
      <c r="Q2" s="505"/>
      <c r="R2" s="505"/>
      <c r="S2" s="505"/>
      <c r="T2" s="505"/>
      <c r="U2" s="505"/>
      <c r="V2" s="506"/>
      <c r="W2" s="504" t="s">
        <v>240</v>
      </c>
      <c r="X2" s="505"/>
      <c r="Y2" s="505"/>
      <c r="Z2" s="505"/>
      <c r="AA2" s="506"/>
      <c r="AB2" s="504" t="s">
        <v>213</v>
      </c>
      <c r="AC2" s="505"/>
      <c r="AD2" s="505"/>
      <c r="AE2" s="505"/>
      <c r="AF2" s="505"/>
      <c r="AG2" s="505"/>
      <c r="AH2" s="505"/>
      <c r="AI2" s="506"/>
      <c r="AJ2" s="504" t="s">
        <v>214</v>
      </c>
      <c r="AK2" s="505"/>
      <c r="AL2" s="505"/>
      <c r="AM2" s="505"/>
      <c r="AN2" s="505"/>
      <c r="AO2" s="505"/>
      <c r="AP2" s="505"/>
      <c r="AQ2" s="505"/>
      <c r="AR2" s="505"/>
      <c r="AS2" s="505"/>
      <c r="AT2" s="506"/>
    </row>
    <row r="3" spans="1:46" ht="15.75" customHeight="1" x14ac:dyDescent="0.25">
      <c r="A3" s="225"/>
      <c r="B3" s="225" t="s">
        <v>31</v>
      </c>
      <c r="C3" s="225" t="s">
        <v>132</v>
      </c>
      <c r="D3" s="225" t="s">
        <v>70</v>
      </c>
      <c r="E3" s="224" t="s">
        <v>234</v>
      </c>
      <c r="F3" s="225" t="s">
        <v>228</v>
      </c>
      <c r="G3" s="225" t="s">
        <v>229</v>
      </c>
      <c r="H3" s="225" t="s">
        <v>230</v>
      </c>
      <c r="I3" s="225" t="s">
        <v>208</v>
      </c>
      <c r="J3" s="225" t="s">
        <v>231</v>
      </c>
      <c r="K3" s="225" t="s">
        <v>232</v>
      </c>
      <c r="L3" s="225" t="s">
        <v>233</v>
      </c>
      <c r="M3" s="224"/>
      <c r="N3" s="225" t="s">
        <v>53</v>
      </c>
      <c r="O3" s="225" t="s">
        <v>2</v>
      </c>
      <c r="P3" s="225" t="s">
        <v>72</v>
      </c>
      <c r="Q3" s="225" t="s">
        <v>0</v>
      </c>
      <c r="R3" s="225" t="s">
        <v>5</v>
      </c>
      <c r="S3" s="225" t="s">
        <v>8</v>
      </c>
      <c r="T3" s="225" t="s">
        <v>206</v>
      </c>
      <c r="U3" s="225" t="s">
        <v>125</v>
      </c>
      <c r="V3" s="226" t="s">
        <v>207</v>
      </c>
      <c r="W3" s="230"/>
      <c r="X3" s="225" t="s">
        <v>31</v>
      </c>
      <c r="Y3" s="225" t="s">
        <v>132</v>
      </c>
      <c r="Z3" s="225" t="s">
        <v>70</v>
      </c>
      <c r="AA3" s="226" t="s">
        <v>66</v>
      </c>
      <c r="AB3" s="525" t="s">
        <v>239</v>
      </c>
      <c r="AC3" s="542"/>
      <c r="AD3" s="227" t="s">
        <v>9</v>
      </c>
      <c r="AE3" s="228" t="s">
        <v>7</v>
      </c>
      <c r="AF3" s="170" t="s">
        <v>6</v>
      </c>
      <c r="AG3" s="229" t="s">
        <v>4</v>
      </c>
      <c r="AH3" s="65" t="s">
        <v>3</v>
      </c>
      <c r="AI3" s="236" t="s">
        <v>241</v>
      </c>
      <c r="AJ3" s="539" t="s">
        <v>31</v>
      </c>
      <c r="AK3" s="231"/>
      <c r="AL3" s="225" t="s">
        <v>53</v>
      </c>
      <c r="AM3" s="225" t="s">
        <v>2</v>
      </c>
      <c r="AN3" s="225" t="s">
        <v>72</v>
      </c>
      <c r="AO3" s="225" t="s">
        <v>0</v>
      </c>
      <c r="AP3" s="225" t="s">
        <v>5</v>
      </c>
      <c r="AQ3" s="225" t="s">
        <v>8</v>
      </c>
      <c r="AR3" s="225" t="s">
        <v>206</v>
      </c>
      <c r="AS3" s="225" t="s">
        <v>125</v>
      </c>
      <c r="AT3" s="226" t="s">
        <v>207</v>
      </c>
    </row>
    <row r="4" spans="1:46" ht="15.75" customHeight="1" x14ac:dyDescent="0.25">
      <c r="A4" s="227" t="s">
        <v>9</v>
      </c>
      <c r="B4" s="16">
        <v>6610</v>
      </c>
      <c r="C4" s="16">
        <v>2096</v>
      </c>
      <c r="D4" s="16">
        <v>167</v>
      </c>
      <c r="E4" s="66">
        <v>0</v>
      </c>
      <c r="F4" s="220" t="s">
        <v>211</v>
      </c>
      <c r="G4" s="220" t="s">
        <v>211</v>
      </c>
      <c r="H4" s="220" t="s">
        <v>211</v>
      </c>
      <c r="I4" s="220" t="s">
        <v>211</v>
      </c>
      <c r="J4" s="220">
        <v>175</v>
      </c>
      <c r="K4" s="220">
        <v>50</v>
      </c>
      <c r="L4" s="220">
        <v>9</v>
      </c>
      <c r="M4" s="219" t="s">
        <v>9</v>
      </c>
      <c r="N4" s="278">
        <v>4</v>
      </c>
      <c r="O4" s="278">
        <v>4</v>
      </c>
      <c r="P4" s="278">
        <v>4</v>
      </c>
      <c r="Q4" s="278">
        <v>4</v>
      </c>
      <c r="R4" s="278">
        <v>4</v>
      </c>
      <c r="S4" s="278">
        <v>4</v>
      </c>
      <c r="T4" s="278">
        <v>4</v>
      </c>
      <c r="U4" s="278">
        <v>4</v>
      </c>
      <c r="V4" s="279">
        <v>0</v>
      </c>
      <c r="W4" s="216" t="s">
        <v>236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03">
        <f>SUM(D奇美拉!F:F)/SUM(D奇美拉!E:E)</f>
        <v>0.52841596130592505</v>
      </c>
      <c r="AA4" s="102">
        <f>SUM(D奇美拉!H:H)/SUM(D奇美拉!G:G)</f>
        <v>1.0454545454545454</v>
      </c>
      <c r="AB4" s="494" t="s">
        <v>31</v>
      </c>
      <c r="AC4" s="199" t="s">
        <v>210</v>
      </c>
      <c r="AD4" s="185">
        <f>MAX(0,SUM(AL4:AT4)-B4)</f>
        <v>0</v>
      </c>
      <c r="AE4" s="186">
        <f>MAX(0,SUM(AL5:AT5)-B5)</f>
        <v>0</v>
      </c>
      <c r="AF4" s="187">
        <f>MAX(0,SUM(AL6:AT6)-B6)</f>
        <v>0</v>
      </c>
      <c r="AG4" s="188">
        <f>MAX(0,SUM(AL7:AT7)-B7)</f>
        <v>0</v>
      </c>
      <c r="AH4" s="200">
        <f>MAX(0,SUM(AL8:AT8)-B8)</f>
        <v>0</v>
      </c>
      <c r="AI4" s="306">
        <f>SUM(AD4:AH4)</f>
        <v>0</v>
      </c>
      <c r="AJ4" s="537"/>
      <c r="AK4" s="227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28" t="s">
        <v>7</v>
      </c>
      <c r="B5" s="33">
        <v>675</v>
      </c>
      <c r="C5" s="33">
        <v>593</v>
      </c>
      <c r="D5" s="33">
        <v>7</v>
      </c>
      <c r="E5" s="66">
        <v>1</v>
      </c>
      <c r="F5" s="220" t="s">
        <v>222</v>
      </c>
      <c r="G5" s="220" t="s">
        <v>211</v>
      </c>
      <c r="H5" s="220" t="s">
        <v>211</v>
      </c>
      <c r="I5" s="220" t="s">
        <v>211</v>
      </c>
      <c r="J5" s="220">
        <v>165</v>
      </c>
      <c r="K5" s="220">
        <v>48</v>
      </c>
      <c r="L5" s="220">
        <v>9</v>
      </c>
      <c r="M5" s="218" t="s">
        <v>7</v>
      </c>
      <c r="N5" s="280">
        <v>4</v>
      </c>
      <c r="O5" s="280">
        <v>4</v>
      </c>
      <c r="P5" s="280">
        <v>4</v>
      </c>
      <c r="Q5" s="280">
        <v>4</v>
      </c>
      <c r="R5" s="280">
        <v>4</v>
      </c>
      <c r="S5" s="280">
        <v>4</v>
      </c>
      <c r="T5" s="280">
        <v>4</v>
      </c>
      <c r="U5" s="280">
        <v>4</v>
      </c>
      <c r="V5" s="281">
        <v>0</v>
      </c>
      <c r="W5" s="216" t="s">
        <v>237</v>
      </c>
      <c r="X5" s="103">
        <f>SUM(D奇美拉!A:A) / SUM(D奇美拉!B:B)</f>
        <v>7.4741676234213544E-2</v>
      </c>
      <c r="Y5" s="103">
        <f>SUM(D奇美拉!C:C) / SUM(D奇美拉!D:D)</f>
        <v>0.18483816013628621</v>
      </c>
      <c r="Z5" s="103">
        <f>SUM(D奇美拉!E:E) / SUM(D奇美拉!F:F)</f>
        <v>1.8924485125858124</v>
      </c>
      <c r="AA5" s="102">
        <f>SUM(D奇美拉!G:G) / SUM(D奇美拉!H:H)</f>
        <v>0.95652173913043481</v>
      </c>
      <c r="AB5" s="495"/>
      <c r="AC5" s="217" t="s">
        <v>13</v>
      </c>
      <c r="AD5" s="16">
        <f>ROUNDUP(AD4/$X$4,0)</f>
        <v>0</v>
      </c>
      <c r="AE5" s="33">
        <f>ROUNDUP(AE4/$X$4,0)</f>
        <v>0</v>
      </c>
      <c r="AF5" s="171">
        <f>ROUNDUP(AF4/$X$4,0)</f>
        <v>0</v>
      </c>
      <c r="AG5" s="112">
        <f>ROUNDUP(AG4/$X$4,0)</f>
        <v>0</v>
      </c>
      <c r="AH5" s="14">
        <f>ROUNDUP(AH4/$X$4,0)</f>
        <v>0</v>
      </c>
      <c r="AI5" s="240">
        <f t="shared" ref="AI5:AI12" si="1">SUM(AD5:AH5)</f>
        <v>0</v>
      </c>
      <c r="AJ5" s="537"/>
      <c r="AK5" s="228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72">
        <f t="shared" si="0"/>
        <v>175</v>
      </c>
    </row>
    <row r="6" spans="1:46" ht="15.75" customHeight="1" x14ac:dyDescent="0.25">
      <c r="A6" s="170" t="s">
        <v>6</v>
      </c>
      <c r="B6" s="171">
        <v>409</v>
      </c>
      <c r="C6" s="171">
        <v>225</v>
      </c>
      <c r="D6" s="171">
        <v>12</v>
      </c>
      <c r="E6" s="66">
        <v>2</v>
      </c>
      <c r="F6" s="220" t="s">
        <v>222</v>
      </c>
      <c r="G6" s="220" t="s">
        <v>222</v>
      </c>
      <c r="H6" s="220" t="s">
        <v>211</v>
      </c>
      <c r="I6" s="220" t="s">
        <v>211</v>
      </c>
      <c r="J6" s="220">
        <v>140</v>
      </c>
      <c r="K6" s="220">
        <v>38</v>
      </c>
      <c r="L6" s="220">
        <v>6</v>
      </c>
      <c r="M6" s="223" t="s">
        <v>6</v>
      </c>
      <c r="N6" s="282">
        <v>4</v>
      </c>
      <c r="O6" s="282">
        <v>4</v>
      </c>
      <c r="P6" s="282">
        <v>4</v>
      </c>
      <c r="Q6" s="282">
        <v>4</v>
      </c>
      <c r="R6" s="282">
        <v>4</v>
      </c>
      <c r="S6" s="282">
        <v>4</v>
      </c>
      <c r="T6" s="282">
        <v>4</v>
      </c>
      <c r="U6" s="282">
        <v>4</v>
      </c>
      <c r="V6" s="283">
        <v>0</v>
      </c>
      <c r="W6" s="245" t="s">
        <v>14</v>
      </c>
      <c r="X6" s="246">
        <f>SUM(D奇美拉!A:A)</f>
        <v>651</v>
      </c>
      <c r="Y6" s="246">
        <f>SUM(D奇美拉!C:C)</f>
        <v>651</v>
      </c>
      <c r="Z6" s="246">
        <f>SUM(D奇美拉!E:E)</f>
        <v>827</v>
      </c>
      <c r="AA6" s="247">
        <f>SUM(D奇美拉!G:G)</f>
        <v>440</v>
      </c>
      <c r="AB6" s="496"/>
      <c r="AC6" s="201" t="s">
        <v>238</v>
      </c>
      <c r="AD6" s="193">
        <f>ROUNDUP(AD5/4*30,0)</f>
        <v>0</v>
      </c>
      <c r="AE6" s="194">
        <f>ROUNDUP(AE5/4*30,0)</f>
        <v>0</v>
      </c>
      <c r="AF6" s="195">
        <f>ROUNDUP(AF5/4*30,0)</f>
        <v>0</v>
      </c>
      <c r="AG6" s="196">
        <f>ROUNDUP(AG5/4*30,0)</f>
        <v>0</v>
      </c>
      <c r="AH6" s="202">
        <f>ROUNDUP(AH5/4*30,0)</f>
        <v>0</v>
      </c>
      <c r="AI6" s="241">
        <f t="shared" si="1"/>
        <v>0</v>
      </c>
      <c r="AJ6" s="537"/>
      <c r="AK6" s="170" t="s">
        <v>6</v>
      </c>
      <c r="AL6" s="171">
        <f t="shared" si="0"/>
        <v>0</v>
      </c>
      <c r="AM6" s="171">
        <f t="shared" si="0"/>
        <v>0</v>
      </c>
      <c r="AN6" s="171">
        <f t="shared" si="0"/>
        <v>0</v>
      </c>
      <c r="AO6" s="171">
        <f t="shared" si="0"/>
        <v>0</v>
      </c>
      <c r="AP6" s="171">
        <f t="shared" si="0"/>
        <v>0</v>
      </c>
      <c r="AQ6" s="171">
        <f t="shared" si="0"/>
        <v>0</v>
      </c>
      <c r="AR6" s="171">
        <f t="shared" si="0"/>
        <v>0</v>
      </c>
      <c r="AS6" s="171">
        <f t="shared" si="0"/>
        <v>0</v>
      </c>
      <c r="AT6" s="173">
        <f t="shared" si="0"/>
        <v>175</v>
      </c>
    </row>
    <row r="7" spans="1:46" ht="15.75" customHeight="1" x14ac:dyDescent="0.25">
      <c r="A7" s="229" t="s">
        <v>4</v>
      </c>
      <c r="B7" s="112">
        <v>1238</v>
      </c>
      <c r="C7" s="112">
        <v>966</v>
      </c>
      <c r="D7" s="112">
        <v>30</v>
      </c>
      <c r="E7" s="66">
        <v>3</v>
      </c>
      <c r="F7" s="220" t="s">
        <v>222</v>
      </c>
      <c r="G7" s="220" t="s">
        <v>222</v>
      </c>
      <c r="H7" s="220" t="s">
        <v>222</v>
      </c>
      <c r="I7" s="220" t="s">
        <v>211</v>
      </c>
      <c r="J7" s="220">
        <v>25</v>
      </c>
      <c r="K7" s="220">
        <v>10</v>
      </c>
      <c r="L7" s="220">
        <v>3</v>
      </c>
      <c r="M7" s="222" t="s">
        <v>4</v>
      </c>
      <c r="N7" s="284">
        <v>4</v>
      </c>
      <c r="O7" s="284">
        <v>4</v>
      </c>
      <c r="P7" s="284">
        <v>4</v>
      </c>
      <c r="Q7" s="284">
        <v>4</v>
      </c>
      <c r="R7" s="284">
        <v>4</v>
      </c>
      <c r="S7" s="284">
        <v>4</v>
      </c>
      <c r="T7" s="284">
        <v>4</v>
      </c>
      <c r="U7" s="284">
        <v>4</v>
      </c>
      <c r="V7" s="285">
        <v>4</v>
      </c>
      <c r="AB7" s="494" t="s">
        <v>132</v>
      </c>
      <c r="AC7" s="199" t="s">
        <v>210</v>
      </c>
      <c r="AD7" s="185">
        <f>MAX(0,SUM(AL10:AT10)-C4)</f>
        <v>0</v>
      </c>
      <c r="AE7" s="186">
        <f>MAX(0,SUM(AL11:AT11)-C5)</f>
        <v>0</v>
      </c>
      <c r="AF7" s="187">
        <f>MAX(0,SUM(AL12:AT12)-C6)</f>
        <v>0</v>
      </c>
      <c r="AG7" s="188">
        <f>MAX(0,SUM(AL13:AT13)-C7)</f>
        <v>0</v>
      </c>
      <c r="AH7" s="200">
        <f>MAX(0,SUM(AL14:AT14)-C8)</f>
        <v>0</v>
      </c>
      <c r="AI7" s="306">
        <f t="shared" si="1"/>
        <v>0</v>
      </c>
      <c r="AJ7" s="537"/>
      <c r="AK7" s="229" t="s">
        <v>4</v>
      </c>
      <c r="AL7" s="112">
        <f t="shared" si="0"/>
        <v>0</v>
      </c>
      <c r="AM7" s="112">
        <f t="shared" si="0"/>
        <v>0</v>
      </c>
      <c r="AN7" s="112">
        <f t="shared" si="0"/>
        <v>0</v>
      </c>
      <c r="AO7" s="112">
        <f t="shared" si="0"/>
        <v>0</v>
      </c>
      <c r="AP7" s="112">
        <f t="shared" si="0"/>
        <v>0</v>
      </c>
      <c r="AQ7" s="112">
        <f t="shared" si="0"/>
        <v>0</v>
      </c>
      <c r="AR7" s="112">
        <f t="shared" si="0"/>
        <v>0</v>
      </c>
      <c r="AS7" s="112">
        <f t="shared" si="0"/>
        <v>0</v>
      </c>
      <c r="AT7" s="174">
        <f t="shared" si="0"/>
        <v>0</v>
      </c>
    </row>
    <row r="8" spans="1:46" ht="15.75" customHeight="1" x14ac:dyDescent="0.25">
      <c r="A8" s="237" t="s">
        <v>3</v>
      </c>
      <c r="B8" s="238">
        <v>1752</v>
      </c>
      <c r="C8" s="238">
        <v>919</v>
      </c>
      <c r="D8" s="238">
        <v>61</v>
      </c>
      <c r="E8" s="242">
        <v>4</v>
      </c>
      <c r="F8" s="243" t="s">
        <v>222</v>
      </c>
      <c r="G8" s="243" t="s">
        <v>222</v>
      </c>
      <c r="H8" s="243" t="s">
        <v>222</v>
      </c>
      <c r="I8" s="243" t="s">
        <v>222</v>
      </c>
      <c r="J8" s="243">
        <v>0</v>
      </c>
      <c r="K8" s="243">
        <v>0</v>
      </c>
      <c r="L8" s="243">
        <v>0</v>
      </c>
      <c r="M8" s="244" t="s">
        <v>3</v>
      </c>
      <c r="N8" s="286">
        <v>4</v>
      </c>
      <c r="O8" s="286">
        <v>4</v>
      </c>
      <c r="P8" s="286">
        <v>4</v>
      </c>
      <c r="Q8" s="286">
        <v>4</v>
      </c>
      <c r="R8" s="286">
        <v>4</v>
      </c>
      <c r="S8" s="286">
        <v>4</v>
      </c>
      <c r="T8" s="286">
        <v>4</v>
      </c>
      <c r="U8" s="286">
        <v>4</v>
      </c>
      <c r="V8" s="287">
        <v>0</v>
      </c>
      <c r="AB8" s="495"/>
      <c r="AC8" s="217" t="s">
        <v>13</v>
      </c>
      <c r="AD8" s="16">
        <f>ROUNDUP(AD7/$Y$4,0)</f>
        <v>0</v>
      </c>
      <c r="AE8" s="33">
        <f>ROUNDUP(AE7/$Y$4,0)</f>
        <v>0</v>
      </c>
      <c r="AF8" s="171">
        <f>ROUNDUP(AF7/$Y$4,0)</f>
        <v>0</v>
      </c>
      <c r="AG8" s="112">
        <f>ROUNDUP(AG7/$Y$4,0)</f>
        <v>0</v>
      </c>
      <c r="AH8" s="14">
        <f>ROUNDUP(AH7/$Y$4,0)</f>
        <v>0</v>
      </c>
      <c r="AI8" s="240">
        <f t="shared" si="1"/>
        <v>0</v>
      </c>
      <c r="AJ8" s="538"/>
      <c r="AK8" s="237" t="s">
        <v>3</v>
      </c>
      <c r="AL8" s="238">
        <f t="shared" si="0"/>
        <v>0</v>
      </c>
      <c r="AM8" s="238">
        <f t="shared" si="0"/>
        <v>0</v>
      </c>
      <c r="AN8" s="238">
        <f t="shared" si="0"/>
        <v>0</v>
      </c>
      <c r="AO8" s="238">
        <f t="shared" si="0"/>
        <v>0</v>
      </c>
      <c r="AP8" s="238">
        <f t="shared" si="0"/>
        <v>0</v>
      </c>
      <c r="AQ8" s="238">
        <f t="shared" si="0"/>
        <v>0</v>
      </c>
      <c r="AR8" s="238">
        <f t="shared" si="0"/>
        <v>0</v>
      </c>
      <c r="AS8" s="238">
        <f t="shared" si="0"/>
        <v>0</v>
      </c>
      <c r="AT8" s="239">
        <f t="shared" si="0"/>
        <v>175</v>
      </c>
    </row>
    <row r="9" spans="1:46" ht="15.75" customHeight="1" x14ac:dyDescent="0.25">
      <c r="AB9" s="496"/>
      <c r="AC9" s="201" t="s">
        <v>238</v>
      </c>
      <c r="AD9" s="193">
        <f>ROUNDUP(AD8/4*30,0)</f>
        <v>0</v>
      </c>
      <c r="AE9" s="194">
        <f>ROUNDUP(AE8/4*30,0)</f>
        <v>0</v>
      </c>
      <c r="AF9" s="195">
        <f>ROUNDUP(AF8/4*30,0)</f>
        <v>0</v>
      </c>
      <c r="AG9" s="196">
        <f>ROUNDUP(AG8/4*30,0)</f>
        <v>0</v>
      </c>
      <c r="AH9" s="202">
        <f>ROUNDUP(AH8/4*30,0)</f>
        <v>0</v>
      </c>
      <c r="AI9" s="241">
        <f t="shared" si="1"/>
        <v>0</v>
      </c>
      <c r="AJ9" s="537" t="s">
        <v>132</v>
      </c>
      <c r="AL9" s="217" t="s">
        <v>53</v>
      </c>
      <c r="AM9" s="217" t="s">
        <v>2</v>
      </c>
      <c r="AN9" s="217" t="s">
        <v>72</v>
      </c>
      <c r="AO9" s="217" t="s">
        <v>0</v>
      </c>
      <c r="AP9" s="217" t="s">
        <v>5</v>
      </c>
      <c r="AQ9" s="217" t="s">
        <v>8</v>
      </c>
      <c r="AR9" s="217" t="s">
        <v>206</v>
      </c>
      <c r="AS9" s="217" t="s">
        <v>125</v>
      </c>
      <c r="AT9" s="154" t="s">
        <v>207</v>
      </c>
    </row>
    <row r="10" spans="1:46" ht="15.75" customHeight="1" x14ac:dyDescent="0.25">
      <c r="AB10" s="494" t="s">
        <v>70</v>
      </c>
      <c r="AC10" s="199" t="s">
        <v>210</v>
      </c>
      <c r="AD10" s="185">
        <f>MAX(0,SUM(AL16:AT16)-D4)</f>
        <v>0</v>
      </c>
      <c r="AE10" s="186">
        <f>MAX(0,SUM(AL17:AT17)-D5)</f>
        <v>2</v>
      </c>
      <c r="AF10" s="187">
        <f>MAX(0,SUM(AL18:AT18)-D6)</f>
        <v>0</v>
      </c>
      <c r="AG10" s="188">
        <f>MAX(0,SUM(AL19:AT19)-D7)</f>
        <v>0</v>
      </c>
      <c r="AH10" s="200">
        <f>MAX(0,SUM(AL20:AT20)-D8)</f>
        <v>0</v>
      </c>
      <c r="AI10" s="306">
        <f t="shared" si="1"/>
        <v>2</v>
      </c>
      <c r="AJ10" s="537"/>
      <c r="AK10" s="227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495"/>
      <c r="AC11" s="217" t="s">
        <v>13</v>
      </c>
      <c r="AD11" s="16">
        <f>ROUNDUP(AD10/$Z$4,0)</f>
        <v>0</v>
      </c>
      <c r="AE11" s="33">
        <f>ROUNDUP(AE10/$Z$4,0)</f>
        <v>4</v>
      </c>
      <c r="AF11" s="171">
        <f>ROUNDUP(AF10/$Z$4,0)</f>
        <v>0</v>
      </c>
      <c r="AG11" s="112">
        <f>ROUNDUP(AG10/$Z$4,0)</f>
        <v>0</v>
      </c>
      <c r="AH11" s="14">
        <f>ROUNDUP(AH10/$Z$4,0)</f>
        <v>0</v>
      </c>
      <c r="AI11" s="240">
        <f t="shared" si="1"/>
        <v>4</v>
      </c>
      <c r="AJ11" s="537"/>
      <c r="AK11" s="228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72">
        <f t="shared" si="3"/>
        <v>50</v>
      </c>
    </row>
    <row r="12" spans="1:46" ht="15.75" customHeight="1" x14ac:dyDescent="0.25">
      <c r="AB12" s="496"/>
      <c r="AC12" s="201" t="s">
        <v>238</v>
      </c>
      <c r="AD12" s="193">
        <f>ROUNDUP(AD11/4*30,0)</f>
        <v>0</v>
      </c>
      <c r="AE12" s="194">
        <f>ROUNDUP(AE11/4*30,0)</f>
        <v>30</v>
      </c>
      <c r="AF12" s="195">
        <f>ROUNDUP(AF11/4*30,0)</f>
        <v>0</v>
      </c>
      <c r="AG12" s="196">
        <f>ROUNDUP(AG11/4*30,0)</f>
        <v>0</v>
      </c>
      <c r="AH12" s="202">
        <f>ROUNDUP(AH11/4*30,0)</f>
        <v>0</v>
      </c>
      <c r="AI12" s="241">
        <f t="shared" si="1"/>
        <v>30</v>
      </c>
      <c r="AJ12" s="537"/>
      <c r="AK12" s="170" t="s">
        <v>6</v>
      </c>
      <c r="AL12" s="171">
        <f t="shared" ref="AL12:AT12" si="4">IF(ISBLANK(N6),0,VLOOKUP(N6,$E$4:$L$8,7,FALSE))</f>
        <v>0</v>
      </c>
      <c r="AM12" s="171">
        <f t="shared" si="4"/>
        <v>0</v>
      </c>
      <c r="AN12" s="171">
        <f t="shared" si="4"/>
        <v>0</v>
      </c>
      <c r="AO12" s="171">
        <f t="shared" si="4"/>
        <v>0</v>
      </c>
      <c r="AP12" s="171">
        <f t="shared" si="4"/>
        <v>0</v>
      </c>
      <c r="AQ12" s="171">
        <f t="shared" si="4"/>
        <v>0</v>
      </c>
      <c r="AR12" s="171">
        <f t="shared" si="4"/>
        <v>0</v>
      </c>
      <c r="AS12" s="171">
        <f t="shared" si="4"/>
        <v>0</v>
      </c>
      <c r="AT12" s="173">
        <f t="shared" si="4"/>
        <v>50</v>
      </c>
    </row>
    <row r="13" spans="1:46" ht="15.75" customHeight="1" x14ac:dyDescent="0.25">
      <c r="AJ13" s="537"/>
      <c r="AK13" s="229" t="s">
        <v>4</v>
      </c>
      <c r="AL13" s="112">
        <f t="shared" ref="AL13:AT13" si="5">IF(ISBLANK(N7),0,VLOOKUP(N7,$E$4:$L$8,7,FALSE))</f>
        <v>0</v>
      </c>
      <c r="AM13" s="112">
        <f t="shared" si="5"/>
        <v>0</v>
      </c>
      <c r="AN13" s="112">
        <f t="shared" si="5"/>
        <v>0</v>
      </c>
      <c r="AO13" s="112">
        <f t="shared" si="5"/>
        <v>0</v>
      </c>
      <c r="AP13" s="112">
        <f t="shared" si="5"/>
        <v>0</v>
      </c>
      <c r="AQ13" s="112">
        <f t="shared" si="5"/>
        <v>0</v>
      </c>
      <c r="AR13" s="112">
        <f t="shared" si="5"/>
        <v>0</v>
      </c>
      <c r="AS13" s="112">
        <f t="shared" si="5"/>
        <v>0</v>
      </c>
      <c r="AT13" s="174">
        <f t="shared" si="5"/>
        <v>0</v>
      </c>
    </row>
    <row r="14" spans="1:46" ht="15.75" customHeight="1" x14ac:dyDescent="0.25">
      <c r="AJ14" s="538"/>
      <c r="AK14" s="237" t="s">
        <v>3</v>
      </c>
      <c r="AL14" s="238">
        <f t="shared" ref="AL14:AT14" si="6">IF(ISBLANK(N8),0,VLOOKUP(N8,$E$4:$L$8,7,FALSE))</f>
        <v>0</v>
      </c>
      <c r="AM14" s="238">
        <f t="shared" si="6"/>
        <v>0</v>
      </c>
      <c r="AN14" s="238">
        <f t="shared" si="6"/>
        <v>0</v>
      </c>
      <c r="AO14" s="238">
        <f t="shared" si="6"/>
        <v>0</v>
      </c>
      <c r="AP14" s="238">
        <f t="shared" si="6"/>
        <v>0</v>
      </c>
      <c r="AQ14" s="238">
        <f t="shared" si="6"/>
        <v>0</v>
      </c>
      <c r="AR14" s="238">
        <f t="shared" si="6"/>
        <v>0</v>
      </c>
      <c r="AS14" s="238">
        <f t="shared" si="6"/>
        <v>0</v>
      </c>
      <c r="AT14" s="239">
        <f t="shared" si="6"/>
        <v>50</v>
      </c>
    </row>
    <row r="15" spans="1:46" ht="15.75" customHeight="1" x14ac:dyDescent="0.25">
      <c r="AJ15" s="537" t="s">
        <v>70</v>
      </c>
      <c r="AL15" s="217" t="s">
        <v>53</v>
      </c>
      <c r="AM15" s="217" t="s">
        <v>2</v>
      </c>
      <c r="AN15" s="217" t="s">
        <v>72</v>
      </c>
      <c r="AO15" s="217" t="s">
        <v>0</v>
      </c>
      <c r="AP15" s="217" t="s">
        <v>5</v>
      </c>
      <c r="AQ15" s="217" t="s">
        <v>8</v>
      </c>
      <c r="AR15" s="217" t="s">
        <v>206</v>
      </c>
      <c r="AS15" s="217" t="s">
        <v>125</v>
      </c>
      <c r="AT15" s="154" t="s">
        <v>207</v>
      </c>
    </row>
    <row r="16" spans="1:46" ht="15.75" customHeight="1" x14ac:dyDescent="0.25">
      <c r="AJ16" s="537"/>
      <c r="AK16" s="227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537"/>
      <c r="AK17" s="228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72">
        <f t="shared" si="8"/>
        <v>9</v>
      </c>
    </row>
    <row r="18" spans="36:46" ht="15.75" customHeight="1" x14ac:dyDescent="0.25">
      <c r="AJ18" s="537"/>
      <c r="AK18" s="170" t="s">
        <v>6</v>
      </c>
      <c r="AL18" s="171">
        <f t="shared" ref="AL18:AT18" si="9">IF(ISBLANK(N6),0,VLOOKUP(N6,$E$4:$L$8,8,FALSE))</f>
        <v>0</v>
      </c>
      <c r="AM18" s="171">
        <f t="shared" si="9"/>
        <v>0</v>
      </c>
      <c r="AN18" s="171">
        <f t="shared" si="9"/>
        <v>0</v>
      </c>
      <c r="AO18" s="171">
        <f t="shared" si="9"/>
        <v>0</v>
      </c>
      <c r="AP18" s="171">
        <f t="shared" si="9"/>
        <v>0</v>
      </c>
      <c r="AQ18" s="171">
        <f t="shared" si="9"/>
        <v>0</v>
      </c>
      <c r="AR18" s="171">
        <f t="shared" si="9"/>
        <v>0</v>
      </c>
      <c r="AS18" s="171">
        <f t="shared" si="9"/>
        <v>0</v>
      </c>
      <c r="AT18" s="173">
        <f t="shared" si="9"/>
        <v>9</v>
      </c>
    </row>
    <row r="19" spans="36:46" ht="15.75" customHeight="1" x14ac:dyDescent="0.25">
      <c r="AJ19" s="537"/>
      <c r="AK19" s="229" t="s">
        <v>4</v>
      </c>
      <c r="AL19" s="112">
        <f t="shared" ref="AL19:AT19" si="10">IF(ISBLANK(N7),0,VLOOKUP(N7,$E$4:$L$8,8,FALSE))</f>
        <v>0</v>
      </c>
      <c r="AM19" s="112">
        <f t="shared" si="10"/>
        <v>0</v>
      </c>
      <c r="AN19" s="112">
        <f t="shared" si="10"/>
        <v>0</v>
      </c>
      <c r="AO19" s="112">
        <f t="shared" si="10"/>
        <v>0</v>
      </c>
      <c r="AP19" s="112">
        <f t="shared" si="10"/>
        <v>0</v>
      </c>
      <c r="AQ19" s="112">
        <f t="shared" si="10"/>
        <v>0</v>
      </c>
      <c r="AR19" s="112">
        <f t="shared" si="10"/>
        <v>0</v>
      </c>
      <c r="AS19" s="112">
        <f t="shared" si="10"/>
        <v>0</v>
      </c>
      <c r="AT19" s="174">
        <f t="shared" si="10"/>
        <v>0</v>
      </c>
    </row>
    <row r="20" spans="36:46" ht="15.75" customHeight="1" x14ac:dyDescent="0.25">
      <c r="AJ20" s="538"/>
      <c r="AK20" s="237" t="s">
        <v>3</v>
      </c>
      <c r="AL20" s="238">
        <f t="shared" ref="AL20:AT20" si="11">IF(ISBLANK(N8),0,VLOOKUP(N8,$E$4:$L$8,8,FALSE))</f>
        <v>0</v>
      </c>
      <c r="AM20" s="238">
        <f t="shared" si="11"/>
        <v>0</v>
      </c>
      <c r="AN20" s="238">
        <f t="shared" si="11"/>
        <v>0</v>
      </c>
      <c r="AO20" s="238">
        <f t="shared" si="11"/>
        <v>0</v>
      </c>
      <c r="AP20" s="238">
        <f t="shared" si="11"/>
        <v>0</v>
      </c>
      <c r="AQ20" s="238">
        <f t="shared" si="11"/>
        <v>0</v>
      </c>
      <c r="AR20" s="238">
        <f t="shared" si="11"/>
        <v>0</v>
      </c>
      <c r="AS20" s="238">
        <f t="shared" si="11"/>
        <v>0</v>
      </c>
      <c r="AT20" s="239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37" priority="7" operator="equal">
      <formula>"X"</formula>
    </cfRule>
    <cfRule type="cellIs" dxfId="36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15" customWidth="1"/>
    <col min="2" max="2" width="5.28515625" style="115" customWidth="1"/>
    <col min="3" max="8" width="8.7109375" style="115" customWidth="1"/>
    <col min="9" max="16384" width="9.140625" style="115"/>
  </cols>
  <sheetData>
    <row r="1" spans="1:8" ht="29.25" customHeight="1" x14ac:dyDescent="0.25">
      <c r="A1" s="551" t="s">
        <v>185</v>
      </c>
      <c r="B1" s="552"/>
      <c r="C1" s="552"/>
      <c r="D1" s="552"/>
      <c r="E1" s="552"/>
      <c r="F1" s="552"/>
      <c r="G1" s="552"/>
      <c r="H1" s="553"/>
    </row>
    <row r="2" spans="1:8" s="116" customFormat="1" x14ac:dyDescent="0.25">
      <c r="A2" s="117"/>
      <c r="B2" s="118"/>
      <c r="C2" s="119" t="s">
        <v>178</v>
      </c>
      <c r="D2" s="119" t="s">
        <v>179</v>
      </c>
      <c r="E2" s="119" t="s">
        <v>177</v>
      </c>
      <c r="F2" s="119" t="s">
        <v>182</v>
      </c>
      <c r="G2" s="119" t="s">
        <v>181</v>
      </c>
      <c r="H2" s="120" t="s">
        <v>180</v>
      </c>
    </row>
    <row r="3" spans="1:8" ht="18.75" customHeight="1" x14ac:dyDescent="0.25">
      <c r="A3" s="548" t="s">
        <v>35</v>
      </c>
      <c r="B3" s="121" t="s">
        <v>183</v>
      </c>
      <c r="C3" s="126">
        <v>8</v>
      </c>
      <c r="D3" s="126">
        <v>18</v>
      </c>
      <c r="E3" s="126">
        <v>2</v>
      </c>
      <c r="F3" s="126">
        <v>0</v>
      </c>
      <c r="G3" s="126">
        <v>4</v>
      </c>
      <c r="H3" s="127">
        <v>2</v>
      </c>
    </row>
    <row r="4" spans="1:8" ht="18.75" customHeight="1" x14ac:dyDescent="0.25">
      <c r="A4" s="549"/>
      <c r="B4" s="122" t="s">
        <v>184</v>
      </c>
      <c r="C4" s="128">
        <v>23</v>
      </c>
      <c r="D4" s="128">
        <v>27</v>
      </c>
      <c r="E4" s="128">
        <v>4</v>
      </c>
      <c r="F4" s="128">
        <v>1</v>
      </c>
      <c r="G4" s="128">
        <v>4</v>
      </c>
      <c r="H4" s="129">
        <v>2</v>
      </c>
    </row>
    <row r="5" spans="1:8" ht="18.75" customHeight="1" x14ac:dyDescent="0.25">
      <c r="A5" s="550"/>
      <c r="B5" s="136">
        <v>70</v>
      </c>
      <c r="C5" s="137">
        <v>29</v>
      </c>
      <c r="D5" s="137">
        <v>30</v>
      </c>
      <c r="E5" s="137">
        <v>4</v>
      </c>
      <c r="F5" s="137">
        <v>1</v>
      </c>
      <c r="G5" s="137">
        <v>4</v>
      </c>
      <c r="H5" s="138">
        <v>2</v>
      </c>
    </row>
    <row r="6" spans="1:8" ht="18.75" customHeight="1" x14ac:dyDescent="0.25">
      <c r="A6" s="545" t="s">
        <v>36</v>
      </c>
      <c r="B6" s="123" t="s">
        <v>183</v>
      </c>
      <c r="C6" s="130">
        <v>11</v>
      </c>
      <c r="D6" s="130">
        <v>20</v>
      </c>
      <c r="E6" s="130">
        <v>5</v>
      </c>
      <c r="F6" s="130">
        <v>0</v>
      </c>
      <c r="G6" s="130">
        <v>5</v>
      </c>
      <c r="H6" s="131">
        <v>4</v>
      </c>
    </row>
    <row r="7" spans="1:8" ht="18.75" customHeight="1" x14ac:dyDescent="0.25">
      <c r="A7" s="546"/>
      <c r="B7" s="124" t="s">
        <v>184</v>
      </c>
      <c r="C7" s="132">
        <v>31</v>
      </c>
      <c r="D7" s="132">
        <v>32</v>
      </c>
      <c r="E7" s="132">
        <v>5</v>
      </c>
      <c r="F7" s="132">
        <v>2</v>
      </c>
      <c r="G7" s="132">
        <v>5</v>
      </c>
      <c r="H7" s="133">
        <v>4</v>
      </c>
    </row>
    <row r="8" spans="1:8" ht="18.75" customHeight="1" x14ac:dyDescent="0.25">
      <c r="A8" s="547"/>
      <c r="B8" s="139">
        <v>70</v>
      </c>
      <c r="C8" s="140">
        <v>39</v>
      </c>
      <c r="D8" s="140">
        <v>36</v>
      </c>
      <c r="E8" s="140">
        <v>5</v>
      </c>
      <c r="F8" s="140">
        <v>2</v>
      </c>
      <c r="G8" s="140">
        <v>5</v>
      </c>
      <c r="H8" s="141">
        <v>4</v>
      </c>
    </row>
    <row r="9" spans="1:8" ht="18.75" customHeight="1" x14ac:dyDescent="0.25">
      <c r="A9" s="543" t="s">
        <v>37</v>
      </c>
      <c r="B9" s="125" t="s">
        <v>183</v>
      </c>
      <c r="C9" s="134">
        <v>13</v>
      </c>
      <c r="D9" s="134">
        <v>28</v>
      </c>
      <c r="E9" s="134">
        <v>0</v>
      </c>
      <c r="F9" s="134">
        <v>2</v>
      </c>
      <c r="G9" s="134">
        <v>6</v>
      </c>
      <c r="H9" s="135">
        <v>0</v>
      </c>
    </row>
    <row r="10" spans="1:8" ht="18.75" customHeight="1" x14ac:dyDescent="0.25">
      <c r="A10" s="543"/>
      <c r="B10" s="125" t="s">
        <v>184</v>
      </c>
      <c r="C10" s="134">
        <v>38</v>
      </c>
      <c r="D10" s="134">
        <v>43</v>
      </c>
      <c r="E10" s="134">
        <v>0</v>
      </c>
      <c r="F10" s="134">
        <v>4</v>
      </c>
      <c r="G10" s="134">
        <v>6</v>
      </c>
      <c r="H10" s="135">
        <v>5</v>
      </c>
    </row>
    <row r="11" spans="1:8" ht="18.75" customHeight="1" x14ac:dyDescent="0.25">
      <c r="A11" s="544"/>
      <c r="B11" s="142">
        <v>70</v>
      </c>
      <c r="C11" s="143">
        <v>48</v>
      </c>
      <c r="D11" s="143">
        <v>48</v>
      </c>
      <c r="E11" s="143">
        <v>0</v>
      </c>
      <c r="F11" s="143">
        <v>4</v>
      </c>
      <c r="G11" s="143">
        <v>6</v>
      </c>
      <c r="H11" s="144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68" customWidth="1"/>
    <col min="9" max="9" width="9.140625" style="68"/>
    <col min="10" max="16384" width="9.140625" style="220"/>
  </cols>
  <sheetData>
    <row r="1" spans="1:15" s="217" customFormat="1" ht="15" customHeight="1" x14ac:dyDescent="0.25">
      <c r="A1" s="69" t="s">
        <v>13</v>
      </c>
      <c r="B1" s="69" t="s">
        <v>31</v>
      </c>
      <c r="C1" s="69" t="s">
        <v>13</v>
      </c>
      <c r="D1" s="69" t="s">
        <v>132</v>
      </c>
      <c r="E1" s="69" t="s">
        <v>13</v>
      </c>
      <c r="F1" s="69" t="s">
        <v>70</v>
      </c>
      <c r="G1" s="69" t="s">
        <v>13</v>
      </c>
      <c r="H1" s="69" t="s">
        <v>66</v>
      </c>
      <c r="I1" s="69"/>
    </row>
    <row r="2" spans="1:15" ht="15" customHeight="1" x14ac:dyDescent="0.25">
      <c r="A2" s="68">
        <v>80</v>
      </c>
      <c r="B2" s="68">
        <v>1070</v>
      </c>
      <c r="C2" s="68">
        <v>80</v>
      </c>
      <c r="D2" s="68">
        <v>424</v>
      </c>
      <c r="E2" s="68">
        <v>80</v>
      </c>
      <c r="F2" s="68">
        <v>33</v>
      </c>
      <c r="G2" s="68">
        <v>80</v>
      </c>
      <c r="H2" s="68">
        <v>84</v>
      </c>
    </row>
    <row r="3" spans="1:15" ht="15" customHeight="1" x14ac:dyDescent="0.25">
      <c r="A3" s="68">
        <v>20</v>
      </c>
      <c r="B3" s="68">
        <v>186</v>
      </c>
      <c r="C3" s="68">
        <v>20</v>
      </c>
      <c r="D3" s="68">
        <v>58</v>
      </c>
      <c r="E3" s="68">
        <v>20</v>
      </c>
      <c r="F3" s="68">
        <v>8</v>
      </c>
      <c r="G3" s="68">
        <v>99</v>
      </c>
      <c r="H3" s="68">
        <v>90</v>
      </c>
    </row>
    <row r="4" spans="1:15" ht="15" customHeight="1" x14ac:dyDescent="0.25">
      <c r="A4" s="68">
        <v>99</v>
      </c>
      <c r="B4" s="68">
        <v>1374</v>
      </c>
      <c r="C4" s="68">
        <v>99</v>
      </c>
      <c r="D4" s="68">
        <v>477</v>
      </c>
      <c r="E4" s="68">
        <v>60</v>
      </c>
      <c r="F4" s="68">
        <v>27</v>
      </c>
      <c r="G4" s="68">
        <v>99</v>
      </c>
      <c r="H4" s="68">
        <v>98</v>
      </c>
    </row>
    <row r="5" spans="1:15" ht="15" customHeight="1" x14ac:dyDescent="0.25">
      <c r="A5" s="68">
        <v>99</v>
      </c>
      <c r="B5" s="68">
        <v>1262</v>
      </c>
      <c r="C5" s="68">
        <v>99</v>
      </c>
      <c r="D5" s="68">
        <v>410</v>
      </c>
      <c r="E5" s="68">
        <v>50</v>
      </c>
      <c r="F5" s="68">
        <v>48</v>
      </c>
      <c r="G5" s="68">
        <v>37</v>
      </c>
      <c r="H5" s="68">
        <v>36</v>
      </c>
    </row>
    <row r="6" spans="1:15" ht="15" customHeight="1" x14ac:dyDescent="0.25">
      <c r="A6" s="68">
        <v>37</v>
      </c>
      <c r="B6" s="68">
        <v>490</v>
      </c>
      <c r="C6" s="68">
        <v>37</v>
      </c>
      <c r="D6" s="68">
        <v>142</v>
      </c>
      <c r="E6" s="68">
        <v>66</v>
      </c>
      <c r="F6" s="68">
        <v>41</v>
      </c>
      <c r="G6" s="68">
        <v>99</v>
      </c>
      <c r="H6" s="68">
        <v>116</v>
      </c>
    </row>
    <row r="7" spans="1:15" ht="15" customHeight="1" x14ac:dyDescent="0.25">
      <c r="A7" s="68">
        <v>99</v>
      </c>
      <c r="B7" s="68">
        <v>1358</v>
      </c>
      <c r="C7" s="68">
        <v>99</v>
      </c>
      <c r="D7" s="68">
        <v>479</v>
      </c>
      <c r="E7" s="68">
        <v>99</v>
      </c>
      <c r="F7" s="68">
        <v>45</v>
      </c>
      <c r="G7" s="68">
        <v>26</v>
      </c>
      <c r="H7" s="68">
        <v>36</v>
      </c>
    </row>
    <row r="8" spans="1:15" ht="15" customHeight="1" x14ac:dyDescent="0.25">
      <c r="A8" s="68">
        <v>26</v>
      </c>
      <c r="B8" s="68">
        <v>360</v>
      </c>
      <c r="C8" s="68">
        <v>26</v>
      </c>
      <c r="D8" s="68">
        <v>192</v>
      </c>
      <c r="E8" s="68">
        <v>99</v>
      </c>
      <c r="F8" s="68">
        <v>46</v>
      </c>
    </row>
    <row r="9" spans="1:15" ht="15" customHeight="1" x14ac:dyDescent="0.25">
      <c r="A9" s="68">
        <v>191</v>
      </c>
      <c r="B9" s="68">
        <v>2610</v>
      </c>
      <c r="C9" s="68">
        <v>191</v>
      </c>
      <c r="D9" s="68">
        <v>1340</v>
      </c>
      <c r="E9" s="68">
        <v>37</v>
      </c>
      <c r="F9" s="68">
        <v>18</v>
      </c>
    </row>
    <row r="10" spans="1:15" ht="15" customHeight="1" x14ac:dyDescent="0.25">
      <c r="E10" s="68">
        <v>99</v>
      </c>
      <c r="F10" s="68">
        <v>59</v>
      </c>
    </row>
    <row r="11" spans="1:15" ht="15" customHeight="1" x14ac:dyDescent="0.25">
      <c r="E11" s="68">
        <v>26</v>
      </c>
      <c r="F11" s="68">
        <v>15</v>
      </c>
    </row>
    <row r="12" spans="1:15" ht="15" customHeight="1" x14ac:dyDescent="0.25">
      <c r="E12" s="68">
        <v>191</v>
      </c>
      <c r="F12" s="68">
        <v>97</v>
      </c>
    </row>
    <row r="15" spans="1:15" ht="15" customHeight="1" x14ac:dyDescent="0.25">
      <c r="M15" s="266"/>
      <c r="N15" s="266"/>
      <c r="O15" s="266"/>
    </row>
    <row r="16" spans="1:15" ht="15" customHeight="1" x14ac:dyDescent="0.25">
      <c r="N16" s="254"/>
      <c r="O16" s="254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F0D4-41F0-4ECA-96F6-6010F142600F}">
  <sheetPr>
    <tabColor rgb="FF8037B7"/>
  </sheetPr>
  <dimension ref="A1:BX44"/>
  <sheetViews>
    <sheetView topLeftCell="X7" zoomScaleNormal="100" workbookViewId="0">
      <selection activeCell="Z2" sqref="Z2:AF24"/>
    </sheetView>
  </sheetViews>
  <sheetFormatPr defaultRowHeight="18.75" customHeight="1" x14ac:dyDescent="0.25"/>
  <cols>
    <col min="1" max="4" width="7.140625" style="438" customWidth="1"/>
    <col min="5" max="5" width="9.7109375" style="438" customWidth="1"/>
    <col min="6" max="6" width="6.42578125" style="438" customWidth="1"/>
    <col min="7" max="7" width="4.28515625" style="438" customWidth="1"/>
    <col min="8" max="9" width="8.5703125" style="438" customWidth="1"/>
    <col min="10" max="10" width="7" style="438" customWidth="1"/>
    <col min="11" max="13" width="4.7109375" style="438" customWidth="1"/>
    <col min="14" max="14" width="7" style="438" customWidth="1"/>
    <col min="15" max="16" width="4.7109375" style="438" customWidth="1"/>
    <col min="17" max="17" width="9.7109375" style="438" customWidth="1"/>
    <col min="18" max="18" width="6.42578125" style="438" customWidth="1"/>
    <col min="19" max="19" width="9.7109375" style="438" customWidth="1"/>
    <col min="20" max="21" width="5" style="438" customWidth="1"/>
    <col min="22" max="22" width="4.7109375" style="438" customWidth="1"/>
    <col min="23" max="23" width="5" style="438" customWidth="1"/>
    <col min="24" max="24" width="9.85546875" style="454" customWidth="1"/>
    <col min="25" max="25" width="6.85546875" style="467" customWidth="1"/>
    <col min="26" max="26" width="9.85546875" style="440" customWidth="1"/>
    <col min="27" max="32" width="6.85546875" style="440" customWidth="1"/>
    <col min="33" max="45" width="6.28515625" style="460" customWidth="1"/>
    <col min="46" max="46" width="4" style="454" customWidth="1"/>
    <col min="47" max="47" width="3.140625" style="454" customWidth="1"/>
    <col min="48" max="48" width="4.85546875" style="454" customWidth="1"/>
    <col min="49" max="50" width="6.28515625" style="460" customWidth="1"/>
    <col min="51" max="51" width="3.140625" style="454" customWidth="1"/>
    <col min="52" max="52" width="4.85546875" style="454" customWidth="1"/>
    <col min="53" max="54" width="6.28515625" style="460" customWidth="1"/>
    <col min="55" max="55" width="3.140625" style="454" customWidth="1"/>
    <col min="56" max="56" width="4.85546875" style="454" customWidth="1"/>
    <col min="57" max="58" width="6.28515625" style="460" customWidth="1"/>
    <col min="59" max="59" width="4" style="454" customWidth="1"/>
    <col min="60" max="60" width="3.140625" style="454" customWidth="1"/>
    <col min="61" max="61" width="4.85546875" style="454" customWidth="1"/>
    <col min="62" max="63" width="6.28515625" style="460" customWidth="1"/>
    <col min="64" max="64" width="3.140625" style="454" customWidth="1"/>
    <col min="65" max="65" width="4.85546875" style="454" customWidth="1"/>
    <col min="66" max="67" width="6.28515625" style="460" customWidth="1"/>
    <col min="68" max="68" width="3.140625" style="454" customWidth="1"/>
    <col min="69" max="69" width="4.85546875" style="454" customWidth="1"/>
    <col min="70" max="71" width="6.28515625" style="460" customWidth="1"/>
    <col min="72" max="72" width="4" style="454" customWidth="1"/>
    <col min="73" max="73" width="8.85546875" style="440" customWidth="1"/>
    <col min="74" max="76" width="6.7109375" style="440" customWidth="1"/>
    <col min="77" max="16384" width="9.140625" style="438"/>
  </cols>
  <sheetData>
    <row r="1" spans="1:76" ht="30" customHeight="1" x14ac:dyDescent="0.25">
      <c r="A1" s="609" t="s">
        <v>209</v>
      </c>
      <c r="B1" s="610"/>
      <c r="C1" s="610"/>
      <c r="D1" s="610"/>
      <c r="E1" s="610"/>
      <c r="F1" s="610"/>
      <c r="G1" s="610"/>
      <c r="H1" s="610"/>
      <c r="I1" s="610"/>
      <c r="J1" s="610"/>
      <c r="K1" s="610"/>
      <c r="L1" s="610"/>
      <c r="M1" s="610"/>
      <c r="N1" s="610"/>
      <c r="O1" s="610"/>
      <c r="P1" s="610"/>
      <c r="Q1" s="610"/>
      <c r="R1" s="610"/>
      <c r="S1" s="610"/>
      <c r="T1" s="610"/>
      <c r="U1" s="610"/>
      <c r="V1" s="610"/>
      <c r="W1" s="611"/>
      <c r="X1" s="606" t="s">
        <v>221</v>
      </c>
      <c r="Y1" s="607"/>
      <c r="Z1" s="607"/>
      <c r="AA1" s="607"/>
      <c r="AB1" s="607"/>
      <c r="AC1" s="607"/>
      <c r="AD1" s="607"/>
      <c r="AE1" s="607"/>
      <c r="AF1" s="607"/>
      <c r="AG1" s="607"/>
      <c r="AH1" s="607"/>
      <c r="AI1" s="607"/>
      <c r="AJ1" s="607"/>
      <c r="AK1" s="607"/>
      <c r="AL1" s="607"/>
      <c r="AM1" s="607"/>
      <c r="AN1" s="607"/>
      <c r="AO1" s="607"/>
      <c r="AP1" s="607"/>
      <c r="AQ1" s="607"/>
      <c r="AR1" s="607"/>
      <c r="AS1" s="607"/>
      <c r="AT1" s="607"/>
      <c r="AU1" s="607"/>
      <c r="AV1" s="607"/>
      <c r="AW1" s="607"/>
      <c r="AX1" s="607"/>
      <c r="AY1" s="607"/>
      <c r="AZ1" s="607"/>
      <c r="BA1" s="607"/>
      <c r="BB1" s="607"/>
      <c r="BC1" s="607"/>
      <c r="BD1" s="607"/>
      <c r="BE1" s="607"/>
      <c r="BF1" s="607"/>
      <c r="BG1" s="607"/>
      <c r="BH1" s="607"/>
      <c r="BI1" s="607"/>
      <c r="BJ1" s="607"/>
      <c r="BK1" s="607"/>
      <c r="BL1" s="607"/>
      <c r="BM1" s="607"/>
      <c r="BN1" s="607"/>
      <c r="BO1" s="607"/>
      <c r="BP1" s="607"/>
      <c r="BQ1" s="607"/>
      <c r="BR1" s="607"/>
      <c r="BS1" s="607"/>
      <c r="BT1" s="607"/>
      <c r="BU1" s="607"/>
      <c r="BV1" s="607"/>
      <c r="BW1" s="607"/>
      <c r="BX1" s="608"/>
    </row>
    <row r="2" spans="1:76" ht="18.75" customHeight="1" x14ac:dyDescent="0.25">
      <c r="A2" s="602" t="s">
        <v>215</v>
      </c>
      <c r="B2" s="602"/>
      <c r="C2" s="602"/>
      <c r="D2" s="602"/>
      <c r="E2" s="603" t="s">
        <v>60</v>
      </c>
      <c r="F2" s="603"/>
      <c r="G2" s="615" t="s">
        <v>227</v>
      </c>
      <c r="H2" s="616"/>
      <c r="I2" s="616"/>
      <c r="J2" s="616"/>
      <c r="K2" s="616"/>
      <c r="L2" s="616"/>
      <c r="M2" s="616"/>
      <c r="N2" s="616"/>
      <c r="O2" s="616"/>
      <c r="P2" s="616"/>
      <c r="Q2" s="604" t="s">
        <v>250</v>
      </c>
      <c r="R2" s="604"/>
      <c r="S2" s="612" t="s">
        <v>24</v>
      </c>
      <c r="T2" s="613"/>
      <c r="U2" s="613"/>
      <c r="V2" s="613"/>
      <c r="W2" s="614"/>
      <c r="X2" s="573" t="s">
        <v>439</v>
      </c>
      <c r="Y2" s="574"/>
      <c r="Z2" s="605" t="s">
        <v>220</v>
      </c>
      <c r="AA2" s="605"/>
      <c r="AB2" s="605"/>
      <c r="AC2" s="605"/>
      <c r="AD2" s="605"/>
      <c r="AE2" s="605"/>
      <c r="AF2" s="605"/>
      <c r="AG2" s="573" t="s">
        <v>436</v>
      </c>
      <c r="AH2" s="574"/>
      <c r="AI2" s="574"/>
      <c r="AJ2" s="574"/>
      <c r="AK2" s="574"/>
      <c r="AL2" s="574"/>
      <c r="AM2" s="574"/>
      <c r="AN2" s="574"/>
      <c r="AO2" s="574"/>
      <c r="AP2" s="574"/>
      <c r="AQ2" s="574"/>
      <c r="AR2" s="574"/>
      <c r="AS2" s="574"/>
      <c r="AT2" s="576"/>
      <c r="AU2" s="576"/>
      <c r="AV2" s="576"/>
      <c r="AW2" s="576"/>
      <c r="AX2" s="576"/>
      <c r="AY2" s="576"/>
      <c r="AZ2" s="576"/>
      <c r="BA2" s="576"/>
      <c r="BB2" s="576"/>
      <c r="BC2" s="576"/>
      <c r="BD2" s="576"/>
      <c r="BE2" s="576"/>
      <c r="BF2" s="576"/>
      <c r="BG2" s="576"/>
      <c r="BH2" s="576"/>
      <c r="BI2" s="576"/>
      <c r="BJ2" s="576"/>
      <c r="BK2" s="576"/>
      <c r="BL2" s="576"/>
      <c r="BM2" s="576"/>
      <c r="BN2" s="576"/>
      <c r="BO2" s="576"/>
      <c r="BP2" s="576"/>
      <c r="BQ2" s="576"/>
      <c r="BR2" s="576"/>
      <c r="BS2" s="577"/>
      <c r="BT2" s="560" t="s">
        <v>214</v>
      </c>
      <c r="BU2" s="561"/>
      <c r="BV2" s="561"/>
      <c r="BW2" s="561"/>
      <c r="BX2" s="562"/>
    </row>
    <row r="3" spans="1:76" ht="18.75" customHeight="1" x14ac:dyDescent="0.25">
      <c r="A3" s="440"/>
      <c r="B3" s="441" t="s">
        <v>65</v>
      </c>
      <c r="C3" s="441" t="s">
        <v>67</v>
      </c>
      <c r="D3" s="441" t="s">
        <v>71</v>
      </c>
      <c r="E3" s="442"/>
      <c r="F3" s="442" t="s">
        <v>420</v>
      </c>
      <c r="G3" s="443" t="s">
        <v>234</v>
      </c>
      <c r="H3" s="443" t="s">
        <v>413</v>
      </c>
      <c r="I3" s="443" t="s">
        <v>415</v>
      </c>
      <c r="J3" s="443" t="s">
        <v>414</v>
      </c>
      <c r="K3" s="443" t="s">
        <v>253</v>
      </c>
      <c r="L3" s="443" t="s">
        <v>254</v>
      </c>
      <c r="M3" s="443" t="s">
        <v>417</v>
      </c>
      <c r="N3" s="473" t="s">
        <v>441</v>
      </c>
      <c r="O3" s="473" t="s">
        <v>253</v>
      </c>
      <c r="P3" s="473" t="s">
        <v>254</v>
      </c>
      <c r="Q3" s="444"/>
      <c r="R3" s="444" t="s">
        <v>420</v>
      </c>
      <c r="S3" s="445"/>
      <c r="T3" s="445" t="s">
        <v>444</v>
      </c>
      <c r="U3" s="464" t="s">
        <v>15</v>
      </c>
      <c r="V3" s="475"/>
      <c r="W3" s="475" t="s">
        <v>441</v>
      </c>
      <c r="X3" s="468" t="s">
        <v>440</v>
      </c>
      <c r="Y3" s="469" t="s">
        <v>438</v>
      </c>
      <c r="Z3" s="447" t="s">
        <v>65</v>
      </c>
      <c r="AA3" s="447" t="s">
        <v>204</v>
      </c>
      <c r="AB3" s="447" t="s">
        <v>14</v>
      </c>
      <c r="AC3" s="447" t="s">
        <v>205</v>
      </c>
      <c r="AD3" s="447" t="s">
        <v>86</v>
      </c>
      <c r="AE3" s="447" t="s">
        <v>14</v>
      </c>
      <c r="AF3" s="447" t="s">
        <v>205</v>
      </c>
      <c r="AG3" s="573"/>
      <c r="AH3" s="574"/>
      <c r="AI3" s="574"/>
      <c r="AJ3" s="574"/>
      <c r="AK3" s="574"/>
      <c r="AL3" s="574"/>
      <c r="AM3" s="574"/>
      <c r="AN3" s="574"/>
      <c r="AO3" s="574"/>
      <c r="AP3" s="574"/>
      <c r="AQ3" s="574"/>
      <c r="AR3" s="574"/>
      <c r="AS3" s="575"/>
      <c r="AT3" s="578" t="s">
        <v>446</v>
      </c>
      <c r="AU3" s="579"/>
      <c r="AV3" s="579"/>
      <c r="AW3" s="579"/>
      <c r="AX3" s="579"/>
      <c r="AY3" s="579"/>
      <c r="AZ3" s="579"/>
      <c r="BA3" s="579"/>
      <c r="BB3" s="579"/>
      <c r="BC3" s="579"/>
      <c r="BD3" s="579"/>
      <c r="BE3" s="579"/>
      <c r="BF3" s="579"/>
      <c r="BG3" s="579"/>
      <c r="BH3" s="579"/>
      <c r="BI3" s="579"/>
      <c r="BJ3" s="579"/>
      <c r="BK3" s="579"/>
      <c r="BL3" s="579"/>
      <c r="BM3" s="579"/>
      <c r="BN3" s="579"/>
      <c r="BO3" s="579"/>
      <c r="BP3" s="579"/>
      <c r="BQ3" s="579"/>
      <c r="BR3" s="579"/>
      <c r="BS3" s="580"/>
      <c r="BT3" s="466"/>
      <c r="BU3" s="466"/>
      <c r="BV3" s="453" t="s">
        <v>418</v>
      </c>
      <c r="BW3" s="453" t="s">
        <v>419</v>
      </c>
      <c r="BX3" s="453" t="s">
        <v>412</v>
      </c>
    </row>
    <row r="4" spans="1:76" ht="18.75" customHeight="1" x14ac:dyDescent="0.25">
      <c r="A4" s="441" t="s">
        <v>204</v>
      </c>
      <c r="B4" s="441">
        <v>15</v>
      </c>
      <c r="C4" s="440">
        <v>30</v>
      </c>
      <c r="D4" s="440">
        <v>40</v>
      </c>
      <c r="E4" s="442" t="s">
        <v>418</v>
      </c>
      <c r="F4" s="336">
        <v>149</v>
      </c>
      <c r="G4" s="462">
        <v>10</v>
      </c>
      <c r="H4" s="339">
        <v>1</v>
      </c>
      <c r="I4" s="339">
        <v>1</v>
      </c>
      <c r="J4" s="443" t="s">
        <v>416</v>
      </c>
      <c r="K4" s="339">
        <v>350</v>
      </c>
      <c r="L4" s="339">
        <v>250</v>
      </c>
      <c r="M4" s="339">
        <v>120</v>
      </c>
      <c r="N4" s="474">
        <v>0</v>
      </c>
      <c r="O4" s="474">
        <v>50</v>
      </c>
      <c r="P4" s="474">
        <v>30</v>
      </c>
      <c r="Q4" s="444" t="s">
        <v>418</v>
      </c>
      <c r="R4" s="348">
        <v>0</v>
      </c>
      <c r="S4" s="445" t="s">
        <v>422</v>
      </c>
      <c r="T4" s="346">
        <v>47</v>
      </c>
      <c r="U4" s="346">
        <v>30</v>
      </c>
      <c r="V4" s="475" t="s">
        <v>53</v>
      </c>
      <c r="W4" s="476">
        <v>2</v>
      </c>
      <c r="X4" s="468" t="s">
        <v>418</v>
      </c>
      <c r="Y4" s="470">
        <v>1</v>
      </c>
      <c r="Z4" s="447" t="s">
        <v>418</v>
      </c>
      <c r="AA4" s="448">
        <f>IF(AB4=0,NA(),SUMIFS(D厄魔!D:D,D厄魔!$A:$A,"=中",D厄魔!$B:$B,"=" &amp; AA$3)/AB4)</f>
        <v>8.1977272727272723</v>
      </c>
      <c r="AB4" s="449">
        <f>SUMIFS(D厄魔!$C:$C,D厄魔!$A:$A,"=中",D厄魔!$B:$B,"=" &amp; AA$3)</f>
        <v>440</v>
      </c>
      <c r="AC4" s="450">
        <f>IF(AA4=0,NA(),$B$4/AA4)</f>
        <v>1.8297754366509567</v>
      </c>
      <c r="AD4" s="448">
        <f>IF(AE4=0,NA(),SUMIFS(D厄魔!D:D,D厄魔!$A:$A,"=中",D厄魔!$B:$B,"=" &amp; AD$3)/AE4)</f>
        <v>13</v>
      </c>
      <c r="AE4" s="449">
        <f>SUMIFS(D厄魔!$C:$C,D厄魔!$A:$A,"=中",D厄魔!$B:$B,"=" &amp; AD$3)</f>
        <v>1</v>
      </c>
      <c r="AF4" s="450">
        <f>IF(AD4=0,NA(),$B$5/AD4)</f>
        <v>0.76923076923076927</v>
      </c>
      <c r="AG4" s="566" t="s">
        <v>418</v>
      </c>
      <c r="AH4" s="570" t="s">
        <v>65</v>
      </c>
      <c r="AI4" s="571"/>
      <c r="AJ4" s="571"/>
      <c r="AK4" s="572"/>
      <c r="AL4" s="570" t="s">
        <v>67</v>
      </c>
      <c r="AM4" s="571"/>
      <c r="AN4" s="571"/>
      <c r="AO4" s="572"/>
      <c r="AP4" s="570" t="s">
        <v>71</v>
      </c>
      <c r="AQ4" s="571"/>
      <c r="AR4" s="571"/>
      <c r="AS4" s="572"/>
      <c r="AT4" s="588" t="s">
        <v>422</v>
      </c>
      <c r="AU4" s="596" t="s">
        <v>418</v>
      </c>
      <c r="AV4" s="597"/>
      <c r="AW4" s="594">
        <f>MAX(VLOOKUP(AT4, $BU$4:$BX$9, 2, FALSE) - VLOOKUP(AU4, $E$4:$F$11, 2, FALSE) + VLOOKUP(AU4, $Q$4:$R$11, 2, FALSE), 0)</f>
        <v>0</v>
      </c>
      <c r="AX4" s="595"/>
      <c r="AY4" s="598" t="s">
        <v>419</v>
      </c>
      <c r="AZ4" s="599"/>
      <c r="BA4" s="594">
        <f>MAX(VLOOKUP(AT4, $BU$4:$BX$9, 3, FALSE) - VLOOKUP(AY4, $E$4:$F$11, 2, FALSE) + VLOOKUP(AY4, $Q$4:$R$11, 2, FALSE), 0)</f>
        <v>0</v>
      </c>
      <c r="BB4" s="595"/>
      <c r="BC4" s="600" t="s">
        <v>412</v>
      </c>
      <c r="BD4" s="601"/>
      <c r="BE4" s="594">
        <f>MAX(VLOOKUP(AT4, $BU$4:$BX$9, 4, FALSE) - VLOOKUP(AT4, $E$4:$F$11, 2, FALSE) + VLOOKUP(AT4, $Q$4:$R$11, 2, FALSE), 0)</f>
        <v>0</v>
      </c>
      <c r="BF4" s="595"/>
      <c r="BG4" s="588" t="s">
        <v>423</v>
      </c>
      <c r="BH4" s="596" t="s">
        <v>418</v>
      </c>
      <c r="BI4" s="597"/>
      <c r="BJ4" s="594">
        <f>MAX(VLOOKUP(BG4, $BU$4:$BX$9, 2, FALSE) - VLOOKUP(BH4, $E$4:$F$11, 2, FALSE) + VLOOKUP(BH4, $Q$4:$R$11, 2, FALSE), 0)</f>
        <v>0</v>
      </c>
      <c r="BK4" s="595"/>
      <c r="BL4" s="598" t="s">
        <v>419</v>
      </c>
      <c r="BM4" s="599"/>
      <c r="BN4" s="594">
        <f>MAX(VLOOKUP(BG4, $BU$4:$BX$9, 3, FALSE) - VLOOKUP(BL4, $E$4:$F$11, 2, FALSE) + VLOOKUP(BL4, $Q$4:$R$11, 2, FALSE), 0)</f>
        <v>0</v>
      </c>
      <c r="BO4" s="595"/>
      <c r="BP4" s="600" t="s">
        <v>412</v>
      </c>
      <c r="BQ4" s="601"/>
      <c r="BR4" s="594">
        <f>MAX(VLOOKUP(BG4, $BU$4:$BX$9, 4, FALSE) - VLOOKUP(BG4, $E$4:$F$11, 2, FALSE) + VLOOKUP(BG4, $Q$4:$R$11, 2, FALSE), 0)</f>
        <v>0</v>
      </c>
      <c r="BS4" s="595"/>
      <c r="BT4" s="563" t="s">
        <v>412</v>
      </c>
      <c r="BU4" s="453" t="s">
        <v>422</v>
      </c>
      <c r="BV4" s="348">
        <f t="shared" ref="BV4:BV9" si="0">IF(ISBLANK($T4),0,VLOOKUP($T4,$G:$M,5,FALSE))</f>
        <v>0</v>
      </c>
      <c r="BW4" s="348">
        <f t="shared" ref="BW4:BW9" si="1">IF(ISBLANK($T4),0,VLOOKUP($T4,$G:$M,6,FALSE))</f>
        <v>0</v>
      </c>
      <c r="BX4" s="348">
        <f t="shared" ref="BX4:BX9" si="2">IF(ISBLANK($T4),0,VLOOKUP($T4,$G:$M,7,FALSE)+MAX(($N$8-$U4)*$N$10, 0))</f>
        <v>0</v>
      </c>
    </row>
    <row r="5" spans="1:76" ht="18.75" customHeight="1" x14ac:dyDescent="0.25">
      <c r="A5" s="441" t="s">
        <v>86</v>
      </c>
      <c r="B5" s="441">
        <v>10</v>
      </c>
      <c r="C5" s="440">
        <v>30</v>
      </c>
      <c r="D5" s="440"/>
      <c r="E5" s="442" t="s">
        <v>419</v>
      </c>
      <c r="F5" s="336">
        <v>0</v>
      </c>
      <c r="G5" s="462">
        <v>11</v>
      </c>
      <c r="H5" s="339">
        <v>1</v>
      </c>
      <c r="I5" s="339">
        <v>1</v>
      </c>
      <c r="J5" s="443" t="s">
        <v>408</v>
      </c>
      <c r="K5" s="339">
        <v>300</v>
      </c>
      <c r="L5" s="339">
        <v>250</v>
      </c>
      <c r="M5" s="339">
        <v>100</v>
      </c>
      <c r="N5" s="474">
        <v>1</v>
      </c>
      <c r="O5" s="474">
        <v>0</v>
      </c>
      <c r="P5" s="474">
        <v>30</v>
      </c>
      <c r="Q5" s="444" t="s">
        <v>419</v>
      </c>
      <c r="R5" s="348">
        <v>0</v>
      </c>
      <c r="S5" s="445" t="s">
        <v>423</v>
      </c>
      <c r="T5" s="346">
        <v>47</v>
      </c>
      <c r="U5" s="346">
        <v>30</v>
      </c>
      <c r="V5" s="475" t="s">
        <v>2</v>
      </c>
      <c r="W5" s="476">
        <v>2</v>
      </c>
      <c r="X5" s="468" t="s">
        <v>419</v>
      </c>
      <c r="Y5" s="470">
        <v>1</v>
      </c>
      <c r="Z5" s="447" t="s">
        <v>422</v>
      </c>
      <c r="AA5" s="448">
        <f>IF(AB5=0,NA(),SUMIFS(D厄魔!F:F,D厄魔!A:A,"=中",D厄魔!B:B,"=" &amp; AA$3)/AB5)</f>
        <v>1.3318181818181818</v>
      </c>
      <c r="AB5" s="449">
        <f>SUMIFS(D厄魔!$C:$C,D厄魔!$A:$A,"=中",D厄魔!$B:$B,"=" &amp; AA$3)</f>
        <v>440</v>
      </c>
      <c r="AC5" s="450">
        <f>IF(AA5=0,NA(),$B$4/AA5)</f>
        <v>11.262798634812286</v>
      </c>
      <c r="AD5" s="448">
        <f>IF(AE5=0,NA(),SUMIFS(D厄魔!F:F,D厄魔!$A:$A,"=中",D厄魔!$B:$B,"=" &amp; AD$3)/AE5)</f>
        <v>1</v>
      </c>
      <c r="AE5" s="449">
        <f>SUMIFS(D厄魔!$C:$C,D厄魔!$A:$A,"=中",D厄魔!$B:$B,"=" &amp; AD$3)</f>
        <v>1</v>
      </c>
      <c r="AF5" s="450">
        <f>IF(AD5=0,NA(),$B$5/AD5)</f>
        <v>10</v>
      </c>
      <c r="AG5" s="567"/>
      <c r="AH5" s="570" t="s">
        <v>204</v>
      </c>
      <c r="AI5" s="572"/>
      <c r="AJ5" s="570" t="s">
        <v>86</v>
      </c>
      <c r="AK5" s="572"/>
      <c r="AL5" s="570" t="s">
        <v>204</v>
      </c>
      <c r="AM5" s="572"/>
      <c r="AN5" s="570" t="s">
        <v>86</v>
      </c>
      <c r="AO5" s="572"/>
      <c r="AP5" s="570" t="s">
        <v>204</v>
      </c>
      <c r="AQ5" s="572"/>
      <c r="AR5" s="570" t="s">
        <v>86</v>
      </c>
      <c r="AS5" s="572"/>
      <c r="AT5" s="588"/>
      <c r="AU5" s="455" t="s">
        <v>431</v>
      </c>
      <c r="AV5" s="456" t="s">
        <v>434</v>
      </c>
      <c r="AW5" s="459" t="s">
        <v>13</v>
      </c>
      <c r="AX5" s="459" t="s">
        <v>238</v>
      </c>
      <c r="AY5" s="455" t="s">
        <v>431</v>
      </c>
      <c r="AZ5" s="456" t="s">
        <v>434</v>
      </c>
      <c r="BA5" s="459" t="s">
        <v>13</v>
      </c>
      <c r="BB5" s="459" t="s">
        <v>238</v>
      </c>
      <c r="BC5" s="455" t="s">
        <v>431</v>
      </c>
      <c r="BD5" s="456" t="s">
        <v>434</v>
      </c>
      <c r="BE5" s="459" t="s">
        <v>13</v>
      </c>
      <c r="BF5" s="459" t="s">
        <v>238</v>
      </c>
      <c r="BG5" s="588"/>
      <c r="BH5" s="455" t="s">
        <v>431</v>
      </c>
      <c r="BI5" s="456" t="s">
        <v>434</v>
      </c>
      <c r="BJ5" s="459" t="s">
        <v>13</v>
      </c>
      <c r="BK5" s="459" t="s">
        <v>238</v>
      </c>
      <c r="BL5" s="455" t="s">
        <v>431</v>
      </c>
      <c r="BM5" s="456" t="s">
        <v>434</v>
      </c>
      <c r="BN5" s="459" t="s">
        <v>13</v>
      </c>
      <c r="BO5" s="459" t="s">
        <v>238</v>
      </c>
      <c r="BP5" s="455" t="s">
        <v>431</v>
      </c>
      <c r="BQ5" s="456" t="s">
        <v>434</v>
      </c>
      <c r="BR5" s="459" t="s">
        <v>13</v>
      </c>
      <c r="BS5" s="459" t="s">
        <v>238</v>
      </c>
      <c r="BT5" s="564"/>
      <c r="BU5" s="453" t="s">
        <v>423</v>
      </c>
      <c r="BV5" s="348">
        <f t="shared" si="0"/>
        <v>0</v>
      </c>
      <c r="BW5" s="348">
        <f t="shared" si="1"/>
        <v>0</v>
      </c>
      <c r="BX5" s="348">
        <f t="shared" si="2"/>
        <v>0</v>
      </c>
    </row>
    <row r="6" spans="1:76" ht="18.75" customHeight="1" x14ac:dyDescent="0.25">
      <c r="E6" s="442" t="s">
        <v>422</v>
      </c>
      <c r="F6" s="336">
        <v>1602</v>
      </c>
      <c r="G6" s="462">
        <v>12</v>
      </c>
      <c r="H6" s="339">
        <v>1</v>
      </c>
      <c r="I6" s="339">
        <v>1</v>
      </c>
      <c r="J6" s="443" t="s">
        <v>409</v>
      </c>
      <c r="K6" s="339">
        <v>250</v>
      </c>
      <c r="L6" s="339">
        <v>250</v>
      </c>
      <c r="M6" s="339">
        <v>80</v>
      </c>
      <c r="N6" s="474">
        <v>2</v>
      </c>
      <c r="O6" s="474">
        <v>0</v>
      </c>
      <c r="P6" s="474">
        <v>0</v>
      </c>
      <c r="Q6" s="444" t="s">
        <v>422</v>
      </c>
      <c r="R6" s="348">
        <v>0</v>
      </c>
      <c r="S6" s="445" t="s">
        <v>421</v>
      </c>
      <c r="T6" s="346">
        <v>44</v>
      </c>
      <c r="U6" s="346">
        <v>30</v>
      </c>
      <c r="V6" s="475" t="s">
        <v>72</v>
      </c>
      <c r="W6" s="476">
        <v>2</v>
      </c>
      <c r="X6" s="468" t="s">
        <v>422</v>
      </c>
      <c r="Y6" s="470">
        <v>6</v>
      </c>
      <c r="Z6" s="447" t="s">
        <v>423</v>
      </c>
      <c r="AA6" s="448">
        <f>IF(AB6=0,NA(),SUMIFS(D厄魔!G:G,D厄魔!A:A,"=中",D厄魔!B:B,"=" &amp; AA$3)/AB6)</f>
        <v>1.3909090909090909</v>
      </c>
      <c r="AB6" s="449">
        <f>SUMIFS(D厄魔!$C:$C,D厄魔!$A:$A,"=中",D厄魔!$B:$B,"=" &amp; AA$3)</f>
        <v>440</v>
      </c>
      <c r="AC6" s="450">
        <f>IF(AA6=0,NA(),$B$4/AA6)</f>
        <v>10.784313725490197</v>
      </c>
      <c r="AD6" s="448">
        <f>IF(AE6=0,NA(),SUMIFS(D厄魔!G:G,D厄魔!$A:$A,"=中",D厄魔!$B:$B,"=" &amp; AD$3)/AE6)</f>
        <v>3</v>
      </c>
      <c r="AE6" s="449">
        <f>SUMIFS(D厄魔!$C:$C,D厄魔!$A:$A,"=中",D厄魔!$B:$B,"=" &amp; AD$3)</f>
        <v>1</v>
      </c>
      <c r="AF6" s="450">
        <f>IF(AD6=0,NA(),$B$5/AD6)</f>
        <v>3.3333333333333335</v>
      </c>
      <c r="AG6" s="459"/>
      <c r="AH6" s="459" t="s">
        <v>13</v>
      </c>
      <c r="AI6" s="459" t="s">
        <v>238</v>
      </c>
      <c r="AJ6" s="459" t="s">
        <v>13</v>
      </c>
      <c r="AK6" s="459" t="s">
        <v>238</v>
      </c>
      <c r="AL6" s="459" t="s">
        <v>13</v>
      </c>
      <c r="AM6" s="459" t="s">
        <v>238</v>
      </c>
      <c r="AN6" s="459" t="s">
        <v>13</v>
      </c>
      <c r="AO6" s="459" t="s">
        <v>238</v>
      </c>
      <c r="AP6" s="459" t="s">
        <v>13</v>
      </c>
      <c r="AQ6" s="459" t="s">
        <v>238</v>
      </c>
      <c r="AR6" s="459" t="s">
        <v>13</v>
      </c>
      <c r="AS6" s="459" t="s">
        <v>238</v>
      </c>
      <c r="AT6" s="588"/>
      <c r="AU6" s="583" t="s">
        <v>432</v>
      </c>
      <c r="AV6" s="457" t="s">
        <v>204</v>
      </c>
      <c r="AW6" s="458">
        <f>_xlfn.IFNA(AW4 / VLOOKUP(AU4, $Z$4:$AF$8, 2, FALSE) / VLOOKUP(AU4,$X$4:$Y$11,2,FALSE), "")</f>
        <v>0</v>
      </c>
      <c r="AX6" s="458">
        <f>IF(ISNUMBER(AW6), ROUNDUP(AW6/(RECOVER_AP / $B$4)*RECOVER_DIAMS,0), "")</f>
        <v>0</v>
      </c>
      <c r="AY6" s="583" t="s">
        <v>432</v>
      </c>
      <c r="AZ6" s="457" t="s">
        <v>204</v>
      </c>
      <c r="BA6" s="458" t="str">
        <f>_xlfn.IFNA(BA4 / VLOOKUP(AY4, $Z$4:$AF$8, 2, FALSE) / VLOOKUP(AY4,$X$4:$Y$11,2,FALSE), "")</f>
        <v/>
      </c>
      <c r="BB6" s="458" t="str">
        <f>IF(ISNUMBER(BA6), ROUNDUP(BA6/(RECOVER_AP / $B$4)*RECOVER_DIAMS,0), "")</f>
        <v/>
      </c>
      <c r="BC6" s="583" t="s">
        <v>432</v>
      </c>
      <c r="BD6" s="457" t="s">
        <v>204</v>
      </c>
      <c r="BE6" s="458">
        <f>_xlfn.IFNA(BE4 / VLOOKUP(AT4, $Z$4:$AF$8, 2, FALSE) / VLOOKUP(AT4,$X$4:$Y$11,2,FALSE), "")</f>
        <v>0</v>
      </c>
      <c r="BF6" s="458">
        <f>IF(ISNUMBER(BE6), ROUNDUP(BE6/(RECOVER_AP / $B$4)*RECOVER_DIAMS,0), "")</f>
        <v>0</v>
      </c>
      <c r="BG6" s="588"/>
      <c r="BH6" s="583" t="s">
        <v>432</v>
      </c>
      <c r="BI6" s="457" t="s">
        <v>204</v>
      </c>
      <c r="BJ6" s="458">
        <f>_xlfn.IFNA(BJ4 / VLOOKUP(BH4, $Z$4:$AF$8, 2, FALSE) / VLOOKUP(BH4,$X$4:$Y$11,2,FALSE), "")</f>
        <v>0</v>
      </c>
      <c r="BK6" s="458">
        <f>IF(ISNUMBER(BJ6), ROUNDUP(BJ6/(RECOVER_AP / $B$4)*RECOVER_DIAMS,0), "")</f>
        <v>0</v>
      </c>
      <c r="BL6" s="583" t="s">
        <v>432</v>
      </c>
      <c r="BM6" s="457" t="s">
        <v>204</v>
      </c>
      <c r="BN6" s="458" t="str">
        <f>_xlfn.IFNA(BN4 / VLOOKUP(BL4, $Z$4:$AF$8, 2, FALSE) / VLOOKUP(BL4,$X$4:$Y$11,2,FALSE), "")</f>
        <v/>
      </c>
      <c r="BO6" s="458" t="str">
        <f>IF(ISNUMBER(BN6), ROUNDUP(BN6/(RECOVER_AP / $B$4)*RECOVER_DIAMS,0), "")</f>
        <v/>
      </c>
      <c r="BP6" s="583" t="s">
        <v>432</v>
      </c>
      <c r="BQ6" s="457" t="s">
        <v>204</v>
      </c>
      <c r="BR6" s="458">
        <f>_xlfn.IFNA(BR4 / VLOOKUP(BG4, $Z$4:$AF$8, 2, FALSE) / VLOOKUP(BG4,$X$4:$Y$11,2,FALSE), "")</f>
        <v>0</v>
      </c>
      <c r="BS6" s="458">
        <f>IF(ISNUMBER(BR6), ROUNDUP(BR6/(RECOVER_AP / $B$4)*RECOVER_DIAMS,0), "")</f>
        <v>0</v>
      </c>
      <c r="BT6" s="564"/>
      <c r="BU6" s="453" t="s">
        <v>421</v>
      </c>
      <c r="BV6" s="348">
        <f t="shared" si="0"/>
        <v>600</v>
      </c>
      <c r="BW6" s="348">
        <f t="shared" si="1"/>
        <v>450</v>
      </c>
      <c r="BX6" s="348">
        <f t="shared" si="2"/>
        <v>360</v>
      </c>
    </row>
    <row r="7" spans="1:76" ht="18.75" customHeight="1" x14ac:dyDescent="0.25">
      <c r="E7" s="442" t="s">
        <v>423</v>
      </c>
      <c r="F7" s="336">
        <v>1722</v>
      </c>
      <c r="G7" s="462">
        <v>13</v>
      </c>
      <c r="H7" s="339">
        <v>1</v>
      </c>
      <c r="I7" s="339">
        <v>1</v>
      </c>
      <c r="J7" s="443" t="s">
        <v>410</v>
      </c>
      <c r="K7" s="339">
        <v>150</v>
      </c>
      <c r="L7" s="339">
        <v>150</v>
      </c>
      <c r="M7" s="339">
        <v>40</v>
      </c>
      <c r="N7" s="554" t="s">
        <v>77</v>
      </c>
      <c r="O7" s="555"/>
      <c r="P7" s="556"/>
      <c r="Q7" s="444" t="s">
        <v>423</v>
      </c>
      <c r="R7" s="348">
        <v>0</v>
      </c>
      <c r="S7" s="445" t="s">
        <v>424</v>
      </c>
      <c r="T7" s="346">
        <v>47</v>
      </c>
      <c r="U7" s="346">
        <v>30</v>
      </c>
      <c r="V7" s="475" t="s">
        <v>0</v>
      </c>
      <c r="W7" s="476">
        <v>2</v>
      </c>
      <c r="X7" s="468" t="s">
        <v>423</v>
      </c>
      <c r="Y7" s="470">
        <v>6</v>
      </c>
      <c r="Z7" s="447" t="s">
        <v>421</v>
      </c>
      <c r="AA7" s="448">
        <f>IF(AB7=0,NA(),SUMIFS(D厄魔!H:H,D厄魔!A:A,"=中",D厄魔!B:B,"=" &amp; AA$3)/AB7)</f>
        <v>0.14545454545454545</v>
      </c>
      <c r="AB7" s="449">
        <f>SUMIFS(D厄魔!$C:$C,D厄魔!$A:$A,"=中",D厄魔!$B:$B,"=" &amp; AA$3)</f>
        <v>440</v>
      </c>
      <c r="AC7" s="450">
        <f>IF(AA7=0,NA(),$B$4/AA7)</f>
        <v>103.125</v>
      </c>
      <c r="AD7" s="448">
        <f>IF(AE7=0,NA(),SUMIFS(D厄魔!H:H,D厄魔!$A:$A,"=中",D厄魔!$B:$B,"=" &amp; AD$3)/AE7)</f>
        <v>0</v>
      </c>
      <c r="AE7" s="449">
        <f>SUMIFS(D厄魔!$C:$C,D厄魔!$A:$A,"=中",D厄魔!$B:$B,"=" &amp; AD$3)</f>
        <v>1</v>
      </c>
      <c r="AF7" s="450" t="e">
        <f>IF(AD7=0,NA(),$B$5/AD7)</f>
        <v>#N/A</v>
      </c>
      <c r="AG7" s="458" t="s">
        <v>53</v>
      </c>
      <c r="AH7" s="458">
        <f>_xlfn.IFNA($BV10 / VLOOKUP($AG$4, $Z$4:$AF$8, 2, FALSE) / VLOOKUP($AG$4,$X$4:$Y$11,2,FALSE), "")</f>
        <v>0</v>
      </c>
      <c r="AI7" s="458">
        <f t="shared" ref="AI7:AI15" si="3">IF(ISNUMBER(AH7), ROUNDUP(AH7/(RECOVER_AP / $B$4)*RECOVER_DIAMS,0), "")</f>
        <v>0</v>
      </c>
      <c r="AJ7" s="458">
        <f>_xlfn.IFNA($BV10 / VLOOKUP($AG$4, $Z$4:$AF$8, 5, FALSE) / VLOOKUP($AG$4,$X$4:$Y$11,2,FALSE), "")</f>
        <v>0</v>
      </c>
      <c r="AK7" s="458">
        <f t="shared" ref="AK7:AK15" si="4">IF(ISNUMBER(AJ7), ROUNDUP(AJ7/(RECOVER_AP / $B$5)*RECOVER_DIAMS,0), "")</f>
        <v>0</v>
      </c>
      <c r="AL7" s="458">
        <f>_xlfn.IFNA($BV10 / VLOOKUP($AG$4, $Z$11:$AF$16, 2, FALSE) / VLOOKUP($AG$4,$X$4:$Y$11,2,FALSE), "")</f>
        <v>0</v>
      </c>
      <c r="AM7" s="458">
        <f t="shared" ref="AM7:AM15" si="5">IF(ISNUMBER(AL7), ROUNDUP(AL7/(RECOVER_AP / $C$4)*RECOVER_DIAMS,0), "")</f>
        <v>0</v>
      </c>
      <c r="AN7" s="458">
        <f>_xlfn.IFNA($BV10 / VLOOKUP($AG$4, $Z$11:$AF$16, 5, FALSE) / VLOOKUP($AG$4,$X$4:$Y$11,2,FALSE), "")</f>
        <v>0</v>
      </c>
      <c r="AO7" s="458">
        <f t="shared" ref="AO7:AO15" si="6">IF(ISNUMBER(AN7), ROUNDUP(AN7/(RECOVER_AP / $C$5)*RECOVER_DIAMS,0), "")</f>
        <v>0</v>
      </c>
      <c r="AP7" s="458" t="str">
        <f t="shared" ref="AP7:AP15" si="7">_xlfn.IFNA($BV10 / VLOOKUP($AG$4,  $Z$20:$AF$24, 2, FALSE) / VLOOKUP($AG$4,$X$4:$Y$11,2,FALSE), "")</f>
        <v/>
      </c>
      <c r="AQ7" s="458" t="str">
        <f t="shared" ref="AQ7:AQ15" si="8">IF(ISNUMBER(AP7), ROUNDUP(AP7/(RECOVER_AP / $D$4)*RECOVER_DIAMS,0), "")</f>
        <v/>
      </c>
      <c r="AR7" s="458" t="str">
        <f t="shared" ref="AR7:AR15" si="9">_xlfn.IFNA($BV10 / VLOOKUP($AG$4,  $Z$20:$AF$24, 5, FALSE) / VLOOKUP($AG$4,$X$4:$Y$11,2,FALSE), "")</f>
        <v/>
      </c>
      <c r="AS7" s="458" t="str">
        <f t="shared" ref="AS7:AS15" si="10">IF(ISNUMBER(AR7), ROUNDUP(AR7/(RECOVER_AP / $D$5)*RECOVER_DIAMS,0), "")</f>
        <v/>
      </c>
      <c r="AT7" s="588"/>
      <c r="AU7" s="584"/>
      <c r="AV7" s="457" t="s">
        <v>86</v>
      </c>
      <c r="AW7" s="458">
        <f>_xlfn.IFNA(AW4/VLOOKUP(AU4,$Z$4:$AF$8,5,FALSE) / VLOOKUP(AU4,$X$4:$Y$11,2,FALSE),"")</f>
        <v>0</v>
      </c>
      <c r="AX7" s="458">
        <f>IF(ISNUMBER(AW7), ROUNDUP(AW7/(RECOVER_AP / $B$5)*RECOVER_DIAMS,0), "")</f>
        <v>0</v>
      </c>
      <c r="AY7" s="584"/>
      <c r="AZ7" s="457" t="s">
        <v>86</v>
      </c>
      <c r="BA7" s="458" t="str">
        <f>_xlfn.IFNA(BA4 / VLOOKUP(AY4, $Z$4:$AF$8, 5, FALSE) / VLOOKUP(AY4,$X$4:$Y$11,2,FALSE), "")</f>
        <v/>
      </c>
      <c r="BB7" s="458" t="str">
        <f>IF(ISNUMBER(BA7), ROUNDUP(BA7/(RECOVER_AP / $B$5)*RECOVER_DIAMS,0), "")</f>
        <v/>
      </c>
      <c r="BC7" s="584"/>
      <c r="BD7" s="457" t="s">
        <v>86</v>
      </c>
      <c r="BE7" s="458">
        <f>_xlfn.IFNA(BE4 / VLOOKUP(AT4, $Z$4:$AF$8, 5, FALSE) / VLOOKUP(AT4,$X$4:$Y$11,2,FALSE), "")</f>
        <v>0</v>
      </c>
      <c r="BF7" s="458">
        <f>IF(ISNUMBER(BE7), ROUNDUP(BE7/(RECOVER_AP / $B$5)*RECOVER_DIAMS,0), "")</f>
        <v>0</v>
      </c>
      <c r="BG7" s="588"/>
      <c r="BH7" s="584"/>
      <c r="BI7" s="457" t="s">
        <v>86</v>
      </c>
      <c r="BJ7" s="458">
        <f>_xlfn.IFNA(BJ4/VLOOKUP(BH4,$Z$4:$AF$8,5,FALSE) / VLOOKUP(BH4,$X$4:$Y$11,2,FALSE),"")</f>
        <v>0</v>
      </c>
      <c r="BK7" s="458">
        <f>IF(ISNUMBER(BJ7), ROUNDUP(BJ7/(RECOVER_AP / $B$5)*RECOVER_DIAMS,0), "")</f>
        <v>0</v>
      </c>
      <c r="BL7" s="584"/>
      <c r="BM7" s="457" t="s">
        <v>86</v>
      </c>
      <c r="BN7" s="458" t="str">
        <f>_xlfn.IFNA(BN4 / VLOOKUP(BL4, $Z$4:$AF$8, 5, FALSE) / VLOOKUP(BL4,$X$4:$Y$11,2,FALSE), "")</f>
        <v/>
      </c>
      <c r="BO7" s="458" t="str">
        <f>IF(ISNUMBER(BN7), ROUNDUP(BN7/(RECOVER_AP / $B$5)*RECOVER_DIAMS,0), "")</f>
        <v/>
      </c>
      <c r="BP7" s="584"/>
      <c r="BQ7" s="457" t="s">
        <v>86</v>
      </c>
      <c r="BR7" s="458">
        <f>_xlfn.IFNA(BR4 / VLOOKUP(BG4, $Z$4:$AF$8, 5, FALSE) / VLOOKUP(BG4,$X$4:$Y$11,2,FALSE), "")</f>
        <v>0</v>
      </c>
      <c r="BS7" s="458">
        <f>IF(ISNUMBER(BR7), ROUNDUP(BR7/(RECOVER_AP / $B$5)*RECOVER_DIAMS,0), "")</f>
        <v>0</v>
      </c>
      <c r="BT7" s="564"/>
      <c r="BU7" s="453" t="s">
        <v>424</v>
      </c>
      <c r="BV7" s="348">
        <f t="shared" si="0"/>
        <v>0</v>
      </c>
      <c r="BW7" s="348">
        <f t="shared" si="1"/>
        <v>0</v>
      </c>
      <c r="BX7" s="348">
        <f t="shared" si="2"/>
        <v>0</v>
      </c>
    </row>
    <row r="8" spans="1:76" ht="18.75" customHeight="1" x14ac:dyDescent="0.25">
      <c r="E8" s="442" t="s">
        <v>421</v>
      </c>
      <c r="F8" s="336">
        <v>5316</v>
      </c>
      <c r="G8" s="462">
        <v>14</v>
      </c>
      <c r="H8" s="339">
        <v>1</v>
      </c>
      <c r="I8" s="339">
        <v>1</v>
      </c>
      <c r="J8" s="443" t="s">
        <v>411</v>
      </c>
      <c r="K8" s="339">
        <v>0</v>
      </c>
      <c r="L8" s="339">
        <v>0</v>
      </c>
      <c r="M8" s="339">
        <v>0</v>
      </c>
      <c r="N8" s="557">
        <v>30</v>
      </c>
      <c r="O8" s="558"/>
      <c r="P8" s="559"/>
      <c r="Q8" s="444" t="s">
        <v>421</v>
      </c>
      <c r="R8" s="348">
        <v>0</v>
      </c>
      <c r="S8" s="445" t="s">
        <v>425</v>
      </c>
      <c r="T8" s="346">
        <v>44</v>
      </c>
      <c r="U8" s="346">
        <v>30</v>
      </c>
      <c r="V8" s="475" t="s">
        <v>5</v>
      </c>
      <c r="W8" s="476">
        <v>2</v>
      </c>
      <c r="X8" s="468" t="s">
        <v>421</v>
      </c>
      <c r="Y8" s="470">
        <v>6</v>
      </c>
      <c r="Z8" s="447" t="s">
        <v>424</v>
      </c>
      <c r="AA8" s="448">
        <f>IF(AB8=0,NA(),SUMIFS(D厄魔!I:I,D厄魔!A:A,"=中",D厄魔!B:B,"=" &amp; AA$3)/AB8)</f>
        <v>0.13181818181818181</v>
      </c>
      <c r="AB8" s="449">
        <f>SUMIFS(D厄魔!$C:$C,D厄魔!$A:$A,"=中",D厄魔!$B:$B,"=" &amp; AA$3)</f>
        <v>440</v>
      </c>
      <c r="AC8" s="450">
        <f>IF(AA8=0,NA(),$B$4/AA8)</f>
        <v>113.79310344827587</v>
      </c>
      <c r="AD8" s="448">
        <f>IF(AE8=0,NA(),SUMIFS(D厄魔!I:I,D厄魔!$A:$A,"=中",D厄魔!$B:$B,"=" &amp; AD$3)/AE8)</f>
        <v>0</v>
      </c>
      <c r="AE8" s="449">
        <f>SUMIFS(D厄魔!$C:$C,D厄魔!$A:$A,"=中",D厄魔!$B:$B,"=" &amp; AD$3)</f>
        <v>1</v>
      </c>
      <c r="AF8" s="450" t="e">
        <f>IF(AD8=0,NA(),$B$5/AD8)</f>
        <v>#N/A</v>
      </c>
      <c r="AG8" s="458" t="s">
        <v>2</v>
      </c>
      <c r="AH8" s="458">
        <f t="shared" ref="AH8:AH15" si="11">_xlfn.IFNA($BV11 / VLOOKUP($AG$4, $Z$4:$AF$8, 2, FALSE) / VLOOKUP($AG$4,$X$4:$Y$11,2,FALSE), "")</f>
        <v>0</v>
      </c>
      <c r="AI8" s="458">
        <f t="shared" si="3"/>
        <v>0</v>
      </c>
      <c r="AJ8" s="458">
        <f t="shared" ref="AJ8:AJ15" si="12">_xlfn.IFNA($BV11 / VLOOKUP($AG$4, $Z$4:$AF$8, 5, FALSE) / VLOOKUP($AG$4,$X$4:$Y$11,2,FALSE), "")</f>
        <v>0</v>
      </c>
      <c r="AK8" s="458">
        <f t="shared" si="4"/>
        <v>0</v>
      </c>
      <c r="AL8" s="458">
        <f t="shared" ref="AL8:AL15" si="13">_xlfn.IFNA($BV11 / VLOOKUP($AG$4, $Z$11:$AF$16, 2, FALSE) / VLOOKUP($AG$4,$X$4:$Y$11,2,FALSE), "")</f>
        <v>0</v>
      </c>
      <c r="AM8" s="458">
        <f t="shared" si="5"/>
        <v>0</v>
      </c>
      <c r="AN8" s="458">
        <f t="shared" ref="AN8:AN15" si="14">_xlfn.IFNA($BV11 / VLOOKUP($AG$4, $Z$11:$AF$16, 5, FALSE) / VLOOKUP($AG$4,$X$4:$Y$11,2,FALSE), "")</f>
        <v>0</v>
      </c>
      <c r="AO8" s="458">
        <f t="shared" si="6"/>
        <v>0</v>
      </c>
      <c r="AP8" s="458" t="str">
        <f t="shared" si="7"/>
        <v/>
      </c>
      <c r="AQ8" s="458" t="str">
        <f t="shared" si="8"/>
        <v/>
      </c>
      <c r="AR8" s="458" t="str">
        <f t="shared" si="9"/>
        <v/>
      </c>
      <c r="AS8" s="458" t="str">
        <f t="shared" si="10"/>
        <v/>
      </c>
      <c r="AT8" s="588"/>
      <c r="AU8" s="583" t="s">
        <v>433</v>
      </c>
      <c r="AV8" s="457" t="s">
        <v>204</v>
      </c>
      <c r="AW8" s="458">
        <f>_xlfn.IFNA(AW4 / VLOOKUP(AU4, $Z$11:$AF$16, 2, FALSE) / VLOOKUP(AU4,$X$4:$Y$11,2,FALSE), "")</f>
        <v>0</v>
      </c>
      <c r="AX8" s="458">
        <f>IF(ISNUMBER(AW8), ROUNDUP(AW8/(RECOVER_AP / $C$4)*RECOVER_DIAMS,0), "")</f>
        <v>0</v>
      </c>
      <c r="AY8" s="583" t="s">
        <v>433</v>
      </c>
      <c r="AZ8" s="457" t="s">
        <v>204</v>
      </c>
      <c r="BA8" s="458">
        <f>_xlfn.IFNA(BA4 / VLOOKUP(AY4, $Z$11:$AF$16, 2, FALSE) / VLOOKUP(AY4,$X$4:$Y$11,2,FALSE), "")</f>
        <v>0</v>
      </c>
      <c r="BB8" s="458">
        <f>IF(ISNUMBER(BA8), ROUNDUP(BA8/(RECOVER_AP / $C$4)*RECOVER_DIAMS,0), "")</f>
        <v>0</v>
      </c>
      <c r="BC8" s="583" t="s">
        <v>433</v>
      </c>
      <c r="BD8" s="457" t="s">
        <v>204</v>
      </c>
      <c r="BE8" s="458" t="str">
        <f>_xlfn.IFNA(BE4 / VLOOKUP(AT4, $Z$11:$AF$16, 2, FALSE) / VLOOKUP(AT4,$X$4:$Y$11,2,FALSE), "")</f>
        <v/>
      </c>
      <c r="BF8" s="458" t="str">
        <f>IF(ISNUMBER(BE8), ROUNDUP(BE8/(RECOVER_AP / $C$4)*RECOVER_DIAMS,0), "")</f>
        <v/>
      </c>
      <c r="BG8" s="588"/>
      <c r="BH8" s="583" t="s">
        <v>433</v>
      </c>
      <c r="BI8" s="457" t="s">
        <v>204</v>
      </c>
      <c r="BJ8" s="458">
        <f>_xlfn.IFNA(BJ4 / VLOOKUP(BH4, $Z$11:$AF$16, 2, FALSE) / VLOOKUP(BH4,$X$4:$Y$11,2,FALSE), "")</f>
        <v>0</v>
      </c>
      <c r="BK8" s="458">
        <f>IF(ISNUMBER(BJ8), ROUNDUP(BJ8/(RECOVER_AP / $C$4)*RECOVER_DIAMS,0), "")</f>
        <v>0</v>
      </c>
      <c r="BL8" s="583" t="s">
        <v>433</v>
      </c>
      <c r="BM8" s="457" t="s">
        <v>204</v>
      </c>
      <c r="BN8" s="458">
        <f>_xlfn.IFNA(BN4 / VLOOKUP(BL4, $Z$11:$AF$16, 2, FALSE) / VLOOKUP(BL4,$X$4:$Y$11,2,FALSE), "")</f>
        <v>0</v>
      </c>
      <c r="BO8" s="458">
        <f>IF(ISNUMBER(BN8), ROUNDUP(BN8/(RECOVER_AP / $C$4)*RECOVER_DIAMS,0), "")</f>
        <v>0</v>
      </c>
      <c r="BP8" s="583" t="s">
        <v>433</v>
      </c>
      <c r="BQ8" s="457" t="s">
        <v>204</v>
      </c>
      <c r="BR8" s="458" t="str">
        <f>_xlfn.IFNA(BR4 / VLOOKUP(BG4, $Z$11:$AF$16, 2, FALSE) / VLOOKUP(BG4,$X$4:$Y$11,2,FALSE), "")</f>
        <v/>
      </c>
      <c r="BS8" s="458" t="str">
        <f>IF(ISNUMBER(BR8), ROUNDUP(BR8/(RECOVER_AP / $C$4)*RECOVER_DIAMS,0), "")</f>
        <v/>
      </c>
      <c r="BT8" s="564"/>
      <c r="BU8" s="453" t="s">
        <v>425</v>
      </c>
      <c r="BV8" s="348">
        <f t="shared" si="0"/>
        <v>600</v>
      </c>
      <c r="BW8" s="348">
        <f t="shared" si="1"/>
        <v>450</v>
      </c>
      <c r="BX8" s="348">
        <f t="shared" si="2"/>
        <v>360</v>
      </c>
    </row>
    <row r="9" spans="1:76" ht="18.75" customHeight="1" x14ac:dyDescent="0.25">
      <c r="E9" s="442" t="s">
        <v>424</v>
      </c>
      <c r="F9" s="336">
        <v>5232</v>
      </c>
      <c r="G9" s="462">
        <v>20</v>
      </c>
      <c r="H9" s="339">
        <v>2</v>
      </c>
      <c r="I9" s="339">
        <v>1</v>
      </c>
      <c r="J9" s="443" t="s">
        <v>416</v>
      </c>
      <c r="K9" s="339">
        <v>550</v>
      </c>
      <c r="L9" s="339">
        <v>400</v>
      </c>
      <c r="M9" s="339">
        <v>240</v>
      </c>
      <c r="N9" s="554" t="s">
        <v>450</v>
      </c>
      <c r="O9" s="555"/>
      <c r="P9" s="556"/>
      <c r="Q9" s="444" t="s">
        <v>424</v>
      </c>
      <c r="R9" s="348">
        <v>0</v>
      </c>
      <c r="S9" s="445" t="s">
        <v>426</v>
      </c>
      <c r="T9" s="346">
        <v>45</v>
      </c>
      <c r="U9" s="346">
        <v>30</v>
      </c>
      <c r="V9" s="475" t="s">
        <v>8</v>
      </c>
      <c r="W9" s="476">
        <v>2</v>
      </c>
      <c r="X9" s="468" t="s">
        <v>424</v>
      </c>
      <c r="Y9" s="470">
        <v>6</v>
      </c>
      <c r="Z9" s="447"/>
      <c r="AA9" s="448"/>
      <c r="AB9" s="449"/>
      <c r="AC9" s="448"/>
      <c r="AD9" s="448"/>
      <c r="AE9" s="449"/>
      <c r="AF9" s="448"/>
      <c r="AG9" s="458" t="s">
        <v>72</v>
      </c>
      <c r="AH9" s="458">
        <f t="shared" si="11"/>
        <v>0</v>
      </c>
      <c r="AI9" s="458">
        <f t="shared" si="3"/>
        <v>0</v>
      </c>
      <c r="AJ9" s="458">
        <f t="shared" si="12"/>
        <v>0</v>
      </c>
      <c r="AK9" s="458">
        <f t="shared" si="4"/>
        <v>0</v>
      </c>
      <c r="AL9" s="458">
        <f t="shared" si="13"/>
        <v>0</v>
      </c>
      <c r="AM9" s="458">
        <f t="shared" si="5"/>
        <v>0</v>
      </c>
      <c r="AN9" s="458">
        <f t="shared" si="14"/>
        <v>0</v>
      </c>
      <c r="AO9" s="458">
        <f t="shared" si="6"/>
        <v>0</v>
      </c>
      <c r="AP9" s="458" t="str">
        <f t="shared" si="7"/>
        <v/>
      </c>
      <c r="AQ9" s="458" t="str">
        <f t="shared" si="8"/>
        <v/>
      </c>
      <c r="AR9" s="458" t="str">
        <f t="shared" si="9"/>
        <v/>
      </c>
      <c r="AS9" s="458" t="str">
        <f t="shared" si="10"/>
        <v/>
      </c>
      <c r="AT9" s="588"/>
      <c r="AU9" s="584"/>
      <c r="AV9" s="457" t="s">
        <v>86</v>
      </c>
      <c r="AW9" s="458">
        <f>_xlfn.IFNA(AW4 / VLOOKUP(AU4,  $Z$11:$AF$16, 5, FALSE) / VLOOKUP(AU4,$X$4:$Y$11,2,FALSE), "")</f>
        <v>0</v>
      </c>
      <c r="AX9" s="458">
        <f>IF(ISNUMBER(AW9), ROUNDUP(AW9/(RECOVER_AP / $C$5)*RECOVER_DIAMS,0), "")</f>
        <v>0</v>
      </c>
      <c r="AY9" s="584"/>
      <c r="AZ9" s="457" t="s">
        <v>86</v>
      </c>
      <c r="BA9" s="458">
        <f>_xlfn.IFNA(BA4 / VLOOKUP(AY4,  $Z$11:$AF$16, 5, FALSE) / VLOOKUP(AY4,$X$4:$Y$11,2,FALSE), "")</f>
        <v>0</v>
      </c>
      <c r="BB9" s="458">
        <f>IF(ISNUMBER(BA9), ROUNDUP(BA9/(RECOVER_AP / $C$5)*RECOVER_DIAMS,0), "")</f>
        <v>0</v>
      </c>
      <c r="BC9" s="584"/>
      <c r="BD9" s="457" t="s">
        <v>86</v>
      </c>
      <c r="BE9" s="458" t="str">
        <f>_xlfn.IFNA(BE4 / VLOOKUP(AT4,  $Z$11:$AF$16, 5, FALSE) / VLOOKUP(AT4,$X$4:$Y$11,2,FALSE), "")</f>
        <v/>
      </c>
      <c r="BF9" s="458" t="str">
        <f>IF(ISNUMBER(BE9), ROUNDUP(BE9/(RECOVER_AP / $C$5)*RECOVER_DIAMS,0), "")</f>
        <v/>
      </c>
      <c r="BG9" s="588"/>
      <c r="BH9" s="584"/>
      <c r="BI9" s="457" t="s">
        <v>86</v>
      </c>
      <c r="BJ9" s="458">
        <f>_xlfn.IFNA(BJ4 / VLOOKUP(BH4,  $Z$11:$AF$16, 5, FALSE) / VLOOKUP(BH4,$X$4:$Y$11,2,FALSE), "")</f>
        <v>0</v>
      </c>
      <c r="BK9" s="458">
        <f>IF(ISNUMBER(BJ9), ROUNDUP(BJ9/(RECOVER_AP / $C$5)*RECOVER_DIAMS,0), "")</f>
        <v>0</v>
      </c>
      <c r="BL9" s="584"/>
      <c r="BM9" s="457" t="s">
        <v>86</v>
      </c>
      <c r="BN9" s="458">
        <f>_xlfn.IFNA(BN4 / VLOOKUP(BL4,  $Z$11:$AF$16, 5, FALSE) / VLOOKUP(BL4,$X$4:$Y$11,2,FALSE), "")</f>
        <v>0</v>
      </c>
      <c r="BO9" s="458">
        <f>IF(ISNUMBER(BN9), ROUNDUP(BN9/(RECOVER_AP / $C$5)*RECOVER_DIAMS,0), "")</f>
        <v>0</v>
      </c>
      <c r="BP9" s="584"/>
      <c r="BQ9" s="457" t="s">
        <v>86</v>
      </c>
      <c r="BR9" s="458" t="str">
        <f>_xlfn.IFNA(BR4 / VLOOKUP(BG4,  $Z$11:$AF$16, 5, FALSE) / VLOOKUP(BG4,$X$4:$Y$11,2,FALSE), "")</f>
        <v/>
      </c>
      <c r="BS9" s="458" t="str">
        <f>IF(ISNUMBER(BR9), ROUNDUP(BR9/(RECOVER_AP / $C$5)*RECOVER_DIAMS,0), "")</f>
        <v/>
      </c>
      <c r="BT9" s="565"/>
      <c r="BU9" s="453" t="s">
        <v>426</v>
      </c>
      <c r="BV9" s="348">
        <f t="shared" si="0"/>
        <v>400</v>
      </c>
      <c r="BW9" s="348">
        <f t="shared" si="1"/>
        <v>300</v>
      </c>
      <c r="BX9" s="348">
        <f t="shared" si="2"/>
        <v>240</v>
      </c>
    </row>
    <row r="10" spans="1:76" ht="18.75" customHeight="1" x14ac:dyDescent="0.25">
      <c r="E10" s="442" t="s">
        <v>425</v>
      </c>
      <c r="F10" s="336">
        <v>2260</v>
      </c>
      <c r="G10" s="462">
        <v>21</v>
      </c>
      <c r="H10" s="339">
        <v>2</v>
      </c>
      <c r="I10" s="339">
        <v>1</v>
      </c>
      <c r="J10" s="443" t="s">
        <v>408</v>
      </c>
      <c r="K10" s="339">
        <v>500</v>
      </c>
      <c r="L10" s="339">
        <v>400</v>
      </c>
      <c r="M10" s="339">
        <v>220</v>
      </c>
      <c r="N10" s="557">
        <v>2</v>
      </c>
      <c r="O10" s="558"/>
      <c r="P10" s="559"/>
      <c r="Q10" s="444" t="s">
        <v>425</v>
      </c>
      <c r="R10" s="348">
        <v>0</v>
      </c>
      <c r="V10" s="475" t="s">
        <v>206</v>
      </c>
      <c r="W10" s="476">
        <v>2</v>
      </c>
      <c r="X10" s="468" t="s">
        <v>425</v>
      </c>
      <c r="Y10" s="470">
        <v>20</v>
      </c>
      <c r="Z10" s="447" t="s">
        <v>67</v>
      </c>
      <c r="AA10" s="447" t="s">
        <v>204</v>
      </c>
      <c r="AB10" s="447" t="s">
        <v>14</v>
      </c>
      <c r="AC10" s="447" t="s">
        <v>205</v>
      </c>
      <c r="AD10" s="451" t="s">
        <v>86</v>
      </c>
      <c r="AE10" s="452" t="s">
        <v>14</v>
      </c>
      <c r="AF10" s="451" t="s">
        <v>205</v>
      </c>
      <c r="AG10" s="458" t="s">
        <v>0</v>
      </c>
      <c r="AH10" s="458">
        <f t="shared" si="11"/>
        <v>0</v>
      </c>
      <c r="AI10" s="458">
        <f t="shared" si="3"/>
        <v>0</v>
      </c>
      <c r="AJ10" s="458">
        <f t="shared" si="12"/>
        <v>0</v>
      </c>
      <c r="AK10" s="458">
        <f t="shared" si="4"/>
        <v>0</v>
      </c>
      <c r="AL10" s="458">
        <f t="shared" si="13"/>
        <v>0</v>
      </c>
      <c r="AM10" s="458">
        <f t="shared" si="5"/>
        <v>0</v>
      </c>
      <c r="AN10" s="458">
        <f t="shared" si="14"/>
        <v>0</v>
      </c>
      <c r="AO10" s="458">
        <f t="shared" si="6"/>
        <v>0</v>
      </c>
      <c r="AP10" s="458" t="str">
        <f t="shared" si="7"/>
        <v/>
      </c>
      <c r="AQ10" s="458" t="str">
        <f t="shared" si="8"/>
        <v/>
      </c>
      <c r="AR10" s="458" t="str">
        <f t="shared" si="9"/>
        <v/>
      </c>
      <c r="AS10" s="458" t="str">
        <f t="shared" si="10"/>
        <v/>
      </c>
      <c r="AT10" s="588"/>
      <c r="AU10" s="583" t="s">
        <v>435</v>
      </c>
      <c r="AV10" s="457" t="s">
        <v>204</v>
      </c>
      <c r="AW10" s="458" t="str">
        <f>_xlfn.IFNA(AW4 / VLOOKUP(AU4, $Z$20:$AF$24, 2, FALSE) / VLOOKUP(AU4,$X$4:$Y$11,2,FALSE), "")</f>
        <v/>
      </c>
      <c r="AX10" s="458" t="str">
        <f>IF(ISNUMBER(AW10), ROUNDUP(AW10/(RECOVER_AP / $D$4)*RECOVER_DIAMS,0), "")</f>
        <v/>
      </c>
      <c r="AY10" s="583" t="s">
        <v>435</v>
      </c>
      <c r="AZ10" s="457" t="s">
        <v>204</v>
      </c>
      <c r="BA10" s="458">
        <f>_xlfn.IFNA(BA4 / VLOOKUP(AY4, $Z$20:$AF$24, 2, FALSE) / VLOOKUP(AY4,$X$4:$Y$11,2,FALSE), "")</f>
        <v>0</v>
      </c>
      <c r="BB10" s="458">
        <f>IF(ISNUMBER(BA10), ROUNDUP(BA10/(RECOVER_AP / $D$4)*RECOVER_DIAMS,0), "")</f>
        <v>0</v>
      </c>
      <c r="BC10" s="583" t="s">
        <v>435</v>
      </c>
      <c r="BD10" s="457" t="s">
        <v>204</v>
      </c>
      <c r="BE10" s="458" t="str">
        <f>_xlfn.IFNA(BE4 / VLOOKUP(AT4, $Z$20:$AF$24, 2, FALSE) / VLOOKUP(AT4,$X$4:$Y$11,2,FALSE), "")</f>
        <v/>
      </c>
      <c r="BF10" s="458" t="str">
        <f>IF(ISNUMBER(BE10), ROUNDUP(BE10/(RECOVER_AP / $D$4)*RECOVER_DIAMS,0), "")</f>
        <v/>
      </c>
      <c r="BG10" s="588"/>
      <c r="BH10" s="583" t="s">
        <v>435</v>
      </c>
      <c r="BI10" s="457" t="s">
        <v>204</v>
      </c>
      <c r="BJ10" s="458" t="str">
        <f>_xlfn.IFNA(BJ4 / VLOOKUP(BH4, $Z$20:$AF$24, 2, FALSE) / VLOOKUP(BH4,$X$4:$Y$11,2,FALSE), "")</f>
        <v/>
      </c>
      <c r="BK10" s="458" t="str">
        <f>IF(ISNUMBER(BJ10), ROUNDUP(BJ10/(RECOVER_AP / $D$4)*RECOVER_DIAMS,0), "")</f>
        <v/>
      </c>
      <c r="BL10" s="583" t="s">
        <v>435</v>
      </c>
      <c r="BM10" s="457" t="s">
        <v>204</v>
      </c>
      <c r="BN10" s="458">
        <f>_xlfn.IFNA(BN4 / VLOOKUP(BL4, $Z$20:$AF$24, 2, FALSE) / VLOOKUP(BL4,$X$4:$Y$11,2,FALSE), "")</f>
        <v>0</v>
      </c>
      <c r="BO10" s="458">
        <f>IF(ISNUMBER(BN10), ROUNDUP(BN10/(RECOVER_AP / $D$4)*RECOVER_DIAMS,0), "")</f>
        <v>0</v>
      </c>
      <c r="BP10" s="583" t="s">
        <v>435</v>
      </c>
      <c r="BQ10" s="457" t="s">
        <v>204</v>
      </c>
      <c r="BR10" s="458" t="str">
        <f>_xlfn.IFNA(BR4 / VLOOKUP(BG4, $Z$20:$AF$24, 2, FALSE) / VLOOKUP(BG4,$X$4:$Y$11,2,FALSE), "")</f>
        <v/>
      </c>
      <c r="BS10" s="458" t="str">
        <f>IF(ISNUMBER(BR10), ROUNDUP(BR10/(RECOVER_AP / $D$4)*RECOVER_DIAMS,0), "")</f>
        <v/>
      </c>
      <c r="BT10" s="563" t="s">
        <v>447</v>
      </c>
      <c r="BU10" s="463" t="s">
        <v>53</v>
      </c>
      <c r="BV10" s="348">
        <f>IF(ISBLANK($W4),0,VLOOKUP($W4,$N:$P,2,FALSE))</f>
        <v>0</v>
      </c>
      <c r="BW10" s="348">
        <f>IF(ISBLANK($W4),0,VLOOKUP($W4,$N:$P,3,FALSE))</f>
        <v>0</v>
      </c>
      <c r="BX10" s="348">
        <f t="shared" ref="BX10:BX18" si="15">IF(ISBLANK($T10),0,VLOOKUP($T10,$G:$M,7,FALSE))</f>
        <v>0</v>
      </c>
    </row>
    <row r="11" spans="1:76" ht="18.75" customHeight="1" x14ac:dyDescent="0.25">
      <c r="E11" s="442" t="s">
        <v>426</v>
      </c>
      <c r="F11" s="336">
        <v>1840</v>
      </c>
      <c r="G11" s="462">
        <v>22</v>
      </c>
      <c r="H11" s="339">
        <v>2</v>
      </c>
      <c r="I11" s="339">
        <v>1</v>
      </c>
      <c r="J11" s="443" t="s">
        <v>409</v>
      </c>
      <c r="K11" s="339">
        <v>450</v>
      </c>
      <c r="L11" s="339">
        <v>400</v>
      </c>
      <c r="M11" s="339">
        <v>200</v>
      </c>
      <c r="Q11" s="444" t="s">
        <v>426</v>
      </c>
      <c r="R11" s="348">
        <v>0</v>
      </c>
      <c r="V11" s="475" t="s">
        <v>125</v>
      </c>
      <c r="W11" s="476">
        <v>2</v>
      </c>
      <c r="X11" s="468" t="s">
        <v>426</v>
      </c>
      <c r="Y11" s="470">
        <v>20</v>
      </c>
      <c r="Z11" s="447" t="s">
        <v>418</v>
      </c>
      <c r="AA11" s="448">
        <f>IF(AB11=0,NA(),SUMIFS(D厄魔!D:D,D厄魔!$A:$A,"=高",D厄魔!$B:$B,"=" &amp; AA$10)/AB11)</f>
        <v>2.6437499999999998</v>
      </c>
      <c r="AB11" s="449">
        <f>SUMIFS(D厄魔!$C:$C,D厄魔!$A:$A,"=高",D厄魔!$B:$B,"=" &amp; AA$10)</f>
        <v>320</v>
      </c>
      <c r="AC11" s="450">
        <f t="shared" ref="AC11:AC16" si="16">IF(AA11=0,NA(),$C$4/AA11)</f>
        <v>11.347517730496454</v>
      </c>
      <c r="AD11" s="448">
        <f>IF(AE11=0,NA(),SUMIFS(D厄魔!D:D,D厄魔!$A:$A,"=高",D厄魔!$B:$B,"=" &amp; AD$10)/AE11)</f>
        <v>5.9807692307692308</v>
      </c>
      <c r="AE11" s="449">
        <f>SUMIFS(D厄魔!$C:$C,D厄魔!$A:$A,"=高",D厄魔!$B:$B,"=" &amp; AD$10)</f>
        <v>104</v>
      </c>
      <c r="AF11" s="450">
        <f t="shared" ref="AF11:AF16" si="17">IF(AD11=0,NA(),$C$5/AD11)</f>
        <v>5.016077170418006</v>
      </c>
      <c r="AG11" s="458" t="s">
        <v>5</v>
      </c>
      <c r="AH11" s="458">
        <f t="shared" si="11"/>
        <v>0</v>
      </c>
      <c r="AI11" s="458">
        <f t="shared" si="3"/>
        <v>0</v>
      </c>
      <c r="AJ11" s="458">
        <f t="shared" si="12"/>
        <v>0</v>
      </c>
      <c r="AK11" s="458">
        <f t="shared" si="4"/>
        <v>0</v>
      </c>
      <c r="AL11" s="458">
        <f t="shared" si="13"/>
        <v>0</v>
      </c>
      <c r="AM11" s="458">
        <f t="shared" si="5"/>
        <v>0</v>
      </c>
      <c r="AN11" s="458">
        <f t="shared" si="14"/>
        <v>0</v>
      </c>
      <c r="AO11" s="458">
        <f t="shared" si="6"/>
        <v>0</v>
      </c>
      <c r="AP11" s="458" t="str">
        <f t="shared" si="7"/>
        <v/>
      </c>
      <c r="AQ11" s="458" t="str">
        <f t="shared" si="8"/>
        <v/>
      </c>
      <c r="AR11" s="458" t="str">
        <f t="shared" si="9"/>
        <v/>
      </c>
      <c r="AS11" s="458" t="str">
        <f t="shared" si="10"/>
        <v/>
      </c>
      <c r="AT11" s="589"/>
      <c r="AU11" s="584"/>
      <c r="AV11" s="457" t="s">
        <v>86</v>
      </c>
      <c r="AW11" s="458" t="str">
        <f>_xlfn.IFNA(AW4 / VLOOKUP(AU4, $Z$20:$AF$24, 5, FALSE) / VLOOKUP(AU4,$X$4:$Y$11,2,FALSE), "")</f>
        <v/>
      </c>
      <c r="AX11" s="458" t="str">
        <f>IF(ISNUMBER(AW11), ROUNDUP(AW11/(RECOVER_AP / $D$5)*RECOVER_DIAMS,0), "")</f>
        <v/>
      </c>
      <c r="AY11" s="584"/>
      <c r="AZ11" s="457" t="s">
        <v>86</v>
      </c>
      <c r="BA11" s="458" t="str">
        <f>_xlfn.IFNA(BA4 / VLOOKUP(AY4, $Z$20:$AF$24, 5, FALSE) / VLOOKUP(AY4,$X$4:$Y$11,2,FALSE), "")</f>
        <v/>
      </c>
      <c r="BB11" s="458" t="str">
        <f>IF(ISNUMBER(BA11), ROUNDUP(BA11/(RECOVER_AP / $D$5)*RECOVER_DIAMS,0), "")</f>
        <v/>
      </c>
      <c r="BC11" s="584"/>
      <c r="BD11" s="457" t="s">
        <v>86</v>
      </c>
      <c r="BE11" s="458" t="str">
        <f>_xlfn.IFNA(BE4 / VLOOKUP(AT4, $Z$20:$AF$24, 5, FALSE) / VLOOKUP(AT4,$X$4:$Y$11,2,FALSE), "")</f>
        <v/>
      </c>
      <c r="BF11" s="458" t="str">
        <f>IF(ISNUMBER(BE11), ROUNDUP(BE11/(RECOVER_AP / $D$5)*RECOVER_DIAMS,0), "")</f>
        <v/>
      </c>
      <c r="BG11" s="589"/>
      <c r="BH11" s="584"/>
      <c r="BI11" s="457" t="s">
        <v>86</v>
      </c>
      <c r="BJ11" s="458" t="str">
        <f>_xlfn.IFNA(BJ4 / VLOOKUP(BH4, $Z$20:$AF$24, 5, FALSE) / VLOOKUP(BH4,$X$4:$Y$11,2,FALSE), "")</f>
        <v/>
      </c>
      <c r="BK11" s="458" t="str">
        <f>IF(ISNUMBER(BJ11), ROUNDUP(BJ11/(RECOVER_AP / $D$5)*RECOVER_DIAMS,0), "")</f>
        <v/>
      </c>
      <c r="BL11" s="584"/>
      <c r="BM11" s="457" t="s">
        <v>86</v>
      </c>
      <c r="BN11" s="458" t="str">
        <f>_xlfn.IFNA(BN4 / VLOOKUP(BL4, $Z$20:$AF$24, 5, FALSE) / VLOOKUP(BL4,$X$4:$Y$11,2,FALSE), "")</f>
        <v/>
      </c>
      <c r="BO11" s="458" t="str">
        <f>IF(ISNUMBER(BN11), ROUNDUP(BN11/(RECOVER_AP / $D$5)*RECOVER_DIAMS,0), "")</f>
        <v/>
      </c>
      <c r="BP11" s="584"/>
      <c r="BQ11" s="457" t="s">
        <v>86</v>
      </c>
      <c r="BR11" s="458" t="str">
        <f>_xlfn.IFNA(BR4 / VLOOKUP(BG4, $Z$20:$AF$24, 5, FALSE) / VLOOKUP(BG4,$X$4:$Y$11,2,FALSE), "")</f>
        <v/>
      </c>
      <c r="BS11" s="458" t="str">
        <f>IF(ISNUMBER(BR11), ROUNDUP(BR11/(RECOVER_AP / $D$5)*RECOVER_DIAMS,0), "")</f>
        <v/>
      </c>
      <c r="BT11" s="564"/>
      <c r="BU11" s="463" t="s">
        <v>2</v>
      </c>
      <c r="BV11" s="348">
        <f t="shared" ref="BV11:BV18" si="18">IF(ISBLANK($W5),0,VLOOKUP($W5,$N:$P,2,FALSE))</f>
        <v>0</v>
      </c>
      <c r="BW11" s="348">
        <f t="shared" ref="BW11:BW18" si="19">IF(ISBLANK($W5),0,VLOOKUP($W5,$N:$P,3,FALSE))</f>
        <v>0</v>
      </c>
      <c r="BX11" s="348">
        <f t="shared" si="15"/>
        <v>0</v>
      </c>
    </row>
    <row r="12" spans="1:76" ht="18.75" customHeight="1" x14ac:dyDescent="0.25">
      <c r="G12" s="462">
        <v>23</v>
      </c>
      <c r="H12" s="339">
        <v>2</v>
      </c>
      <c r="I12" s="339">
        <v>1</v>
      </c>
      <c r="J12" s="443" t="s">
        <v>410</v>
      </c>
      <c r="K12" s="339">
        <v>350</v>
      </c>
      <c r="L12" s="339">
        <v>300</v>
      </c>
      <c r="M12" s="339">
        <v>160</v>
      </c>
      <c r="V12" s="475" t="s">
        <v>207</v>
      </c>
      <c r="W12" s="476">
        <v>2</v>
      </c>
      <c r="Z12" s="447" t="s">
        <v>419</v>
      </c>
      <c r="AA12" s="448">
        <f>IF(AB12=0,NA(),SUMIFS(D厄魔!E:E,D厄魔!A:A,"=高",D厄魔!B:B,"=" &amp; AA$10)/AB12)</f>
        <v>5.4874999999999998</v>
      </c>
      <c r="AB12" s="449">
        <f>SUMIFS(D厄魔!C:C,D厄魔!A:A,"=高",D厄魔!B:B,"=" &amp; AA$10)</f>
        <v>320</v>
      </c>
      <c r="AC12" s="450">
        <f t="shared" si="16"/>
        <v>5.4669703872437356</v>
      </c>
      <c r="AD12" s="448">
        <f>IF(AE12=0,NA(),SUMIFS(D厄魔!E:E,D厄魔!$A:$A,"=高",D厄魔!$B:$B,"=" &amp; AD$10)/AE12)</f>
        <v>8.5288461538461533</v>
      </c>
      <c r="AE12" s="449">
        <f>SUMIFS(D厄魔!$C:$C,D厄魔!$A:$A,"=高",D厄魔!$B:$B,"=" &amp; AD$10)</f>
        <v>104</v>
      </c>
      <c r="AF12" s="450">
        <f t="shared" si="17"/>
        <v>3.5174746335963927</v>
      </c>
      <c r="AG12" s="458" t="s">
        <v>8</v>
      </c>
      <c r="AH12" s="458">
        <f t="shared" si="11"/>
        <v>0</v>
      </c>
      <c r="AI12" s="458">
        <f t="shared" si="3"/>
        <v>0</v>
      </c>
      <c r="AJ12" s="458">
        <f t="shared" si="12"/>
        <v>0</v>
      </c>
      <c r="AK12" s="458">
        <f t="shared" si="4"/>
        <v>0</v>
      </c>
      <c r="AL12" s="458">
        <f t="shared" si="13"/>
        <v>0</v>
      </c>
      <c r="AM12" s="458">
        <f t="shared" si="5"/>
        <v>0</v>
      </c>
      <c r="AN12" s="458">
        <f t="shared" si="14"/>
        <v>0</v>
      </c>
      <c r="AO12" s="458">
        <f t="shared" si="6"/>
        <v>0</v>
      </c>
      <c r="AP12" s="458" t="str">
        <f t="shared" si="7"/>
        <v/>
      </c>
      <c r="AQ12" s="458" t="str">
        <f t="shared" si="8"/>
        <v/>
      </c>
      <c r="AR12" s="458" t="str">
        <f t="shared" si="9"/>
        <v/>
      </c>
      <c r="AS12" s="458" t="str">
        <f t="shared" si="10"/>
        <v/>
      </c>
      <c r="AT12" s="587" t="s">
        <v>421</v>
      </c>
      <c r="AU12" s="590" t="s">
        <v>418</v>
      </c>
      <c r="AV12" s="591"/>
      <c r="AW12" s="581">
        <f>MAX(VLOOKUP(AT12, $BU$4:$BX$9, 2, FALSE) - VLOOKUP(AU12, $E$4:$F$11, 2, FALSE) + VLOOKUP(AU12, $Q$4:$R$11, 2, FALSE), 0)</f>
        <v>451</v>
      </c>
      <c r="AX12" s="582"/>
      <c r="AY12" s="592" t="s">
        <v>419</v>
      </c>
      <c r="AZ12" s="593"/>
      <c r="BA12" s="581">
        <f>MAX(VLOOKUP(AT12, $BU$4:$BX$9, 3, FALSE) - VLOOKUP(AY12, $E$4:$F$11, 2, FALSE) + VLOOKUP(AY12, $Q$4:$R$11, 2, FALSE), 0)</f>
        <v>450</v>
      </c>
      <c r="BB12" s="582"/>
      <c r="BC12" s="585" t="s">
        <v>412</v>
      </c>
      <c r="BD12" s="586"/>
      <c r="BE12" s="581">
        <f>MAX(VLOOKUP(AT12, $BU$4:$BX$9, 4, FALSE) - VLOOKUP(AT12, $E$4:$F$11, 2, FALSE) + VLOOKUP(AT12, $Q$4:$R$11, 2, FALSE), 0)</f>
        <v>0</v>
      </c>
      <c r="BF12" s="582"/>
      <c r="BG12" s="587" t="s">
        <v>424</v>
      </c>
      <c r="BH12" s="590" t="s">
        <v>418</v>
      </c>
      <c r="BI12" s="591"/>
      <c r="BJ12" s="581">
        <f>MAX(VLOOKUP(BG12, $BU$4:$BX$9, 2, FALSE) - VLOOKUP(BH12, $E$4:$F$11, 2, FALSE) + VLOOKUP(BH12, $Q$4:$R$11, 2, FALSE), 0)</f>
        <v>0</v>
      </c>
      <c r="BK12" s="582"/>
      <c r="BL12" s="592" t="s">
        <v>419</v>
      </c>
      <c r="BM12" s="593"/>
      <c r="BN12" s="581">
        <f>MAX(VLOOKUP(BG12, $BU$4:$BX$9, 3, FALSE) - VLOOKUP(BL12, $E$4:$F$11, 2, FALSE) + VLOOKUP(BL12, $Q$4:$R$11, 2, FALSE), 0)</f>
        <v>0</v>
      </c>
      <c r="BO12" s="582"/>
      <c r="BP12" s="585" t="s">
        <v>412</v>
      </c>
      <c r="BQ12" s="586"/>
      <c r="BR12" s="581">
        <f>MAX(VLOOKUP(BG12, $BU$4:$BX$9, 4, FALSE) - VLOOKUP(BG12, $E$4:$F$11, 2, FALSE) + VLOOKUP(BG12, $Q$4:$R$11, 2, FALSE), 0)</f>
        <v>0</v>
      </c>
      <c r="BS12" s="582"/>
      <c r="BT12" s="564"/>
      <c r="BU12" s="463" t="s">
        <v>72</v>
      </c>
      <c r="BV12" s="348">
        <f t="shared" si="18"/>
        <v>0</v>
      </c>
      <c r="BW12" s="348">
        <f t="shared" si="19"/>
        <v>0</v>
      </c>
      <c r="BX12" s="348">
        <f t="shared" si="15"/>
        <v>0</v>
      </c>
    </row>
    <row r="13" spans="1:76" ht="18.75" customHeight="1" x14ac:dyDescent="0.25">
      <c r="G13" s="462">
        <v>24</v>
      </c>
      <c r="H13" s="339">
        <v>2</v>
      </c>
      <c r="I13" s="339">
        <v>1</v>
      </c>
      <c r="J13" s="443" t="s">
        <v>411</v>
      </c>
      <c r="K13" s="339">
        <v>200</v>
      </c>
      <c r="L13" s="339">
        <v>150</v>
      </c>
      <c r="M13" s="339">
        <v>120</v>
      </c>
      <c r="Z13" s="447" t="s">
        <v>421</v>
      </c>
      <c r="AA13" s="448">
        <f>IF(AB13=0,NA(),SUMIFS(D厄魔!H:H,D厄魔!A:A,"=高",D厄魔!B:B,"=" &amp; AA$10)/AB13)</f>
        <v>1.45</v>
      </c>
      <c r="AB13" s="449">
        <f>SUMIFS(D厄魔!C:C,D厄魔!A:A,"=高",D厄魔!B:B,"=" &amp; AA$10)</f>
        <v>320</v>
      </c>
      <c r="AC13" s="450">
        <f t="shared" si="16"/>
        <v>20.689655172413794</v>
      </c>
      <c r="AD13" s="448">
        <f>IF(AE13=0,NA(),SUMIFS(D厄魔!H:H,D厄魔!$A:$A,"=高",D厄魔!$B:$B,"=" &amp; AD$10)/AE13)</f>
        <v>1.9038461538461537</v>
      </c>
      <c r="AE13" s="449">
        <f>SUMIFS(D厄魔!$C:$C,D厄魔!$A:$A,"=高",D厄魔!$B:$B,"=" &amp; AD$10)</f>
        <v>104</v>
      </c>
      <c r="AF13" s="450">
        <f t="shared" si="17"/>
        <v>15.757575757575758</v>
      </c>
      <c r="AG13" s="458" t="s">
        <v>206</v>
      </c>
      <c r="AH13" s="458">
        <f t="shared" si="11"/>
        <v>0</v>
      </c>
      <c r="AI13" s="458">
        <f t="shared" si="3"/>
        <v>0</v>
      </c>
      <c r="AJ13" s="458">
        <f t="shared" si="12"/>
        <v>0</v>
      </c>
      <c r="AK13" s="458">
        <f t="shared" si="4"/>
        <v>0</v>
      </c>
      <c r="AL13" s="458">
        <f t="shared" si="13"/>
        <v>0</v>
      </c>
      <c r="AM13" s="458">
        <f t="shared" si="5"/>
        <v>0</v>
      </c>
      <c r="AN13" s="458">
        <f t="shared" si="14"/>
        <v>0</v>
      </c>
      <c r="AO13" s="458">
        <f t="shared" si="6"/>
        <v>0</v>
      </c>
      <c r="AP13" s="458" t="str">
        <f t="shared" si="7"/>
        <v/>
      </c>
      <c r="AQ13" s="458" t="str">
        <f t="shared" si="8"/>
        <v/>
      </c>
      <c r="AR13" s="458" t="str">
        <f t="shared" si="9"/>
        <v/>
      </c>
      <c r="AS13" s="458" t="str">
        <f t="shared" si="10"/>
        <v/>
      </c>
      <c r="AT13" s="588"/>
      <c r="AU13" s="455" t="s">
        <v>431</v>
      </c>
      <c r="AV13" s="456" t="s">
        <v>434</v>
      </c>
      <c r="AW13" s="459" t="s">
        <v>13</v>
      </c>
      <c r="AX13" s="459" t="s">
        <v>238</v>
      </c>
      <c r="AY13" s="455" t="s">
        <v>431</v>
      </c>
      <c r="AZ13" s="456" t="s">
        <v>434</v>
      </c>
      <c r="BA13" s="459" t="s">
        <v>13</v>
      </c>
      <c r="BB13" s="459" t="s">
        <v>238</v>
      </c>
      <c r="BC13" s="455" t="s">
        <v>431</v>
      </c>
      <c r="BD13" s="456" t="s">
        <v>434</v>
      </c>
      <c r="BE13" s="459" t="s">
        <v>13</v>
      </c>
      <c r="BF13" s="459" t="s">
        <v>238</v>
      </c>
      <c r="BG13" s="588"/>
      <c r="BH13" s="455" t="s">
        <v>431</v>
      </c>
      <c r="BI13" s="456" t="s">
        <v>434</v>
      </c>
      <c r="BJ13" s="459" t="s">
        <v>13</v>
      </c>
      <c r="BK13" s="459" t="s">
        <v>238</v>
      </c>
      <c r="BL13" s="455" t="s">
        <v>431</v>
      </c>
      <c r="BM13" s="456" t="s">
        <v>434</v>
      </c>
      <c r="BN13" s="459" t="s">
        <v>13</v>
      </c>
      <c r="BO13" s="459" t="s">
        <v>238</v>
      </c>
      <c r="BP13" s="455" t="s">
        <v>431</v>
      </c>
      <c r="BQ13" s="456" t="s">
        <v>434</v>
      </c>
      <c r="BR13" s="459" t="s">
        <v>13</v>
      </c>
      <c r="BS13" s="459" t="s">
        <v>238</v>
      </c>
      <c r="BT13" s="564"/>
      <c r="BU13" s="463" t="s">
        <v>0</v>
      </c>
      <c r="BV13" s="348">
        <f t="shared" si="18"/>
        <v>0</v>
      </c>
      <c r="BW13" s="348">
        <f t="shared" si="19"/>
        <v>0</v>
      </c>
      <c r="BX13" s="348">
        <f t="shared" si="15"/>
        <v>0</v>
      </c>
    </row>
    <row r="14" spans="1:76" ht="18.75" customHeight="1" x14ac:dyDescent="0.25">
      <c r="G14" s="462">
        <v>25</v>
      </c>
      <c r="H14" s="339">
        <v>2</v>
      </c>
      <c r="I14" s="339">
        <v>2</v>
      </c>
      <c r="J14" s="443" t="s">
        <v>411</v>
      </c>
      <c r="K14" s="339">
        <v>0</v>
      </c>
      <c r="L14" s="339">
        <v>0</v>
      </c>
      <c r="M14" s="339">
        <v>0</v>
      </c>
      <c r="Z14" s="447" t="s">
        <v>424</v>
      </c>
      <c r="AA14" s="448">
        <f>IF(AB14=0,NA(),SUMIFS(D厄魔!I:I,D厄魔!A:A,"=高",D厄魔!B:B,"=" &amp; AA$10)/AB14)</f>
        <v>1.26875</v>
      </c>
      <c r="AB14" s="449">
        <f>SUMIFS(D厄魔!C:C,D厄魔!A:A,"=高",D厄魔!B:B,"=" &amp; AA$10)</f>
        <v>320</v>
      </c>
      <c r="AC14" s="450">
        <f t="shared" si="16"/>
        <v>23.645320197044335</v>
      </c>
      <c r="AD14" s="448">
        <f>IF(AE14=0,NA(),SUMIFS(D厄魔!I:I,D厄魔!$A:$A,"=高",D厄魔!$B:$B,"=" &amp; AD$10)/AE14)</f>
        <v>2.2019230769230771</v>
      </c>
      <c r="AE14" s="449">
        <f>SUMIFS(D厄魔!$C:$C,D厄魔!$A:$A,"=高",D厄魔!$B:$B,"=" &amp; AD$10)</f>
        <v>104</v>
      </c>
      <c r="AF14" s="450">
        <f t="shared" si="17"/>
        <v>13.624454148471616</v>
      </c>
      <c r="AG14" s="458" t="s">
        <v>125</v>
      </c>
      <c r="AH14" s="458">
        <f t="shared" si="11"/>
        <v>0</v>
      </c>
      <c r="AI14" s="458">
        <f t="shared" si="3"/>
        <v>0</v>
      </c>
      <c r="AJ14" s="458">
        <f t="shared" si="12"/>
        <v>0</v>
      </c>
      <c r="AK14" s="458">
        <f t="shared" si="4"/>
        <v>0</v>
      </c>
      <c r="AL14" s="458">
        <f t="shared" si="13"/>
        <v>0</v>
      </c>
      <c r="AM14" s="458">
        <f t="shared" si="5"/>
        <v>0</v>
      </c>
      <c r="AN14" s="458">
        <f t="shared" si="14"/>
        <v>0</v>
      </c>
      <c r="AO14" s="458">
        <f t="shared" si="6"/>
        <v>0</v>
      </c>
      <c r="AP14" s="458" t="str">
        <f t="shared" si="7"/>
        <v/>
      </c>
      <c r="AQ14" s="458" t="str">
        <f t="shared" si="8"/>
        <v/>
      </c>
      <c r="AR14" s="458" t="str">
        <f t="shared" si="9"/>
        <v/>
      </c>
      <c r="AS14" s="458" t="str">
        <f t="shared" si="10"/>
        <v/>
      </c>
      <c r="AT14" s="588"/>
      <c r="AU14" s="583" t="s">
        <v>432</v>
      </c>
      <c r="AV14" s="457" t="s">
        <v>204</v>
      </c>
      <c r="AW14" s="458">
        <f>_xlfn.IFNA(AW12 / VLOOKUP(AU12, $Z$4:$AF$8, 2, FALSE) / VLOOKUP(AU12,$X$4:$Y$11,2,FALSE), "")</f>
        <v>55.01524812863876</v>
      </c>
      <c r="AX14" s="458">
        <f>IF(ISNUMBER(AW14), ROUNDUP(AW14/(RECOVER_AP / $B$4)*RECOVER_DIAMS,0), "")</f>
        <v>207</v>
      </c>
      <c r="AY14" s="583" t="s">
        <v>432</v>
      </c>
      <c r="AZ14" s="457" t="s">
        <v>204</v>
      </c>
      <c r="BA14" s="458" t="str">
        <f>_xlfn.IFNA(BA12 / VLOOKUP(AY12, $Z$4:$AF$8, 2, FALSE) / VLOOKUP(AY12,$X$4:$Y$11,2,FALSE), "")</f>
        <v/>
      </c>
      <c r="BB14" s="458" t="str">
        <f>IF(ISNUMBER(BA14), ROUNDUP(BA14/(RECOVER_AP / $B$4)*RECOVER_DIAMS,0), "")</f>
        <v/>
      </c>
      <c r="BC14" s="583" t="s">
        <v>432</v>
      </c>
      <c r="BD14" s="457" t="s">
        <v>204</v>
      </c>
      <c r="BE14" s="458">
        <f>_xlfn.IFNA(BE12 / VLOOKUP(AT12, $Z$4:$AF$8, 2, FALSE) / VLOOKUP(AT12,$X$4:$Y$11,2,FALSE), "")</f>
        <v>0</v>
      </c>
      <c r="BF14" s="458">
        <f>IF(ISNUMBER(BE14), ROUNDUP(BE14/(RECOVER_AP / $B$4)*RECOVER_DIAMS,0), "")</f>
        <v>0</v>
      </c>
      <c r="BG14" s="588"/>
      <c r="BH14" s="583" t="s">
        <v>432</v>
      </c>
      <c r="BI14" s="457" t="s">
        <v>204</v>
      </c>
      <c r="BJ14" s="458">
        <f>_xlfn.IFNA(BJ12 / VLOOKUP(BH12, $Z$4:$AF$8, 2, FALSE) / VLOOKUP(BH12,$X$4:$Y$11,2,FALSE), "")</f>
        <v>0</v>
      </c>
      <c r="BK14" s="458">
        <f>IF(ISNUMBER(BJ14), ROUNDUP(BJ14/(RECOVER_AP / $B$4)*RECOVER_DIAMS,0), "")</f>
        <v>0</v>
      </c>
      <c r="BL14" s="583" t="s">
        <v>432</v>
      </c>
      <c r="BM14" s="457" t="s">
        <v>204</v>
      </c>
      <c r="BN14" s="458" t="str">
        <f>_xlfn.IFNA(BN12 / VLOOKUP(BL12, $Z$4:$AF$8, 2, FALSE) / VLOOKUP(BL12,$X$4:$Y$11,2,FALSE), "")</f>
        <v/>
      </c>
      <c r="BO14" s="458" t="str">
        <f>IF(ISNUMBER(BN14), ROUNDUP(BN14/(RECOVER_AP / $B$4)*RECOVER_DIAMS,0), "")</f>
        <v/>
      </c>
      <c r="BP14" s="583" t="s">
        <v>432</v>
      </c>
      <c r="BQ14" s="457" t="s">
        <v>204</v>
      </c>
      <c r="BR14" s="458">
        <f>_xlfn.IFNA(BR12 / VLOOKUP(BG12, $Z$4:$AF$8, 2, FALSE) / VLOOKUP(BG12,$X$4:$Y$11,2,FALSE), "")</f>
        <v>0</v>
      </c>
      <c r="BS14" s="458">
        <f>IF(ISNUMBER(BR14), ROUNDUP(BR14/(RECOVER_AP / $B$4)*RECOVER_DIAMS,0), "")</f>
        <v>0</v>
      </c>
      <c r="BT14" s="564"/>
      <c r="BU14" s="463" t="s">
        <v>5</v>
      </c>
      <c r="BV14" s="348">
        <f t="shared" si="18"/>
        <v>0</v>
      </c>
      <c r="BW14" s="348">
        <f t="shared" si="19"/>
        <v>0</v>
      </c>
      <c r="BX14" s="348">
        <f t="shared" si="15"/>
        <v>0</v>
      </c>
    </row>
    <row r="15" spans="1:76" ht="18.75" customHeight="1" x14ac:dyDescent="0.25">
      <c r="G15" s="462">
        <v>30</v>
      </c>
      <c r="H15" s="339">
        <v>3</v>
      </c>
      <c r="I15" s="339">
        <v>1</v>
      </c>
      <c r="J15" s="443" t="s">
        <v>416</v>
      </c>
      <c r="K15" s="339">
        <v>750</v>
      </c>
      <c r="L15" s="339">
        <v>550</v>
      </c>
      <c r="M15" s="339">
        <v>360</v>
      </c>
      <c r="Z15" s="447" t="s">
        <v>425</v>
      </c>
      <c r="AA15" s="448">
        <f>IF(AB15=0,NA(),SUMIFS(D厄魔!J:J,D厄魔!A:A,"=高",D厄魔!B:B,"=" &amp; AA$10)/AB15)</f>
        <v>0.17499999999999999</v>
      </c>
      <c r="AB15" s="449">
        <f>SUMIFS(D厄魔!C:C,D厄魔!A:A,"=高",D厄魔!B:B,"=" &amp; AA$10)</f>
        <v>320</v>
      </c>
      <c r="AC15" s="450">
        <f t="shared" si="16"/>
        <v>171.42857142857144</v>
      </c>
      <c r="AD15" s="448">
        <f>IF(AE15=0,NA(),SUMIFS(D厄魔!J:J,D厄魔!$A:$A,"=高",D厄魔!$B:$B,"=" &amp; AD$10)/AE15)</f>
        <v>0.25961538461538464</v>
      </c>
      <c r="AE15" s="449">
        <f>SUMIFS(D厄魔!$C:$C,D厄魔!$A:$A,"=高",D厄魔!$B:$B,"=" &amp; AD$10)</f>
        <v>104</v>
      </c>
      <c r="AF15" s="450">
        <f t="shared" si="17"/>
        <v>115.55555555555554</v>
      </c>
      <c r="AG15" s="458" t="s">
        <v>445</v>
      </c>
      <c r="AH15" s="458">
        <f t="shared" si="11"/>
        <v>0</v>
      </c>
      <c r="AI15" s="458">
        <f t="shared" si="3"/>
        <v>0</v>
      </c>
      <c r="AJ15" s="458">
        <f t="shared" si="12"/>
        <v>0</v>
      </c>
      <c r="AK15" s="458">
        <f t="shared" si="4"/>
        <v>0</v>
      </c>
      <c r="AL15" s="458">
        <f t="shared" si="13"/>
        <v>0</v>
      </c>
      <c r="AM15" s="458">
        <f t="shared" si="5"/>
        <v>0</v>
      </c>
      <c r="AN15" s="458">
        <f t="shared" si="14"/>
        <v>0</v>
      </c>
      <c r="AO15" s="458">
        <f t="shared" si="6"/>
        <v>0</v>
      </c>
      <c r="AP15" s="458" t="str">
        <f t="shared" si="7"/>
        <v/>
      </c>
      <c r="AQ15" s="458" t="str">
        <f t="shared" si="8"/>
        <v/>
      </c>
      <c r="AR15" s="458" t="str">
        <f t="shared" si="9"/>
        <v/>
      </c>
      <c r="AS15" s="458" t="str">
        <f t="shared" si="10"/>
        <v/>
      </c>
      <c r="AT15" s="588"/>
      <c r="AU15" s="584"/>
      <c r="AV15" s="457" t="s">
        <v>86</v>
      </c>
      <c r="AW15" s="458">
        <f>_xlfn.IFNA(AW12/VLOOKUP(AU12,$Z$4:$AF$8,5,FALSE) / VLOOKUP(AU12,$X$4:$Y$11,2,FALSE),"")</f>
        <v>34.692307692307693</v>
      </c>
      <c r="AX15" s="458">
        <f>IF(ISNUMBER(AW15), ROUNDUP(AW15/(RECOVER_AP / $B$5)*RECOVER_DIAMS,0), "")</f>
        <v>87</v>
      </c>
      <c r="AY15" s="584"/>
      <c r="AZ15" s="457" t="s">
        <v>86</v>
      </c>
      <c r="BA15" s="458" t="str">
        <f>_xlfn.IFNA(BA12 / VLOOKUP(AY12, $Z$4:$AF$8, 5, FALSE) / VLOOKUP(AY12,$X$4:$Y$11,2,FALSE), "")</f>
        <v/>
      </c>
      <c r="BB15" s="458" t="str">
        <f>IF(ISNUMBER(BA15), ROUNDUP(BA15/(RECOVER_AP / $B$5)*RECOVER_DIAMS,0), "")</f>
        <v/>
      </c>
      <c r="BC15" s="584"/>
      <c r="BD15" s="457" t="s">
        <v>86</v>
      </c>
      <c r="BE15" s="458" t="e">
        <f>_xlfn.IFNA(BE12 / VLOOKUP(AT12, $Z$4:$AF$8, 5, FALSE) / VLOOKUP(AT12,$X$4:$Y$11,2,FALSE), "")</f>
        <v>#DIV/0!</v>
      </c>
      <c r="BF15" s="458" t="str">
        <f>IF(ISNUMBER(BE15), ROUNDUP(BE15/(RECOVER_AP / $B$5)*RECOVER_DIAMS,0), "")</f>
        <v/>
      </c>
      <c r="BG15" s="588"/>
      <c r="BH15" s="584"/>
      <c r="BI15" s="457" t="s">
        <v>86</v>
      </c>
      <c r="BJ15" s="458">
        <f>_xlfn.IFNA(BJ12/VLOOKUP(BH12,$Z$4:$AF$8,5,FALSE) / VLOOKUP(BH12,$X$4:$Y$11,2,FALSE),"")</f>
        <v>0</v>
      </c>
      <c r="BK15" s="458">
        <f>IF(ISNUMBER(BJ15), ROUNDUP(BJ15/(RECOVER_AP / $B$5)*RECOVER_DIAMS,0), "")</f>
        <v>0</v>
      </c>
      <c r="BL15" s="584"/>
      <c r="BM15" s="457" t="s">
        <v>86</v>
      </c>
      <c r="BN15" s="458" t="str">
        <f>_xlfn.IFNA(BN12 / VLOOKUP(BL12, $Z$4:$AF$8, 5, FALSE) / VLOOKUP(BL12,$X$4:$Y$11,2,FALSE), "")</f>
        <v/>
      </c>
      <c r="BO15" s="458" t="str">
        <f>IF(ISNUMBER(BN15), ROUNDUP(BN15/(RECOVER_AP / $B$5)*RECOVER_DIAMS,0), "")</f>
        <v/>
      </c>
      <c r="BP15" s="584"/>
      <c r="BQ15" s="457" t="s">
        <v>86</v>
      </c>
      <c r="BR15" s="458" t="e">
        <f>_xlfn.IFNA(BR12 / VLOOKUP(BG12, $Z$4:$AF$8, 5, FALSE) / VLOOKUP(BG12,$X$4:$Y$11,2,FALSE), "")</f>
        <v>#DIV/0!</v>
      </c>
      <c r="BS15" s="458" t="str">
        <f>IF(ISNUMBER(BR15), ROUNDUP(BR15/(RECOVER_AP / $B$5)*RECOVER_DIAMS,0), "")</f>
        <v/>
      </c>
      <c r="BT15" s="564"/>
      <c r="BU15" s="463" t="s">
        <v>8</v>
      </c>
      <c r="BV15" s="348">
        <f t="shared" si="18"/>
        <v>0</v>
      </c>
      <c r="BW15" s="348">
        <f t="shared" si="19"/>
        <v>0</v>
      </c>
      <c r="BX15" s="348">
        <f t="shared" si="15"/>
        <v>0</v>
      </c>
    </row>
    <row r="16" spans="1:76" ht="18.75" customHeight="1" x14ac:dyDescent="0.25">
      <c r="G16" s="462">
        <v>31</v>
      </c>
      <c r="H16" s="339">
        <v>3</v>
      </c>
      <c r="I16" s="339">
        <v>1</v>
      </c>
      <c r="J16" s="443" t="s">
        <v>408</v>
      </c>
      <c r="K16" s="339">
        <v>700</v>
      </c>
      <c r="L16" s="339">
        <v>550</v>
      </c>
      <c r="M16" s="339">
        <v>340</v>
      </c>
      <c r="Z16" s="447" t="s">
        <v>426</v>
      </c>
      <c r="AA16" s="448">
        <f>IF(AB16=0,NA(),SUMIFS(D厄魔!K:K,D厄魔!A:A,"=高",D厄魔!B:B,"=" &amp; AA$10)/AB16)</f>
        <v>0.13437499999999999</v>
      </c>
      <c r="AB16" s="449">
        <f>SUMIFS(D厄魔!C:C,D厄魔!A:A,"=高",D厄魔!B:B,"=" &amp; AA$10)</f>
        <v>320</v>
      </c>
      <c r="AC16" s="450">
        <f t="shared" si="16"/>
        <v>223.25581395348837</v>
      </c>
      <c r="AD16" s="448">
        <f>IF(AE16=0,NA(),SUMIFS(D厄魔!K:K,D厄魔!$A:$A,"=高",D厄魔!$B:$B,"=" &amp; AD$10)/AE16)</f>
        <v>0.20192307692307693</v>
      </c>
      <c r="AE16" s="449">
        <f>SUMIFS(D厄魔!$C:$C,D厄魔!$A:$A,"=高",D厄魔!$B:$B,"=" &amp; AD$10)</f>
        <v>104</v>
      </c>
      <c r="AF16" s="450">
        <f t="shared" si="17"/>
        <v>148.57142857142856</v>
      </c>
      <c r="AG16" s="568" t="s">
        <v>419</v>
      </c>
      <c r="AH16" s="570" t="s">
        <v>65</v>
      </c>
      <c r="AI16" s="571"/>
      <c r="AJ16" s="571"/>
      <c r="AK16" s="572"/>
      <c r="AL16" s="570" t="s">
        <v>67</v>
      </c>
      <c r="AM16" s="571"/>
      <c r="AN16" s="571"/>
      <c r="AO16" s="572"/>
      <c r="AP16" s="570" t="s">
        <v>71</v>
      </c>
      <c r="AQ16" s="571"/>
      <c r="AR16" s="571"/>
      <c r="AS16" s="572"/>
      <c r="AT16" s="588"/>
      <c r="AU16" s="583" t="s">
        <v>433</v>
      </c>
      <c r="AV16" s="457" t="s">
        <v>204</v>
      </c>
      <c r="AW16" s="458">
        <f>_xlfn.IFNA(AW12 / VLOOKUP(AU12, $Z$11:$AF$16, 2, FALSE) / VLOOKUP(AU12,$X$4:$Y$11,2,FALSE), "")</f>
        <v>170.59101654846336</v>
      </c>
      <c r="AX16" s="458">
        <f>IF(ISNUMBER(AW16), ROUNDUP(AW16/(RECOVER_AP / $C$4)*RECOVER_DIAMS,0), "")</f>
        <v>1280</v>
      </c>
      <c r="AY16" s="583" t="s">
        <v>433</v>
      </c>
      <c r="AZ16" s="457" t="s">
        <v>204</v>
      </c>
      <c r="BA16" s="458">
        <f>_xlfn.IFNA(BA12 / VLOOKUP(AY12, $Z$11:$AF$16, 2, FALSE) / VLOOKUP(AY12,$X$4:$Y$11,2,FALSE), "")</f>
        <v>82.004555808656036</v>
      </c>
      <c r="BB16" s="458">
        <f>IF(ISNUMBER(BA16), ROUNDUP(BA16/(RECOVER_AP / $C$4)*RECOVER_DIAMS,0), "")</f>
        <v>616</v>
      </c>
      <c r="BC16" s="583" t="s">
        <v>433</v>
      </c>
      <c r="BD16" s="457" t="s">
        <v>204</v>
      </c>
      <c r="BE16" s="458">
        <f>_xlfn.IFNA(BE12 / VLOOKUP(AT12, $Z$11:$AF$16, 2, FALSE) / VLOOKUP(AT12,$X$4:$Y$11,2,FALSE), "")</f>
        <v>0</v>
      </c>
      <c r="BF16" s="458">
        <f>IF(ISNUMBER(BE16), ROUNDUP(BE16/(RECOVER_AP / $C$4)*RECOVER_DIAMS,0), "")</f>
        <v>0</v>
      </c>
      <c r="BG16" s="588"/>
      <c r="BH16" s="583" t="s">
        <v>433</v>
      </c>
      <c r="BI16" s="457" t="s">
        <v>204</v>
      </c>
      <c r="BJ16" s="458">
        <f>_xlfn.IFNA(BJ12 / VLOOKUP(BH12, $Z$11:$AF$16, 2, FALSE) / VLOOKUP(BH12,$X$4:$Y$11,2,FALSE), "")</f>
        <v>0</v>
      </c>
      <c r="BK16" s="458">
        <f>IF(ISNUMBER(BJ16), ROUNDUP(BJ16/(RECOVER_AP / $C$4)*RECOVER_DIAMS,0), "")</f>
        <v>0</v>
      </c>
      <c r="BL16" s="583" t="s">
        <v>433</v>
      </c>
      <c r="BM16" s="457" t="s">
        <v>204</v>
      </c>
      <c r="BN16" s="458">
        <f>_xlfn.IFNA(BN12 / VLOOKUP(BL12, $Z$11:$AF$16, 2, FALSE) / VLOOKUP(BL12,$X$4:$Y$11,2,FALSE), "")</f>
        <v>0</v>
      </c>
      <c r="BO16" s="458">
        <f>IF(ISNUMBER(BN16), ROUNDUP(BN16/(RECOVER_AP / $C$4)*RECOVER_DIAMS,0), "")</f>
        <v>0</v>
      </c>
      <c r="BP16" s="583" t="s">
        <v>433</v>
      </c>
      <c r="BQ16" s="457" t="s">
        <v>204</v>
      </c>
      <c r="BR16" s="458">
        <f>_xlfn.IFNA(BR12 / VLOOKUP(BG12, $Z$11:$AF$16, 2, FALSE) / VLOOKUP(BG12,$X$4:$Y$11,2,FALSE), "")</f>
        <v>0</v>
      </c>
      <c r="BS16" s="458">
        <f>IF(ISNUMBER(BR16), ROUNDUP(BR16/(RECOVER_AP / $C$4)*RECOVER_DIAMS,0), "")</f>
        <v>0</v>
      </c>
      <c r="BT16" s="564"/>
      <c r="BU16" s="463" t="s">
        <v>206</v>
      </c>
      <c r="BV16" s="348">
        <f t="shared" si="18"/>
        <v>0</v>
      </c>
      <c r="BW16" s="348">
        <f t="shared" si="19"/>
        <v>0</v>
      </c>
      <c r="BX16" s="348">
        <f t="shared" si="15"/>
        <v>0</v>
      </c>
    </row>
    <row r="17" spans="7:76" ht="18.75" customHeight="1" x14ac:dyDescent="0.25">
      <c r="G17" s="462">
        <v>32</v>
      </c>
      <c r="H17" s="339">
        <v>3</v>
      </c>
      <c r="I17" s="339">
        <v>1</v>
      </c>
      <c r="J17" s="443" t="s">
        <v>409</v>
      </c>
      <c r="K17" s="339">
        <v>650</v>
      </c>
      <c r="L17" s="339">
        <v>550</v>
      </c>
      <c r="M17" s="339">
        <v>320</v>
      </c>
      <c r="Z17" s="447"/>
      <c r="AA17" s="448"/>
      <c r="AB17" s="449"/>
      <c r="AC17" s="448"/>
      <c r="AD17" s="448"/>
      <c r="AE17" s="449"/>
      <c r="AF17" s="448"/>
      <c r="AG17" s="569"/>
      <c r="AH17" s="570" t="s">
        <v>204</v>
      </c>
      <c r="AI17" s="572"/>
      <c r="AJ17" s="570" t="s">
        <v>86</v>
      </c>
      <c r="AK17" s="572"/>
      <c r="AL17" s="570" t="s">
        <v>204</v>
      </c>
      <c r="AM17" s="572"/>
      <c r="AN17" s="570" t="s">
        <v>86</v>
      </c>
      <c r="AO17" s="572"/>
      <c r="AP17" s="570" t="s">
        <v>204</v>
      </c>
      <c r="AQ17" s="572"/>
      <c r="AR17" s="570" t="s">
        <v>86</v>
      </c>
      <c r="AS17" s="572"/>
      <c r="AT17" s="588"/>
      <c r="AU17" s="584"/>
      <c r="AV17" s="457" t="s">
        <v>86</v>
      </c>
      <c r="AW17" s="458">
        <f>_xlfn.IFNA(AW12 / VLOOKUP(AU12,  $Z$11:$AF$16, 5, FALSE) / VLOOKUP(AU12,$X$4:$Y$11,2,FALSE), "")</f>
        <v>75.40836012861736</v>
      </c>
      <c r="AX17" s="458">
        <f>IF(ISNUMBER(AW17), ROUNDUP(AW17/(RECOVER_AP / $C$5)*RECOVER_DIAMS,0), "")</f>
        <v>566</v>
      </c>
      <c r="AY17" s="584"/>
      <c r="AZ17" s="457" t="s">
        <v>86</v>
      </c>
      <c r="BA17" s="458">
        <f>_xlfn.IFNA(BA12 / VLOOKUP(AY12,  $Z$11:$AF$16, 5, FALSE) / VLOOKUP(AY12,$X$4:$Y$11,2,FALSE), "")</f>
        <v>52.76211950394589</v>
      </c>
      <c r="BB17" s="458">
        <f>IF(ISNUMBER(BA17), ROUNDUP(BA17/(RECOVER_AP / $C$5)*RECOVER_DIAMS,0), "")</f>
        <v>396</v>
      </c>
      <c r="BC17" s="584"/>
      <c r="BD17" s="457" t="s">
        <v>86</v>
      </c>
      <c r="BE17" s="458">
        <f>_xlfn.IFNA(BE12 / VLOOKUP(AT12,  $Z$11:$AF$16, 5, FALSE) / VLOOKUP(AT12,$X$4:$Y$11,2,FALSE), "")</f>
        <v>0</v>
      </c>
      <c r="BF17" s="458">
        <f>IF(ISNUMBER(BE17), ROUNDUP(BE17/(RECOVER_AP / $C$5)*RECOVER_DIAMS,0), "")</f>
        <v>0</v>
      </c>
      <c r="BG17" s="588"/>
      <c r="BH17" s="584"/>
      <c r="BI17" s="457" t="s">
        <v>86</v>
      </c>
      <c r="BJ17" s="458">
        <f>_xlfn.IFNA(BJ12 / VLOOKUP(BH12,  $Z$11:$AF$16, 5, FALSE) / VLOOKUP(BH12,$X$4:$Y$11,2,FALSE), "")</f>
        <v>0</v>
      </c>
      <c r="BK17" s="458">
        <f>IF(ISNUMBER(BJ17), ROUNDUP(BJ17/(RECOVER_AP / $C$5)*RECOVER_DIAMS,0), "")</f>
        <v>0</v>
      </c>
      <c r="BL17" s="584"/>
      <c r="BM17" s="457" t="s">
        <v>86</v>
      </c>
      <c r="BN17" s="458">
        <f>_xlfn.IFNA(BN12 / VLOOKUP(BL12,  $Z$11:$AF$16, 5, FALSE) / VLOOKUP(BL12,$X$4:$Y$11,2,FALSE), "")</f>
        <v>0</v>
      </c>
      <c r="BO17" s="458">
        <f>IF(ISNUMBER(BN17), ROUNDUP(BN17/(RECOVER_AP / $C$5)*RECOVER_DIAMS,0), "")</f>
        <v>0</v>
      </c>
      <c r="BP17" s="584"/>
      <c r="BQ17" s="457" t="s">
        <v>86</v>
      </c>
      <c r="BR17" s="458">
        <f>_xlfn.IFNA(BR12 / VLOOKUP(BG12,  $Z$11:$AF$16, 5, FALSE) / VLOOKUP(BG12,$X$4:$Y$11,2,FALSE), "")</f>
        <v>0</v>
      </c>
      <c r="BS17" s="458">
        <f>IF(ISNUMBER(BR17), ROUNDUP(BR17/(RECOVER_AP / $C$5)*RECOVER_DIAMS,0), "")</f>
        <v>0</v>
      </c>
      <c r="BT17" s="564"/>
      <c r="BU17" s="463" t="s">
        <v>125</v>
      </c>
      <c r="BV17" s="348">
        <f t="shared" si="18"/>
        <v>0</v>
      </c>
      <c r="BW17" s="348">
        <f t="shared" si="19"/>
        <v>0</v>
      </c>
      <c r="BX17" s="348">
        <f t="shared" si="15"/>
        <v>0</v>
      </c>
    </row>
    <row r="18" spans="7:76" ht="18.75" customHeight="1" x14ac:dyDescent="0.25">
      <c r="G18" s="462">
        <v>33</v>
      </c>
      <c r="H18" s="339">
        <v>3</v>
      </c>
      <c r="I18" s="339">
        <v>1</v>
      </c>
      <c r="J18" s="443" t="s">
        <v>410</v>
      </c>
      <c r="K18" s="339">
        <v>550</v>
      </c>
      <c r="L18" s="339">
        <v>450</v>
      </c>
      <c r="M18" s="339">
        <v>280</v>
      </c>
      <c r="Z18" s="447" t="s">
        <v>71</v>
      </c>
      <c r="AA18" s="447" t="s">
        <v>204</v>
      </c>
      <c r="AB18" s="447" t="s">
        <v>14</v>
      </c>
      <c r="AC18" s="447" t="s">
        <v>205</v>
      </c>
      <c r="AD18" s="451" t="s">
        <v>86</v>
      </c>
      <c r="AE18" s="452" t="s">
        <v>14</v>
      </c>
      <c r="AF18" s="451" t="s">
        <v>205</v>
      </c>
      <c r="AG18" s="459"/>
      <c r="AH18" s="459" t="s">
        <v>13</v>
      </c>
      <c r="AI18" s="459" t="s">
        <v>238</v>
      </c>
      <c r="AJ18" s="459" t="s">
        <v>13</v>
      </c>
      <c r="AK18" s="459" t="s">
        <v>238</v>
      </c>
      <c r="AL18" s="459" t="s">
        <v>13</v>
      </c>
      <c r="AM18" s="459" t="s">
        <v>238</v>
      </c>
      <c r="AN18" s="459" t="s">
        <v>13</v>
      </c>
      <c r="AO18" s="459" t="s">
        <v>238</v>
      </c>
      <c r="AP18" s="459" t="s">
        <v>13</v>
      </c>
      <c r="AQ18" s="459" t="s">
        <v>238</v>
      </c>
      <c r="AR18" s="459" t="s">
        <v>13</v>
      </c>
      <c r="AS18" s="459" t="s">
        <v>238</v>
      </c>
      <c r="AT18" s="588"/>
      <c r="AU18" s="583" t="s">
        <v>435</v>
      </c>
      <c r="AV18" s="457" t="s">
        <v>204</v>
      </c>
      <c r="AW18" s="458" t="str">
        <f>_xlfn.IFNA(AW12 / VLOOKUP(AU12, $Z$20:$AF$24, 2, FALSE) / VLOOKUP(AU12,$X$4:$Y$11,2,FALSE), "")</f>
        <v/>
      </c>
      <c r="AX18" s="458" t="str">
        <f>IF(ISNUMBER(AW18), ROUNDUP(AW18/(RECOVER_AP / $D$4)*RECOVER_DIAMS,0), "")</f>
        <v/>
      </c>
      <c r="AY18" s="583" t="s">
        <v>435</v>
      </c>
      <c r="AZ18" s="457" t="s">
        <v>204</v>
      </c>
      <c r="BA18" s="458">
        <f>_xlfn.IFNA(BA12 / VLOOKUP(AY12, $Z$20:$AF$24, 2, FALSE) / VLOOKUP(AY12,$X$4:$Y$11,2,FALSE), "")</f>
        <v>78.260869565217391</v>
      </c>
      <c r="BB18" s="458">
        <f>IF(ISNUMBER(BA18), ROUNDUP(BA18/(RECOVER_AP / $D$4)*RECOVER_DIAMS,0), "")</f>
        <v>783</v>
      </c>
      <c r="BC18" s="583" t="s">
        <v>435</v>
      </c>
      <c r="BD18" s="457" t="s">
        <v>204</v>
      </c>
      <c r="BE18" s="458">
        <f>_xlfn.IFNA(BE12 / VLOOKUP(AT12, $Z$20:$AF$24, 2, FALSE) / VLOOKUP(AT12,$X$4:$Y$11,2,FALSE), "")</f>
        <v>0</v>
      </c>
      <c r="BF18" s="458">
        <f>IF(ISNUMBER(BE18), ROUNDUP(BE18/(RECOVER_AP / $D$4)*RECOVER_DIAMS,0), "")</f>
        <v>0</v>
      </c>
      <c r="BG18" s="588"/>
      <c r="BH18" s="583" t="s">
        <v>435</v>
      </c>
      <c r="BI18" s="457" t="s">
        <v>204</v>
      </c>
      <c r="BJ18" s="458" t="str">
        <f>_xlfn.IFNA(BJ12 / VLOOKUP(BH12, $Z$20:$AF$24, 2, FALSE) / VLOOKUP(BH12,$X$4:$Y$11,2,FALSE), "")</f>
        <v/>
      </c>
      <c r="BK18" s="458" t="str">
        <f>IF(ISNUMBER(BJ18), ROUNDUP(BJ18/(RECOVER_AP / $D$4)*RECOVER_DIAMS,0), "")</f>
        <v/>
      </c>
      <c r="BL18" s="583" t="s">
        <v>435</v>
      </c>
      <c r="BM18" s="457" t="s">
        <v>204</v>
      </c>
      <c r="BN18" s="458">
        <f>_xlfn.IFNA(BN12 / VLOOKUP(BL12, $Z$20:$AF$24, 2, FALSE) / VLOOKUP(BL12,$X$4:$Y$11,2,FALSE), "")</f>
        <v>0</v>
      </c>
      <c r="BO18" s="458">
        <f>IF(ISNUMBER(BN18), ROUNDUP(BN18/(RECOVER_AP / $D$4)*RECOVER_DIAMS,0), "")</f>
        <v>0</v>
      </c>
      <c r="BP18" s="583" t="s">
        <v>435</v>
      </c>
      <c r="BQ18" s="457" t="s">
        <v>204</v>
      </c>
      <c r="BR18" s="458" t="e">
        <f>_xlfn.IFNA(BR12 / VLOOKUP(BG12, $Z$20:$AF$24, 2, FALSE) / VLOOKUP(BG12,$X$4:$Y$11,2,FALSE), "")</f>
        <v>#DIV/0!</v>
      </c>
      <c r="BS18" s="458" t="str">
        <f>IF(ISNUMBER(BR18), ROUNDUP(BR18/(RECOVER_AP / $D$4)*RECOVER_DIAMS,0), "")</f>
        <v/>
      </c>
      <c r="BT18" s="565"/>
      <c r="BU18" s="463" t="s">
        <v>207</v>
      </c>
      <c r="BV18" s="348">
        <f t="shared" si="18"/>
        <v>0</v>
      </c>
      <c r="BW18" s="348">
        <f t="shared" si="19"/>
        <v>0</v>
      </c>
      <c r="BX18" s="348">
        <f t="shared" si="15"/>
        <v>0</v>
      </c>
    </row>
    <row r="19" spans="7:76" ht="18.75" customHeight="1" x14ac:dyDescent="0.25">
      <c r="G19" s="462">
        <v>34</v>
      </c>
      <c r="H19" s="339">
        <v>3</v>
      </c>
      <c r="I19" s="339">
        <v>1</v>
      </c>
      <c r="J19" s="443" t="s">
        <v>411</v>
      </c>
      <c r="K19" s="339">
        <v>400</v>
      </c>
      <c r="L19" s="339">
        <v>300</v>
      </c>
      <c r="M19" s="339">
        <v>240</v>
      </c>
      <c r="Z19" s="477" t="s">
        <v>418</v>
      </c>
      <c r="AA19" s="448">
        <f>IF(AB19=0,NA(),SUMIFS(D厄魔!D:D,D厄魔!$A:$A,"=超",D厄魔!$B:$B,"=" &amp; AA$18)/AB19)</f>
        <v>4.5</v>
      </c>
      <c r="AB19" s="449">
        <f>SUMIFS(D厄魔!$C:$C,D厄魔!$A:$A,"=超",D厄魔!$B:$B,"=" &amp; AA$18)</f>
        <v>4</v>
      </c>
      <c r="AC19" s="450">
        <f t="shared" ref="AC19:AC24" si="20">IF(AA19=0,NA(),$D$4/AA19)</f>
        <v>8.8888888888888893</v>
      </c>
      <c r="AD19" s="448" t="e">
        <f>IF(AE19=0,NA(),SUMIFS(D厄魔!D:D,D厄魔!$A:$A,"=超",D厄魔!$B:$B,"=" &amp; AD$18)/AE19)</f>
        <v>#N/A</v>
      </c>
      <c r="AE19" s="449">
        <f>SUMIFS(D厄魔!$C:$C,D厄魔!$A:$A,"=超",D厄魔!$B:$B,"=" &amp; AD$18)</f>
        <v>0</v>
      </c>
      <c r="AF19" s="450" t="e">
        <f t="shared" ref="AF19:AF24" si="21">IF(AD19=0,NA(),$D$4/AD19)</f>
        <v>#N/A</v>
      </c>
      <c r="AG19" s="458" t="s">
        <v>53</v>
      </c>
      <c r="AH19" s="458" t="str">
        <f>_xlfn.IFNA($BV10 / VLOOKUP($AG$16, $Z$4:$AF$8, 2, FALSE) / VLOOKUP($AG$16,$X$4:$Y$11,2,FALSE), "")</f>
        <v/>
      </c>
      <c r="AI19" s="458" t="str">
        <f t="shared" ref="AI19:AI27" si="22">IF(ISNUMBER(AH19), ROUNDUP(AH19/(RECOVER_AP / $B$4)*RECOVER_DIAMS,0), "")</f>
        <v/>
      </c>
      <c r="AJ19" s="458" t="str">
        <f>_xlfn.IFNA($BV10 / VLOOKUP($AG$16, $Z$4:$AF$8, 5, FALSE) / VLOOKUP($AG$16,$X$4:$Y$11,2,FALSE), "")</f>
        <v/>
      </c>
      <c r="AK19" s="458" t="str">
        <f t="shared" ref="AK19:AK27" si="23">IF(ISNUMBER(AJ19), ROUNDUP(AJ19/(RECOVER_AP / $B$5)*RECOVER_DIAMS,0), "")</f>
        <v/>
      </c>
      <c r="AL19" s="458">
        <f>_xlfn.IFNA($BV10 / VLOOKUP($AG$16, $Z$11:$AF$16, 2, FALSE) / VLOOKUP($AG$16,$X$4:$Y$11,2,FALSE), "")</f>
        <v>0</v>
      </c>
      <c r="AM19" s="458">
        <f t="shared" ref="AM19:AM27" si="24">IF(ISNUMBER(AL19), ROUNDUP(AL19/(RECOVER_AP / $C$4)*RECOVER_DIAMS,0), "")</f>
        <v>0</v>
      </c>
      <c r="AN19" s="458">
        <f>_xlfn.IFNA($BV10 / VLOOKUP($AG$16, $Z$11:$AF$16, 5, FALSE) / VLOOKUP($AG$16,$X$4:$Y$11,2,FALSE), "")</f>
        <v>0</v>
      </c>
      <c r="AO19" s="458">
        <f t="shared" ref="AO19:AO27" si="25">IF(ISNUMBER(AN19), ROUNDUP(AN19/(RECOVER_AP / $C$5)*RECOVER_DIAMS,0), "")</f>
        <v>0</v>
      </c>
      <c r="AP19" s="458">
        <f t="shared" ref="AP19:AP27" si="26">_xlfn.IFNA($BV10 / VLOOKUP($AG$16,  $Z$20:$AF$24, 2, FALSE) / VLOOKUP($AG$16,$X$4:$Y$11,2,FALSE), "")</f>
        <v>0</v>
      </c>
      <c r="AQ19" s="458">
        <f t="shared" ref="AQ19:AQ27" si="27">IF(ISNUMBER(AP19), ROUNDUP(AP19/(RECOVER_AP / $D$4)*RECOVER_DIAMS,0), "")</f>
        <v>0</v>
      </c>
      <c r="AR19" s="458" t="str">
        <f t="shared" ref="AR19:AR27" si="28">_xlfn.IFNA($BV10 / VLOOKUP($AG$16,  $Z$20:$AF$24, 5, FALSE) / VLOOKUP($AG$16,$X$4:$Y$11,2,FALSE), "")</f>
        <v/>
      </c>
      <c r="AS19" s="458" t="str">
        <f t="shared" ref="AS19:AS27" si="29">IF(ISNUMBER(AR19), ROUNDUP(AR19/(RECOVER_AP / $D$5)*RECOVER_DIAMS,0), "")</f>
        <v/>
      </c>
      <c r="AT19" s="589"/>
      <c r="AU19" s="584"/>
      <c r="AV19" s="457" t="s">
        <v>86</v>
      </c>
      <c r="AW19" s="458" t="str">
        <f>_xlfn.IFNA(AW12 / VLOOKUP(AU12, $Z$20:$AF$24, 5, FALSE) / VLOOKUP(AU12,$X$4:$Y$11,2,FALSE), "")</f>
        <v/>
      </c>
      <c r="AX19" s="458" t="str">
        <f>IF(ISNUMBER(AW19), ROUNDUP(AW19/(RECOVER_AP / $D$5)*RECOVER_DIAMS,0), "")</f>
        <v/>
      </c>
      <c r="AY19" s="584"/>
      <c r="AZ19" s="457" t="s">
        <v>86</v>
      </c>
      <c r="BA19" s="458" t="str">
        <f>_xlfn.IFNA(BA12 / VLOOKUP(AY12, $Z$20:$AF$24, 5, FALSE) / VLOOKUP(AY12,$X$4:$Y$11,2,FALSE), "")</f>
        <v/>
      </c>
      <c r="BB19" s="458" t="str">
        <f>IF(ISNUMBER(BA19), ROUNDUP(BA19/(RECOVER_AP / $D$5)*RECOVER_DIAMS,0), "")</f>
        <v/>
      </c>
      <c r="BC19" s="584"/>
      <c r="BD19" s="457" t="s">
        <v>86</v>
      </c>
      <c r="BE19" s="458" t="str">
        <f>_xlfn.IFNA(BE12 / VLOOKUP(AT12, $Z$20:$AF$24, 5, FALSE) / VLOOKUP(AT12,$X$4:$Y$11,2,FALSE), "")</f>
        <v/>
      </c>
      <c r="BF19" s="458" t="str">
        <f>IF(ISNUMBER(BE19), ROUNDUP(BE19/(RECOVER_AP / $D$5)*RECOVER_DIAMS,0), "")</f>
        <v/>
      </c>
      <c r="BG19" s="589"/>
      <c r="BH19" s="584"/>
      <c r="BI19" s="457" t="s">
        <v>86</v>
      </c>
      <c r="BJ19" s="458" t="str">
        <f>_xlfn.IFNA(BJ12 / VLOOKUP(BH12, $Z$20:$AF$24, 5, FALSE) / VLOOKUP(BH12,$X$4:$Y$11,2,FALSE), "")</f>
        <v/>
      </c>
      <c r="BK19" s="458" t="str">
        <f>IF(ISNUMBER(BJ19), ROUNDUP(BJ19/(RECOVER_AP / $D$5)*RECOVER_DIAMS,0), "")</f>
        <v/>
      </c>
      <c r="BL19" s="584"/>
      <c r="BM19" s="457" t="s">
        <v>86</v>
      </c>
      <c r="BN19" s="458" t="str">
        <f>_xlfn.IFNA(BN12 / VLOOKUP(BL12, $Z$20:$AF$24, 5, FALSE) / VLOOKUP(BL12,$X$4:$Y$11,2,FALSE), "")</f>
        <v/>
      </c>
      <c r="BO19" s="458" t="str">
        <f>IF(ISNUMBER(BN19), ROUNDUP(BN19/(RECOVER_AP / $D$5)*RECOVER_DIAMS,0), "")</f>
        <v/>
      </c>
      <c r="BP19" s="584"/>
      <c r="BQ19" s="457" t="s">
        <v>86</v>
      </c>
      <c r="BR19" s="458" t="str">
        <f>_xlfn.IFNA(BR12 / VLOOKUP(BG12, $Z$20:$AF$24, 5, FALSE) / VLOOKUP(BG12,$X$4:$Y$11,2,FALSE), "")</f>
        <v/>
      </c>
      <c r="BS19" s="458" t="str">
        <f>IF(ISNUMBER(BR19), ROUNDUP(BR19/(RECOVER_AP / $D$5)*RECOVER_DIAMS,0), "")</f>
        <v/>
      </c>
      <c r="BT19" s="461"/>
      <c r="BU19" s="441"/>
    </row>
    <row r="20" spans="7:76" ht="18.75" customHeight="1" x14ac:dyDescent="0.25">
      <c r="G20" s="462">
        <v>35</v>
      </c>
      <c r="H20" s="339">
        <v>3</v>
      </c>
      <c r="I20" s="339">
        <v>2</v>
      </c>
      <c r="J20" s="443" t="s">
        <v>411</v>
      </c>
      <c r="K20" s="339">
        <v>200</v>
      </c>
      <c r="L20" s="339">
        <v>150</v>
      </c>
      <c r="M20" s="339">
        <v>120</v>
      </c>
      <c r="Z20" s="447" t="s">
        <v>419</v>
      </c>
      <c r="AA20" s="448">
        <f>IF(AB20=0,NA(),SUMIFS(D厄魔!E:E,D厄魔!$A:$A,"=超",D厄魔!$B:$B,"=" &amp; AA$18)/AB20)</f>
        <v>5.75</v>
      </c>
      <c r="AB20" s="449">
        <f>SUMIFS(D厄魔!$C:$C,D厄魔!$A:$A,"=超",D厄魔!$B:$B,"=" &amp; AA$18)</f>
        <v>4</v>
      </c>
      <c r="AC20" s="450">
        <f t="shared" si="20"/>
        <v>6.9565217391304346</v>
      </c>
      <c r="AD20" s="448" t="e">
        <f>IF(AE20=0,NA(),SUMIFS(D厄魔!E:E,D厄魔!$A:$A,"=超",D厄魔!$B:$B,"=" &amp; AD$18)/AE20)</f>
        <v>#N/A</v>
      </c>
      <c r="AE20" s="449">
        <f>SUMIFS(D厄魔!$C:$C,D厄魔!$A:$A,"=超",D厄魔!$B:$B,"=" &amp; AD$18)</f>
        <v>0</v>
      </c>
      <c r="AF20" s="450" t="e">
        <f t="shared" si="21"/>
        <v>#N/A</v>
      </c>
      <c r="AG20" s="458" t="s">
        <v>2</v>
      </c>
      <c r="AH20" s="458" t="str">
        <f t="shared" ref="AH20:AH27" si="30">_xlfn.IFNA($BV11 / VLOOKUP($AG$16, $Z$4:$AF$8, 2, FALSE) / VLOOKUP($AG$16,$X$4:$Y$11,2,FALSE), "")</f>
        <v/>
      </c>
      <c r="AI20" s="458" t="str">
        <f t="shared" si="22"/>
        <v/>
      </c>
      <c r="AJ20" s="458" t="str">
        <f t="shared" ref="AJ20:AJ27" si="31">_xlfn.IFNA($BV11 / VLOOKUP($AG$16, $Z$4:$AF$8, 5, FALSE) / VLOOKUP($AG$16,$X$4:$Y$11,2,FALSE), "")</f>
        <v/>
      </c>
      <c r="AK20" s="458" t="str">
        <f t="shared" si="23"/>
        <v/>
      </c>
      <c r="AL20" s="458">
        <f t="shared" ref="AL20:AL27" si="32">_xlfn.IFNA($BV11 / VLOOKUP($AG$16, $Z$11:$AF$16, 2, FALSE) / VLOOKUP($AG$16,$X$4:$Y$11,2,FALSE), "")</f>
        <v>0</v>
      </c>
      <c r="AM20" s="458">
        <f t="shared" si="24"/>
        <v>0</v>
      </c>
      <c r="AN20" s="458">
        <f t="shared" ref="AN20:AN27" si="33">_xlfn.IFNA($BV11 / VLOOKUP($AG$16, $Z$11:$AF$16, 5, FALSE) / VLOOKUP($AG$16,$X$4:$Y$11,2,FALSE), "")</f>
        <v>0</v>
      </c>
      <c r="AO20" s="458">
        <f t="shared" si="25"/>
        <v>0</v>
      </c>
      <c r="AP20" s="458">
        <f t="shared" si="26"/>
        <v>0</v>
      </c>
      <c r="AQ20" s="458">
        <f t="shared" si="27"/>
        <v>0</v>
      </c>
      <c r="AR20" s="458" t="str">
        <f t="shared" si="28"/>
        <v/>
      </c>
      <c r="AS20" s="458" t="str">
        <f t="shared" si="29"/>
        <v/>
      </c>
      <c r="AT20" s="587" t="s">
        <v>425</v>
      </c>
      <c r="AU20" s="590" t="s">
        <v>418</v>
      </c>
      <c r="AV20" s="591"/>
      <c r="AW20" s="581">
        <f>MAX(VLOOKUP(AT20, $BU$4:$BX$9, 2, FALSE) - VLOOKUP(AU20, $E$4:$F$11, 2, FALSE) + VLOOKUP(AU20, $Q$4:$R$11, 2, FALSE), 0)</f>
        <v>451</v>
      </c>
      <c r="AX20" s="582"/>
      <c r="AY20" s="592" t="s">
        <v>419</v>
      </c>
      <c r="AZ20" s="593"/>
      <c r="BA20" s="581">
        <f>MAX(VLOOKUP(AT20, $BU$4:$BX$9, 3, FALSE) - VLOOKUP(AY20, $E$4:$F$11, 2, FALSE) + VLOOKUP(AY20, $Q$4:$R$11, 2, FALSE), 0)</f>
        <v>450</v>
      </c>
      <c r="BB20" s="582"/>
      <c r="BC20" s="585" t="s">
        <v>412</v>
      </c>
      <c r="BD20" s="586"/>
      <c r="BE20" s="581">
        <f>MAX(VLOOKUP(AT20, $BU$4:$BX$9, 4, FALSE) - VLOOKUP(AT20, $E$4:$F$11, 2, FALSE) + VLOOKUP(AT20, $Q$4:$R$11, 2, FALSE), 0)</f>
        <v>0</v>
      </c>
      <c r="BF20" s="582"/>
      <c r="BG20" s="587" t="s">
        <v>426</v>
      </c>
      <c r="BH20" s="590" t="s">
        <v>418</v>
      </c>
      <c r="BI20" s="591"/>
      <c r="BJ20" s="581">
        <f>MAX(VLOOKUP(BG20, $BU$4:$BX$9, 2, FALSE) - VLOOKUP(BH20, $E$4:$F$11, 2, FALSE) + VLOOKUP(BH20, $Q$4:$R$11, 2, FALSE), 0)</f>
        <v>251</v>
      </c>
      <c r="BK20" s="582"/>
      <c r="BL20" s="592" t="s">
        <v>419</v>
      </c>
      <c r="BM20" s="593"/>
      <c r="BN20" s="581">
        <f>MAX(VLOOKUP(BG20, $BU$4:$BX$9, 3, FALSE) - VLOOKUP(BL20, $E$4:$F$11, 2, FALSE) + VLOOKUP(BL20, $Q$4:$R$11, 2, FALSE), 0)</f>
        <v>300</v>
      </c>
      <c r="BO20" s="582"/>
      <c r="BP20" s="585" t="s">
        <v>412</v>
      </c>
      <c r="BQ20" s="586"/>
      <c r="BR20" s="581">
        <f>MAX(VLOOKUP(BG20, $BU$4:$BX$9, 4, FALSE) - VLOOKUP(BG20, $E$4:$F$11, 2, FALSE) + VLOOKUP(BG20, $Q$4:$R$11, 2, FALSE), 0)</f>
        <v>0</v>
      </c>
      <c r="BS20" s="582"/>
      <c r="BT20" s="461"/>
      <c r="BU20" s="441"/>
    </row>
    <row r="21" spans="7:76" ht="18.75" customHeight="1" x14ac:dyDescent="0.25">
      <c r="G21" s="462">
        <v>36</v>
      </c>
      <c r="H21" s="339">
        <v>3</v>
      </c>
      <c r="I21" s="339">
        <v>3</v>
      </c>
      <c r="J21" s="443" t="s">
        <v>411</v>
      </c>
      <c r="K21" s="339">
        <v>0</v>
      </c>
      <c r="L21" s="339">
        <v>0</v>
      </c>
      <c r="M21" s="339">
        <v>0</v>
      </c>
      <c r="Z21" s="447" t="s">
        <v>421</v>
      </c>
      <c r="AA21" s="448">
        <f>IF(AB21=0,NA(),SUMIFS(D厄魔!H:H,D厄魔!A:A,"=超",D厄魔!B:B,"=" &amp; AA$18)/AB21)</f>
        <v>0.5</v>
      </c>
      <c r="AB21" s="449">
        <f>SUMIFS(D厄魔!C:C,D厄魔!A:A,"=超",D厄魔!B:B,"=" &amp; AA$18)</f>
        <v>4</v>
      </c>
      <c r="AC21" s="450">
        <f t="shared" si="20"/>
        <v>80</v>
      </c>
      <c r="AD21" s="448" t="e">
        <f>IF(AE21=0,NA(),SUMIFS(D厄魔!H:H,D厄魔!D:D,"=超",D厄魔!E:E,"=" &amp; AD$18)/AE21)</f>
        <v>#N/A</v>
      </c>
      <c r="AE21" s="449">
        <f>SUMIFS(D厄魔!F:F,D厄魔!D:D,"=超",D厄魔!E:E,"=" &amp; AD$18)</f>
        <v>0</v>
      </c>
      <c r="AF21" s="450" t="e">
        <f t="shared" si="21"/>
        <v>#N/A</v>
      </c>
      <c r="AG21" s="458" t="s">
        <v>72</v>
      </c>
      <c r="AH21" s="458" t="str">
        <f t="shared" si="30"/>
        <v/>
      </c>
      <c r="AI21" s="458" t="str">
        <f t="shared" si="22"/>
        <v/>
      </c>
      <c r="AJ21" s="458" t="str">
        <f t="shared" si="31"/>
        <v/>
      </c>
      <c r="AK21" s="458" t="str">
        <f t="shared" si="23"/>
        <v/>
      </c>
      <c r="AL21" s="458">
        <f t="shared" si="32"/>
        <v>0</v>
      </c>
      <c r="AM21" s="458">
        <f t="shared" si="24"/>
        <v>0</v>
      </c>
      <c r="AN21" s="458">
        <f t="shared" si="33"/>
        <v>0</v>
      </c>
      <c r="AO21" s="458">
        <f t="shared" si="25"/>
        <v>0</v>
      </c>
      <c r="AP21" s="458">
        <f t="shared" si="26"/>
        <v>0</v>
      </c>
      <c r="AQ21" s="458">
        <f t="shared" si="27"/>
        <v>0</v>
      </c>
      <c r="AR21" s="458" t="str">
        <f t="shared" si="28"/>
        <v/>
      </c>
      <c r="AS21" s="458" t="str">
        <f t="shared" si="29"/>
        <v/>
      </c>
      <c r="AT21" s="588"/>
      <c r="AU21" s="455" t="s">
        <v>431</v>
      </c>
      <c r="AV21" s="456" t="s">
        <v>434</v>
      </c>
      <c r="AW21" s="459" t="s">
        <v>13</v>
      </c>
      <c r="AX21" s="459" t="s">
        <v>238</v>
      </c>
      <c r="AY21" s="455" t="s">
        <v>431</v>
      </c>
      <c r="AZ21" s="456" t="s">
        <v>434</v>
      </c>
      <c r="BA21" s="459" t="s">
        <v>13</v>
      </c>
      <c r="BB21" s="459" t="s">
        <v>238</v>
      </c>
      <c r="BC21" s="455" t="s">
        <v>431</v>
      </c>
      <c r="BD21" s="456" t="s">
        <v>434</v>
      </c>
      <c r="BE21" s="459" t="s">
        <v>13</v>
      </c>
      <c r="BF21" s="459" t="s">
        <v>238</v>
      </c>
      <c r="BG21" s="588"/>
      <c r="BH21" s="455" t="s">
        <v>431</v>
      </c>
      <c r="BI21" s="456" t="s">
        <v>434</v>
      </c>
      <c r="BJ21" s="459" t="s">
        <v>13</v>
      </c>
      <c r="BK21" s="459" t="s">
        <v>238</v>
      </c>
      <c r="BL21" s="455" t="s">
        <v>431</v>
      </c>
      <c r="BM21" s="456" t="s">
        <v>434</v>
      </c>
      <c r="BN21" s="459" t="s">
        <v>13</v>
      </c>
      <c r="BO21" s="459" t="s">
        <v>238</v>
      </c>
      <c r="BP21" s="455" t="s">
        <v>431</v>
      </c>
      <c r="BQ21" s="456" t="s">
        <v>434</v>
      </c>
      <c r="BR21" s="459" t="s">
        <v>13</v>
      </c>
      <c r="BS21" s="459" t="s">
        <v>238</v>
      </c>
      <c r="BT21" s="461"/>
      <c r="BU21" s="441"/>
      <c r="BV21" s="441"/>
      <c r="BW21" s="441"/>
      <c r="BX21" s="441"/>
    </row>
    <row r="22" spans="7:76" ht="18.75" customHeight="1" x14ac:dyDescent="0.25">
      <c r="G22" s="462">
        <v>40</v>
      </c>
      <c r="H22" s="339">
        <v>4</v>
      </c>
      <c r="I22" s="339">
        <v>1</v>
      </c>
      <c r="J22" s="443" t="s">
        <v>416</v>
      </c>
      <c r="K22" s="339">
        <v>950</v>
      </c>
      <c r="L22" s="339">
        <v>700</v>
      </c>
      <c r="M22" s="339">
        <v>480</v>
      </c>
      <c r="Z22" s="447" t="s">
        <v>424</v>
      </c>
      <c r="AA22" s="448">
        <f>IF(AB22=0,NA(),SUMIFS(D厄魔!I:I,D厄魔!A:A,"=超",D厄魔!B:B,"=" &amp; AA$18)/AB22)</f>
        <v>0</v>
      </c>
      <c r="AB22" s="449">
        <f>SUMIFS(D厄魔!C:C,D厄魔!A:A,"=超",D厄魔!B:B,"=" &amp; AA$18)</f>
        <v>4</v>
      </c>
      <c r="AC22" s="450" t="e">
        <f t="shared" si="20"/>
        <v>#N/A</v>
      </c>
      <c r="AD22" s="448" t="e">
        <f>IF(AE22=0,NA(),SUMIFS(D厄魔!I:I,D厄魔!D:D,"=超",D厄魔!E:E,"=" &amp; AD$18)/AE22)</f>
        <v>#N/A</v>
      </c>
      <c r="AE22" s="449">
        <f>SUMIFS(D厄魔!F:F,D厄魔!D:D,"=超",D厄魔!E:E,"=" &amp; AD$18)</f>
        <v>0</v>
      </c>
      <c r="AF22" s="450" t="e">
        <f t="shared" si="21"/>
        <v>#N/A</v>
      </c>
      <c r="AG22" s="458" t="s">
        <v>0</v>
      </c>
      <c r="AH22" s="458" t="str">
        <f t="shared" si="30"/>
        <v/>
      </c>
      <c r="AI22" s="458" t="str">
        <f t="shared" si="22"/>
        <v/>
      </c>
      <c r="AJ22" s="458" t="str">
        <f t="shared" si="31"/>
        <v/>
      </c>
      <c r="AK22" s="458" t="str">
        <f t="shared" si="23"/>
        <v/>
      </c>
      <c r="AL22" s="458">
        <f t="shared" si="32"/>
        <v>0</v>
      </c>
      <c r="AM22" s="458">
        <f t="shared" si="24"/>
        <v>0</v>
      </c>
      <c r="AN22" s="458">
        <f t="shared" si="33"/>
        <v>0</v>
      </c>
      <c r="AO22" s="458">
        <f t="shared" si="25"/>
        <v>0</v>
      </c>
      <c r="AP22" s="458">
        <f t="shared" si="26"/>
        <v>0</v>
      </c>
      <c r="AQ22" s="458">
        <f t="shared" si="27"/>
        <v>0</v>
      </c>
      <c r="AR22" s="458" t="str">
        <f t="shared" si="28"/>
        <v/>
      </c>
      <c r="AS22" s="458" t="str">
        <f t="shared" si="29"/>
        <v/>
      </c>
      <c r="AT22" s="588"/>
      <c r="AU22" s="583" t="s">
        <v>432</v>
      </c>
      <c r="AV22" s="457" t="s">
        <v>204</v>
      </c>
      <c r="AW22" s="458">
        <f>_xlfn.IFNA(AW20 / VLOOKUP(AU20, $Z$4:$AF$8, 2, FALSE) / VLOOKUP(AU20,$X$4:$Y$11,2,FALSE), "")</f>
        <v>55.01524812863876</v>
      </c>
      <c r="AX22" s="458">
        <f>IF(ISNUMBER(AW22), ROUNDUP(AW22/(RECOVER_AP / $B$4)*RECOVER_DIAMS,0), "")</f>
        <v>207</v>
      </c>
      <c r="AY22" s="583" t="s">
        <v>432</v>
      </c>
      <c r="AZ22" s="457" t="s">
        <v>204</v>
      </c>
      <c r="BA22" s="458" t="str">
        <f>_xlfn.IFNA(BA20 / VLOOKUP(AY20, $Z$4:$AF$8, 2, FALSE) / VLOOKUP(AY20,$X$4:$Y$11,2,FALSE), "")</f>
        <v/>
      </c>
      <c r="BB22" s="458" t="str">
        <f>IF(ISNUMBER(BA22), ROUNDUP(BA22/(RECOVER_AP / $B$4)*RECOVER_DIAMS,0), "")</f>
        <v/>
      </c>
      <c r="BC22" s="583" t="s">
        <v>432</v>
      </c>
      <c r="BD22" s="457" t="s">
        <v>204</v>
      </c>
      <c r="BE22" s="458" t="str">
        <f>_xlfn.IFNA(BE20 / VLOOKUP(AT20, $Z$4:$AF$8, 2, FALSE) / VLOOKUP(AT20,$X$4:$Y$11,2,FALSE), "")</f>
        <v/>
      </c>
      <c r="BF22" s="458" t="str">
        <f>IF(ISNUMBER(BE22), ROUNDUP(BE22/(RECOVER_AP / $B$4)*RECOVER_DIAMS,0), "")</f>
        <v/>
      </c>
      <c r="BG22" s="588"/>
      <c r="BH22" s="583" t="s">
        <v>432</v>
      </c>
      <c r="BI22" s="457" t="s">
        <v>204</v>
      </c>
      <c r="BJ22" s="458">
        <f>_xlfn.IFNA(BJ20 / VLOOKUP(BH20, $Z$4:$AF$8, 2, FALSE) / VLOOKUP(BH20,$X$4:$Y$11,2,FALSE), "")</f>
        <v>30.618242306626005</v>
      </c>
      <c r="BK22" s="458">
        <f>IF(ISNUMBER(BJ22), ROUNDUP(BJ22/(RECOVER_AP / $B$4)*RECOVER_DIAMS,0), "")</f>
        <v>115</v>
      </c>
      <c r="BL22" s="583" t="s">
        <v>432</v>
      </c>
      <c r="BM22" s="457" t="s">
        <v>204</v>
      </c>
      <c r="BN22" s="458" t="str">
        <f>_xlfn.IFNA(BN20 / VLOOKUP(BL20, $Z$4:$AF$8, 2, FALSE) / VLOOKUP(BL20,$X$4:$Y$11,2,FALSE), "")</f>
        <v/>
      </c>
      <c r="BO22" s="458" t="str">
        <f>IF(ISNUMBER(BN22), ROUNDUP(BN22/(RECOVER_AP / $B$4)*RECOVER_DIAMS,0), "")</f>
        <v/>
      </c>
      <c r="BP22" s="583" t="s">
        <v>432</v>
      </c>
      <c r="BQ22" s="457" t="s">
        <v>204</v>
      </c>
      <c r="BR22" s="458" t="str">
        <f>_xlfn.IFNA(BR20 / VLOOKUP(BG20, $Z$4:$AF$8, 2, FALSE) / VLOOKUP(BG20,$X$4:$Y$11,2,FALSE), "")</f>
        <v/>
      </c>
      <c r="BS22" s="458" t="str">
        <f>IF(ISNUMBER(BR22), ROUNDUP(BR22/(RECOVER_AP / $B$4)*RECOVER_DIAMS,0), "")</f>
        <v/>
      </c>
      <c r="BT22" s="461"/>
      <c r="BU22" s="441"/>
    </row>
    <row r="23" spans="7:76" ht="18.75" customHeight="1" x14ac:dyDescent="0.25">
      <c r="G23" s="462">
        <v>41</v>
      </c>
      <c r="H23" s="339">
        <v>4</v>
      </c>
      <c r="I23" s="339">
        <v>1</v>
      </c>
      <c r="J23" s="443" t="s">
        <v>408</v>
      </c>
      <c r="K23" s="339">
        <v>900</v>
      </c>
      <c r="L23" s="339">
        <v>700</v>
      </c>
      <c r="M23" s="339">
        <v>460</v>
      </c>
      <c r="Z23" s="447" t="s">
        <v>425</v>
      </c>
      <c r="AA23" s="448">
        <f>IF(AB23=0,NA(),SUMIFS(D厄魔!J:J,D厄魔!A:A,"=超",D厄魔!B:B,"=" &amp; AA$18)/AB23)</f>
        <v>2</v>
      </c>
      <c r="AB23" s="449">
        <f>SUMIFS(D厄魔!C:C,D厄魔!A:A,"=超",D厄魔!B:B,"=" &amp; AA$18)</f>
        <v>4</v>
      </c>
      <c r="AC23" s="450">
        <f t="shared" si="20"/>
        <v>20</v>
      </c>
      <c r="AD23" s="448" t="e">
        <f>IF(AE23=0,NA(),SUMIFS(D厄魔!J:J,D厄魔!D:D,"=超",D厄魔!E:E,"=" &amp; AD$18)/AE23)</f>
        <v>#N/A</v>
      </c>
      <c r="AE23" s="449">
        <f>SUMIFS(D厄魔!F:F,D厄魔!D:D,"=超",D厄魔!E:E,"=" &amp; AD$18)</f>
        <v>0</v>
      </c>
      <c r="AF23" s="450" t="e">
        <f t="shared" si="21"/>
        <v>#N/A</v>
      </c>
      <c r="AG23" s="458" t="s">
        <v>5</v>
      </c>
      <c r="AH23" s="458" t="str">
        <f t="shared" si="30"/>
        <v/>
      </c>
      <c r="AI23" s="458" t="str">
        <f t="shared" si="22"/>
        <v/>
      </c>
      <c r="AJ23" s="458" t="str">
        <f t="shared" si="31"/>
        <v/>
      </c>
      <c r="AK23" s="458" t="str">
        <f t="shared" si="23"/>
        <v/>
      </c>
      <c r="AL23" s="458">
        <f t="shared" si="32"/>
        <v>0</v>
      </c>
      <c r="AM23" s="458">
        <f t="shared" si="24"/>
        <v>0</v>
      </c>
      <c r="AN23" s="458">
        <f t="shared" si="33"/>
        <v>0</v>
      </c>
      <c r="AO23" s="458">
        <f t="shared" si="25"/>
        <v>0</v>
      </c>
      <c r="AP23" s="458">
        <f t="shared" si="26"/>
        <v>0</v>
      </c>
      <c r="AQ23" s="458">
        <f t="shared" si="27"/>
        <v>0</v>
      </c>
      <c r="AR23" s="458" t="str">
        <f t="shared" si="28"/>
        <v/>
      </c>
      <c r="AS23" s="458" t="str">
        <f t="shared" si="29"/>
        <v/>
      </c>
      <c r="AT23" s="588"/>
      <c r="AU23" s="584"/>
      <c r="AV23" s="457" t="s">
        <v>86</v>
      </c>
      <c r="AW23" s="458">
        <f>_xlfn.IFNA(AW20/VLOOKUP(AU20,$Z$4:$AF$8,5,FALSE) / VLOOKUP(AU20,$X$4:$Y$11,2,FALSE),"")</f>
        <v>34.692307692307693</v>
      </c>
      <c r="AX23" s="458">
        <f>IF(ISNUMBER(AW23), ROUNDUP(AW23/(RECOVER_AP / $B$5)*RECOVER_DIAMS,0), "")</f>
        <v>87</v>
      </c>
      <c r="AY23" s="584"/>
      <c r="AZ23" s="457" t="s">
        <v>86</v>
      </c>
      <c r="BA23" s="458" t="str">
        <f>_xlfn.IFNA(BA20 / VLOOKUP(AY20, $Z$4:$AF$8, 5, FALSE) / VLOOKUP(AY20,$X$4:$Y$11,2,FALSE), "")</f>
        <v/>
      </c>
      <c r="BB23" s="458" t="str">
        <f>IF(ISNUMBER(BA23), ROUNDUP(BA23/(RECOVER_AP / $B$5)*RECOVER_DIAMS,0), "")</f>
        <v/>
      </c>
      <c r="BC23" s="584"/>
      <c r="BD23" s="457" t="s">
        <v>86</v>
      </c>
      <c r="BE23" s="458" t="str">
        <f>_xlfn.IFNA(BE20 / VLOOKUP(AT20, $Z$4:$AF$8, 5, FALSE) / VLOOKUP(AT20,$X$4:$Y$11,2,FALSE), "")</f>
        <v/>
      </c>
      <c r="BF23" s="458" t="str">
        <f>IF(ISNUMBER(BE23), ROUNDUP(BE23/(RECOVER_AP / $B$5)*RECOVER_DIAMS,0), "")</f>
        <v/>
      </c>
      <c r="BG23" s="588"/>
      <c r="BH23" s="584"/>
      <c r="BI23" s="457" t="s">
        <v>86</v>
      </c>
      <c r="BJ23" s="458">
        <f>_xlfn.IFNA(BJ20/VLOOKUP(BH20,$Z$4:$AF$8,5,FALSE) / VLOOKUP(BH20,$X$4:$Y$11,2,FALSE),"")</f>
        <v>19.307692307692307</v>
      </c>
      <c r="BK23" s="458">
        <f>IF(ISNUMBER(BJ23), ROUNDUP(BJ23/(RECOVER_AP / $B$5)*RECOVER_DIAMS,0), "")</f>
        <v>49</v>
      </c>
      <c r="BL23" s="584"/>
      <c r="BM23" s="457" t="s">
        <v>86</v>
      </c>
      <c r="BN23" s="458" t="str">
        <f>_xlfn.IFNA(BN20 / VLOOKUP(BL20, $Z$4:$AF$8, 5, FALSE) / VLOOKUP(BL20,$X$4:$Y$11,2,FALSE), "")</f>
        <v/>
      </c>
      <c r="BO23" s="458" t="str">
        <f>IF(ISNUMBER(BN23), ROUNDUP(BN23/(RECOVER_AP / $B$5)*RECOVER_DIAMS,0), "")</f>
        <v/>
      </c>
      <c r="BP23" s="584"/>
      <c r="BQ23" s="457" t="s">
        <v>86</v>
      </c>
      <c r="BR23" s="458" t="str">
        <f>_xlfn.IFNA(BR20 / VLOOKUP(BG20, $Z$4:$AF$8, 5, FALSE) / VLOOKUP(BG20,$X$4:$Y$11,2,FALSE), "")</f>
        <v/>
      </c>
      <c r="BS23" s="458" t="str">
        <f>IF(ISNUMBER(BR23), ROUNDUP(BR23/(RECOVER_AP / $B$5)*RECOVER_DIAMS,0), "")</f>
        <v/>
      </c>
      <c r="BT23" s="461"/>
      <c r="BU23" s="441"/>
    </row>
    <row r="24" spans="7:76" ht="18.75" customHeight="1" x14ac:dyDescent="0.25">
      <c r="G24" s="462">
        <v>42</v>
      </c>
      <c r="H24" s="339">
        <v>4</v>
      </c>
      <c r="I24" s="339">
        <v>1</v>
      </c>
      <c r="J24" s="443" t="s">
        <v>409</v>
      </c>
      <c r="K24" s="339">
        <v>850</v>
      </c>
      <c r="L24" s="339">
        <v>700</v>
      </c>
      <c r="M24" s="339">
        <v>440</v>
      </c>
      <c r="Z24" s="447" t="s">
        <v>426</v>
      </c>
      <c r="AA24" s="448">
        <f>IF(AB24=0,NA(),SUMIFS(D厄魔!K:K,D厄魔!A:A,"=超",D厄魔!B:B,"=" &amp; AA$18)/AB24)</f>
        <v>0.5</v>
      </c>
      <c r="AB24" s="449">
        <f>SUMIFS(D厄魔!C:C,D厄魔!A:A,"=超",D厄魔!B:B,"=" &amp; AA$18)</f>
        <v>4</v>
      </c>
      <c r="AC24" s="450">
        <f t="shared" si="20"/>
        <v>80</v>
      </c>
      <c r="AD24" s="448" t="e">
        <f>IF(AE24=0,NA(),SUMIFS(D厄魔!K:K,D厄魔!D:D,"=超",D厄魔!E:E,"=" &amp; AD$18)/AE24)</f>
        <v>#N/A</v>
      </c>
      <c r="AE24" s="449">
        <f>SUMIFS(D厄魔!F:F,D厄魔!D:D,"=超",D厄魔!E:E,"=" &amp; AD$18)</f>
        <v>0</v>
      </c>
      <c r="AF24" s="450" t="e">
        <f t="shared" si="21"/>
        <v>#N/A</v>
      </c>
      <c r="AG24" s="458" t="s">
        <v>8</v>
      </c>
      <c r="AH24" s="458" t="str">
        <f t="shared" si="30"/>
        <v/>
      </c>
      <c r="AI24" s="458" t="str">
        <f t="shared" si="22"/>
        <v/>
      </c>
      <c r="AJ24" s="458" t="str">
        <f t="shared" si="31"/>
        <v/>
      </c>
      <c r="AK24" s="458" t="str">
        <f t="shared" si="23"/>
        <v/>
      </c>
      <c r="AL24" s="458">
        <f t="shared" si="32"/>
        <v>0</v>
      </c>
      <c r="AM24" s="458">
        <f t="shared" si="24"/>
        <v>0</v>
      </c>
      <c r="AN24" s="458">
        <f t="shared" si="33"/>
        <v>0</v>
      </c>
      <c r="AO24" s="458">
        <f t="shared" si="25"/>
        <v>0</v>
      </c>
      <c r="AP24" s="458">
        <f t="shared" si="26"/>
        <v>0</v>
      </c>
      <c r="AQ24" s="458">
        <f t="shared" si="27"/>
        <v>0</v>
      </c>
      <c r="AR24" s="458" t="str">
        <f t="shared" si="28"/>
        <v/>
      </c>
      <c r="AS24" s="458" t="str">
        <f t="shared" si="29"/>
        <v/>
      </c>
      <c r="AT24" s="588"/>
      <c r="AU24" s="583" t="s">
        <v>433</v>
      </c>
      <c r="AV24" s="457" t="s">
        <v>204</v>
      </c>
      <c r="AW24" s="458">
        <f>_xlfn.IFNA(AW20 / VLOOKUP(AU20, $Z$11:$AF$16, 2, FALSE) / VLOOKUP(AU20,$X$4:$Y$11,2,FALSE), "")</f>
        <v>170.59101654846336</v>
      </c>
      <c r="AX24" s="458">
        <f>IF(ISNUMBER(AW24), ROUNDUP(AW24/(RECOVER_AP / $C$4)*RECOVER_DIAMS,0), "")</f>
        <v>1280</v>
      </c>
      <c r="AY24" s="583" t="s">
        <v>433</v>
      </c>
      <c r="AZ24" s="457" t="s">
        <v>204</v>
      </c>
      <c r="BA24" s="458">
        <f>_xlfn.IFNA(BA20 / VLOOKUP(AY20, $Z$11:$AF$16, 2, FALSE) / VLOOKUP(AY20,$X$4:$Y$11,2,FALSE), "")</f>
        <v>82.004555808656036</v>
      </c>
      <c r="BB24" s="458">
        <f>IF(ISNUMBER(BA24), ROUNDUP(BA24/(RECOVER_AP / $C$4)*RECOVER_DIAMS,0), "")</f>
        <v>616</v>
      </c>
      <c r="BC24" s="583" t="s">
        <v>433</v>
      </c>
      <c r="BD24" s="457" t="s">
        <v>204</v>
      </c>
      <c r="BE24" s="458">
        <f>_xlfn.IFNA(BE20 / VLOOKUP(AT20, $Z$11:$AF$16, 2, FALSE) / VLOOKUP(AT20,$X$4:$Y$11,2,FALSE), "")</f>
        <v>0</v>
      </c>
      <c r="BF24" s="458">
        <f>IF(ISNUMBER(BE24), ROUNDUP(BE24/(RECOVER_AP / $C$4)*RECOVER_DIAMS,0), "")</f>
        <v>0</v>
      </c>
      <c r="BG24" s="588"/>
      <c r="BH24" s="583" t="s">
        <v>433</v>
      </c>
      <c r="BI24" s="457" t="s">
        <v>204</v>
      </c>
      <c r="BJ24" s="458">
        <f>_xlfn.IFNA(BJ20 / VLOOKUP(BH20, $Z$11:$AF$16, 2, FALSE) / VLOOKUP(BH20,$X$4:$Y$11,2,FALSE), "")</f>
        <v>94.94089834515367</v>
      </c>
      <c r="BK24" s="458">
        <f>IF(ISNUMBER(BJ24), ROUNDUP(BJ24/(RECOVER_AP / $C$4)*RECOVER_DIAMS,0), "")</f>
        <v>713</v>
      </c>
      <c r="BL24" s="583" t="s">
        <v>433</v>
      </c>
      <c r="BM24" s="457" t="s">
        <v>204</v>
      </c>
      <c r="BN24" s="458">
        <f>_xlfn.IFNA(BN20 / VLOOKUP(BL20, $Z$11:$AF$16, 2, FALSE) / VLOOKUP(BL20,$X$4:$Y$11,2,FALSE), "")</f>
        <v>54.66970387243736</v>
      </c>
      <c r="BO24" s="458">
        <f>IF(ISNUMBER(BN24), ROUNDUP(BN24/(RECOVER_AP / $C$4)*RECOVER_DIAMS,0), "")</f>
        <v>411</v>
      </c>
      <c r="BP24" s="583" t="s">
        <v>433</v>
      </c>
      <c r="BQ24" s="457" t="s">
        <v>204</v>
      </c>
      <c r="BR24" s="458">
        <f>_xlfn.IFNA(BR20 / VLOOKUP(BG20, $Z$11:$AF$16, 2, FALSE) / VLOOKUP(BG20,$X$4:$Y$11,2,FALSE), "")</f>
        <v>0</v>
      </c>
      <c r="BS24" s="458">
        <f>IF(ISNUMBER(BR24), ROUNDUP(BR24/(RECOVER_AP / $C$4)*RECOVER_DIAMS,0), "")</f>
        <v>0</v>
      </c>
      <c r="BT24" s="461"/>
      <c r="BU24" s="441"/>
    </row>
    <row r="25" spans="7:76" ht="18.75" customHeight="1" x14ac:dyDescent="0.25">
      <c r="G25" s="462">
        <v>43</v>
      </c>
      <c r="H25" s="339">
        <v>4</v>
      </c>
      <c r="I25" s="339">
        <v>1</v>
      </c>
      <c r="J25" s="443" t="s">
        <v>410</v>
      </c>
      <c r="K25" s="339">
        <v>750</v>
      </c>
      <c r="L25" s="339">
        <v>600</v>
      </c>
      <c r="M25" s="339">
        <v>400</v>
      </c>
      <c r="AG25" s="458" t="s">
        <v>206</v>
      </c>
      <c r="AH25" s="458" t="str">
        <f t="shared" si="30"/>
        <v/>
      </c>
      <c r="AI25" s="458" t="str">
        <f t="shared" si="22"/>
        <v/>
      </c>
      <c r="AJ25" s="458" t="str">
        <f t="shared" si="31"/>
        <v/>
      </c>
      <c r="AK25" s="458" t="str">
        <f t="shared" si="23"/>
        <v/>
      </c>
      <c r="AL25" s="458">
        <f t="shared" si="32"/>
        <v>0</v>
      </c>
      <c r="AM25" s="458">
        <f t="shared" si="24"/>
        <v>0</v>
      </c>
      <c r="AN25" s="458">
        <f t="shared" si="33"/>
        <v>0</v>
      </c>
      <c r="AO25" s="458">
        <f t="shared" si="25"/>
        <v>0</v>
      </c>
      <c r="AP25" s="458">
        <f t="shared" si="26"/>
        <v>0</v>
      </c>
      <c r="AQ25" s="458">
        <f t="shared" si="27"/>
        <v>0</v>
      </c>
      <c r="AR25" s="458" t="str">
        <f t="shared" si="28"/>
        <v/>
      </c>
      <c r="AS25" s="458" t="str">
        <f t="shared" si="29"/>
        <v/>
      </c>
      <c r="AT25" s="588"/>
      <c r="AU25" s="584"/>
      <c r="AV25" s="457" t="s">
        <v>86</v>
      </c>
      <c r="AW25" s="458">
        <f>_xlfn.IFNA(AW20 / VLOOKUP(AU20,  $Z$11:$AF$16, 5, FALSE) / VLOOKUP(AU20,$X$4:$Y$11,2,FALSE), "")</f>
        <v>75.40836012861736</v>
      </c>
      <c r="AX25" s="458">
        <f>IF(ISNUMBER(AW25), ROUNDUP(AW25/(RECOVER_AP / $C$5)*RECOVER_DIAMS,0), "")</f>
        <v>566</v>
      </c>
      <c r="AY25" s="584"/>
      <c r="AZ25" s="457" t="s">
        <v>86</v>
      </c>
      <c r="BA25" s="458">
        <f>_xlfn.IFNA(BA20 / VLOOKUP(AY20,  $Z$11:$AF$16, 5, FALSE) / VLOOKUP(AY20,$X$4:$Y$11,2,FALSE), "")</f>
        <v>52.76211950394589</v>
      </c>
      <c r="BB25" s="458">
        <f>IF(ISNUMBER(BA25), ROUNDUP(BA25/(RECOVER_AP / $C$5)*RECOVER_DIAMS,0), "")</f>
        <v>396</v>
      </c>
      <c r="BC25" s="584"/>
      <c r="BD25" s="457" t="s">
        <v>86</v>
      </c>
      <c r="BE25" s="458">
        <f>_xlfn.IFNA(BE20 / VLOOKUP(AT20,  $Z$11:$AF$16, 5, FALSE) / VLOOKUP(AT20,$X$4:$Y$11,2,FALSE), "")</f>
        <v>0</v>
      </c>
      <c r="BF25" s="458">
        <f>IF(ISNUMBER(BE25), ROUNDUP(BE25/(RECOVER_AP / $C$5)*RECOVER_DIAMS,0), "")</f>
        <v>0</v>
      </c>
      <c r="BG25" s="588"/>
      <c r="BH25" s="584"/>
      <c r="BI25" s="457" t="s">
        <v>86</v>
      </c>
      <c r="BJ25" s="458">
        <f>_xlfn.IFNA(BJ20 / VLOOKUP(BH20,  $Z$11:$AF$16, 5, FALSE) / VLOOKUP(BH20,$X$4:$Y$11,2,FALSE), "")</f>
        <v>41.967845659163984</v>
      </c>
      <c r="BK25" s="458">
        <f>IF(ISNUMBER(BJ25), ROUNDUP(BJ25/(RECOVER_AP / $C$5)*RECOVER_DIAMS,0), "")</f>
        <v>315</v>
      </c>
      <c r="BL25" s="584"/>
      <c r="BM25" s="457" t="s">
        <v>86</v>
      </c>
      <c r="BN25" s="458">
        <f>_xlfn.IFNA(BN20 / VLOOKUP(BL20,  $Z$11:$AF$16, 5, FALSE) / VLOOKUP(BL20,$X$4:$Y$11,2,FALSE), "")</f>
        <v>35.174746335963924</v>
      </c>
      <c r="BO25" s="458">
        <f>IF(ISNUMBER(BN25), ROUNDUP(BN25/(RECOVER_AP / $C$5)*RECOVER_DIAMS,0), "")</f>
        <v>264</v>
      </c>
      <c r="BP25" s="584"/>
      <c r="BQ25" s="457" t="s">
        <v>86</v>
      </c>
      <c r="BR25" s="458">
        <f>_xlfn.IFNA(BR20 / VLOOKUP(BG20,  $Z$11:$AF$16, 5, FALSE) / VLOOKUP(BG20,$X$4:$Y$11,2,FALSE), "")</f>
        <v>0</v>
      </c>
      <c r="BS25" s="458">
        <f>IF(ISNUMBER(BR25), ROUNDUP(BR25/(RECOVER_AP / $C$5)*RECOVER_DIAMS,0), "")</f>
        <v>0</v>
      </c>
      <c r="BT25" s="461"/>
      <c r="BU25" s="441"/>
    </row>
    <row r="26" spans="7:76" ht="18.75" customHeight="1" x14ac:dyDescent="0.25">
      <c r="G26" s="462">
        <v>44</v>
      </c>
      <c r="H26" s="339">
        <v>4</v>
      </c>
      <c r="I26" s="339">
        <v>1</v>
      </c>
      <c r="J26" s="443" t="s">
        <v>411</v>
      </c>
      <c r="K26" s="339">
        <v>600</v>
      </c>
      <c r="L26" s="339">
        <v>450</v>
      </c>
      <c r="M26" s="339">
        <v>360</v>
      </c>
      <c r="AG26" s="458" t="s">
        <v>125</v>
      </c>
      <c r="AH26" s="458" t="str">
        <f t="shared" si="30"/>
        <v/>
      </c>
      <c r="AI26" s="458" t="str">
        <f t="shared" si="22"/>
        <v/>
      </c>
      <c r="AJ26" s="458" t="str">
        <f t="shared" si="31"/>
        <v/>
      </c>
      <c r="AK26" s="458" t="str">
        <f t="shared" si="23"/>
        <v/>
      </c>
      <c r="AL26" s="458">
        <f t="shared" si="32"/>
        <v>0</v>
      </c>
      <c r="AM26" s="458">
        <f t="shared" si="24"/>
        <v>0</v>
      </c>
      <c r="AN26" s="458">
        <f t="shared" si="33"/>
        <v>0</v>
      </c>
      <c r="AO26" s="458">
        <f t="shared" si="25"/>
        <v>0</v>
      </c>
      <c r="AP26" s="458">
        <f t="shared" si="26"/>
        <v>0</v>
      </c>
      <c r="AQ26" s="458">
        <f t="shared" si="27"/>
        <v>0</v>
      </c>
      <c r="AR26" s="458" t="str">
        <f t="shared" si="28"/>
        <v/>
      </c>
      <c r="AS26" s="458" t="str">
        <f t="shared" si="29"/>
        <v/>
      </c>
      <c r="AT26" s="588"/>
      <c r="AU26" s="583" t="s">
        <v>435</v>
      </c>
      <c r="AV26" s="457" t="s">
        <v>204</v>
      </c>
      <c r="AW26" s="458" t="str">
        <f>_xlfn.IFNA(AW20 / VLOOKUP(AU20, $Z$20:$AF$24, 2, FALSE) / VLOOKUP(AU20,$X$4:$Y$11,2,FALSE), "")</f>
        <v/>
      </c>
      <c r="AX26" s="458" t="str">
        <f>IF(ISNUMBER(AW26), ROUNDUP(AW26/(RECOVER_AP / $D$4)*RECOVER_DIAMS,0), "")</f>
        <v/>
      </c>
      <c r="AY26" s="583" t="s">
        <v>435</v>
      </c>
      <c r="AZ26" s="457" t="s">
        <v>204</v>
      </c>
      <c r="BA26" s="458">
        <f>_xlfn.IFNA(BA20 / VLOOKUP(AY20, $Z$20:$AF$24, 2, FALSE) / VLOOKUP(AY20,$X$4:$Y$11,2,FALSE), "")</f>
        <v>78.260869565217391</v>
      </c>
      <c r="BB26" s="458">
        <f>IF(ISNUMBER(BA26), ROUNDUP(BA26/(RECOVER_AP / $D$4)*RECOVER_DIAMS,0), "")</f>
        <v>783</v>
      </c>
      <c r="BC26" s="583" t="s">
        <v>435</v>
      </c>
      <c r="BD26" s="457" t="s">
        <v>204</v>
      </c>
      <c r="BE26" s="458">
        <f>_xlfn.IFNA(BE20 / VLOOKUP(AT20, $Z$20:$AF$24, 2, FALSE) / VLOOKUP(AT20,$X$4:$Y$11,2,FALSE), "")</f>
        <v>0</v>
      </c>
      <c r="BF26" s="458">
        <f>IF(ISNUMBER(BE26), ROUNDUP(BE26/(RECOVER_AP / $D$4)*RECOVER_DIAMS,0), "")</f>
        <v>0</v>
      </c>
      <c r="BG26" s="588"/>
      <c r="BH26" s="583" t="s">
        <v>435</v>
      </c>
      <c r="BI26" s="457" t="s">
        <v>204</v>
      </c>
      <c r="BJ26" s="458" t="str">
        <f>_xlfn.IFNA(BJ20 / VLOOKUP(BH20, $Z$20:$AF$24, 2, FALSE) / VLOOKUP(BH20,$X$4:$Y$11,2,FALSE), "")</f>
        <v/>
      </c>
      <c r="BK26" s="458" t="str">
        <f>IF(ISNUMBER(BJ26), ROUNDUP(BJ26/(RECOVER_AP / $D$4)*RECOVER_DIAMS,0), "")</f>
        <v/>
      </c>
      <c r="BL26" s="583" t="s">
        <v>435</v>
      </c>
      <c r="BM26" s="457" t="s">
        <v>204</v>
      </c>
      <c r="BN26" s="458">
        <f>_xlfn.IFNA(BN20 / VLOOKUP(BL20, $Z$20:$AF$24, 2, FALSE) / VLOOKUP(BL20,$X$4:$Y$11,2,FALSE), "")</f>
        <v>52.173913043478258</v>
      </c>
      <c r="BO26" s="458">
        <f>IF(ISNUMBER(BN26), ROUNDUP(BN26/(RECOVER_AP / $D$4)*RECOVER_DIAMS,0), "")</f>
        <v>522</v>
      </c>
      <c r="BP26" s="583" t="s">
        <v>435</v>
      </c>
      <c r="BQ26" s="457" t="s">
        <v>204</v>
      </c>
      <c r="BR26" s="458">
        <f>_xlfn.IFNA(BR20 / VLOOKUP(BG20, $Z$20:$AF$24, 2, FALSE) / VLOOKUP(BG20,$X$4:$Y$11,2,FALSE), "")</f>
        <v>0</v>
      </c>
      <c r="BS26" s="458">
        <f>IF(ISNUMBER(BR26), ROUNDUP(BR26/(RECOVER_AP / $D$4)*RECOVER_DIAMS,0), "")</f>
        <v>0</v>
      </c>
      <c r="BT26" s="461"/>
      <c r="BU26" s="441"/>
    </row>
    <row r="27" spans="7:76" ht="18.75" customHeight="1" x14ac:dyDescent="0.25">
      <c r="G27" s="462">
        <v>45</v>
      </c>
      <c r="H27" s="339">
        <v>4</v>
      </c>
      <c r="I27" s="339">
        <v>2</v>
      </c>
      <c r="J27" s="443" t="s">
        <v>411</v>
      </c>
      <c r="K27" s="339">
        <v>400</v>
      </c>
      <c r="L27" s="339">
        <v>300</v>
      </c>
      <c r="M27" s="339">
        <v>240</v>
      </c>
      <c r="AG27" s="458" t="s">
        <v>445</v>
      </c>
      <c r="AH27" s="458" t="str">
        <f t="shared" si="30"/>
        <v/>
      </c>
      <c r="AI27" s="458" t="str">
        <f t="shared" si="22"/>
        <v/>
      </c>
      <c r="AJ27" s="458" t="str">
        <f t="shared" si="31"/>
        <v/>
      </c>
      <c r="AK27" s="458" t="str">
        <f t="shared" si="23"/>
        <v/>
      </c>
      <c r="AL27" s="458">
        <f t="shared" si="32"/>
        <v>0</v>
      </c>
      <c r="AM27" s="458">
        <f t="shared" si="24"/>
        <v>0</v>
      </c>
      <c r="AN27" s="458">
        <f t="shared" si="33"/>
        <v>0</v>
      </c>
      <c r="AO27" s="458">
        <f t="shared" si="25"/>
        <v>0</v>
      </c>
      <c r="AP27" s="458">
        <f t="shared" si="26"/>
        <v>0</v>
      </c>
      <c r="AQ27" s="458">
        <f t="shared" si="27"/>
        <v>0</v>
      </c>
      <c r="AR27" s="458" t="str">
        <f t="shared" si="28"/>
        <v/>
      </c>
      <c r="AS27" s="458" t="str">
        <f t="shared" si="29"/>
        <v/>
      </c>
      <c r="AT27" s="589"/>
      <c r="AU27" s="584"/>
      <c r="AV27" s="457" t="s">
        <v>86</v>
      </c>
      <c r="AW27" s="458" t="str">
        <f>_xlfn.IFNA(AW20 / VLOOKUP(AU20, $Z$20:$AF$24, 5, FALSE) / VLOOKUP(AU20,$X$4:$Y$11,2,FALSE), "")</f>
        <v/>
      </c>
      <c r="AX27" s="458" t="str">
        <f>IF(ISNUMBER(AW27), ROUNDUP(AW27/(RECOVER_AP / $D$5)*RECOVER_DIAMS,0), "")</f>
        <v/>
      </c>
      <c r="AY27" s="584"/>
      <c r="AZ27" s="457" t="s">
        <v>86</v>
      </c>
      <c r="BA27" s="458" t="str">
        <f>_xlfn.IFNA(BA20 / VLOOKUP(AY20, $Z$20:$AF$24, 5, FALSE) / VLOOKUP(AY20,$X$4:$Y$11,2,FALSE), "")</f>
        <v/>
      </c>
      <c r="BB27" s="458" t="str">
        <f>IF(ISNUMBER(BA27), ROUNDUP(BA27/(RECOVER_AP / $D$5)*RECOVER_DIAMS,0), "")</f>
        <v/>
      </c>
      <c r="BC27" s="584"/>
      <c r="BD27" s="457" t="s">
        <v>86</v>
      </c>
      <c r="BE27" s="458" t="str">
        <f>_xlfn.IFNA(BE20 / VLOOKUP(AT20, $Z$20:$AF$24, 5, FALSE) / VLOOKUP(AT20,$X$4:$Y$11,2,FALSE), "")</f>
        <v/>
      </c>
      <c r="BF27" s="458" t="str">
        <f>IF(ISNUMBER(BE27), ROUNDUP(BE27/(RECOVER_AP / $D$5)*RECOVER_DIAMS,0), "")</f>
        <v/>
      </c>
      <c r="BG27" s="589"/>
      <c r="BH27" s="584"/>
      <c r="BI27" s="457" t="s">
        <v>86</v>
      </c>
      <c r="BJ27" s="458" t="str">
        <f>_xlfn.IFNA(BJ20 / VLOOKUP(BH20, $Z$20:$AF$24, 5, FALSE) / VLOOKUP(BH20,$X$4:$Y$11,2,FALSE), "")</f>
        <v/>
      </c>
      <c r="BK27" s="458" t="str">
        <f>IF(ISNUMBER(BJ27), ROUNDUP(BJ27/(RECOVER_AP / $D$5)*RECOVER_DIAMS,0), "")</f>
        <v/>
      </c>
      <c r="BL27" s="584"/>
      <c r="BM27" s="457" t="s">
        <v>86</v>
      </c>
      <c r="BN27" s="458" t="str">
        <f>_xlfn.IFNA(BN20 / VLOOKUP(BL20, $Z$20:$AF$24, 5, FALSE) / VLOOKUP(BL20,$X$4:$Y$11,2,FALSE), "")</f>
        <v/>
      </c>
      <c r="BO27" s="458" t="str">
        <f>IF(ISNUMBER(BN27), ROUNDUP(BN27/(RECOVER_AP / $D$5)*RECOVER_DIAMS,0), "")</f>
        <v/>
      </c>
      <c r="BP27" s="584"/>
      <c r="BQ27" s="457" t="s">
        <v>86</v>
      </c>
      <c r="BR27" s="458" t="str">
        <f>_xlfn.IFNA(BR20 / VLOOKUP(BG20, $Z$20:$AF$24, 5, FALSE) / VLOOKUP(BG20,$X$4:$Y$11,2,FALSE), "")</f>
        <v/>
      </c>
      <c r="BS27" s="458" t="str">
        <f>IF(ISNUMBER(BR27), ROUNDUP(BR27/(RECOVER_AP / $D$5)*RECOVER_DIAMS,0), "")</f>
        <v/>
      </c>
      <c r="BT27" s="461"/>
      <c r="BU27" s="441"/>
      <c r="BV27" s="441"/>
      <c r="BW27" s="441"/>
      <c r="BX27" s="441"/>
    </row>
    <row r="28" spans="7:76" ht="18.75" customHeight="1" x14ac:dyDescent="0.25">
      <c r="G28" s="462">
        <v>46</v>
      </c>
      <c r="H28" s="339">
        <v>4</v>
      </c>
      <c r="I28" s="339">
        <v>3</v>
      </c>
      <c r="J28" s="443" t="s">
        <v>411</v>
      </c>
      <c r="K28" s="339">
        <v>200</v>
      </c>
      <c r="L28" s="339">
        <v>150</v>
      </c>
      <c r="M28" s="339">
        <v>120</v>
      </c>
      <c r="BT28" s="461"/>
      <c r="BU28" s="441"/>
    </row>
    <row r="29" spans="7:76" ht="18.75" customHeight="1" x14ac:dyDescent="0.25">
      <c r="G29" s="462">
        <v>47</v>
      </c>
      <c r="H29" s="339">
        <v>4</v>
      </c>
      <c r="I29" s="339">
        <v>4</v>
      </c>
      <c r="J29" s="443" t="s">
        <v>411</v>
      </c>
      <c r="K29" s="339">
        <v>0</v>
      </c>
      <c r="L29" s="339">
        <v>0</v>
      </c>
      <c r="M29" s="339">
        <v>0</v>
      </c>
      <c r="BT29" s="461"/>
      <c r="BU29" s="441"/>
    </row>
    <row r="30" spans="7:76" ht="18.75" customHeight="1" x14ac:dyDescent="0.25">
      <c r="J30" s="439"/>
      <c r="BT30" s="461"/>
      <c r="BU30" s="441"/>
    </row>
    <row r="31" spans="7:76" ht="18.75" customHeight="1" x14ac:dyDescent="0.25">
      <c r="BT31" s="461"/>
      <c r="BU31" s="441"/>
    </row>
    <row r="32" spans="7:76" ht="18.75" customHeight="1" x14ac:dyDescent="0.25">
      <c r="BT32" s="461"/>
      <c r="BU32" s="441"/>
    </row>
    <row r="33" spans="72:76" ht="18.75" customHeight="1" x14ac:dyDescent="0.25">
      <c r="BT33" s="461"/>
      <c r="BU33" s="441"/>
      <c r="BV33" s="441"/>
      <c r="BW33" s="441"/>
      <c r="BX33" s="441"/>
    </row>
    <row r="34" spans="72:76" ht="18.75" customHeight="1" x14ac:dyDescent="0.25">
      <c r="BT34" s="461"/>
      <c r="BU34" s="441"/>
    </row>
    <row r="35" spans="72:76" ht="18.75" customHeight="1" x14ac:dyDescent="0.25">
      <c r="BT35" s="461"/>
      <c r="BU35" s="441"/>
    </row>
    <row r="36" spans="72:76" ht="18.75" customHeight="1" x14ac:dyDescent="0.25">
      <c r="BT36" s="461"/>
      <c r="BU36" s="441"/>
    </row>
    <row r="37" spans="72:76" ht="18.75" customHeight="1" x14ac:dyDescent="0.25">
      <c r="BT37" s="461"/>
      <c r="BU37" s="441"/>
    </row>
    <row r="38" spans="72:76" ht="18.75" customHeight="1" x14ac:dyDescent="0.25">
      <c r="BT38" s="461"/>
      <c r="BU38" s="441"/>
    </row>
    <row r="39" spans="72:76" ht="18.75" customHeight="1" x14ac:dyDescent="0.25">
      <c r="BT39" s="461"/>
      <c r="BU39" s="441"/>
      <c r="BV39" s="441"/>
      <c r="BW39" s="441"/>
      <c r="BX39" s="441"/>
    </row>
    <row r="40" spans="72:76" ht="18.75" customHeight="1" x14ac:dyDescent="0.25">
      <c r="BT40" s="461"/>
      <c r="BU40" s="441"/>
      <c r="BV40" s="446"/>
      <c r="BW40" s="446"/>
      <c r="BX40" s="446"/>
    </row>
    <row r="41" spans="72:76" ht="18.75" customHeight="1" x14ac:dyDescent="0.25">
      <c r="BT41" s="461"/>
      <c r="BU41" s="441"/>
      <c r="BV41" s="446"/>
      <c r="BW41" s="446"/>
      <c r="BX41" s="446"/>
    </row>
    <row r="42" spans="72:76" ht="18.75" customHeight="1" x14ac:dyDescent="0.25">
      <c r="BT42" s="461"/>
      <c r="BU42" s="441"/>
      <c r="BV42" s="446"/>
      <c r="BW42" s="446"/>
      <c r="BX42" s="446"/>
    </row>
    <row r="43" spans="72:76" ht="18.75" customHeight="1" x14ac:dyDescent="0.25">
      <c r="BT43" s="461"/>
      <c r="BU43" s="441"/>
      <c r="BV43" s="446"/>
      <c r="BW43" s="446"/>
      <c r="BX43" s="446"/>
    </row>
    <row r="44" spans="72:76" ht="18.75" customHeight="1" x14ac:dyDescent="0.25">
      <c r="BT44" s="461"/>
      <c r="BU44" s="441"/>
      <c r="BV44" s="446"/>
      <c r="BW44" s="446"/>
      <c r="BX44" s="446"/>
    </row>
  </sheetData>
  <mergeCells count="135">
    <mergeCell ref="A2:D2"/>
    <mergeCell ref="E2:F2"/>
    <mergeCell ref="Q2:R2"/>
    <mergeCell ref="Z2:AF2"/>
    <mergeCell ref="X1:BX1"/>
    <mergeCell ref="X2:Y2"/>
    <mergeCell ref="A1:W1"/>
    <mergeCell ref="S2:W2"/>
    <mergeCell ref="G2:P2"/>
    <mergeCell ref="AT12:AT19"/>
    <mergeCell ref="AU12:AV12"/>
    <mergeCell ref="AW12:AX12"/>
    <mergeCell ref="AY12:AZ12"/>
    <mergeCell ref="AU16:AU17"/>
    <mergeCell ref="AY16:AY17"/>
    <mergeCell ref="AU4:AV4"/>
    <mergeCell ref="AY4:AZ4"/>
    <mergeCell ref="BC4:BD4"/>
    <mergeCell ref="AT4:AT11"/>
    <mergeCell ref="AU6:AU7"/>
    <mergeCell ref="AU8:AU9"/>
    <mergeCell ref="AU10:AU11"/>
    <mergeCell ref="AY6:AY7"/>
    <mergeCell ref="AY8:AY9"/>
    <mergeCell ref="AY10:AY11"/>
    <mergeCell ref="BC6:BC7"/>
    <mergeCell ref="BC8:BC9"/>
    <mergeCell ref="BC10:BC11"/>
    <mergeCell ref="BA4:BB4"/>
    <mergeCell ref="BC16:BC17"/>
    <mergeCell ref="AU18:AU19"/>
    <mergeCell ref="AY18:AY19"/>
    <mergeCell ref="BC18:BC19"/>
    <mergeCell ref="BG4:BG11"/>
    <mergeCell ref="BA12:BB12"/>
    <mergeCell ref="BC12:BD12"/>
    <mergeCell ref="BE12:BF12"/>
    <mergeCell ref="AU14:AU15"/>
    <mergeCell ref="AY14:AY15"/>
    <mergeCell ref="BC14:BC15"/>
    <mergeCell ref="AW4:AX4"/>
    <mergeCell ref="BE4:BF4"/>
    <mergeCell ref="BG12:BG19"/>
    <mergeCell ref="BR4:BS4"/>
    <mergeCell ref="BH6:BH7"/>
    <mergeCell ref="BL6:BL7"/>
    <mergeCell ref="BP6:BP7"/>
    <mergeCell ref="BH8:BH9"/>
    <mergeCell ref="BL8:BL9"/>
    <mergeCell ref="BP8:BP9"/>
    <mergeCell ref="BH4:BI4"/>
    <mergeCell ref="BJ4:BK4"/>
    <mergeCell ref="BL4:BM4"/>
    <mergeCell ref="BN4:BO4"/>
    <mergeCell ref="BP4:BQ4"/>
    <mergeCell ref="BH12:BI12"/>
    <mergeCell ref="BJ12:BK12"/>
    <mergeCell ref="BL12:BM12"/>
    <mergeCell ref="BN12:BO12"/>
    <mergeCell ref="BP12:BQ12"/>
    <mergeCell ref="BH18:BH19"/>
    <mergeCell ref="BL18:BL19"/>
    <mergeCell ref="BP18:BP19"/>
    <mergeCell ref="BR12:BS12"/>
    <mergeCell ref="BH14:BH15"/>
    <mergeCell ref="BL14:BL15"/>
    <mergeCell ref="BP14:BP15"/>
    <mergeCell ref="BH16:BH17"/>
    <mergeCell ref="BL16:BL17"/>
    <mergeCell ref="BP16:BP17"/>
    <mergeCell ref="AU20:AV20"/>
    <mergeCell ref="AW20:AX20"/>
    <mergeCell ref="AY20:AZ20"/>
    <mergeCell ref="BA20:BB20"/>
    <mergeCell ref="AU24:AU25"/>
    <mergeCell ref="AY24:AY25"/>
    <mergeCell ref="BL24:BL25"/>
    <mergeCell ref="BP24:BP25"/>
    <mergeCell ref="AU26:AU27"/>
    <mergeCell ref="AY26:AY27"/>
    <mergeCell ref="BC26:BC27"/>
    <mergeCell ref="BH26:BH27"/>
    <mergeCell ref="BL26:BL27"/>
    <mergeCell ref="BP26:BP27"/>
    <mergeCell ref="BL20:BM20"/>
    <mergeCell ref="BN20:BO20"/>
    <mergeCell ref="BP20:BQ20"/>
    <mergeCell ref="AR5:AS5"/>
    <mergeCell ref="AP5:AQ5"/>
    <mergeCell ref="AN5:AO5"/>
    <mergeCell ref="AL5:AM5"/>
    <mergeCell ref="AJ5:AK5"/>
    <mergeCell ref="AH5:AI5"/>
    <mergeCell ref="BR20:BS20"/>
    <mergeCell ref="AU22:AU23"/>
    <mergeCell ref="AY22:AY23"/>
    <mergeCell ref="BC22:BC23"/>
    <mergeCell ref="BH22:BH23"/>
    <mergeCell ref="BL22:BL23"/>
    <mergeCell ref="BP22:BP23"/>
    <mergeCell ref="BC20:BD20"/>
    <mergeCell ref="BE20:BF20"/>
    <mergeCell ref="BG20:BG27"/>
    <mergeCell ref="BH20:BI20"/>
    <mergeCell ref="BJ20:BK20"/>
    <mergeCell ref="BH10:BH11"/>
    <mergeCell ref="BL10:BL11"/>
    <mergeCell ref="BP10:BP11"/>
    <mergeCell ref="BC24:BC25"/>
    <mergeCell ref="BH24:BH25"/>
    <mergeCell ref="AT20:AT27"/>
    <mergeCell ref="N9:P9"/>
    <mergeCell ref="N10:P10"/>
    <mergeCell ref="BT2:BX2"/>
    <mergeCell ref="BT4:BT9"/>
    <mergeCell ref="BT10:BT18"/>
    <mergeCell ref="AG4:AG5"/>
    <mergeCell ref="AG16:AG17"/>
    <mergeCell ref="AH16:AK16"/>
    <mergeCell ref="AL16:AO16"/>
    <mergeCell ref="AP16:AS16"/>
    <mergeCell ref="AH17:AI17"/>
    <mergeCell ref="AJ17:AK17"/>
    <mergeCell ref="AL17:AM17"/>
    <mergeCell ref="AN17:AO17"/>
    <mergeCell ref="AP17:AQ17"/>
    <mergeCell ref="AR17:AS17"/>
    <mergeCell ref="AG3:AS3"/>
    <mergeCell ref="N7:P7"/>
    <mergeCell ref="N8:P8"/>
    <mergeCell ref="AG2:BS2"/>
    <mergeCell ref="AT3:BS3"/>
    <mergeCell ref="AP4:AS4"/>
    <mergeCell ref="AL4:AO4"/>
    <mergeCell ref="AH4:AK4"/>
  </mergeCells>
  <conditionalFormatting sqref="H27:I29 H15 H23:I23 H22 H9:I9 H14:I14 H20:I21">
    <cfRule type="cellIs" dxfId="35" priority="62" operator="equal">
      <formula>"X"</formula>
    </cfRule>
    <cfRule type="cellIs" dxfId="34" priority="63" operator="equal">
      <formula>"O"</formula>
    </cfRule>
  </conditionalFormatting>
  <conditionalFormatting sqref="H30:I30 H5:I8">
    <cfRule type="cellIs" dxfId="33" priority="29" operator="equal">
      <formula>"X"</formula>
    </cfRule>
    <cfRule type="cellIs" dxfId="32" priority="30" operator="equal">
      <formula>"O"</formula>
    </cfRule>
  </conditionalFormatting>
  <conditionalFormatting sqref="H10:I13">
    <cfRule type="cellIs" dxfId="31" priority="27" operator="equal">
      <formula>"X"</formula>
    </cfRule>
    <cfRule type="cellIs" dxfId="30" priority="28" operator="equal">
      <formula>"O"</formula>
    </cfRule>
  </conditionalFormatting>
  <conditionalFormatting sqref="H16:I19">
    <cfRule type="cellIs" dxfId="29" priority="25" operator="equal">
      <formula>"X"</formula>
    </cfRule>
    <cfRule type="cellIs" dxfId="28" priority="26" operator="equal">
      <formula>"O"</formula>
    </cfRule>
  </conditionalFormatting>
  <conditionalFormatting sqref="H24:I26">
    <cfRule type="cellIs" dxfId="27" priority="21" operator="equal">
      <formula>"X"</formula>
    </cfRule>
    <cfRule type="cellIs" dxfId="26" priority="22" operator="equal">
      <formula>"O"</formula>
    </cfRule>
  </conditionalFormatting>
  <conditionalFormatting sqref="I15">
    <cfRule type="cellIs" dxfId="25" priority="19" operator="equal">
      <formula>"X"</formula>
    </cfRule>
    <cfRule type="cellIs" dxfId="24" priority="20" operator="equal">
      <formula>"O"</formula>
    </cfRule>
  </conditionalFormatting>
  <conditionalFormatting sqref="I22">
    <cfRule type="cellIs" dxfId="23" priority="17" operator="equal">
      <formula>"X"</formula>
    </cfRule>
    <cfRule type="cellIs" dxfId="22" priority="18" operator="equal">
      <formula>"O"</formula>
    </cfRule>
  </conditionalFormatting>
  <conditionalFormatting sqref="W3:W8 W13:W1048576">
    <cfRule type="cellIs" dxfId="21" priority="5" operator="equal">
      <formula>47</formula>
    </cfRule>
    <cfRule type="cellIs" dxfId="20" priority="6" operator="equal">
      <formula>36</formula>
    </cfRule>
    <cfRule type="cellIs" dxfId="19" priority="7" operator="equal">
      <formula>25</formula>
    </cfRule>
    <cfRule type="cellIs" dxfId="18" priority="8" operator="equal">
      <formula>14</formula>
    </cfRule>
  </conditionalFormatting>
  <conditionalFormatting sqref="W9:W12">
    <cfRule type="cellIs" dxfId="17" priority="1" operator="equal">
      <formula>47</formula>
    </cfRule>
    <cfRule type="cellIs" dxfId="16" priority="2" operator="equal">
      <formula>36</formula>
    </cfRule>
    <cfRule type="cellIs" dxfId="15" priority="3" operator="equal">
      <formula>25</formula>
    </cfRule>
    <cfRule type="cellIs" dxfId="14" priority="4" operator="equal">
      <formula>14</formula>
    </cfRule>
  </conditionalFormatting>
  <conditionalFormatting sqref="T3:T1048576">
    <cfRule type="cellIs" dxfId="13" priority="13" operator="equal">
      <formula>47</formula>
    </cfRule>
    <cfRule type="cellIs" dxfId="12" priority="14" operator="equal">
      <formula>36</formula>
    </cfRule>
    <cfRule type="cellIs" dxfId="11" priority="15" operator="equal">
      <formula>25</formula>
    </cfRule>
    <cfRule type="cellIs" dxfId="10" priority="16" operator="equal">
      <formula>14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C771-AE54-4564-AE70-F12522FCBC20}">
  <sheetPr>
    <tabColor rgb="FFBCA5EB"/>
  </sheetPr>
  <dimension ref="A1:W18"/>
  <sheetViews>
    <sheetView workbookViewId="0">
      <selection activeCell="G12" sqref="G12"/>
    </sheetView>
  </sheetViews>
  <sheetFormatPr defaultRowHeight="17.25" customHeight="1" x14ac:dyDescent="0.25"/>
  <cols>
    <col min="1" max="1" width="3.42578125" style="471" customWidth="1"/>
    <col min="2" max="2" width="6.140625" style="471" customWidth="1"/>
    <col min="3" max="3" width="5.42578125" style="471" customWidth="1"/>
    <col min="4" max="5" width="7.5703125" style="471" customWidth="1"/>
    <col min="6" max="11" width="9.140625" style="471"/>
    <col min="12" max="12" width="2.140625" style="438" customWidth="1"/>
    <col min="13" max="16384" width="9.140625" style="438"/>
  </cols>
  <sheetData>
    <row r="1" spans="1:23" ht="17.25" customHeight="1" x14ac:dyDescent="0.25">
      <c r="A1" s="468" t="s">
        <v>431</v>
      </c>
      <c r="B1" s="468" t="s">
        <v>434</v>
      </c>
      <c r="C1" s="468" t="s">
        <v>13</v>
      </c>
      <c r="D1" s="468" t="s">
        <v>418</v>
      </c>
      <c r="E1" s="468" t="s">
        <v>419</v>
      </c>
      <c r="F1" s="468" t="s">
        <v>422</v>
      </c>
      <c r="G1" s="468" t="s">
        <v>423</v>
      </c>
      <c r="H1" s="468" t="s">
        <v>421</v>
      </c>
      <c r="I1" s="468" t="s">
        <v>424</v>
      </c>
      <c r="J1" s="468" t="s">
        <v>425</v>
      </c>
      <c r="K1" s="468" t="s">
        <v>426</v>
      </c>
      <c r="L1" s="439"/>
      <c r="M1" s="341"/>
      <c r="N1" s="465" t="s">
        <v>427</v>
      </c>
      <c r="O1" s="465" t="s">
        <v>31</v>
      </c>
      <c r="P1" s="465" t="s">
        <v>418</v>
      </c>
      <c r="Q1" s="465" t="s">
        <v>419</v>
      </c>
      <c r="R1" s="465" t="s">
        <v>422</v>
      </c>
      <c r="S1" s="465" t="s">
        <v>423</v>
      </c>
      <c r="T1" s="465" t="s">
        <v>421</v>
      </c>
      <c r="U1" s="465" t="s">
        <v>424</v>
      </c>
      <c r="V1" s="465" t="s">
        <v>425</v>
      </c>
      <c r="W1" s="465" t="s">
        <v>426</v>
      </c>
    </row>
    <row r="2" spans="1:23" ht="17.25" customHeight="1" x14ac:dyDescent="0.25">
      <c r="A2" s="471" t="s">
        <v>432</v>
      </c>
      <c r="B2" s="471" t="s">
        <v>204</v>
      </c>
      <c r="C2" s="471">
        <v>252</v>
      </c>
      <c r="D2" s="471">
        <v>2064</v>
      </c>
      <c r="F2" s="471">
        <v>338</v>
      </c>
      <c r="G2" s="471">
        <v>351</v>
      </c>
      <c r="H2" s="471">
        <v>35</v>
      </c>
      <c r="I2" s="471">
        <v>32</v>
      </c>
      <c r="M2" s="465" t="s">
        <v>428</v>
      </c>
      <c r="N2" s="341">
        <v>9435</v>
      </c>
      <c r="O2" s="341">
        <v>54</v>
      </c>
      <c r="P2" s="341">
        <v>550</v>
      </c>
      <c r="Q2" s="341">
        <v>1301</v>
      </c>
      <c r="R2" s="341">
        <v>1602</v>
      </c>
      <c r="S2" s="341">
        <v>1722</v>
      </c>
      <c r="T2" s="341">
        <v>5322</v>
      </c>
      <c r="U2" s="341">
        <v>5292</v>
      </c>
      <c r="V2" s="341">
        <v>2360</v>
      </c>
      <c r="W2" s="341">
        <v>1840</v>
      </c>
    </row>
    <row r="3" spans="1:23" ht="17.25" customHeight="1" x14ac:dyDescent="0.25">
      <c r="A3" s="471" t="s">
        <v>432</v>
      </c>
      <c r="B3" s="471" t="s">
        <v>204</v>
      </c>
      <c r="C3" s="471">
        <v>60</v>
      </c>
      <c r="D3" s="471">
        <v>490</v>
      </c>
      <c r="F3" s="471">
        <v>87</v>
      </c>
      <c r="G3" s="471">
        <v>77</v>
      </c>
      <c r="H3" s="471">
        <v>8</v>
      </c>
      <c r="I3" s="471">
        <v>8</v>
      </c>
      <c r="M3" s="465" t="s">
        <v>429</v>
      </c>
      <c r="N3" s="341">
        <v>9495</v>
      </c>
      <c r="O3" s="341">
        <v>3</v>
      </c>
      <c r="P3" s="341">
        <v>749</v>
      </c>
      <c r="Q3" s="341">
        <v>2197</v>
      </c>
      <c r="R3" s="341">
        <v>1602</v>
      </c>
      <c r="S3" s="341">
        <v>1722</v>
      </c>
      <c r="T3" s="341">
        <v>7146</v>
      </c>
      <c r="U3" s="341">
        <v>7182</v>
      </c>
      <c r="V3" s="341">
        <v>2900</v>
      </c>
      <c r="W3" s="341">
        <v>2760</v>
      </c>
    </row>
    <row r="4" spans="1:23" ht="17.25" customHeight="1" x14ac:dyDescent="0.25">
      <c r="A4" s="471" t="s">
        <v>432</v>
      </c>
      <c r="B4" s="471" t="s">
        <v>204</v>
      </c>
      <c r="C4" s="471">
        <v>64</v>
      </c>
      <c r="D4" s="471">
        <v>522</v>
      </c>
      <c r="F4" s="471">
        <v>77</v>
      </c>
      <c r="G4" s="471">
        <v>99</v>
      </c>
      <c r="H4" s="471">
        <v>4</v>
      </c>
      <c r="I4" s="471">
        <v>12</v>
      </c>
      <c r="M4" s="465"/>
      <c r="N4" s="341"/>
      <c r="O4" s="341"/>
      <c r="P4" s="341"/>
      <c r="Q4" s="341"/>
      <c r="R4" s="341"/>
      <c r="S4" s="341"/>
      <c r="T4" s="341"/>
      <c r="U4" s="341"/>
      <c r="V4" s="341"/>
      <c r="W4" s="341"/>
    </row>
    <row r="5" spans="1:23" ht="17.25" customHeight="1" x14ac:dyDescent="0.25">
      <c r="A5" s="471" t="s">
        <v>432</v>
      </c>
      <c r="B5" s="471" t="s">
        <v>204</v>
      </c>
      <c r="C5" s="471">
        <v>64</v>
      </c>
      <c r="D5" s="471">
        <v>531</v>
      </c>
      <c r="F5" s="471">
        <v>84</v>
      </c>
      <c r="G5" s="471">
        <v>85</v>
      </c>
      <c r="H5" s="471">
        <v>17</v>
      </c>
      <c r="I5" s="471">
        <v>6</v>
      </c>
      <c r="M5" s="465" t="s">
        <v>442</v>
      </c>
      <c r="N5" s="472">
        <f t="shared" ref="N5:W5" si="0">N7/N8</f>
        <v>-60</v>
      </c>
      <c r="O5" s="472">
        <f t="shared" si="0"/>
        <v>51</v>
      </c>
      <c r="P5" s="472">
        <f t="shared" si="0"/>
        <v>199</v>
      </c>
      <c r="Q5" s="472">
        <f t="shared" si="0"/>
        <v>896</v>
      </c>
      <c r="R5" s="472">
        <f t="shared" si="0"/>
        <v>0</v>
      </c>
      <c r="S5" s="472">
        <f t="shared" si="0"/>
        <v>0</v>
      </c>
      <c r="T5" s="472">
        <f t="shared" si="0"/>
        <v>304</v>
      </c>
      <c r="U5" s="472">
        <f t="shared" si="0"/>
        <v>315</v>
      </c>
      <c r="V5" s="472">
        <f t="shared" si="0"/>
        <v>27</v>
      </c>
      <c r="W5" s="472">
        <f t="shared" si="0"/>
        <v>46</v>
      </c>
    </row>
    <row r="6" spans="1:23" ht="17.25" customHeight="1" x14ac:dyDescent="0.25">
      <c r="A6" s="471" t="s">
        <v>433</v>
      </c>
      <c r="B6" s="471" t="s">
        <v>204</v>
      </c>
      <c r="C6" s="471">
        <v>1</v>
      </c>
      <c r="D6" s="471">
        <v>3</v>
      </c>
      <c r="E6" s="471">
        <v>6</v>
      </c>
      <c r="H6" s="471">
        <v>1</v>
      </c>
      <c r="I6" s="471">
        <v>2</v>
      </c>
      <c r="J6" s="471">
        <v>0</v>
      </c>
      <c r="K6" s="471">
        <v>0</v>
      </c>
      <c r="M6" s="465"/>
      <c r="N6" s="341"/>
      <c r="O6" s="341"/>
      <c r="P6" s="341"/>
      <c r="Q6" s="341"/>
      <c r="R6" s="341"/>
      <c r="S6" s="341"/>
      <c r="T6" s="341"/>
      <c r="U6" s="341"/>
      <c r="V6" s="341"/>
      <c r="W6" s="341"/>
    </row>
    <row r="7" spans="1:23" ht="17.25" customHeight="1" x14ac:dyDescent="0.25">
      <c r="A7" s="471" t="s">
        <v>433</v>
      </c>
      <c r="B7" s="471" t="s">
        <v>204</v>
      </c>
      <c r="C7" s="471">
        <v>13</v>
      </c>
      <c r="D7" s="471">
        <v>33</v>
      </c>
      <c r="E7" s="471">
        <v>73</v>
      </c>
      <c r="H7" s="471">
        <v>21</v>
      </c>
      <c r="I7" s="471">
        <v>15</v>
      </c>
      <c r="J7" s="471">
        <v>1</v>
      </c>
      <c r="K7" s="471">
        <v>2</v>
      </c>
      <c r="M7" s="465" t="s">
        <v>33</v>
      </c>
      <c r="N7" s="341">
        <f>N2-N3</f>
        <v>-60</v>
      </c>
      <c r="O7" s="341">
        <f>O2-O3</f>
        <v>51</v>
      </c>
      <c r="P7" s="341">
        <f t="shared" ref="P7:W7" si="1">P3-P2</f>
        <v>199</v>
      </c>
      <c r="Q7" s="341">
        <f t="shared" si="1"/>
        <v>896</v>
      </c>
      <c r="R7" s="341">
        <f t="shared" si="1"/>
        <v>0</v>
      </c>
      <c r="S7" s="341">
        <f t="shared" si="1"/>
        <v>0</v>
      </c>
      <c r="T7" s="341">
        <f t="shared" si="1"/>
        <v>1824</v>
      </c>
      <c r="U7" s="341">
        <f t="shared" si="1"/>
        <v>1890</v>
      </c>
      <c r="V7" s="341">
        <f t="shared" si="1"/>
        <v>540</v>
      </c>
      <c r="W7" s="341">
        <f t="shared" si="1"/>
        <v>920</v>
      </c>
    </row>
    <row r="8" spans="1:23" ht="17.25" customHeight="1" x14ac:dyDescent="0.25">
      <c r="A8" s="471" t="s">
        <v>433</v>
      </c>
      <c r="B8" s="471" t="s">
        <v>204</v>
      </c>
      <c r="C8" s="471">
        <v>115</v>
      </c>
      <c r="D8" s="471">
        <v>301</v>
      </c>
      <c r="E8" s="471">
        <v>621</v>
      </c>
      <c r="H8" s="471">
        <v>162</v>
      </c>
      <c r="I8" s="471">
        <v>149</v>
      </c>
      <c r="J8" s="471">
        <v>24</v>
      </c>
      <c r="K8" s="471">
        <v>13</v>
      </c>
      <c r="M8" s="465" t="s">
        <v>443</v>
      </c>
      <c r="N8" s="341">
        <v>1</v>
      </c>
      <c r="O8" s="341">
        <v>1</v>
      </c>
      <c r="P8" s="341">
        <v>1</v>
      </c>
      <c r="Q8" s="341">
        <v>1</v>
      </c>
      <c r="R8" s="341">
        <v>6</v>
      </c>
      <c r="S8" s="341">
        <v>6</v>
      </c>
      <c r="T8" s="341">
        <v>6</v>
      </c>
      <c r="U8" s="341">
        <v>6</v>
      </c>
      <c r="V8" s="341">
        <v>20</v>
      </c>
      <c r="W8" s="341">
        <v>20</v>
      </c>
    </row>
    <row r="9" spans="1:23" ht="17.25" customHeight="1" x14ac:dyDescent="0.25">
      <c r="A9" s="471" t="s">
        <v>433</v>
      </c>
      <c r="B9" s="471" t="s">
        <v>204</v>
      </c>
      <c r="C9" s="471">
        <v>191</v>
      </c>
      <c r="D9" s="471">
        <v>509</v>
      </c>
      <c r="E9" s="471">
        <v>1056</v>
      </c>
      <c r="H9" s="471">
        <v>280</v>
      </c>
      <c r="I9" s="471">
        <v>240</v>
      </c>
      <c r="J9" s="471">
        <v>31</v>
      </c>
      <c r="K9" s="471">
        <v>28</v>
      </c>
      <c r="M9" s="465"/>
      <c r="N9" s="341"/>
      <c r="O9" s="341"/>
      <c r="P9" s="341"/>
      <c r="Q9" s="341"/>
      <c r="R9" s="341"/>
      <c r="S9" s="341"/>
      <c r="T9" s="341"/>
      <c r="U9" s="341"/>
      <c r="V9" s="341"/>
      <c r="W9" s="341"/>
    </row>
    <row r="10" spans="1:23" ht="17.25" customHeight="1" x14ac:dyDescent="0.25">
      <c r="A10" s="471" t="s">
        <v>435</v>
      </c>
      <c r="B10" s="471" t="s">
        <v>204</v>
      </c>
      <c r="C10" s="471">
        <v>4</v>
      </c>
      <c r="D10" s="471">
        <v>18</v>
      </c>
      <c r="E10" s="471">
        <v>23</v>
      </c>
      <c r="H10" s="471">
        <v>2</v>
      </c>
      <c r="I10" s="471">
        <v>0</v>
      </c>
      <c r="J10" s="471">
        <v>8</v>
      </c>
      <c r="K10" s="471">
        <v>2</v>
      </c>
      <c r="M10" s="465" t="s">
        <v>430</v>
      </c>
      <c r="N10" s="472">
        <v>30</v>
      </c>
      <c r="O10" s="472"/>
      <c r="P10" s="341"/>
      <c r="Q10" s="341"/>
      <c r="R10" s="341"/>
      <c r="S10" s="341"/>
      <c r="T10" s="341"/>
      <c r="U10" s="341"/>
      <c r="V10" s="465" t="s">
        <v>13</v>
      </c>
      <c r="W10" s="472">
        <f>N7/30*120/N10+O7*10/N10</f>
        <v>9</v>
      </c>
    </row>
    <row r="11" spans="1:23" ht="17.25" customHeight="1" x14ac:dyDescent="0.25">
      <c r="A11" s="471" t="s">
        <v>432</v>
      </c>
      <c r="B11" s="471" t="s">
        <v>86</v>
      </c>
      <c r="C11" s="471">
        <v>1</v>
      </c>
      <c r="D11" s="471">
        <v>13</v>
      </c>
      <c r="F11" s="471">
        <v>1</v>
      </c>
      <c r="G11" s="471">
        <v>3</v>
      </c>
    </row>
    <row r="12" spans="1:23" ht="17.25" customHeight="1" x14ac:dyDescent="0.25">
      <c r="A12" s="471" t="s">
        <v>433</v>
      </c>
      <c r="B12" s="471" t="s">
        <v>86</v>
      </c>
      <c r="C12" s="471">
        <v>9</v>
      </c>
      <c r="D12" s="471">
        <v>32</v>
      </c>
      <c r="E12" s="471">
        <v>60</v>
      </c>
      <c r="H12" s="471">
        <v>14</v>
      </c>
      <c r="I12" s="471">
        <v>17</v>
      </c>
      <c r="J12" s="471">
        <v>3</v>
      </c>
      <c r="K12" s="471">
        <v>2</v>
      </c>
    </row>
    <row r="13" spans="1:23" ht="17.25" customHeight="1" x14ac:dyDescent="0.25">
      <c r="A13" s="471" t="s">
        <v>433</v>
      </c>
      <c r="B13" s="471" t="s">
        <v>86</v>
      </c>
      <c r="C13" s="471">
        <v>8</v>
      </c>
      <c r="D13" s="471">
        <v>77</v>
      </c>
      <c r="E13" s="471">
        <v>86</v>
      </c>
      <c r="H13" s="471">
        <v>13</v>
      </c>
      <c r="I13" s="471">
        <v>4</v>
      </c>
      <c r="J13" s="471">
        <v>4</v>
      </c>
      <c r="K13" s="471">
        <v>1</v>
      </c>
    </row>
    <row r="14" spans="1:23" ht="17.25" customHeight="1" x14ac:dyDescent="0.25">
      <c r="A14" s="471" t="s">
        <v>433</v>
      </c>
      <c r="B14" s="471" t="s">
        <v>86</v>
      </c>
      <c r="C14" s="471">
        <v>12</v>
      </c>
      <c r="D14" s="471">
        <v>40</v>
      </c>
      <c r="E14" s="471">
        <v>84</v>
      </c>
      <c r="H14" s="471">
        <v>19</v>
      </c>
      <c r="I14" s="471">
        <v>23</v>
      </c>
      <c r="J14" s="471">
        <v>3</v>
      </c>
      <c r="K14" s="471" t="s">
        <v>448</v>
      </c>
    </row>
    <row r="15" spans="1:23" ht="17.25" customHeight="1" x14ac:dyDescent="0.25">
      <c r="A15" s="471" t="s">
        <v>433</v>
      </c>
      <c r="B15" s="471" t="s">
        <v>86</v>
      </c>
      <c r="C15" s="471">
        <v>4</v>
      </c>
      <c r="D15" s="471">
        <v>13</v>
      </c>
      <c r="E15" s="471">
        <v>29</v>
      </c>
      <c r="H15" s="471">
        <v>7</v>
      </c>
      <c r="I15" s="471">
        <v>9</v>
      </c>
      <c r="J15" s="471">
        <v>0</v>
      </c>
      <c r="K15" s="471">
        <v>0</v>
      </c>
    </row>
    <row r="16" spans="1:23" ht="17.25" customHeight="1" x14ac:dyDescent="0.25">
      <c r="A16" s="471" t="s">
        <v>433</v>
      </c>
      <c r="B16" s="471" t="s">
        <v>86</v>
      </c>
      <c r="C16" s="471">
        <v>39</v>
      </c>
      <c r="D16" s="471">
        <v>316</v>
      </c>
      <c r="E16" s="471">
        <v>332</v>
      </c>
      <c r="H16" s="471">
        <v>70</v>
      </c>
      <c r="I16" s="471">
        <v>100</v>
      </c>
      <c r="J16" s="471">
        <v>8</v>
      </c>
      <c r="K16" s="471">
        <v>10</v>
      </c>
    </row>
    <row r="17" spans="1:11" ht="17.25" customHeight="1" x14ac:dyDescent="0.25">
      <c r="A17" s="471" t="s">
        <v>433</v>
      </c>
      <c r="B17" s="471" t="s">
        <v>86</v>
      </c>
      <c r="C17" s="471">
        <v>15</v>
      </c>
      <c r="D17" s="471">
        <v>87</v>
      </c>
      <c r="E17" s="471">
        <v>176</v>
      </c>
      <c r="H17" s="471">
        <v>47</v>
      </c>
      <c r="I17" s="471">
        <v>42</v>
      </c>
      <c r="J17" s="471">
        <v>5</v>
      </c>
      <c r="K17" s="471">
        <v>6</v>
      </c>
    </row>
    <row r="18" spans="1:11" ht="17.25" customHeight="1" x14ac:dyDescent="0.25">
      <c r="A18" s="471" t="s">
        <v>433</v>
      </c>
      <c r="B18" s="471" t="s">
        <v>86</v>
      </c>
      <c r="C18" s="471">
        <v>17</v>
      </c>
      <c r="D18" s="471">
        <v>57</v>
      </c>
      <c r="E18" s="471">
        <v>120</v>
      </c>
      <c r="H18" s="471">
        <v>28</v>
      </c>
      <c r="I18" s="471">
        <v>34</v>
      </c>
      <c r="J18" s="471">
        <v>4</v>
      </c>
      <c r="K18" s="47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486"/>
  <sheetViews>
    <sheetView topLeftCell="A459" workbookViewId="0">
      <selection activeCell="F486" sqref="F486:K486"/>
    </sheetView>
  </sheetViews>
  <sheetFormatPr defaultColWidth="9.140625" defaultRowHeight="15" x14ac:dyDescent="0.25"/>
  <cols>
    <col min="1" max="1" width="16.5703125" style="77" customWidth="1"/>
    <col min="2" max="2" width="27.140625" style="105" customWidth="1"/>
    <col min="3" max="5" width="9.140625" style="74" customWidth="1"/>
    <col min="6" max="6" width="9.140625" style="76" customWidth="1"/>
    <col min="7" max="7" width="10.140625" style="76" hidden="1" customWidth="1"/>
    <col min="8" max="9" width="9.140625" style="76" customWidth="1"/>
    <col min="10" max="10" width="10.140625" style="82" customWidth="1"/>
    <col min="11" max="11" width="9.140625" style="74" customWidth="1"/>
    <col min="12" max="13" width="10.5703125" style="74" customWidth="1"/>
    <col min="14" max="16384" width="9.140625" style="74"/>
  </cols>
  <sheetData>
    <row r="1" spans="1:13" s="79" customFormat="1" ht="15" customHeight="1" x14ac:dyDescent="0.25">
      <c r="A1" s="84"/>
      <c r="B1" s="104"/>
      <c r="C1" s="84"/>
      <c r="D1" s="84"/>
      <c r="E1" s="617" t="s">
        <v>107</v>
      </c>
      <c r="F1" s="617"/>
      <c r="G1" s="617"/>
      <c r="H1" s="617"/>
      <c r="I1" s="617"/>
      <c r="J1" s="617"/>
      <c r="L1" s="518" t="s">
        <v>108</v>
      </c>
      <c r="M1" s="518"/>
    </row>
    <row r="2" spans="1:13" s="79" customFormat="1" ht="15" customHeight="1" x14ac:dyDescent="0.25">
      <c r="A2" s="84"/>
      <c r="B2" s="104"/>
      <c r="C2" s="84"/>
      <c r="D2" s="84"/>
      <c r="E2" s="88" t="s">
        <v>105</v>
      </c>
      <c r="F2" s="88" t="s">
        <v>106</v>
      </c>
      <c r="G2" s="88"/>
      <c r="H2" s="86" t="s">
        <v>104</v>
      </c>
      <c r="I2" s="85" t="s">
        <v>43</v>
      </c>
      <c r="J2" s="89" t="s">
        <v>1</v>
      </c>
      <c r="L2" s="79" t="s">
        <v>91</v>
      </c>
      <c r="M2" s="79" t="s">
        <v>92</v>
      </c>
    </row>
    <row r="3" spans="1:13" s="78" customFormat="1" ht="15" customHeight="1" x14ac:dyDescent="0.25">
      <c r="A3" s="83"/>
      <c r="B3" s="104"/>
      <c r="C3" s="83"/>
      <c r="D3" s="83"/>
      <c r="E3" s="87" cm="1">
        <f t="array" ref="E3">SUMIF($F6:$F99998,"&gt;0") / SCOUT_DAYS_FROM_EARLIEST * 30</f>
        <v>15589.805999487346</v>
      </c>
      <c r="F3" s="87" cm="1">
        <f t="array" ref="F3">SUMIF($H6:$H99998,"&gt;0") / SCOUT_DAYS_FROM_EARLIEST * 30</f>
        <v>57167.987693359995</v>
      </c>
      <c r="G3" s="87"/>
      <c r="H3" s="87" cm="1">
        <f t="array" ref="H3">(SUMIF($F6:$F99998,"&gt;0") + SUMIF($H6:$H99998,"&gt;0")) / SCOUT_DAYS_FROM_EARLIEST * 30</f>
        <v>72757.79369284735</v>
      </c>
      <c r="I3" s="87" cm="1">
        <f t="array" ref="I3">(SUMIF($F6:$F99998,"&lt;0") + SUMIF($H6:$H99998,"&lt;0")) / SCOUT_DAYS_FROM_EARLIEST * 30</f>
        <v>-81138.911204171221</v>
      </c>
      <c r="J3" s="87">
        <f>H3+I3</f>
        <v>-8381.1175113238714</v>
      </c>
      <c r="L3" s="10" cm="1">
        <f t="array" ref="L3">SUM(L6:L99998) / SCOUT_DAYS_FROM_EARLIEST * 30</f>
        <v>58539.858131784073</v>
      </c>
      <c r="M3" s="90" cm="1">
        <f t="array" ref="M3">SUM(M6:M99998) / SCOUT_DAYS_FROM_EARLIEST * 30</f>
        <v>1099.1798991539272</v>
      </c>
    </row>
    <row r="4" spans="1:13" s="80" customFormat="1" ht="15" customHeight="1" x14ac:dyDescent="0.25">
      <c r="A4" s="618" t="s">
        <v>78</v>
      </c>
      <c r="B4" s="542" t="s">
        <v>83</v>
      </c>
      <c r="C4" s="542" t="s">
        <v>32</v>
      </c>
      <c r="D4" s="542"/>
      <c r="E4" s="542"/>
      <c r="F4" s="542" t="s">
        <v>33</v>
      </c>
      <c r="G4" s="542"/>
      <c r="H4" s="542"/>
      <c r="I4" s="542"/>
      <c r="J4" s="542"/>
      <c r="K4" s="98" t="s">
        <v>107</v>
      </c>
      <c r="L4" s="542" t="s">
        <v>93</v>
      </c>
      <c r="M4" s="542"/>
    </row>
    <row r="5" spans="1:13" s="73" customFormat="1" ht="15" customHeight="1" x14ac:dyDescent="0.25">
      <c r="A5" s="619"/>
      <c r="B5" s="503"/>
      <c r="C5" s="73" t="s">
        <v>79</v>
      </c>
      <c r="D5" s="73" t="s">
        <v>80</v>
      </c>
      <c r="E5" s="73" t="s">
        <v>82</v>
      </c>
      <c r="F5" s="75" t="s">
        <v>79</v>
      </c>
      <c r="G5" s="100" t="s">
        <v>130</v>
      </c>
      <c r="H5" s="75" t="s">
        <v>80</v>
      </c>
      <c r="I5" s="75" t="s">
        <v>82</v>
      </c>
      <c r="J5" s="18" t="s">
        <v>92</v>
      </c>
      <c r="K5" s="99" t="s">
        <v>79</v>
      </c>
      <c r="L5" s="73" t="s">
        <v>91</v>
      </c>
      <c r="M5" s="73" t="s">
        <v>92</v>
      </c>
    </row>
    <row r="6" spans="1:13" x14ac:dyDescent="0.25">
      <c r="A6" s="77">
        <v>43906.670138888891</v>
      </c>
      <c r="B6" s="105" t="s">
        <v>81</v>
      </c>
      <c r="C6" s="74">
        <v>123380</v>
      </c>
      <c r="D6" s="74">
        <v>2869</v>
      </c>
      <c r="E6" s="74">
        <f t="shared" ref="E6:E37" si="0">SUM(C6:D6)</f>
        <v>126249</v>
      </c>
      <c r="F6" s="76">
        <v>0</v>
      </c>
      <c r="G6" s="76">
        <f>SUMIF(F$6:F6,"&gt;0")</f>
        <v>0</v>
      </c>
      <c r="H6" s="76">
        <v>0</v>
      </c>
      <c r="I6" s="76">
        <f t="shared" ref="I6:I37" si="1">SUM(F6,H6)</f>
        <v>0</v>
      </c>
      <c r="J6" s="81">
        <f t="shared" ref="J6:J37" si="2">I6/4200*80</f>
        <v>0</v>
      </c>
      <c r="K6" s="76" t="e">
        <f t="shared" ref="K6:K69" si="3">_xlfn.SINGLE(IFERROR(G6 - _xlfn.XLOOKUP(A6-30, $A$6:$A$14998,G$6:G$14998,"",-1,2),NA()))</f>
        <v>#N/A</v>
      </c>
    </row>
    <row r="7" spans="1:13" x14ac:dyDescent="0.25">
      <c r="A7" s="77">
        <v>43908.03125</v>
      </c>
      <c r="B7" s="105" t="s">
        <v>86</v>
      </c>
      <c r="C7" s="74">
        <v>123455</v>
      </c>
      <c r="D7" s="74">
        <v>2799</v>
      </c>
      <c r="E7" s="74">
        <f t="shared" si="0"/>
        <v>126254</v>
      </c>
      <c r="F7" s="76">
        <f t="shared" ref="F7:F38" si="4">C7-C6</f>
        <v>75</v>
      </c>
      <c r="G7" s="76">
        <f>SUMIF(F$6:F7,"&gt;0")</f>
        <v>75</v>
      </c>
      <c r="H7" s="76">
        <f t="shared" ref="H7:H38" si="5">D7-D6</f>
        <v>-70</v>
      </c>
      <c r="I7" s="76">
        <f t="shared" si="1"/>
        <v>5</v>
      </c>
      <c r="J7" s="81">
        <f t="shared" si="2"/>
        <v>9.5238095238095247E-2</v>
      </c>
      <c r="K7" s="76" t="e">
        <f t="shared" si="3"/>
        <v>#N/A</v>
      </c>
    </row>
    <row r="8" spans="1:13" x14ac:dyDescent="0.25">
      <c r="A8" s="77">
        <v>43908.07916666667</v>
      </c>
      <c r="B8" s="105" t="s">
        <v>85</v>
      </c>
      <c r="C8" s="74">
        <v>123605</v>
      </c>
      <c r="D8" s="74">
        <v>2609</v>
      </c>
      <c r="E8" s="74">
        <f t="shared" si="0"/>
        <v>126214</v>
      </c>
      <c r="F8" s="76">
        <f t="shared" si="4"/>
        <v>150</v>
      </c>
      <c r="G8" s="76">
        <f>SUMIF(F$6:F8,"&gt;0")</f>
        <v>225</v>
      </c>
      <c r="H8" s="76">
        <f t="shared" si="5"/>
        <v>-190</v>
      </c>
      <c r="I8" s="76">
        <f t="shared" si="1"/>
        <v>-40</v>
      </c>
      <c r="J8" s="81">
        <f t="shared" si="2"/>
        <v>-0.76190476190476197</v>
      </c>
      <c r="K8" s="76" t="e">
        <f t="shared" si="3"/>
        <v>#N/A</v>
      </c>
    </row>
    <row r="9" spans="1:13" x14ac:dyDescent="0.25">
      <c r="A9" s="77">
        <v>43908.806944444441</v>
      </c>
      <c r="B9" s="105" t="s">
        <v>86</v>
      </c>
      <c r="C9" s="74">
        <v>123605</v>
      </c>
      <c r="D9" s="74">
        <v>2369</v>
      </c>
      <c r="E9" s="74">
        <f t="shared" si="0"/>
        <v>125974</v>
      </c>
      <c r="F9" s="76">
        <f t="shared" si="4"/>
        <v>0</v>
      </c>
      <c r="G9" s="76">
        <f>SUMIF(F$6:F9,"&gt;0")</f>
        <v>225</v>
      </c>
      <c r="H9" s="76">
        <f t="shared" si="5"/>
        <v>-240</v>
      </c>
      <c r="I9" s="76">
        <f t="shared" si="1"/>
        <v>-240</v>
      </c>
      <c r="J9" s="81">
        <f t="shared" si="2"/>
        <v>-4.5714285714285712</v>
      </c>
      <c r="K9" s="76" t="e">
        <f t="shared" si="3"/>
        <v>#N/A</v>
      </c>
    </row>
    <row r="10" spans="1:13" x14ac:dyDescent="0.25">
      <c r="A10" s="77">
        <v>43909.091666666667</v>
      </c>
      <c r="B10" s="105" t="s">
        <v>86</v>
      </c>
      <c r="C10" s="74">
        <v>123605</v>
      </c>
      <c r="D10" s="74">
        <v>2239</v>
      </c>
      <c r="E10" s="74">
        <f t="shared" si="0"/>
        <v>125844</v>
      </c>
      <c r="F10" s="76">
        <f t="shared" si="4"/>
        <v>0</v>
      </c>
      <c r="G10" s="76">
        <f>SUMIF(F$6:F10,"&gt;0")</f>
        <v>225</v>
      </c>
      <c r="H10" s="76">
        <f t="shared" si="5"/>
        <v>-130</v>
      </c>
      <c r="I10" s="76">
        <f t="shared" si="1"/>
        <v>-130</v>
      </c>
      <c r="J10" s="81">
        <f t="shared" si="2"/>
        <v>-2.4761904761904763</v>
      </c>
      <c r="K10" s="76" t="e">
        <f t="shared" si="3"/>
        <v>#N/A</v>
      </c>
    </row>
    <row r="11" spans="1:13" x14ac:dyDescent="0.25">
      <c r="A11" s="77">
        <v>43909.416666666664</v>
      </c>
      <c r="B11" s="105" t="s">
        <v>85</v>
      </c>
      <c r="C11" s="74">
        <v>123605</v>
      </c>
      <c r="D11" s="74">
        <v>1869</v>
      </c>
      <c r="E11" s="74">
        <f t="shared" si="0"/>
        <v>125474</v>
      </c>
      <c r="F11" s="76">
        <f t="shared" si="4"/>
        <v>0</v>
      </c>
      <c r="G11" s="76">
        <f>SUMIF(F$6:F11,"&gt;0")</f>
        <v>225</v>
      </c>
      <c r="H11" s="76">
        <f t="shared" si="5"/>
        <v>-370</v>
      </c>
      <c r="I11" s="76">
        <f t="shared" si="1"/>
        <v>-370</v>
      </c>
      <c r="J11" s="81">
        <f t="shared" si="2"/>
        <v>-7.0476190476190483</v>
      </c>
      <c r="K11" s="76" t="e">
        <f t="shared" si="3"/>
        <v>#N/A</v>
      </c>
    </row>
    <row r="12" spans="1:13" x14ac:dyDescent="0.25">
      <c r="A12" s="77">
        <v>43910.165972222225</v>
      </c>
      <c r="B12" s="105" t="s">
        <v>84</v>
      </c>
      <c r="C12" s="74">
        <v>124105</v>
      </c>
      <c r="D12" s="74">
        <v>1869</v>
      </c>
      <c r="E12" s="74">
        <f t="shared" si="0"/>
        <v>125974</v>
      </c>
      <c r="F12" s="76">
        <f t="shared" si="4"/>
        <v>500</v>
      </c>
      <c r="G12" s="76">
        <f>SUMIF(F$6:F12,"&gt;0")</f>
        <v>725</v>
      </c>
      <c r="H12" s="76">
        <f t="shared" si="5"/>
        <v>0</v>
      </c>
      <c r="I12" s="76">
        <f t="shared" si="1"/>
        <v>500</v>
      </c>
      <c r="J12" s="81">
        <f t="shared" si="2"/>
        <v>9.5238095238095237</v>
      </c>
      <c r="K12" s="76" t="e">
        <f t="shared" si="3"/>
        <v>#N/A</v>
      </c>
    </row>
    <row r="13" spans="1:13" x14ac:dyDescent="0.25">
      <c r="A13" s="77">
        <v>43911.053472222222</v>
      </c>
      <c r="B13" s="105" t="s">
        <v>86</v>
      </c>
      <c r="C13" s="74">
        <v>124755</v>
      </c>
      <c r="D13" s="74">
        <v>1259</v>
      </c>
      <c r="E13" s="74">
        <f t="shared" si="0"/>
        <v>126014</v>
      </c>
      <c r="F13" s="76">
        <f t="shared" si="4"/>
        <v>650</v>
      </c>
      <c r="G13" s="76">
        <f>SUMIF(F$6:F13,"&gt;0")</f>
        <v>1375</v>
      </c>
      <c r="H13" s="76">
        <f t="shared" si="5"/>
        <v>-610</v>
      </c>
      <c r="I13" s="76">
        <f t="shared" si="1"/>
        <v>40</v>
      </c>
      <c r="J13" s="81">
        <f t="shared" si="2"/>
        <v>0.76190476190476197</v>
      </c>
      <c r="K13" s="76" t="e">
        <f t="shared" si="3"/>
        <v>#N/A</v>
      </c>
    </row>
    <row r="14" spans="1:13" x14ac:dyDescent="0.25">
      <c r="A14" s="77">
        <v>43912.175694444442</v>
      </c>
      <c r="B14" s="105" t="s">
        <v>87</v>
      </c>
      <c r="C14" s="74">
        <v>124755</v>
      </c>
      <c r="D14" s="74">
        <v>4819</v>
      </c>
      <c r="E14" s="74">
        <f t="shared" si="0"/>
        <v>129574</v>
      </c>
      <c r="F14" s="76">
        <f t="shared" si="4"/>
        <v>0</v>
      </c>
      <c r="G14" s="76">
        <f>SUMIF(F$6:F14,"&gt;0")</f>
        <v>1375</v>
      </c>
      <c r="H14" s="76">
        <f t="shared" si="5"/>
        <v>3560</v>
      </c>
      <c r="I14" s="76">
        <f t="shared" si="1"/>
        <v>3560</v>
      </c>
      <c r="J14" s="81">
        <f t="shared" si="2"/>
        <v>67.80952380952381</v>
      </c>
      <c r="K14" s="76" t="e">
        <f t="shared" si="3"/>
        <v>#N/A</v>
      </c>
      <c r="L14" s="74">
        <v>4200</v>
      </c>
      <c r="M14" s="74">
        <v>80</v>
      </c>
    </row>
    <row r="15" spans="1:13" x14ac:dyDescent="0.25">
      <c r="A15" s="77">
        <v>43913.067361111112</v>
      </c>
      <c r="B15" s="105" t="s">
        <v>86</v>
      </c>
      <c r="C15" s="74">
        <v>125905</v>
      </c>
      <c r="D15" s="74">
        <v>4609</v>
      </c>
      <c r="E15" s="74">
        <f t="shared" si="0"/>
        <v>130514</v>
      </c>
      <c r="F15" s="76">
        <f t="shared" si="4"/>
        <v>1150</v>
      </c>
      <c r="G15" s="76">
        <f>SUMIF(F$6:F15,"&gt;0")</f>
        <v>2525</v>
      </c>
      <c r="H15" s="76">
        <f t="shared" si="5"/>
        <v>-210</v>
      </c>
      <c r="I15" s="76">
        <f t="shared" si="1"/>
        <v>940</v>
      </c>
      <c r="J15" s="81">
        <f t="shared" si="2"/>
        <v>17.904761904761905</v>
      </c>
      <c r="K15" s="76" t="e">
        <f t="shared" si="3"/>
        <v>#N/A</v>
      </c>
    </row>
    <row r="16" spans="1:13" x14ac:dyDescent="0.25">
      <c r="A16" s="77">
        <v>43913.322916666664</v>
      </c>
      <c r="B16" s="106" t="s">
        <v>88</v>
      </c>
      <c r="C16" s="74">
        <v>127105</v>
      </c>
      <c r="D16" s="74">
        <v>4429</v>
      </c>
      <c r="E16" s="74">
        <f t="shared" si="0"/>
        <v>131534</v>
      </c>
      <c r="F16" s="76">
        <f t="shared" si="4"/>
        <v>1200</v>
      </c>
      <c r="G16" s="76">
        <f>SUMIF(F$6:F16,"&gt;0")</f>
        <v>3725</v>
      </c>
      <c r="H16" s="76">
        <f t="shared" si="5"/>
        <v>-180</v>
      </c>
      <c r="I16" s="76">
        <f t="shared" si="1"/>
        <v>1020</v>
      </c>
      <c r="J16" s="81">
        <f t="shared" si="2"/>
        <v>19.428571428571427</v>
      </c>
      <c r="K16" s="76" t="e">
        <f t="shared" si="3"/>
        <v>#N/A</v>
      </c>
      <c r="L16" s="74">
        <v>525</v>
      </c>
      <c r="M16" s="74">
        <v>7</v>
      </c>
    </row>
    <row r="17" spans="1:13" x14ac:dyDescent="0.25">
      <c r="A17" s="77">
        <v>43913.785416666666</v>
      </c>
      <c r="B17" s="105" t="s">
        <v>89</v>
      </c>
      <c r="C17" s="74">
        <v>127430</v>
      </c>
      <c r="D17" s="74">
        <v>4684</v>
      </c>
      <c r="E17" s="74">
        <f t="shared" si="0"/>
        <v>132114</v>
      </c>
      <c r="F17" s="76">
        <f t="shared" si="4"/>
        <v>325</v>
      </c>
      <c r="G17" s="76">
        <f>SUMIF(F$6:F17,"&gt;0")</f>
        <v>4050</v>
      </c>
      <c r="H17" s="76">
        <f t="shared" si="5"/>
        <v>255</v>
      </c>
      <c r="I17" s="76">
        <f t="shared" si="1"/>
        <v>580</v>
      </c>
      <c r="J17" s="81">
        <f t="shared" si="2"/>
        <v>11.047619047619047</v>
      </c>
      <c r="K17" s="76" t="e">
        <f t="shared" si="3"/>
        <v>#N/A</v>
      </c>
      <c r="L17" s="74">
        <v>480</v>
      </c>
      <c r="M17" s="74">
        <v>10</v>
      </c>
    </row>
    <row r="18" spans="1:13" x14ac:dyDescent="0.25">
      <c r="A18" s="77">
        <v>43914.361805555556</v>
      </c>
      <c r="C18" s="74">
        <v>127505</v>
      </c>
      <c r="D18" s="74">
        <v>4674</v>
      </c>
      <c r="E18" s="74">
        <f t="shared" si="0"/>
        <v>132179</v>
      </c>
      <c r="F18" s="76">
        <f t="shared" si="4"/>
        <v>75</v>
      </c>
      <c r="G18" s="76">
        <f>SUMIF(F$6:F18,"&gt;0")</f>
        <v>4125</v>
      </c>
      <c r="H18" s="76">
        <f t="shared" si="5"/>
        <v>-10</v>
      </c>
      <c r="I18" s="76">
        <f t="shared" si="1"/>
        <v>65</v>
      </c>
      <c r="J18" s="81">
        <f t="shared" si="2"/>
        <v>1.2380952380952381</v>
      </c>
      <c r="K18" s="76" t="e">
        <f t="shared" si="3"/>
        <v>#N/A</v>
      </c>
    </row>
    <row r="19" spans="1:13" x14ac:dyDescent="0.25">
      <c r="A19" s="77">
        <v>43916.006249999999</v>
      </c>
      <c r="B19" s="106"/>
      <c r="C19" s="74">
        <v>127580</v>
      </c>
      <c r="D19" s="74">
        <v>4544</v>
      </c>
      <c r="E19" s="74">
        <f t="shared" si="0"/>
        <v>132124</v>
      </c>
      <c r="F19" s="76">
        <f t="shared" si="4"/>
        <v>75</v>
      </c>
      <c r="G19" s="76">
        <f>SUMIF(F$6:F19,"&gt;0")</f>
        <v>4200</v>
      </c>
      <c r="H19" s="76">
        <f t="shared" si="5"/>
        <v>-130</v>
      </c>
      <c r="I19" s="76">
        <f t="shared" si="1"/>
        <v>-55</v>
      </c>
      <c r="J19" s="81">
        <f t="shared" si="2"/>
        <v>-1.0476190476190477</v>
      </c>
      <c r="K19" s="76" t="e">
        <f t="shared" si="3"/>
        <v>#N/A</v>
      </c>
    </row>
    <row r="20" spans="1:13" x14ac:dyDescent="0.25">
      <c r="A20" s="77">
        <v>43917.041666666664</v>
      </c>
      <c r="C20" s="74">
        <v>127655</v>
      </c>
      <c r="D20" s="74">
        <v>4394</v>
      </c>
      <c r="E20" s="74">
        <f t="shared" si="0"/>
        <v>132049</v>
      </c>
      <c r="F20" s="76">
        <f t="shared" si="4"/>
        <v>75</v>
      </c>
      <c r="G20" s="76">
        <f>SUMIF(F$6:F20,"&gt;0")</f>
        <v>4275</v>
      </c>
      <c r="H20" s="76">
        <f t="shared" si="5"/>
        <v>-150</v>
      </c>
      <c r="I20" s="76">
        <f t="shared" si="1"/>
        <v>-75</v>
      </c>
      <c r="J20" s="81">
        <f t="shared" si="2"/>
        <v>-1.4285714285714284</v>
      </c>
      <c r="K20" s="76" t="e">
        <f t="shared" si="3"/>
        <v>#N/A</v>
      </c>
    </row>
    <row r="21" spans="1:13" x14ac:dyDescent="0.25">
      <c r="A21" s="77">
        <v>43917.057638888888</v>
      </c>
      <c r="B21" s="105" t="s">
        <v>90</v>
      </c>
      <c r="C21" s="74">
        <v>98855</v>
      </c>
      <c r="D21" s="74">
        <v>29264</v>
      </c>
      <c r="E21" s="74">
        <f t="shared" si="0"/>
        <v>128119</v>
      </c>
      <c r="F21" s="76">
        <f t="shared" si="4"/>
        <v>-28800</v>
      </c>
      <c r="G21" s="76">
        <f>SUMIF(F$6:F21,"&gt;0")</f>
        <v>4275</v>
      </c>
      <c r="H21" s="76">
        <f t="shared" si="5"/>
        <v>24870</v>
      </c>
      <c r="I21" s="76">
        <f t="shared" si="1"/>
        <v>-3930</v>
      </c>
      <c r="J21" s="81">
        <f t="shared" si="2"/>
        <v>-74.857142857142861</v>
      </c>
      <c r="K21" s="76" t="e">
        <f t="shared" si="3"/>
        <v>#N/A</v>
      </c>
      <c r="L21" s="74">
        <v>27300</v>
      </c>
      <c r="M21" s="74">
        <v>450</v>
      </c>
    </row>
    <row r="22" spans="1:13" x14ac:dyDescent="0.25">
      <c r="A22" s="77">
        <v>43917.583333333336</v>
      </c>
      <c r="B22" s="105" t="s">
        <v>94</v>
      </c>
      <c r="C22" s="74">
        <v>101385</v>
      </c>
      <c r="D22" s="74">
        <v>29274</v>
      </c>
      <c r="E22" s="74">
        <f t="shared" si="0"/>
        <v>130659</v>
      </c>
      <c r="F22" s="76">
        <f t="shared" si="4"/>
        <v>2530</v>
      </c>
      <c r="G22" s="76">
        <f>SUMIF(F$6:F22,"&gt;0")</f>
        <v>6805</v>
      </c>
      <c r="H22" s="76">
        <f t="shared" si="5"/>
        <v>10</v>
      </c>
      <c r="I22" s="76">
        <f t="shared" si="1"/>
        <v>2540</v>
      </c>
      <c r="J22" s="81">
        <f t="shared" si="2"/>
        <v>48.38095238095238</v>
      </c>
      <c r="K22" s="76" t="e">
        <f t="shared" si="3"/>
        <v>#N/A</v>
      </c>
    </row>
    <row r="23" spans="1:13" x14ac:dyDescent="0.25">
      <c r="A23" s="77">
        <v>43918.371527777781</v>
      </c>
      <c r="B23" s="105" t="s">
        <v>94</v>
      </c>
      <c r="C23" s="74">
        <v>105880</v>
      </c>
      <c r="D23" s="74">
        <v>29824</v>
      </c>
      <c r="E23" s="74">
        <f t="shared" si="0"/>
        <v>135704</v>
      </c>
      <c r="F23" s="76">
        <f t="shared" si="4"/>
        <v>4495</v>
      </c>
      <c r="G23" s="76">
        <f>SUMIF(F$6:F23,"&gt;0")</f>
        <v>11300</v>
      </c>
      <c r="H23" s="76">
        <f t="shared" si="5"/>
        <v>550</v>
      </c>
      <c r="I23" s="76">
        <f t="shared" si="1"/>
        <v>5045</v>
      </c>
      <c r="J23" s="81">
        <f t="shared" si="2"/>
        <v>96.095238095238088</v>
      </c>
      <c r="K23" s="76" t="e">
        <f t="shared" si="3"/>
        <v>#N/A</v>
      </c>
      <c r="L23" s="74">
        <v>830</v>
      </c>
      <c r="M23" s="74">
        <v>10</v>
      </c>
    </row>
    <row r="24" spans="1:13" x14ac:dyDescent="0.25">
      <c r="A24" s="77">
        <v>43918.573611111111</v>
      </c>
      <c r="C24" s="74">
        <v>106030</v>
      </c>
      <c r="D24" s="74">
        <v>28364</v>
      </c>
      <c r="E24" s="74">
        <f t="shared" si="0"/>
        <v>134394</v>
      </c>
      <c r="F24" s="76">
        <f t="shared" si="4"/>
        <v>150</v>
      </c>
      <c r="G24" s="76">
        <f>SUMIF(F$6:F24,"&gt;0")</f>
        <v>11450</v>
      </c>
      <c r="H24" s="76">
        <f t="shared" si="5"/>
        <v>-1460</v>
      </c>
      <c r="I24" s="76">
        <f t="shared" si="1"/>
        <v>-1310</v>
      </c>
      <c r="J24" s="81">
        <f t="shared" si="2"/>
        <v>-24.952380952380953</v>
      </c>
      <c r="K24" s="76" t="e">
        <f t="shared" si="3"/>
        <v>#N/A</v>
      </c>
    </row>
    <row r="25" spans="1:13" x14ac:dyDescent="0.25">
      <c r="A25" s="77">
        <v>43918.981249999997</v>
      </c>
      <c r="C25" s="74">
        <v>106190</v>
      </c>
      <c r="D25" s="74">
        <v>28334</v>
      </c>
      <c r="E25" s="74">
        <f t="shared" si="0"/>
        <v>134524</v>
      </c>
      <c r="F25" s="76">
        <f t="shared" si="4"/>
        <v>160</v>
      </c>
      <c r="G25" s="76">
        <f>SUMIF(F$6:F25,"&gt;0")</f>
        <v>11610</v>
      </c>
      <c r="H25" s="76">
        <f t="shared" si="5"/>
        <v>-30</v>
      </c>
      <c r="I25" s="76">
        <f t="shared" si="1"/>
        <v>130</v>
      </c>
      <c r="J25" s="81">
        <f t="shared" si="2"/>
        <v>2.4761904761904763</v>
      </c>
      <c r="K25" s="76" t="e">
        <f t="shared" si="3"/>
        <v>#N/A</v>
      </c>
    </row>
    <row r="26" spans="1:13" x14ac:dyDescent="0.25">
      <c r="A26" s="77">
        <v>43920.088194444441</v>
      </c>
      <c r="C26" s="74">
        <v>107155</v>
      </c>
      <c r="D26" s="74">
        <v>28519</v>
      </c>
      <c r="E26" s="74">
        <f t="shared" si="0"/>
        <v>135674</v>
      </c>
      <c r="F26" s="76">
        <f t="shared" si="4"/>
        <v>965</v>
      </c>
      <c r="G26" s="76">
        <f>SUMIF(F$6:F26,"&gt;0")</f>
        <v>12575</v>
      </c>
      <c r="H26" s="76">
        <f t="shared" si="5"/>
        <v>185</v>
      </c>
      <c r="I26" s="76">
        <f t="shared" si="1"/>
        <v>1150</v>
      </c>
      <c r="J26" s="81">
        <f t="shared" si="2"/>
        <v>21.904761904761905</v>
      </c>
      <c r="K26" s="76" t="e">
        <f t="shared" si="3"/>
        <v>#N/A</v>
      </c>
      <c r="L26" s="74">
        <v>525</v>
      </c>
      <c r="M26" s="74">
        <v>7</v>
      </c>
    </row>
    <row r="27" spans="1:13" x14ac:dyDescent="0.25">
      <c r="A27" s="77">
        <v>43921.71597222222</v>
      </c>
      <c r="C27" s="74">
        <v>109405</v>
      </c>
      <c r="D27" s="74">
        <v>28439</v>
      </c>
      <c r="E27" s="74">
        <f t="shared" si="0"/>
        <v>137844</v>
      </c>
      <c r="F27" s="76">
        <f t="shared" si="4"/>
        <v>2250</v>
      </c>
      <c r="G27" s="76">
        <f>SUMIF(F$6:F27,"&gt;0")</f>
        <v>14825</v>
      </c>
      <c r="H27" s="76">
        <f t="shared" si="5"/>
        <v>-80</v>
      </c>
      <c r="I27" s="76">
        <f t="shared" si="1"/>
        <v>2170</v>
      </c>
      <c r="J27" s="81">
        <f t="shared" si="2"/>
        <v>41.333333333333336</v>
      </c>
      <c r="K27" s="76" t="e">
        <f t="shared" si="3"/>
        <v>#N/A</v>
      </c>
    </row>
    <row r="28" spans="1:13" x14ac:dyDescent="0.25">
      <c r="A28" s="77">
        <v>43921.895138888889</v>
      </c>
      <c r="B28" s="105" t="s">
        <v>95</v>
      </c>
      <c r="C28" s="74">
        <v>109405</v>
      </c>
      <c r="D28" s="74">
        <v>28079</v>
      </c>
      <c r="E28" s="74">
        <f t="shared" si="0"/>
        <v>137484</v>
      </c>
      <c r="F28" s="76">
        <f t="shared" si="4"/>
        <v>0</v>
      </c>
      <c r="G28" s="76">
        <f>SUMIF(F$6:F28,"&gt;0")</f>
        <v>14825</v>
      </c>
      <c r="H28" s="76">
        <f t="shared" si="5"/>
        <v>-360</v>
      </c>
      <c r="I28" s="76">
        <f t="shared" si="1"/>
        <v>-360</v>
      </c>
      <c r="J28" s="81">
        <f t="shared" si="2"/>
        <v>-6.8571428571428577</v>
      </c>
      <c r="K28" s="76" t="e">
        <f t="shared" si="3"/>
        <v>#N/A</v>
      </c>
    </row>
    <row r="29" spans="1:13" x14ac:dyDescent="0.25">
      <c r="A29" s="77">
        <v>43922.277083333334</v>
      </c>
      <c r="B29" s="105" t="s">
        <v>96</v>
      </c>
      <c r="C29" s="74">
        <v>109630</v>
      </c>
      <c r="D29" s="74">
        <v>27599</v>
      </c>
      <c r="E29" s="74">
        <f t="shared" si="0"/>
        <v>137229</v>
      </c>
      <c r="F29" s="76">
        <f t="shared" si="4"/>
        <v>225</v>
      </c>
      <c r="G29" s="76">
        <f>SUMIF(F$6:F29,"&gt;0")</f>
        <v>15050</v>
      </c>
      <c r="H29" s="76">
        <f t="shared" si="5"/>
        <v>-480</v>
      </c>
      <c r="I29" s="76">
        <f t="shared" si="1"/>
        <v>-255</v>
      </c>
      <c r="J29" s="81">
        <f t="shared" si="2"/>
        <v>-4.8571428571428568</v>
      </c>
      <c r="K29" s="76" t="e">
        <f t="shared" si="3"/>
        <v>#N/A</v>
      </c>
    </row>
    <row r="30" spans="1:13" x14ac:dyDescent="0.25">
      <c r="A30" s="77">
        <v>43923.402777777781</v>
      </c>
      <c r="B30" s="105" t="s">
        <v>97</v>
      </c>
      <c r="C30" s="74">
        <v>82775</v>
      </c>
      <c r="D30" s="74">
        <v>22639</v>
      </c>
      <c r="E30" s="74">
        <f t="shared" si="0"/>
        <v>105414</v>
      </c>
      <c r="F30" s="76">
        <f t="shared" si="4"/>
        <v>-26855</v>
      </c>
      <c r="G30" s="76">
        <f>SUMIF(F$6:F30,"&gt;0")</f>
        <v>15050</v>
      </c>
      <c r="H30" s="76">
        <f t="shared" si="5"/>
        <v>-4960</v>
      </c>
      <c r="I30" s="76">
        <f t="shared" si="1"/>
        <v>-31815</v>
      </c>
      <c r="J30" s="81">
        <f t="shared" si="2"/>
        <v>-606</v>
      </c>
      <c r="K30" s="76" t="e">
        <f t="shared" si="3"/>
        <v>#N/A</v>
      </c>
    </row>
    <row r="31" spans="1:13" x14ac:dyDescent="0.25">
      <c r="A31" s="77">
        <v>43924.678472222222</v>
      </c>
      <c r="C31" s="74">
        <v>83165</v>
      </c>
      <c r="D31" s="74">
        <v>23189</v>
      </c>
      <c r="E31" s="74">
        <f t="shared" si="0"/>
        <v>106354</v>
      </c>
      <c r="F31" s="76">
        <f t="shared" si="4"/>
        <v>390</v>
      </c>
      <c r="G31" s="76">
        <f>SUMIF(F$6:F31,"&gt;0")</f>
        <v>15440</v>
      </c>
      <c r="H31" s="76">
        <f t="shared" si="5"/>
        <v>550</v>
      </c>
      <c r="I31" s="76">
        <f t="shared" si="1"/>
        <v>940</v>
      </c>
      <c r="J31" s="81">
        <f t="shared" si="2"/>
        <v>17.904761904761905</v>
      </c>
      <c r="K31" s="76" t="e">
        <f t="shared" si="3"/>
        <v>#N/A</v>
      </c>
      <c r="L31" s="74">
        <v>480</v>
      </c>
      <c r="M31" s="74">
        <v>10</v>
      </c>
    </row>
    <row r="32" spans="1:13" x14ac:dyDescent="0.25">
      <c r="A32" s="77">
        <v>43925.526388888888</v>
      </c>
      <c r="C32" s="74">
        <v>83265</v>
      </c>
      <c r="D32" s="74">
        <v>22979</v>
      </c>
      <c r="E32" s="74">
        <f t="shared" si="0"/>
        <v>106244</v>
      </c>
      <c r="F32" s="76">
        <f t="shared" si="4"/>
        <v>100</v>
      </c>
      <c r="G32" s="76">
        <f>SUMIF(F$6:F32,"&gt;0")</f>
        <v>15540</v>
      </c>
      <c r="H32" s="76">
        <f t="shared" si="5"/>
        <v>-210</v>
      </c>
      <c r="I32" s="76">
        <f t="shared" si="1"/>
        <v>-110</v>
      </c>
      <c r="J32" s="81">
        <f t="shared" si="2"/>
        <v>-2.0952380952380953</v>
      </c>
      <c r="K32" s="76" t="e">
        <f t="shared" si="3"/>
        <v>#N/A</v>
      </c>
    </row>
    <row r="33" spans="1:13" x14ac:dyDescent="0.25">
      <c r="A33" s="77">
        <v>43927</v>
      </c>
      <c r="C33" s="74">
        <v>84715</v>
      </c>
      <c r="D33" s="74">
        <v>22959</v>
      </c>
      <c r="E33" s="74">
        <f t="shared" si="0"/>
        <v>107674</v>
      </c>
      <c r="F33" s="76">
        <f t="shared" si="4"/>
        <v>1450</v>
      </c>
      <c r="G33" s="76">
        <f>SUMIF(F$6:F33,"&gt;0")</f>
        <v>16990</v>
      </c>
      <c r="H33" s="76">
        <f t="shared" si="5"/>
        <v>-20</v>
      </c>
      <c r="I33" s="76">
        <f t="shared" si="1"/>
        <v>1430</v>
      </c>
      <c r="J33" s="81">
        <f t="shared" si="2"/>
        <v>27.238095238095241</v>
      </c>
      <c r="K33" s="76" t="e">
        <f t="shared" si="3"/>
        <v>#N/A</v>
      </c>
    </row>
    <row r="34" spans="1:13" x14ac:dyDescent="0.25">
      <c r="A34" s="77">
        <v>43927.095833333333</v>
      </c>
      <c r="B34" s="105" t="s">
        <v>98</v>
      </c>
      <c r="C34" s="74">
        <v>83515</v>
      </c>
      <c r="D34" s="74">
        <v>22899</v>
      </c>
      <c r="E34" s="74">
        <f t="shared" si="0"/>
        <v>106414</v>
      </c>
      <c r="F34" s="76">
        <f t="shared" si="4"/>
        <v>-1200</v>
      </c>
      <c r="G34" s="76">
        <f>SUMIF(F$6:F34,"&gt;0")</f>
        <v>16990</v>
      </c>
      <c r="H34" s="76">
        <f t="shared" si="5"/>
        <v>-60</v>
      </c>
      <c r="I34" s="76">
        <f t="shared" si="1"/>
        <v>-1260</v>
      </c>
      <c r="J34" s="81">
        <f t="shared" si="2"/>
        <v>-24</v>
      </c>
      <c r="K34" s="76" t="e">
        <f t="shared" si="3"/>
        <v>#N/A</v>
      </c>
    </row>
    <row r="35" spans="1:13" x14ac:dyDescent="0.25">
      <c r="A35" s="77">
        <v>43927.667361111111</v>
      </c>
      <c r="C35" s="74">
        <v>83930</v>
      </c>
      <c r="D35" s="74">
        <v>22919</v>
      </c>
      <c r="E35" s="74">
        <f t="shared" si="0"/>
        <v>106849</v>
      </c>
      <c r="F35" s="76">
        <f t="shared" si="4"/>
        <v>415</v>
      </c>
      <c r="G35" s="76">
        <f>SUMIF(F$6:F35,"&gt;0")</f>
        <v>17405</v>
      </c>
      <c r="H35" s="76">
        <f t="shared" si="5"/>
        <v>20</v>
      </c>
      <c r="I35" s="76">
        <f t="shared" si="1"/>
        <v>435</v>
      </c>
      <c r="J35" s="81">
        <f t="shared" si="2"/>
        <v>8.2857142857142865</v>
      </c>
      <c r="K35" s="76" t="e">
        <f t="shared" si="3"/>
        <v>#N/A</v>
      </c>
    </row>
    <row r="36" spans="1:13" x14ac:dyDescent="0.25">
      <c r="A36" s="77">
        <v>43929.050694444442</v>
      </c>
      <c r="C36" s="74">
        <v>84305</v>
      </c>
      <c r="D36" s="74">
        <v>23324</v>
      </c>
      <c r="E36" s="74">
        <f t="shared" si="0"/>
        <v>107629</v>
      </c>
      <c r="F36" s="76">
        <f t="shared" si="4"/>
        <v>375</v>
      </c>
      <c r="G36" s="76">
        <f>SUMIF(F$6:F36,"&gt;0")</f>
        <v>17780</v>
      </c>
      <c r="H36" s="76">
        <f t="shared" si="5"/>
        <v>405</v>
      </c>
      <c r="I36" s="76">
        <f t="shared" si="1"/>
        <v>780</v>
      </c>
      <c r="J36" s="81">
        <f t="shared" si="2"/>
        <v>14.857142857142858</v>
      </c>
      <c r="K36" s="76" t="e">
        <f t="shared" si="3"/>
        <v>#N/A</v>
      </c>
    </row>
    <row r="37" spans="1:13" x14ac:dyDescent="0.25">
      <c r="A37" s="77">
        <v>43929.833333333336</v>
      </c>
      <c r="C37" s="74">
        <v>87405</v>
      </c>
      <c r="D37" s="74">
        <v>22834</v>
      </c>
      <c r="E37" s="74">
        <f t="shared" si="0"/>
        <v>110239</v>
      </c>
      <c r="F37" s="76">
        <f t="shared" si="4"/>
        <v>3100</v>
      </c>
      <c r="G37" s="76">
        <f>SUMIF(F$6:F37,"&gt;0")</f>
        <v>20880</v>
      </c>
      <c r="H37" s="76">
        <f t="shared" si="5"/>
        <v>-490</v>
      </c>
      <c r="I37" s="76">
        <f t="shared" si="1"/>
        <v>2610</v>
      </c>
      <c r="J37" s="81">
        <f t="shared" si="2"/>
        <v>49.714285714285715</v>
      </c>
      <c r="K37" s="76" t="e">
        <f t="shared" si="3"/>
        <v>#N/A</v>
      </c>
    </row>
    <row r="38" spans="1:13" x14ac:dyDescent="0.25">
      <c r="A38" s="77">
        <v>43930.692361111112</v>
      </c>
      <c r="C38" s="74">
        <v>87855</v>
      </c>
      <c r="D38" s="74">
        <v>23254</v>
      </c>
      <c r="E38" s="74">
        <f t="shared" ref="E38:E77" si="6">SUM(C38:D38)</f>
        <v>111109</v>
      </c>
      <c r="F38" s="76">
        <f t="shared" si="4"/>
        <v>450</v>
      </c>
      <c r="G38" s="76">
        <f>SUMIF(F$6:F38,"&gt;0")</f>
        <v>21330</v>
      </c>
      <c r="H38" s="76">
        <f t="shared" si="5"/>
        <v>420</v>
      </c>
      <c r="I38" s="76">
        <f t="shared" ref="I38:I69" si="7">SUM(F38,H38)</f>
        <v>870</v>
      </c>
      <c r="J38" s="81">
        <f t="shared" ref="J38:J64" si="8">I38/4200*80</f>
        <v>16.571428571428573</v>
      </c>
      <c r="K38" s="76" t="e">
        <f t="shared" si="3"/>
        <v>#N/A</v>
      </c>
    </row>
    <row r="39" spans="1:13" x14ac:dyDescent="0.25">
      <c r="A39" s="77">
        <v>43931.674305555556</v>
      </c>
      <c r="C39" s="74">
        <v>88580</v>
      </c>
      <c r="D39" s="74">
        <v>23284</v>
      </c>
      <c r="E39" s="74">
        <f t="shared" si="6"/>
        <v>111864</v>
      </c>
      <c r="F39" s="76">
        <f t="shared" ref="F39:F64" si="9">C39-C38</f>
        <v>725</v>
      </c>
      <c r="G39" s="76">
        <f>SUMIF(F$6:F39,"&gt;0")</f>
        <v>22055</v>
      </c>
      <c r="H39" s="76">
        <f t="shared" ref="H39:H64" si="10">D39-D38</f>
        <v>30</v>
      </c>
      <c r="I39" s="76">
        <f t="shared" si="7"/>
        <v>755</v>
      </c>
      <c r="J39" s="81">
        <f t="shared" si="8"/>
        <v>14.380952380952381</v>
      </c>
      <c r="K39" s="76" t="e">
        <f t="shared" si="3"/>
        <v>#N/A</v>
      </c>
      <c r="L39" s="74">
        <v>480</v>
      </c>
      <c r="M39" s="74">
        <v>10</v>
      </c>
    </row>
    <row r="40" spans="1:13" x14ac:dyDescent="0.25">
      <c r="A40" s="77">
        <v>43932.163194444445</v>
      </c>
      <c r="C40" s="74">
        <v>88680</v>
      </c>
      <c r="D40" s="74">
        <v>23224</v>
      </c>
      <c r="E40" s="74">
        <f t="shared" si="6"/>
        <v>111904</v>
      </c>
      <c r="F40" s="76">
        <f t="shared" si="9"/>
        <v>100</v>
      </c>
      <c r="G40" s="76">
        <f>SUMIF(F$6:F40,"&gt;0")</f>
        <v>22155</v>
      </c>
      <c r="H40" s="76">
        <f t="shared" si="10"/>
        <v>-60</v>
      </c>
      <c r="I40" s="76">
        <f t="shared" si="7"/>
        <v>40</v>
      </c>
      <c r="J40" s="81">
        <f t="shared" si="8"/>
        <v>0.76190476190476197</v>
      </c>
      <c r="K40" s="76" t="e">
        <f t="shared" si="3"/>
        <v>#N/A</v>
      </c>
    </row>
    <row r="41" spans="1:13" x14ac:dyDescent="0.25">
      <c r="A41" s="77">
        <v>43934.073611111111</v>
      </c>
      <c r="C41" s="74">
        <v>43445</v>
      </c>
      <c r="D41" s="74">
        <v>17324</v>
      </c>
      <c r="E41" s="74">
        <f t="shared" si="6"/>
        <v>60769</v>
      </c>
      <c r="F41" s="76">
        <f t="shared" si="9"/>
        <v>-45235</v>
      </c>
      <c r="G41" s="76">
        <f>SUMIF(F$6:F41,"&gt;0")</f>
        <v>22155</v>
      </c>
      <c r="H41" s="76">
        <f t="shared" si="10"/>
        <v>-5900</v>
      </c>
      <c r="I41" s="76">
        <f t="shared" si="7"/>
        <v>-51135</v>
      </c>
      <c r="J41" s="81">
        <f t="shared" si="8"/>
        <v>-974</v>
      </c>
      <c r="K41" s="76" t="e">
        <f t="shared" si="3"/>
        <v>#N/A</v>
      </c>
    </row>
    <row r="42" spans="1:13" x14ac:dyDescent="0.25">
      <c r="A42" s="77">
        <v>43935.863888888889</v>
      </c>
      <c r="C42" s="74">
        <v>46125</v>
      </c>
      <c r="D42" s="74">
        <v>16939</v>
      </c>
      <c r="E42" s="74">
        <f t="shared" si="6"/>
        <v>63064</v>
      </c>
      <c r="F42" s="76">
        <f t="shared" si="9"/>
        <v>2680</v>
      </c>
      <c r="G42" s="76">
        <f>SUMIF(F$6:F42,"&gt;0")</f>
        <v>24835</v>
      </c>
      <c r="H42" s="76">
        <f t="shared" si="10"/>
        <v>-385</v>
      </c>
      <c r="I42" s="76">
        <f t="shared" si="7"/>
        <v>2295</v>
      </c>
      <c r="J42" s="81">
        <f t="shared" si="8"/>
        <v>43.714285714285708</v>
      </c>
      <c r="K42" s="76" t="e">
        <f t="shared" si="3"/>
        <v>#N/A</v>
      </c>
    </row>
    <row r="43" spans="1:13" x14ac:dyDescent="0.25">
      <c r="A43" s="77">
        <v>43936.243055555555</v>
      </c>
      <c r="C43" s="74">
        <v>46500</v>
      </c>
      <c r="D43" s="74">
        <v>17459</v>
      </c>
      <c r="E43" s="74">
        <f t="shared" si="6"/>
        <v>63959</v>
      </c>
      <c r="F43" s="76">
        <f t="shared" si="9"/>
        <v>375</v>
      </c>
      <c r="G43" s="76">
        <f>SUMIF(F$6:F43,"&gt;0")</f>
        <v>25210</v>
      </c>
      <c r="H43" s="76">
        <f t="shared" si="10"/>
        <v>520</v>
      </c>
      <c r="I43" s="76">
        <f t="shared" si="7"/>
        <v>895</v>
      </c>
      <c r="J43" s="81">
        <f t="shared" si="8"/>
        <v>17.047619047619047</v>
      </c>
      <c r="K43" s="76" t="e">
        <f t="shared" si="3"/>
        <v>#N/A</v>
      </c>
    </row>
    <row r="44" spans="1:13" x14ac:dyDescent="0.25">
      <c r="A44" s="77">
        <v>43938.306944444441</v>
      </c>
      <c r="C44" s="74">
        <v>46650</v>
      </c>
      <c r="D44" s="74">
        <v>17389</v>
      </c>
      <c r="E44" s="74">
        <f t="shared" si="6"/>
        <v>64039</v>
      </c>
      <c r="F44" s="76">
        <f t="shared" si="9"/>
        <v>150</v>
      </c>
      <c r="G44" s="76">
        <f>SUMIF(F$6:F44,"&gt;0")</f>
        <v>25360</v>
      </c>
      <c r="H44" s="76">
        <f t="shared" si="10"/>
        <v>-70</v>
      </c>
      <c r="I44" s="76">
        <f t="shared" si="7"/>
        <v>80</v>
      </c>
      <c r="J44" s="81">
        <f t="shared" si="8"/>
        <v>1.5238095238095239</v>
      </c>
      <c r="K44" s="76">
        <f t="shared" si="3"/>
        <v>25135</v>
      </c>
    </row>
    <row r="45" spans="1:13" x14ac:dyDescent="0.25">
      <c r="A45" s="77">
        <v>43939.205555555556</v>
      </c>
      <c r="C45" s="74">
        <v>47100</v>
      </c>
      <c r="D45" s="74">
        <v>17429</v>
      </c>
      <c r="E45" s="74">
        <f t="shared" si="6"/>
        <v>64529</v>
      </c>
      <c r="F45" s="76">
        <f t="shared" si="9"/>
        <v>450</v>
      </c>
      <c r="G45" s="76">
        <f>SUMIF(F$6:F45,"&gt;0")</f>
        <v>25810</v>
      </c>
      <c r="H45" s="76">
        <f t="shared" si="10"/>
        <v>40</v>
      </c>
      <c r="I45" s="76">
        <f t="shared" si="7"/>
        <v>490</v>
      </c>
      <c r="J45" s="81">
        <f t="shared" si="8"/>
        <v>9.3333333333333339</v>
      </c>
      <c r="K45" s="76">
        <f t="shared" si="3"/>
        <v>25585</v>
      </c>
    </row>
    <row r="46" spans="1:13" x14ac:dyDescent="0.25">
      <c r="A46" s="77">
        <v>43940.149305555555</v>
      </c>
      <c r="B46" s="105" t="s">
        <v>99</v>
      </c>
      <c r="C46" s="74">
        <v>47875</v>
      </c>
      <c r="D46" s="74">
        <v>20219</v>
      </c>
      <c r="E46" s="74">
        <f t="shared" si="6"/>
        <v>68094</v>
      </c>
      <c r="F46" s="76">
        <f t="shared" si="9"/>
        <v>775</v>
      </c>
      <c r="G46" s="76">
        <f>SUMIF(F$6:F46,"&gt;0")</f>
        <v>26585</v>
      </c>
      <c r="H46" s="76">
        <f t="shared" si="10"/>
        <v>2790</v>
      </c>
      <c r="I46" s="76">
        <f t="shared" si="7"/>
        <v>3565</v>
      </c>
      <c r="J46" s="81">
        <f t="shared" si="8"/>
        <v>67.904761904761898</v>
      </c>
      <c r="K46" s="76">
        <f t="shared" si="3"/>
        <v>26360</v>
      </c>
      <c r="L46" s="74">
        <v>4200</v>
      </c>
      <c r="M46" s="74">
        <v>80</v>
      </c>
    </row>
    <row r="47" spans="1:13" x14ac:dyDescent="0.25">
      <c r="A47" s="77">
        <v>43941.243055555555</v>
      </c>
      <c r="C47" s="74">
        <v>53675</v>
      </c>
      <c r="D47" s="74">
        <v>20119</v>
      </c>
      <c r="E47" s="74">
        <f t="shared" si="6"/>
        <v>73794</v>
      </c>
      <c r="F47" s="76">
        <f t="shared" si="9"/>
        <v>5800</v>
      </c>
      <c r="G47" s="76">
        <f>SUMIF(F$6:F47,"&gt;0")</f>
        <v>32385</v>
      </c>
      <c r="H47" s="76">
        <f t="shared" si="10"/>
        <v>-100</v>
      </c>
      <c r="I47" s="76">
        <f t="shared" si="7"/>
        <v>5700</v>
      </c>
      <c r="J47" s="81">
        <f t="shared" si="8"/>
        <v>108.57142857142858</v>
      </c>
      <c r="K47" s="76">
        <f t="shared" si="3"/>
        <v>31010</v>
      </c>
    </row>
    <row r="48" spans="1:13" x14ac:dyDescent="0.25">
      <c r="A48" s="77">
        <v>43942.540277777778</v>
      </c>
      <c r="C48" s="74">
        <v>55000</v>
      </c>
      <c r="D48" s="74">
        <v>20164</v>
      </c>
      <c r="E48" s="74">
        <f t="shared" si="6"/>
        <v>75164</v>
      </c>
      <c r="F48" s="76">
        <f t="shared" si="9"/>
        <v>1325</v>
      </c>
      <c r="G48" s="76">
        <f>SUMIF(F$6:F48,"&gt;0")</f>
        <v>33710</v>
      </c>
      <c r="H48" s="76">
        <f t="shared" si="10"/>
        <v>45</v>
      </c>
      <c r="I48" s="76">
        <f t="shared" si="7"/>
        <v>1370</v>
      </c>
      <c r="J48" s="81">
        <f t="shared" si="8"/>
        <v>26.095238095238095</v>
      </c>
      <c r="K48" s="76">
        <f t="shared" si="3"/>
        <v>32335</v>
      </c>
    </row>
    <row r="49" spans="1:13" x14ac:dyDescent="0.25">
      <c r="A49" s="77">
        <v>43943.21875</v>
      </c>
      <c r="C49" s="74">
        <v>55450</v>
      </c>
      <c r="D49" s="74">
        <v>20154</v>
      </c>
      <c r="E49" s="74">
        <f t="shared" si="6"/>
        <v>75604</v>
      </c>
      <c r="F49" s="76">
        <f t="shared" si="9"/>
        <v>450</v>
      </c>
      <c r="G49" s="76">
        <f>SUMIF(F$6:F49,"&gt;0")</f>
        <v>34160</v>
      </c>
      <c r="H49" s="76">
        <f t="shared" si="10"/>
        <v>-10</v>
      </c>
      <c r="I49" s="76">
        <f t="shared" si="7"/>
        <v>440</v>
      </c>
      <c r="J49" s="81">
        <f t="shared" si="8"/>
        <v>8.3809523809523814</v>
      </c>
      <c r="K49" s="76">
        <f t="shared" si="3"/>
        <v>31635</v>
      </c>
    </row>
    <row r="50" spans="1:13" x14ac:dyDescent="0.25">
      <c r="A50" s="77">
        <v>43944.036805555559</v>
      </c>
      <c r="C50" s="74">
        <v>55625</v>
      </c>
      <c r="D50" s="74">
        <v>20064</v>
      </c>
      <c r="E50" s="74">
        <f t="shared" si="6"/>
        <v>75689</v>
      </c>
      <c r="F50" s="76">
        <f t="shared" si="9"/>
        <v>175</v>
      </c>
      <c r="G50" s="76">
        <f>SUMIF(F$6:F50,"&gt;0")</f>
        <v>34335</v>
      </c>
      <c r="H50" s="76">
        <f t="shared" si="10"/>
        <v>-90</v>
      </c>
      <c r="I50" s="76">
        <f t="shared" si="7"/>
        <v>85</v>
      </c>
      <c r="J50" s="81">
        <f t="shared" si="8"/>
        <v>1.6190476190476191</v>
      </c>
      <c r="K50" s="76">
        <f t="shared" si="3"/>
        <v>30285</v>
      </c>
    </row>
    <row r="51" spans="1:13" x14ac:dyDescent="0.25">
      <c r="A51" s="77">
        <v>43945.34097222222</v>
      </c>
      <c r="B51" s="105" t="s">
        <v>100</v>
      </c>
      <c r="C51" s="74">
        <v>54575</v>
      </c>
      <c r="D51" s="74">
        <v>20014</v>
      </c>
      <c r="E51" s="74">
        <f t="shared" si="6"/>
        <v>74589</v>
      </c>
      <c r="F51" s="76">
        <f t="shared" si="9"/>
        <v>-1050</v>
      </c>
      <c r="G51" s="76">
        <f>SUMIF(F$6:F51,"&gt;0")</f>
        <v>34335</v>
      </c>
      <c r="H51" s="76">
        <f t="shared" si="10"/>
        <v>-50</v>
      </c>
      <c r="I51" s="76">
        <f t="shared" si="7"/>
        <v>-1100</v>
      </c>
      <c r="J51" s="81">
        <f t="shared" si="8"/>
        <v>-20.952380952380953</v>
      </c>
      <c r="K51" s="76">
        <f t="shared" si="3"/>
        <v>30210</v>
      </c>
    </row>
    <row r="52" spans="1:13" x14ac:dyDescent="0.25">
      <c r="A52" s="77">
        <v>43946.38958333333</v>
      </c>
      <c r="B52" s="105" t="s">
        <v>99</v>
      </c>
      <c r="C52" s="74">
        <v>54750</v>
      </c>
      <c r="D52" s="74">
        <v>18604</v>
      </c>
      <c r="E52" s="74">
        <f t="shared" si="6"/>
        <v>73354</v>
      </c>
      <c r="F52" s="76">
        <f t="shared" si="9"/>
        <v>175</v>
      </c>
      <c r="G52" s="76">
        <f>SUMIF(F$6:F52,"&gt;0")</f>
        <v>34510</v>
      </c>
      <c r="H52" s="76">
        <f t="shared" si="10"/>
        <v>-1410</v>
      </c>
      <c r="I52" s="76">
        <f t="shared" si="7"/>
        <v>-1235</v>
      </c>
      <c r="J52" s="81">
        <f t="shared" si="8"/>
        <v>-23.523809523809526</v>
      </c>
      <c r="K52" s="76">
        <f t="shared" si="3"/>
        <v>30310</v>
      </c>
    </row>
    <row r="53" spans="1:13" x14ac:dyDescent="0.25">
      <c r="A53" s="77">
        <v>43948.865277777775</v>
      </c>
      <c r="C53" s="74">
        <v>55025</v>
      </c>
      <c r="D53" s="74">
        <v>18979</v>
      </c>
      <c r="E53" s="74">
        <f t="shared" si="6"/>
        <v>74004</v>
      </c>
      <c r="F53" s="76">
        <f t="shared" si="9"/>
        <v>275</v>
      </c>
      <c r="G53" s="76">
        <f>SUMIF(F$6:F53,"&gt;0")</f>
        <v>34785</v>
      </c>
      <c r="H53" s="76">
        <f t="shared" si="10"/>
        <v>375</v>
      </c>
      <c r="I53" s="76">
        <f t="shared" si="7"/>
        <v>650</v>
      </c>
      <c r="J53" s="81">
        <f t="shared" si="8"/>
        <v>12.380952380952381</v>
      </c>
      <c r="K53" s="76">
        <f t="shared" si="3"/>
        <v>23335</v>
      </c>
      <c r="L53" s="74">
        <v>480</v>
      </c>
      <c r="M53" s="74">
        <v>10</v>
      </c>
    </row>
    <row r="54" spans="1:13" x14ac:dyDescent="0.25">
      <c r="A54" s="77">
        <v>43949.308333333334</v>
      </c>
      <c r="C54" s="74">
        <v>56850</v>
      </c>
      <c r="D54" s="74">
        <v>18829</v>
      </c>
      <c r="E54" s="74">
        <f t="shared" si="6"/>
        <v>75679</v>
      </c>
      <c r="F54" s="76">
        <f t="shared" si="9"/>
        <v>1825</v>
      </c>
      <c r="G54" s="76">
        <f>SUMIF(F$6:F54,"&gt;0")</f>
        <v>36610</v>
      </c>
      <c r="H54" s="76">
        <f t="shared" si="10"/>
        <v>-150</v>
      </c>
      <c r="I54" s="76">
        <f t="shared" si="7"/>
        <v>1675</v>
      </c>
      <c r="J54" s="81">
        <f t="shared" si="8"/>
        <v>31.904761904761905</v>
      </c>
      <c r="K54" s="76">
        <f t="shared" si="3"/>
        <v>25000</v>
      </c>
    </row>
    <row r="55" spans="1:13" x14ac:dyDescent="0.25">
      <c r="A55" s="77">
        <v>43950.438888888886</v>
      </c>
      <c r="C55" s="74">
        <v>57475</v>
      </c>
      <c r="D55" s="74">
        <v>23169</v>
      </c>
      <c r="E55" s="74">
        <f t="shared" si="6"/>
        <v>80644</v>
      </c>
      <c r="F55" s="76">
        <f t="shared" si="9"/>
        <v>625</v>
      </c>
      <c r="G55" s="76">
        <f>SUMIF(F$6:F55,"&gt;0")</f>
        <v>37235</v>
      </c>
      <c r="H55" s="76">
        <f t="shared" si="10"/>
        <v>4340</v>
      </c>
      <c r="I55" s="76">
        <f t="shared" si="7"/>
        <v>4965</v>
      </c>
      <c r="J55" s="81">
        <f t="shared" si="8"/>
        <v>94.571428571428569</v>
      </c>
      <c r="K55" s="76">
        <f t="shared" si="3"/>
        <v>24660</v>
      </c>
      <c r="L55" s="74">
        <v>4000</v>
      </c>
      <c r="M55" s="74">
        <v>80</v>
      </c>
    </row>
    <row r="56" spans="1:13" x14ac:dyDescent="0.25">
      <c r="A56" s="77">
        <v>43951.15625</v>
      </c>
      <c r="B56" s="105" t="s">
        <v>101</v>
      </c>
      <c r="C56" s="74">
        <v>38725</v>
      </c>
      <c r="D56" s="74">
        <v>28749</v>
      </c>
      <c r="E56" s="74">
        <f t="shared" si="6"/>
        <v>67474</v>
      </c>
      <c r="F56" s="76">
        <f t="shared" si="9"/>
        <v>-18750</v>
      </c>
      <c r="G56" s="76">
        <f>SUMIF(F$6:F56,"&gt;0")</f>
        <v>37235</v>
      </c>
      <c r="H56" s="76">
        <f t="shared" si="10"/>
        <v>5580</v>
      </c>
      <c r="I56" s="76">
        <f t="shared" si="7"/>
        <v>-13170</v>
      </c>
      <c r="J56" s="81">
        <f t="shared" si="8"/>
        <v>-250.85714285714286</v>
      </c>
      <c r="K56" s="76">
        <f t="shared" si="3"/>
        <v>24660</v>
      </c>
      <c r="L56" s="74">
        <v>8700</v>
      </c>
      <c r="M56" s="74">
        <v>139</v>
      </c>
    </row>
    <row r="57" spans="1:13" x14ac:dyDescent="0.25">
      <c r="A57" s="77">
        <v>43952</v>
      </c>
      <c r="B57" s="105" t="s">
        <v>102</v>
      </c>
      <c r="C57" s="74">
        <v>39600</v>
      </c>
      <c r="D57" s="74">
        <v>39209</v>
      </c>
      <c r="E57" s="74">
        <f t="shared" si="6"/>
        <v>78809</v>
      </c>
      <c r="F57" s="76">
        <f t="shared" si="9"/>
        <v>875</v>
      </c>
      <c r="G57" s="76">
        <f>SUMIF(F$6:F57,"&gt;0")</f>
        <v>38110</v>
      </c>
      <c r="H57" s="76">
        <f t="shared" si="10"/>
        <v>10460</v>
      </c>
      <c r="I57" s="76">
        <f t="shared" si="7"/>
        <v>11335</v>
      </c>
      <c r="J57" s="81">
        <f t="shared" si="8"/>
        <v>215.90476190476193</v>
      </c>
      <c r="K57" s="76">
        <f t="shared" si="3"/>
        <v>23285</v>
      </c>
      <c r="L57" s="74">
        <v>10000</v>
      </c>
      <c r="M57" s="74">
        <v>200</v>
      </c>
    </row>
    <row r="58" spans="1:13" x14ac:dyDescent="0.25">
      <c r="A58" s="77">
        <v>43954.614583333336</v>
      </c>
      <c r="C58" s="74">
        <v>41275</v>
      </c>
      <c r="D58" s="74">
        <v>43769</v>
      </c>
      <c r="E58" s="74">
        <f t="shared" si="6"/>
        <v>85044</v>
      </c>
      <c r="F58" s="76">
        <f t="shared" si="9"/>
        <v>1675</v>
      </c>
      <c r="G58" s="76">
        <f>SUMIF(F$6:F58,"&gt;0")</f>
        <v>39785</v>
      </c>
      <c r="H58" s="76">
        <f t="shared" si="10"/>
        <v>4560</v>
      </c>
      <c r="I58" s="76">
        <f t="shared" si="7"/>
        <v>6235</v>
      </c>
      <c r="J58" s="81">
        <f t="shared" si="8"/>
        <v>118.76190476190476</v>
      </c>
      <c r="K58" s="76">
        <f t="shared" si="3"/>
        <v>24735</v>
      </c>
    </row>
    <row r="59" spans="1:13" x14ac:dyDescent="0.25">
      <c r="A59" s="77">
        <v>43955.05972222222</v>
      </c>
      <c r="B59" s="105" t="s">
        <v>103</v>
      </c>
      <c r="C59" s="74">
        <v>25675</v>
      </c>
      <c r="D59" s="74">
        <v>27604</v>
      </c>
      <c r="E59" s="74">
        <f t="shared" si="6"/>
        <v>53279</v>
      </c>
      <c r="F59" s="76">
        <f t="shared" si="9"/>
        <v>-15600</v>
      </c>
      <c r="G59" s="76">
        <f>SUMIF(F$6:F59,"&gt;0")</f>
        <v>39785</v>
      </c>
      <c r="H59" s="76">
        <f t="shared" si="10"/>
        <v>-16165</v>
      </c>
      <c r="I59" s="76">
        <f t="shared" si="7"/>
        <v>-31765</v>
      </c>
      <c r="J59" s="81">
        <f t="shared" si="8"/>
        <v>-605.04761904761904</v>
      </c>
      <c r="K59" s="76">
        <f t="shared" si="3"/>
        <v>24345</v>
      </c>
      <c r="L59" s="74">
        <v>1880</v>
      </c>
      <c r="M59" s="74">
        <v>28</v>
      </c>
    </row>
    <row r="60" spans="1:13" x14ac:dyDescent="0.25">
      <c r="A60" s="77">
        <v>43958.044444444444</v>
      </c>
      <c r="C60" s="74">
        <v>28100</v>
      </c>
      <c r="D60" s="74">
        <v>26954</v>
      </c>
      <c r="E60" s="74">
        <f t="shared" si="6"/>
        <v>55054</v>
      </c>
      <c r="F60" s="76">
        <f t="shared" si="9"/>
        <v>2425</v>
      </c>
      <c r="G60" s="76">
        <f>SUMIF(F$6:F60,"&gt;0")</f>
        <v>42210</v>
      </c>
      <c r="H60" s="76">
        <f t="shared" si="10"/>
        <v>-650</v>
      </c>
      <c r="I60" s="76">
        <f t="shared" si="7"/>
        <v>1775</v>
      </c>
      <c r="J60" s="81">
        <f t="shared" si="8"/>
        <v>33.80952380952381</v>
      </c>
      <c r="K60" s="76">
        <f t="shared" si="3"/>
        <v>24805</v>
      </c>
    </row>
    <row r="61" spans="1:13" x14ac:dyDescent="0.25">
      <c r="A61" s="77">
        <v>43959.105555555558</v>
      </c>
      <c r="C61" s="74">
        <v>28650</v>
      </c>
      <c r="D61" s="74">
        <v>27054</v>
      </c>
      <c r="E61" s="74">
        <f t="shared" si="6"/>
        <v>55704</v>
      </c>
      <c r="F61" s="76">
        <f t="shared" si="9"/>
        <v>550</v>
      </c>
      <c r="G61" s="76">
        <f>SUMIF(F$6:F61,"&gt;0")</f>
        <v>42760</v>
      </c>
      <c r="H61" s="76">
        <f t="shared" si="10"/>
        <v>100</v>
      </c>
      <c r="I61" s="76">
        <f t="shared" si="7"/>
        <v>650</v>
      </c>
      <c r="J61" s="81">
        <f t="shared" si="8"/>
        <v>12.380952380952381</v>
      </c>
      <c r="K61" s="76">
        <f t="shared" si="3"/>
        <v>24980</v>
      </c>
    </row>
    <row r="62" spans="1:13" x14ac:dyDescent="0.25">
      <c r="A62" s="77">
        <v>43960.885416666664</v>
      </c>
      <c r="C62" s="74">
        <v>29410</v>
      </c>
      <c r="D62" s="74">
        <v>27444</v>
      </c>
      <c r="E62" s="74">
        <f t="shared" si="6"/>
        <v>56854</v>
      </c>
      <c r="F62" s="76">
        <f t="shared" si="9"/>
        <v>760</v>
      </c>
      <c r="G62" s="76">
        <f>SUMIF(F$6:F62,"&gt;0")</f>
        <v>43520</v>
      </c>
      <c r="H62" s="76">
        <f t="shared" si="10"/>
        <v>390</v>
      </c>
      <c r="I62" s="76">
        <f t="shared" si="7"/>
        <v>1150</v>
      </c>
      <c r="J62" s="81">
        <f t="shared" si="8"/>
        <v>21.904761904761905</v>
      </c>
      <c r="K62" s="76">
        <f t="shared" si="3"/>
        <v>22190</v>
      </c>
    </row>
    <row r="63" spans="1:13" x14ac:dyDescent="0.25">
      <c r="A63" s="77">
        <v>43962.688888888886</v>
      </c>
      <c r="C63" s="74">
        <v>31560</v>
      </c>
      <c r="D63" s="74">
        <v>27959</v>
      </c>
      <c r="E63" s="74">
        <f t="shared" si="6"/>
        <v>59519</v>
      </c>
      <c r="F63" s="76">
        <f t="shared" si="9"/>
        <v>2150</v>
      </c>
      <c r="G63" s="76">
        <f>SUMIF(F$6:F63,"&gt;0")</f>
        <v>45670</v>
      </c>
      <c r="H63" s="76">
        <f t="shared" si="10"/>
        <v>515</v>
      </c>
      <c r="I63" s="76">
        <f t="shared" si="7"/>
        <v>2665</v>
      </c>
      <c r="J63" s="81">
        <f t="shared" si="8"/>
        <v>50.761904761904759</v>
      </c>
      <c r="K63" s="76">
        <f t="shared" si="3"/>
        <v>23515</v>
      </c>
      <c r="L63" s="74">
        <v>480</v>
      </c>
      <c r="M63" s="74">
        <v>10</v>
      </c>
    </row>
    <row r="64" spans="1:13" x14ac:dyDescent="0.25">
      <c r="A64" s="77">
        <v>43963.163194444445</v>
      </c>
      <c r="B64" s="105" t="s">
        <v>109</v>
      </c>
      <c r="C64" s="74">
        <v>410</v>
      </c>
      <c r="D64" s="74">
        <v>12929</v>
      </c>
      <c r="E64" s="74">
        <f t="shared" si="6"/>
        <v>13339</v>
      </c>
      <c r="F64" s="76">
        <f t="shared" si="9"/>
        <v>-31150</v>
      </c>
      <c r="G64" s="76">
        <f>SUMIF(F$6:F64,"&gt;0")</f>
        <v>45670</v>
      </c>
      <c r="H64" s="76">
        <f t="shared" si="10"/>
        <v>-15030</v>
      </c>
      <c r="I64" s="76">
        <f t="shared" si="7"/>
        <v>-46180</v>
      </c>
      <c r="J64" s="81">
        <f t="shared" si="8"/>
        <v>-879.61904761904759</v>
      </c>
      <c r="K64" s="76">
        <f t="shared" si="3"/>
        <v>23515</v>
      </c>
      <c r="L64" s="74">
        <v>21000</v>
      </c>
      <c r="M64" s="74">
        <v>400</v>
      </c>
    </row>
    <row r="65" spans="1:13" x14ac:dyDescent="0.25">
      <c r="A65" s="77">
        <v>43964.32916666667</v>
      </c>
      <c r="C65" s="74">
        <v>2090</v>
      </c>
      <c r="D65" s="74">
        <v>12999</v>
      </c>
      <c r="E65" s="74">
        <f t="shared" si="6"/>
        <v>15089</v>
      </c>
      <c r="F65" s="76">
        <f t="shared" ref="F65:F73" si="11">C65-C64</f>
        <v>1680</v>
      </c>
      <c r="G65" s="76">
        <f>SUMIF(F$6:F65,"&gt;0")</f>
        <v>47350</v>
      </c>
      <c r="H65" s="76">
        <f t="shared" ref="H65:H73" si="12">D65-D64</f>
        <v>70</v>
      </c>
      <c r="I65" s="76">
        <f t="shared" si="7"/>
        <v>1750</v>
      </c>
      <c r="J65" s="81">
        <f t="shared" ref="J65:J73" si="13">I65/4200*80</f>
        <v>33.333333333333336</v>
      </c>
      <c r="K65" s="76">
        <f t="shared" si="3"/>
        <v>25195</v>
      </c>
    </row>
    <row r="66" spans="1:13" x14ac:dyDescent="0.25">
      <c r="A66" s="77">
        <v>43965.566666666666</v>
      </c>
      <c r="C66" s="74">
        <v>2265</v>
      </c>
      <c r="D66" s="74">
        <v>13049</v>
      </c>
      <c r="E66" s="74">
        <f t="shared" si="6"/>
        <v>15314</v>
      </c>
      <c r="F66" s="76">
        <f t="shared" si="11"/>
        <v>175</v>
      </c>
      <c r="G66" s="76">
        <f>SUMIF(F$6:F66,"&gt;0")</f>
        <v>47525</v>
      </c>
      <c r="H66" s="76">
        <f t="shared" si="12"/>
        <v>50</v>
      </c>
      <c r="I66" s="76">
        <f t="shared" si="7"/>
        <v>225</v>
      </c>
      <c r="J66" s="81">
        <f t="shared" si="13"/>
        <v>4.2857142857142856</v>
      </c>
      <c r="K66" s="76">
        <f t="shared" si="3"/>
        <v>25370</v>
      </c>
    </row>
    <row r="67" spans="1:13" x14ac:dyDescent="0.25">
      <c r="A67" s="77">
        <v>43967.663194444445</v>
      </c>
      <c r="C67" s="74">
        <v>3090</v>
      </c>
      <c r="D67" s="74">
        <v>13179</v>
      </c>
      <c r="E67" s="74">
        <f t="shared" si="6"/>
        <v>16269</v>
      </c>
      <c r="F67" s="76">
        <f t="shared" si="11"/>
        <v>825</v>
      </c>
      <c r="G67" s="76">
        <f>SUMIF(F$6:F67,"&gt;0")</f>
        <v>48350</v>
      </c>
      <c r="H67" s="76">
        <f t="shared" si="12"/>
        <v>130</v>
      </c>
      <c r="I67" s="76">
        <f t="shared" si="7"/>
        <v>955</v>
      </c>
      <c r="J67" s="81">
        <f t="shared" si="13"/>
        <v>18.19047619047619</v>
      </c>
      <c r="K67" s="76">
        <f t="shared" si="3"/>
        <v>23140</v>
      </c>
    </row>
    <row r="68" spans="1:13" x14ac:dyDescent="0.25">
      <c r="A68" s="77">
        <v>43968.384722222225</v>
      </c>
      <c r="C68" s="74">
        <v>3165</v>
      </c>
      <c r="D68" s="74">
        <v>13229</v>
      </c>
      <c r="E68" s="74">
        <f t="shared" si="6"/>
        <v>16394</v>
      </c>
      <c r="F68" s="76">
        <f t="shared" si="11"/>
        <v>75</v>
      </c>
      <c r="G68" s="76">
        <f>SUMIF(F$6:F68,"&gt;0")</f>
        <v>48425</v>
      </c>
      <c r="H68" s="76">
        <f t="shared" si="12"/>
        <v>50</v>
      </c>
      <c r="I68" s="76">
        <f t="shared" si="7"/>
        <v>125</v>
      </c>
      <c r="J68" s="81">
        <f t="shared" si="13"/>
        <v>2.3809523809523809</v>
      </c>
      <c r="K68" s="76">
        <f t="shared" si="3"/>
        <v>23065</v>
      </c>
    </row>
    <row r="69" spans="1:13" x14ac:dyDescent="0.25">
      <c r="A69" s="77">
        <v>43972.179861111108</v>
      </c>
      <c r="B69" s="105" t="s">
        <v>110</v>
      </c>
      <c r="C69" s="74">
        <v>4565</v>
      </c>
      <c r="D69" s="74">
        <v>12724</v>
      </c>
      <c r="E69" s="74">
        <f t="shared" si="6"/>
        <v>17289</v>
      </c>
      <c r="F69" s="76">
        <f t="shared" si="11"/>
        <v>1400</v>
      </c>
      <c r="G69" s="76">
        <f>SUMIF(F$6:F69,"&gt;0")</f>
        <v>49825</v>
      </c>
      <c r="H69" s="76">
        <f t="shared" si="12"/>
        <v>-505</v>
      </c>
      <c r="I69" s="76">
        <f t="shared" si="7"/>
        <v>895</v>
      </c>
      <c r="J69" s="81">
        <f t="shared" si="13"/>
        <v>17.047619047619047</v>
      </c>
      <c r="K69" s="76">
        <f t="shared" si="3"/>
        <v>17440</v>
      </c>
      <c r="L69" s="74">
        <v>480</v>
      </c>
      <c r="M69" s="74">
        <v>10</v>
      </c>
    </row>
    <row r="70" spans="1:13" x14ac:dyDescent="0.25">
      <c r="A70" s="77">
        <v>43973.69027777778</v>
      </c>
      <c r="C70" s="74">
        <v>8705</v>
      </c>
      <c r="D70" s="74">
        <v>13324</v>
      </c>
      <c r="E70" s="74">
        <f t="shared" si="6"/>
        <v>22029</v>
      </c>
      <c r="F70" s="76">
        <f t="shared" si="11"/>
        <v>4140</v>
      </c>
      <c r="G70" s="76">
        <f>SUMIF(F$6:F70,"&gt;0")</f>
        <v>53965</v>
      </c>
      <c r="H70" s="76">
        <f t="shared" si="12"/>
        <v>600</v>
      </c>
      <c r="I70" s="76">
        <f t="shared" ref="I70:I88" si="14">SUM(F70,H70)</f>
        <v>4740</v>
      </c>
      <c r="J70" s="81">
        <f t="shared" si="13"/>
        <v>90.285714285714278</v>
      </c>
      <c r="K70" s="76">
        <f t="shared" ref="K70:K133" si="15">_xlfn.SINGLE(IFERROR(G70 - _xlfn.XLOOKUP(A70-30, $A$6:$A$14998,G$6:G$14998,"",-1,2),NA()))</f>
        <v>19805</v>
      </c>
    </row>
    <row r="71" spans="1:13" x14ac:dyDescent="0.25">
      <c r="A71" s="77">
        <v>43975.210416666669</v>
      </c>
      <c r="C71" s="74">
        <v>8830</v>
      </c>
      <c r="D71" s="74">
        <v>13364</v>
      </c>
      <c r="E71" s="74">
        <f t="shared" si="6"/>
        <v>22194</v>
      </c>
      <c r="F71" s="76">
        <f t="shared" si="11"/>
        <v>125</v>
      </c>
      <c r="G71" s="76">
        <f>SUMIF(F$6:F71,"&gt;0")</f>
        <v>54090</v>
      </c>
      <c r="H71" s="76">
        <f t="shared" si="12"/>
        <v>40</v>
      </c>
      <c r="I71" s="76">
        <f t="shared" si="14"/>
        <v>165</v>
      </c>
      <c r="J71" s="81">
        <f t="shared" si="13"/>
        <v>3.1428571428571428</v>
      </c>
      <c r="K71" s="76">
        <f t="shared" si="15"/>
        <v>19755</v>
      </c>
    </row>
    <row r="72" spans="1:13" x14ac:dyDescent="0.25">
      <c r="A72" s="77">
        <v>43976.195833333331</v>
      </c>
      <c r="B72" s="105" t="s">
        <v>111</v>
      </c>
      <c r="C72" s="74">
        <v>8980</v>
      </c>
      <c r="D72" s="74">
        <v>3109</v>
      </c>
      <c r="E72" s="74">
        <f t="shared" si="6"/>
        <v>12089</v>
      </c>
      <c r="F72" s="76">
        <f t="shared" si="11"/>
        <v>150</v>
      </c>
      <c r="G72" s="76">
        <f>SUMIF(F$6:F72,"&gt;0")</f>
        <v>54240</v>
      </c>
      <c r="H72" s="76">
        <f t="shared" si="12"/>
        <v>-10255</v>
      </c>
      <c r="I72" s="76">
        <f t="shared" si="14"/>
        <v>-10105</v>
      </c>
      <c r="J72" s="81">
        <f t="shared" si="13"/>
        <v>-192.47619047619048</v>
      </c>
      <c r="K72" s="76">
        <f t="shared" si="15"/>
        <v>19905</v>
      </c>
      <c r="L72" s="74">
        <v>4680</v>
      </c>
      <c r="M72" s="74">
        <v>88</v>
      </c>
    </row>
    <row r="73" spans="1:13" x14ac:dyDescent="0.25">
      <c r="A73" s="77">
        <v>43978.722222222219</v>
      </c>
      <c r="C73" s="74">
        <v>10180</v>
      </c>
      <c r="D73" s="74">
        <v>3069</v>
      </c>
      <c r="E73" s="74">
        <f t="shared" si="6"/>
        <v>13249</v>
      </c>
      <c r="F73" s="76">
        <f t="shared" si="11"/>
        <v>1200</v>
      </c>
      <c r="G73" s="76">
        <f>SUMIF(F$6:F73,"&gt;0")</f>
        <v>55440</v>
      </c>
      <c r="H73" s="76">
        <f t="shared" si="12"/>
        <v>-40</v>
      </c>
      <c r="I73" s="76">
        <f t="shared" si="14"/>
        <v>1160</v>
      </c>
      <c r="J73" s="81">
        <f t="shared" si="13"/>
        <v>22.095238095238095</v>
      </c>
      <c r="K73" s="76">
        <f t="shared" si="15"/>
        <v>20930</v>
      </c>
    </row>
    <row r="74" spans="1:13" x14ac:dyDescent="0.25">
      <c r="A74" s="77">
        <v>43981.043055555558</v>
      </c>
      <c r="C74" s="74">
        <v>16520</v>
      </c>
      <c r="D74" s="74">
        <v>3659</v>
      </c>
      <c r="E74" s="74">
        <f t="shared" si="6"/>
        <v>20179</v>
      </c>
      <c r="F74" s="76">
        <f t="shared" ref="F74:F105" si="16">C74-C73</f>
        <v>6340</v>
      </c>
      <c r="G74" s="76">
        <f>SUMIF(F$6:F74,"&gt;0")</f>
        <v>61780</v>
      </c>
      <c r="H74" s="76">
        <f t="shared" ref="H74:H105" si="17">D74-D73</f>
        <v>590</v>
      </c>
      <c r="I74" s="76">
        <f t="shared" si="14"/>
        <v>6930</v>
      </c>
      <c r="J74" s="81">
        <f t="shared" ref="J74:J105" si="18">I74/4200*80</f>
        <v>132</v>
      </c>
      <c r="K74" s="76">
        <f t="shared" si="15"/>
        <v>24545</v>
      </c>
      <c r="L74" s="74">
        <v>480</v>
      </c>
      <c r="M74" s="74">
        <v>10</v>
      </c>
    </row>
    <row r="75" spans="1:13" x14ac:dyDescent="0.25">
      <c r="A75" s="77">
        <v>43982.99722222222</v>
      </c>
      <c r="C75" s="74">
        <v>17070</v>
      </c>
      <c r="D75" s="74">
        <v>3229</v>
      </c>
      <c r="E75" s="74">
        <f t="shared" si="6"/>
        <v>20299</v>
      </c>
      <c r="F75" s="76">
        <f t="shared" si="16"/>
        <v>550</v>
      </c>
      <c r="G75" s="76">
        <f>SUMIF(F$6:F75,"&gt;0")</f>
        <v>62330</v>
      </c>
      <c r="H75" s="76">
        <f t="shared" si="17"/>
        <v>-430</v>
      </c>
      <c r="I75" s="76">
        <f t="shared" si="14"/>
        <v>120</v>
      </c>
      <c r="J75" s="81">
        <f t="shared" si="18"/>
        <v>2.2857142857142856</v>
      </c>
      <c r="K75" s="76">
        <f t="shared" si="15"/>
        <v>24220</v>
      </c>
    </row>
    <row r="76" spans="1:13" x14ac:dyDescent="0.25">
      <c r="A76" s="77">
        <v>43984.083333333336</v>
      </c>
      <c r="B76" s="105" t="s">
        <v>126</v>
      </c>
      <c r="C76" s="74">
        <v>4280</v>
      </c>
      <c r="D76" s="74">
        <v>3124</v>
      </c>
      <c r="E76" s="74">
        <f t="shared" si="6"/>
        <v>7404</v>
      </c>
      <c r="F76" s="76">
        <f t="shared" si="16"/>
        <v>-12790</v>
      </c>
      <c r="G76" s="76">
        <f>SUMIF(F$6:F76,"&gt;0")</f>
        <v>62330</v>
      </c>
      <c r="H76" s="76">
        <f t="shared" si="17"/>
        <v>-105</v>
      </c>
      <c r="I76" s="76">
        <f t="shared" si="14"/>
        <v>-12895</v>
      </c>
      <c r="J76" s="81">
        <f t="shared" si="18"/>
        <v>-245.61904761904765</v>
      </c>
      <c r="K76" s="76">
        <f t="shared" si="15"/>
        <v>24220</v>
      </c>
    </row>
    <row r="77" spans="1:13" x14ac:dyDescent="0.25">
      <c r="A77" s="77">
        <v>43986.056250000001</v>
      </c>
      <c r="C77" s="74">
        <v>4905</v>
      </c>
      <c r="D77" s="74">
        <v>3164</v>
      </c>
      <c r="E77" s="74">
        <f t="shared" si="6"/>
        <v>8069</v>
      </c>
      <c r="F77" s="76">
        <f t="shared" si="16"/>
        <v>625</v>
      </c>
      <c r="G77" s="76">
        <f>SUMIF(F$6:F77,"&gt;0")</f>
        <v>62955</v>
      </c>
      <c r="H77" s="76">
        <f t="shared" si="17"/>
        <v>40</v>
      </c>
      <c r="I77" s="76">
        <f t="shared" si="14"/>
        <v>665</v>
      </c>
      <c r="J77" s="81">
        <f t="shared" si="18"/>
        <v>12.666666666666666</v>
      </c>
      <c r="K77" s="76">
        <f t="shared" si="15"/>
        <v>23170</v>
      </c>
    </row>
    <row r="78" spans="1:13" x14ac:dyDescent="0.25">
      <c r="A78" s="77">
        <v>43987.148611111108</v>
      </c>
      <c r="C78" s="74">
        <v>5155</v>
      </c>
      <c r="D78" s="74">
        <v>3184</v>
      </c>
      <c r="E78" s="74">
        <f>SUM(C78:D78)</f>
        <v>8339</v>
      </c>
      <c r="F78" s="76">
        <f t="shared" si="16"/>
        <v>250</v>
      </c>
      <c r="G78" s="76">
        <f>SUMIF(F$6:F78,"&gt;0")</f>
        <v>63205</v>
      </c>
      <c r="H78" s="76">
        <f t="shared" si="17"/>
        <v>20</v>
      </c>
      <c r="I78" s="76">
        <f t="shared" si="14"/>
        <v>270</v>
      </c>
      <c r="J78" s="81">
        <f t="shared" si="18"/>
        <v>5.1428571428571423</v>
      </c>
      <c r="K78" s="76">
        <f t="shared" si="15"/>
        <v>23420</v>
      </c>
    </row>
    <row r="79" spans="1:13" x14ac:dyDescent="0.25">
      <c r="A79" s="77">
        <v>43988.245138888888</v>
      </c>
      <c r="C79" s="74">
        <v>5280</v>
      </c>
      <c r="D79" s="74">
        <v>3204</v>
      </c>
      <c r="E79" s="74">
        <f>SUM(C79:D79)</f>
        <v>8484</v>
      </c>
      <c r="F79" s="76">
        <f t="shared" si="16"/>
        <v>125</v>
      </c>
      <c r="G79" s="76">
        <f>SUMIF(F$6:F79,"&gt;0")</f>
        <v>63330</v>
      </c>
      <c r="H79" s="76">
        <f t="shared" si="17"/>
        <v>20</v>
      </c>
      <c r="I79" s="76">
        <f t="shared" si="14"/>
        <v>145</v>
      </c>
      <c r="J79" s="81">
        <f t="shared" si="18"/>
        <v>2.7619047619047619</v>
      </c>
      <c r="K79" s="76">
        <f t="shared" si="15"/>
        <v>21120</v>
      </c>
    </row>
    <row r="80" spans="1:13" x14ac:dyDescent="0.25">
      <c r="A80" s="77">
        <v>43989.779166666667</v>
      </c>
      <c r="B80" s="105" t="s">
        <v>127</v>
      </c>
      <c r="C80" s="74">
        <v>5455</v>
      </c>
      <c r="D80" s="74">
        <v>2124</v>
      </c>
      <c r="E80" s="74">
        <f t="shared" ref="E80:E94" si="19">SUM(C80:D80)</f>
        <v>7579</v>
      </c>
      <c r="F80" s="76">
        <f t="shared" si="16"/>
        <v>175</v>
      </c>
      <c r="G80" s="76">
        <f>SUMIF(F$6:F80,"&gt;0")</f>
        <v>63505</v>
      </c>
      <c r="H80" s="76">
        <f t="shared" si="17"/>
        <v>-1080</v>
      </c>
      <c r="I80" s="76">
        <f t="shared" si="14"/>
        <v>-905</v>
      </c>
      <c r="J80" s="81">
        <f t="shared" si="18"/>
        <v>-17.238095238095241</v>
      </c>
      <c r="K80" s="76">
        <f t="shared" si="15"/>
        <v>20745</v>
      </c>
      <c r="L80" s="74">
        <v>14400</v>
      </c>
      <c r="M80" s="74">
        <v>280</v>
      </c>
    </row>
    <row r="81" spans="1:13" x14ac:dyDescent="0.25">
      <c r="A81" s="77">
        <v>43990.398611111108</v>
      </c>
      <c r="B81" s="105" t="s">
        <v>128</v>
      </c>
      <c r="C81" s="74">
        <v>5805</v>
      </c>
      <c r="D81" s="74">
        <v>2674</v>
      </c>
      <c r="E81" s="74">
        <f t="shared" si="19"/>
        <v>8479</v>
      </c>
      <c r="F81" s="76">
        <f t="shared" si="16"/>
        <v>350</v>
      </c>
      <c r="G81" s="76">
        <f>SUMIF(F$6:F81,"&gt;0")</f>
        <v>63855</v>
      </c>
      <c r="H81" s="76">
        <f t="shared" si="17"/>
        <v>550</v>
      </c>
      <c r="I81" s="76">
        <f t="shared" si="14"/>
        <v>900</v>
      </c>
      <c r="J81" s="81">
        <f t="shared" si="18"/>
        <v>17.142857142857142</v>
      </c>
      <c r="K81" s="76">
        <f t="shared" si="15"/>
        <v>21095</v>
      </c>
    </row>
    <row r="82" spans="1:13" x14ac:dyDescent="0.25">
      <c r="A82" s="77">
        <v>43991.67291666667</v>
      </c>
      <c r="C82" s="74">
        <v>6255</v>
      </c>
      <c r="D82" s="74">
        <v>2694</v>
      </c>
      <c r="E82" s="74">
        <f t="shared" si="19"/>
        <v>8949</v>
      </c>
      <c r="F82" s="76">
        <f t="shared" si="16"/>
        <v>450</v>
      </c>
      <c r="G82" s="76">
        <f>SUMIF(F$6:F82,"&gt;0")</f>
        <v>64305</v>
      </c>
      <c r="H82" s="76">
        <f t="shared" si="17"/>
        <v>20</v>
      </c>
      <c r="I82" s="76">
        <f t="shared" si="14"/>
        <v>470</v>
      </c>
      <c r="J82" s="81">
        <f t="shared" si="18"/>
        <v>8.9523809523809526</v>
      </c>
      <c r="K82" s="76">
        <f t="shared" si="15"/>
        <v>20785</v>
      </c>
    </row>
    <row r="83" spans="1:13" x14ac:dyDescent="0.25">
      <c r="A83" s="77">
        <v>43992.845138888886</v>
      </c>
      <c r="B83" s="106"/>
      <c r="C83" s="74">
        <v>6505</v>
      </c>
      <c r="D83" s="74">
        <v>2564</v>
      </c>
      <c r="E83" s="74">
        <f t="shared" si="19"/>
        <v>9069</v>
      </c>
      <c r="F83" s="76">
        <f t="shared" si="16"/>
        <v>250</v>
      </c>
      <c r="G83" s="76">
        <f>SUMIF(F$6:F83,"&gt;0")</f>
        <v>64555</v>
      </c>
      <c r="H83" s="76">
        <f t="shared" si="17"/>
        <v>-130</v>
      </c>
      <c r="I83" s="76">
        <f t="shared" si="14"/>
        <v>120</v>
      </c>
      <c r="J83" s="81">
        <f t="shared" si="18"/>
        <v>2.2857142857142856</v>
      </c>
      <c r="K83" s="76">
        <f t="shared" si="15"/>
        <v>18885</v>
      </c>
    </row>
    <row r="84" spans="1:13" x14ac:dyDescent="0.25">
      <c r="A84" s="77">
        <v>43994.252083333333</v>
      </c>
      <c r="C84" s="74">
        <v>7615</v>
      </c>
      <c r="D84" s="74">
        <v>2604</v>
      </c>
      <c r="E84" s="74">
        <f t="shared" si="19"/>
        <v>10219</v>
      </c>
      <c r="F84" s="76">
        <f t="shared" si="16"/>
        <v>1110</v>
      </c>
      <c r="G84" s="76">
        <f>SUMIF(F$6:F84,"&gt;0")</f>
        <v>65665</v>
      </c>
      <c r="H84" s="76">
        <f t="shared" si="17"/>
        <v>40</v>
      </c>
      <c r="I84" s="76">
        <f t="shared" si="14"/>
        <v>1150</v>
      </c>
      <c r="J84" s="81">
        <f t="shared" si="18"/>
        <v>21.904761904761905</v>
      </c>
      <c r="K84" s="76">
        <f t="shared" si="15"/>
        <v>19995</v>
      </c>
    </row>
    <row r="85" spans="1:13" x14ac:dyDescent="0.25">
      <c r="A85" s="77">
        <v>43995.438888888886</v>
      </c>
      <c r="C85" s="74">
        <v>7840</v>
      </c>
      <c r="D85" s="74">
        <v>3149</v>
      </c>
      <c r="E85" s="74">
        <f t="shared" si="19"/>
        <v>10989</v>
      </c>
      <c r="F85" s="76">
        <f t="shared" si="16"/>
        <v>225</v>
      </c>
      <c r="G85" s="76">
        <f>SUMIF(F$6:F85,"&gt;0")</f>
        <v>65890</v>
      </c>
      <c r="H85" s="76">
        <f t="shared" si="17"/>
        <v>545</v>
      </c>
      <c r="I85" s="76">
        <f t="shared" si="14"/>
        <v>770</v>
      </c>
      <c r="J85" s="81">
        <f t="shared" si="18"/>
        <v>14.666666666666666</v>
      </c>
      <c r="K85" s="76">
        <f t="shared" si="15"/>
        <v>18540</v>
      </c>
      <c r="L85" s="74">
        <v>480</v>
      </c>
      <c r="M85" s="74">
        <v>10</v>
      </c>
    </row>
    <row r="86" spans="1:13" x14ac:dyDescent="0.25">
      <c r="A86" s="77">
        <v>43996.808333333334</v>
      </c>
      <c r="C86" s="74">
        <v>7900</v>
      </c>
      <c r="D86" s="74">
        <v>3199</v>
      </c>
      <c r="E86" s="74">
        <f t="shared" si="19"/>
        <v>11099</v>
      </c>
      <c r="F86" s="76">
        <f t="shared" si="16"/>
        <v>60</v>
      </c>
      <c r="G86" s="76">
        <f>SUMIF(F$6:F86,"&gt;0")</f>
        <v>65950</v>
      </c>
      <c r="H86" s="76">
        <f t="shared" si="17"/>
        <v>50</v>
      </c>
      <c r="I86" s="76">
        <f t="shared" si="14"/>
        <v>110</v>
      </c>
      <c r="J86" s="81">
        <f t="shared" si="18"/>
        <v>2.0952380952380953</v>
      </c>
      <c r="K86" s="76">
        <f t="shared" si="15"/>
        <v>18425</v>
      </c>
    </row>
    <row r="87" spans="1:13" x14ac:dyDescent="0.25">
      <c r="A87" s="77">
        <v>43998.213888888888</v>
      </c>
      <c r="C87" s="74">
        <v>8335</v>
      </c>
      <c r="D87" s="74">
        <v>3239</v>
      </c>
      <c r="E87" s="74">
        <f t="shared" si="19"/>
        <v>11574</v>
      </c>
      <c r="F87" s="76">
        <f t="shared" si="16"/>
        <v>435</v>
      </c>
      <c r="G87" s="76">
        <f>SUMIF(F$6:F87,"&gt;0")</f>
        <v>66385</v>
      </c>
      <c r="H87" s="76">
        <f t="shared" si="17"/>
        <v>40</v>
      </c>
      <c r="I87" s="76">
        <f t="shared" si="14"/>
        <v>475</v>
      </c>
      <c r="J87" s="81">
        <f t="shared" si="18"/>
        <v>9.0476190476190474</v>
      </c>
      <c r="K87" s="76">
        <f t="shared" si="15"/>
        <v>18035</v>
      </c>
    </row>
    <row r="88" spans="1:13" x14ac:dyDescent="0.25">
      <c r="A88" s="77">
        <v>43999.474999999999</v>
      </c>
      <c r="C88" s="74">
        <v>8455</v>
      </c>
      <c r="D88" s="74">
        <v>3259</v>
      </c>
      <c r="E88" s="74">
        <f t="shared" si="19"/>
        <v>11714</v>
      </c>
      <c r="F88" s="76">
        <f t="shared" si="16"/>
        <v>120</v>
      </c>
      <c r="G88" s="76">
        <f>SUMIF(F$6:F88,"&gt;0")</f>
        <v>66505</v>
      </c>
      <c r="H88" s="76">
        <f t="shared" si="17"/>
        <v>20</v>
      </c>
      <c r="I88" s="76">
        <f t="shared" si="14"/>
        <v>140</v>
      </c>
      <c r="J88" s="81">
        <f t="shared" si="18"/>
        <v>2.6666666666666665</v>
      </c>
      <c r="K88" s="76">
        <f t="shared" si="15"/>
        <v>18080</v>
      </c>
    </row>
    <row r="89" spans="1:13" x14ac:dyDescent="0.25">
      <c r="A89" s="77">
        <v>44000.15</v>
      </c>
      <c r="C89" s="74">
        <v>8815</v>
      </c>
      <c r="D89" s="74">
        <v>3279</v>
      </c>
      <c r="E89" s="74">
        <f t="shared" si="19"/>
        <v>12094</v>
      </c>
      <c r="F89" s="76">
        <f t="shared" si="16"/>
        <v>360</v>
      </c>
      <c r="G89" s="76">
        <f>SUMIF(F$6:F89,"&gt;0")</f>
        <v>66865</v>
      </c>
      <c r="H89" s="76">
        <f t="shared" si="17"/>
        <v>20</v>
      </c>
      <c r="I89" s="76">
        <f t="shared" ref="I89:I120" si="20">SUM(F89,H89)</f>
        <v>380</v>
      </c>
      <c r="J89" s="81">
        <f t="shared" si="18"/>
        <v>7.2380952380952381</v>
      </c>
      <c r="K89" s="76">
        <f t="shared" si="15"/>
        <v>18440</v>
      </c>
    </row>
    <row r="90" spans="1:13" x14ac:dyDescent="0.25">
      <c r="A90" s="77">
        <v>44001.390972222223</v>
      </c>
      <c r="C90" s="74">
        <v>10865</v>
      </c>
      <c r="D90" s="74">
        <v>3269</v>
      </c>
      <c r="E90" s="74">
        <f t="shared" si="19"/>
        <v>14134</v>
      </c>
      <c r="F90" s="76">
        <f t="shared" si="16"/>
        <v>2050</v>
      </c>
      <c r="G90" s="76">
        <f>SUMIF(F$6:F90,"&gt;0")</f>
        <v>68915</v>
      </c>
      <c r="H90" s="76">
        <f t="shared" si="17"/>
        <v>-10</v>
      </c>
      <c r="I90" s="76">
        <f t="shared" si="20"/>
        <v>2040</v>
      </c>
      <c r="J90" s="81">
        <f t="shared" si="18"/>
        <v>38.857142857142854</v>
      </c>
      <c r="K90" s="76">
        <f t="shared" si="15"/>
        <v>20490</v>
      </c>
    </row>
    <row r="91" spans="1:13" x14ac:dyDescent="0.25">
      <c r="A91" s="77">
        <v>44001.631249999999</v>
      </c>
      <c r="C91" s="74">
        <v>11265</v>
      </c>
      <c r="D91" s="74">
        <v>129694</v>
      </c>
      <c r="E91" s="74">
        <f t="shared" si="19"/>
        <v>140959</v>
      </c>
      <c r="F91" s="76">
        <f t="shared" si="16"/>
        <v>400</v>
      </c>
      <c r="G91" s="76">
        <f>SUMIF(F$6:F91,"&gt;0")</f>
        <v>69315</v>
      </c>
      <c r="H91" s="76">
        <f t="shared" si="17"/>
        <v>126425</v>
      </c>
      <c r="I91" s="76">
        <f t="shared" si="20"/>
        <v>126825</v>
      </c>
      <c r="J91" s="81">
        <f t="shared" si="18"/>
        <v>2415.7142857142858</v>
      </c>
      <c r="K91" s="76">
        <f t="shared" si="15"/>
        <v>20890</v>
      </c>
      <c r="L91" s="74">
        <v>126325</v>
      </c>
      <c r="M91" s="74">
        <v>2407</v>
      </c>
    </row>
    <row r="92" spans="1:13" x14ac:dyDescent="0.25">
      <c r="A92" s="77">
        <v>44002.870833333334</v>
      </c>
      <c r="B92" s="105" t="s">
        <v>131</v>
      </c>
      <c r="C92" s="74">
        <v>515</v>
      </c>
      <c r="D92" s="74">
        <v>124314</v>
      </c>
      <c r="E92" s="74">
        <f t="shared" si="19"/>
        <v>124829</v>
      </c>
      <c r="F92" s="76">
        <f t="shared" si="16"/>
        <v>-10750</v>
      </c>
      <c r="G92" s="76">
        <f>SUMIF(F$6:F92,"&gt;0")</f>
        <v>69315</v>
      </c>
      <c r="H92" s="76">
        <f t="shared" si="17"/>
        <v>-5380</v>
      </c>
      <c r="I92" s="76">
        <f t="shared" si="20"/>
        <v>-16130</v>
      </c>
      <c r="J92" s="81">
        <f t="shared" si="18"/>
        <v>-307.23809523809524</v>
      </c>
      <c r="K92" s="76">
        <f t="shared" si="15"/>
        <v>19490</v>
      </c>
    </row>
    <row r="93" spans="1:13" x14ac:dyDescent="0.25">
      <c r="A93" s="77">
        <v>44004.211111111108</v>
      </c>
      <c r="C93" s="74">
        <v>5360</v>
      </c>
      <c r="D93" s="74">
        <v>124819</v>
      </c>
      <c r="E93" s="74">
        <f t="shared" si="19"/>
        <v>130179</v>
      </c>
      <c r="F93" s="76">
        <f t="shared" si="16"/>
        <v>4845</v>
      </c>
      <c r="G93" s="76">
        <f>SUMIF(F$6:F93,"&gt;0")</f>
        <v>74160</v>
      </c>
      <c r="H93" s="76">
        <f t="shared" si="17"/>
        <v>505</v>
      </c>
      <c r="I93" s="76">
        <f t="shared" si="20"/>
        <v>5350</v>
      </c>
      <c r="J93" s="81">
        <f t="shared" si="18"/>
        <v>101.9047619047619</v>
      </c>
      <c r="K93" s="76">
        <f t="shared" si="15"/>
        <v>20195</v>
      </c>
      <c r="L93" s="74">
        <v>480</v>
      </c>
      <c r="M93" s="74">
        <v>10</v>
      </c>
    </row>
    <row r="94" spans="1:13" x14ac:dyDescent="0.25">
      <c r="A94" s="77">
        <v>44005.135416666664</v>
      </c>
      <c r="C94" s="74">
        <v>5885</v>
      </c>
      <c r="D94" s="74">
        <v>124839</v>
      </c>
      <c r="E94" s="74">
        <f t="shared" si="19"/>
        <v>130724</v>
      </c>
      <c r="F94" s="76">
        <f t="shared" si="16"/>
        <v>525</v>
      </c>
      <c r="G94" s="76">
        <f>SUMIF(F$6:F94,"&gt;0")</f>
        <v>74685</v>
      </c>
      <c r="H94" s="76">
        <f t="shared" si="17"/>
        <v>20</v>
      </c>
      <c r="I94" s="76">
        <f t="shared" si="20"/>
        <v>545</v>
      </c>
      <c r="J94" s="81">
        <f t="shared" si="18"/>
        <v>10.380952380952381</v>
      </c>
      <c r="K94" s="76">
        <f t="shared" si="15"/>
        <v>20720</v>
      </c>
    </row>
    <row r="95" spans="1:13" x14ac:dyDescent="0.25">
      <c r="A95" s="77">
        <v>44006.804861111108</v>
      </c>
      <c r="C95" s="74">
        <v>6485</v>
      </c>
      <c r="D95" s="74">
        <v>124889</v>
      </c>
      <c r="E95" s="74">
        <f t="shared" ref="E95:E101" si="21">SUM(C95:D95)</f>
        <v>131374</v>
      </c>
      <c r="F95" s="76">
        <f t="shared" si="16"/>
        <v>600</v>
      </c>
      <c r="G95" s="76">
        <f>SUMIF(F$6:F95,"&gt;0")</f>
        <v>75285</v>
      </c>
      <c r="H95" s="76">
        <f t="shared" si="17"/>
        <v>50</v>
      </c>
      <c r="I95" s="76">
        <f t="shared" si="20"/>
        <v>650</v>
      </c>
      <c r="J95" s="81">
        <f t="shared" si="18"/>
        <v>12.380952380952381</v>
      </c>
      <c r="K95" s="76">
        <f t="shared" si="15"/>
        <v>21045</v>
      </c>
    </row>
    <row r="96" spans="1:13" x14ac:dyDescent="0.25">
      <c r="A96" s="77">
        <v>44007.118055555555</v>
      </c>
      <c r="B96" s="105" t="s">
        <v>133</v>
      </c>
      <c r="C96" s="74">
        <v>6610</v>
      </c>
      <c r="D96" s="74">
        <v>109939</v>
      </c>
      <c r="E96" s="74">
        <f t="shared" si="21"/>
        <v>116549</v>
      </c>
      <c r="F96" s="76">
        <f t="shared" si="16"/>
        <v>125</v>
      </c>
      <c r="G96" s="76">
        <f>SUMIF(F$6:F96,"&gt;0")</f>
        <v>75410</v>
      </c>
      <c r="H96" s="76">
        <f t="shared" si="17"/>
        <v>-14950</v>
      </c>
      <c r="I96" s="76">
        <f t="shared" si="20"/>
        <v>-14825</v>
      </c>
      <c r="J96" s="81">
        <f t="shared" si="18"/>
        <v>-282.38095238095235</v>
      </c>
      <c r="K96" s="76">
        <f t="shared" si="15"/>
        <v>21170</v>
      </c>
    </row>
    <row r="97" spans="1:13" x14ac:dyDescent="0.25">
      <c r="A97" s="77">
        <v>44008.402083333334</v>
      </c>
      <c r="B97" s="105" t="s">
        <v>135</v>
      </c>
      <c r="C97" s="74">
        <v>8260</v>
      </c>
      <c r="D97" s="74">
        <v>110115</v>
      </c>
      <c r="E97" s="74">
        <f t="shared" si="21"/>
        <v>118375</v>
      </c>
      <c r="F97" s="76">
        <f t="shared" si="16"/>
        <v>1650</v>
      </c>
      <c r="G97" s="76">
        <f>SUMIF(F$6:F97,"&gt;0")</f>
        <v>77060</v>
      </c>
      <c r="H97" s="76">
        <f t="shared" si="17"/>
        <v>176</v>
      </c>
      <c r="I97" s="76">
        <f t="shared" si="20"/>
        <v>1826</v>
      </c>
      <c r="J97" s="81">
        <f t="shared" si="18"/>
        <v>34.780952380952378</v>
      </c>
      <c r="K97" s="76">
        <f t="shared" si="15"/>
        <v>22820</v>
      </c>
    </row>
    <row r="98" spans="1:13" x14ac:dyDescent="0.25">
      <c r="A98" s="77">
        <v>44009.829861111109</v>
      </c>
      <c r="C98" s="74">
        <v>8985</v>
      </c>
      <c r="D98" s="74">
        <v>110065</v>
      </c>
      <c r="E98" s="74">
        <f t="shared" si="21"/>
        <v>119050</v>
      </c>
      <c r="F98" s="76">
        <f t="shared" si="16"/>
        <v>725</v>
      </c>
      <c r="G98" s="76">
        <f>SUMIF(F$6:F98,"&gt;0")</f>
        <v>77785</v>
      </c>
      <c r="H98" s="76">
        <f t="shared" si="17"/>
        <v>-50</v>
      </c>
      <c r="I98" s="76">
        <f t="shared" si="20"/>
        <v>675</v>
      </c>
      <c r="J98" s="81">
        <f t="shared" si="18"/>
        <v>12.857142857142858</v>
      </c>
      <c r="K98" s="76">
        <f t="shared" si="15"/>
        <v>22345</v>
      </c>
    </row>
    <row r="99" spans="1:13" x14ac:dyDescent="0.25">
      <c r="A99" s="77">
        <v>44010.193055555559</v>
      </c>
      <c r="C99" s="74">
        <v>9460</v>
      </c>
      <c r="D99" s="74">
        <v>110115</v>
      </c>
      <c r="E99" s="74">
        <f t="shared" si="21"/>
        <v>119575</v>
      </c>
      <c r="F99" s="76">
        <f t="shared" si="16"/>
        <v>475</v>
      </c>
      <c r="G99" s="76">
        <f>SUMIF(F$6:F99,"&gt;0")</f>
        <v>78260</v>
      </c>
      <c r="H99" s="76">
        <f t="shared" si="17"/>
        <v>50</v>
      </c>
      <c r="I99" s="76">
        <f t="shared" si="20"/>
        <v>525</v>
      </c>
      <c r="J99" s="81">
        <f t="shared" si="18"/>
        <v>10</v>
      </c>
      <c r="K99" s="76">
        <f t="shared" si="15"/>
        <v>22820</v>
      </c>
    </row>
    <row r="100" spans="1:13" x14ac:dyDescent="0.25">
      <c r="A100" s="77">
        <v>44011.334027777775</v>
      </c>
      <c r="B100" s="105" t="s">
        <v>143</v>
      </c>
      <c r="C100" s="74">
        <v>9960</v>
      </c>
      <c r="D100" s="74">
        <v>108380</v>
      </c>
      <c r="E100" s="74">
        <f t="shared" si="21"/>
        <v>118340</v>
      </c>
      <c r="F100" s="76">
        <f t="shared" si="16"/>
        <v>500</v>
      </c>
      <c r="G100" s="76">
        <f>SUMIF(F$6:F100,"&gt;0")</f>
        <v>78760</v>
      </c>
      <c r="H100" s="76">
        <f t="shared" si="17"/>
        <v>-1735</v>
      </c>
      <c r="I100" s="76">
        <f t="shared" si="20"/>
        <v>-1235</v>
      </c>
      <c r="J100" s="81">
        <f t="shared" si="18"/>
        <v>-23.523809523809526</v>
      </c>
      <c r="K100" s="76">
        <f t="shared" si="15"/>
        <v>16980</v>
      </c>
    </row>
    <row r="101" spans="1:13" x14ac:dyDescent="0.25">
      <c r="A101" s="77">
        <v>44012.677083333336</v>
      </c>
      <c r="B101" s="105" t="s">
        <v>144</v>
      </c>
      <c r="C101" s="74">
        <v>1015</v>
      </c>
      <c r="D101" s="74">
        <v>99790</v>
      </c>
      <c r="E101" s="74">
        <f t="shared" si="21"/>
        <v>100805</v>
      </c>
      <c r="F101" s="76">
        <f t="shared" si="16"/>
        <v>-8945</v>
      </c>
      <c r="G101" s="76">
        <f>SUMIF(F$6:F101,"&gt;0")</f>
        <v>78760</v>
      </c>
      <c r="H101" s="76">
        <f t="shared" si="17"/>
        <v>-8590</v>
      </c>
      <c r="I101" s="76">
        <f t="shared" si="20"/>
        <v>-17535</v>
      </c>
      <c r="J101" s="81">
        <f t="shared" si="18"/>
        <v>-334</v>
      </c>
      <c r="K101" s="76">
        <f t="shared" si="15"/>
        <v>16980</v>
      </c>
    </row>
    <row r="102" spans="1:13" x14ac:dyDescent="0.25">
      <c r="A102" s="77">
        <v>44013.338888888888</v>
      </c>
      <c r="B102" s="105" t="s">
        <v>145</v>
      </c>
      <c r="C102" s="74">
        <v>1115</v>
      </c>
      <c r="D102" s="74">
        <v>156010</v>
      </c>
      <c r="E102" s="74">
        <f t="shared" ref="E102:E123" si="22">SUM(C102:D102)</f>
        <v>157125</v>
      </c>
      <c r="F102" s="76">
        <f t="shared" si="16"/>
        <v>100</v>
      </c>
      <c r="G102" s="76">
        <f>SUMIF(F$6:F102,"&gt;0")</f>
        <v>78860</v>
      </c>
      <c r="H102" s="76">
        <f t="shared" si="17"/>
        <v>56220</v>
      </c>
      <c r="I102" s="76">
        <f t="shared" si="20"/>
        <v>56320</v>
      </c>
      <c r="J102" s="81">
        <f t="shared" si="18"/>
        <v>1072.7619047619048</v>
      </c>
      <c r="K102" s="76">
        <f t="shared" si="15"/>
        <v>16530</v>
      </c>
      <c r="L102" s="74">
        <v>56200</v>
      </c>
      <c r="M102" s="74">
        <v>1080</v>
      </c>
    </row>
    <row r="103" spans="1:13" x14ac:dyDescent="0.25">
      <c r="A103" s="77">
        <v>44014.411805555559</v>
      </c>
      <c r="C103" s="74">
        <v>1215</v>
      </c>
      <c r="D103" s="74">
        <v>156560</v>
      </c>
      <c r="E103" s="74">
        <f t="shared" si="22"/>
        <v>157775</v>
      </c>
      <c r="F103" s="76">
        <f t="shared" si="16"/>
        <v>100</v>
      </c>
      <c r="G103" s="76">
        <f>SUMIF(F$6:F103,"&gt;0")</f>
        <v>78960</v>
      </c>
      <c r="H103" s="76">
        <f t="shared" si="17"/>
        <v>550</v>
      </c>
      <c r="I103" s="76">
        <f t="shared" si="20"/>
        <v>650</v>
      </c>
      <c r="J103" s="81">
        <f t="shared" si="18"/>
        <v>12.380952380952381</v>
      </c>
      <c r="K103" s="76">
        <f t="shared" si="15"/>
        <v>16630</v>
      </c>
    </row>
    <row r="104" spans="1:13" x14ac:dyDescent="0.25">
      <c r="A104" s="77">
        <v>44015.19027777778</v>
      </c>
      <c r="C104" s="74">
        <v>1440</v>
      </c>
      <c r="D104" s="74">
        <v>156580</v>
      </c>
      <c r="E104" s="74">
        <f t="shared" si="22"/>
        <v>158020</v>
      </c>
      <c r="F104" s="76">
        <f t="shared" si="16"/>
        <v>225</v>
      </c>
      <c r="G104" s="76">
        <f>SUMIF(F$6:F104,"&gt;0")</f>
        <v>79185</v>
      </c>
      <c r="H104" s="76">
        <f t="shared" si="17"/>
        <v>20</v>
      </c>
      <c r="I104" s="76">
        <f t="shared" si="20"/>
        <v>245</v>
      </c>
      <c r="J104" s="81">
        <f t="shared" si="18"/>
        <v>4.666666666666667</v>
      </c>
      <c r="K104" s="76">
        <f t="shared" si="15"/>
        <v>16855</v>
      </c>
    </row>
    <row r="105" spans="1:13" x14ac:dyDescent="0.25">
      <c r="A105" s="77">
        <v>44017.495138888888</v>
      </c>
      <c r="B105" s="105" t="s">
        <v>143</v>
      </c>
      <c r="C105" s="74">
        <v>1640</v>
      </c>
      <c r="D105" s="74">
        <v>156170</v>
      </c>
      <c r="E105" s="74">
        <f t="shared" si="22"/>
        <v>157810</v>
      </c>
      <c r="F105" s="76">
        <f t="shared" si="16"/>
        <v>200</v>
      </c>
      <c r="G105" s="76">
        <f>SUMIF(F$6:F105,"&gt;0")</f>
        <v>79385</v>
      </c>
      <c r="H105" s="76">
        <f t="shared" si="17"/>
        <v>-410</v>
      </c>
      <c r="I105" s="76">
        <f t="shared" si="20"/>
        <v>-210</v>
      </c>
      <c r="J105" s="81">
        <f t="shared" si="18"/>
        <v>-4</v>
      </c>
      <c r="K105" s="76">
        <f t="shared" si="15"/>
        <v>16180</v>
      </c>
    </row>
    <row r="106" spans="1:13" x14ac:dyDescent="0.25">
      <c r="A106" s="77">
        <v>44018.415277777778</v>
      </c>
      <c r="C106" s="74">
        <v>1740</v>
      </c>
      <c r="D106" s="74">
        <v>156245</v>
      </c>
      <c r="E106" s="74">
        <f t="shared" si="22"/>
        <v>157985</v>
      </c>
      <c r="F106" s="76">
        <f t="shared" ref="F106:F137" si="23">C106-C105</f>
        <v>100</v>
      </c>
      <c r="G106" s="76">
        <f>SUMIF(F$6:F106,"&gt;0")</f>
        <v>79485</v>
      </c>
      <c r="H106" s="76">
        <f t="shared" ref="H106:H137" si="24">D106-D105</f>
        <v>75</v>
      </c>
      <c r="I106" s="76">
        <f t="shared" si="20"/>
        <v>175</v>
      </c>
      <c r="J106" s="81">
        <f t="shared" ref="J106:J137" si="25">I106/4200*80</f>
        <v>3.333333333333333</v>
      </c>
      <c r="K106" s="76">
        <f t="shared" si="15"/>
        <v>16155</v>
      </c>
      <c r="L106" s="74">
        <v>480</v>
      </c>
      <c r="M106" s="74">
        <v>10</v>
      </c>
    </row>
    <row r="107" spans="1:13" x14ac:dyDescent="0.25">
      <c r="A107" s="77">
        <v>44019.758333333331</v>
      </c>
      <c r="C107" s="74">
        <v>2065</v>
      </c>
      <c r="D107" s="74">
        <v>156175</v>
      </c>
      <c r="E107" s="74">
        <f t="shared" si="22"/>
        <v>158240</v>
      </c>
      <c r="F107" s="76">
        <f t="shared" si="23"/>
        <v>325</v>
      </c>
      <c r="G107" s="76">
        <f>SUMIF(F$6:F107,"&gt;0")</f>
        <v>79810</v>
      </c>
      <c r="H107" s="76">
        <f t="shared" si="24"/>
        <v>-70</v>
      </c>
      <c r="I107" s="76">
        <f t="shared" si="20"/>
        <v>255</v>
      </c>
      <c r="J107" s="81">
        <f t="shared" si="25"/>
        <v>4.8571428571428568</v>
      </c>
      <c r="K107" s="76">
        <f t="shared" si="15"/>
        <v>16480</v>
      </c>
    </row>
    <row r="108" spans="1:13" x14ac:dyDescent="0.25">
      <c r="A108" s="77">
        <v>44020.353472222225</v>
      </c>
      <c r="C108" s="74">
        <v>2565</v>
      </c>
      <c r="D108" s="74">
        <v>156755</v>
      </c>
      <c r="E108" s="74">
        <f t="shared" si="22"/>
        <v>159320</v>
      </c>
      <c r="F108" s="76">
        <f t="shared" si="23"/>
        <v>500</v>
      </c>
      <c r="G108" s="76">
        <f>SUMIF(F$6:F108,"&gt;0")</f>
        <v>80310</v>
      </c>
      <c r="H108" s="76">
        <f t="shared" si="24"/>
        <v>580</v>
      </c>
      <c r="I108" s="76">
        <f t="shared" si="20"/>
        <v>1080</v>
      </c>
      <c r="J108" s="81">
        <f t="shared" si="25"/>
        <v>20.571428571428569</v>
      </c>
      <c r="K108" s="76">
        <f t="shared" si="15"/>
        <v>16805</v>
      </c>
    </row>
    <row r="109" spans="1:13" x14ac:dyDescent="0.25">
      <c r="A109" s="77">
        <v>44021.128472222219</v>
      </c>
      <c r="C109" s="74">
        <v>2965</v>
      </c>
      <c r="D109" s="74">
        <v>156805</v>
      </c>
      <c r="E109" s="74">
        <f t="shared" si="22"/>
        <v>159770</v>
      </c>
      <c r="F109" s="76">
        <f t="shared" si="23"/>
        <v>400</v>
      </c>
      <c r="G109" s="76">
        <f>SUMIF(F$6:F109,"&gt;0")</f>
        <v>80710</v>
      </c>
      <c r="H109" s="76">
        <f t="shared" si="24"/>
        <v>50</v>
      </c>
      <c r="I109" s="76">
        <f t="shared" si="20"/>
        <v>450</v>
      </c>
      <c r="J109" s="81">
        <f t="shared" si="25"/>
        <v>8.5714285714285712</v>
      </c>
      <c r="K109" s="76">
        <f t="shared" si="15"/>
        <v>16855</v>
      </c>
    </row>
    <row r="110" spans="1:13" x14ac:dyDescent="0.25">
      <c r="A110" s="77">
        <v>44023.706250000003</v>
      </c>
      <c r="C110" s="74">
        <v>3165</v>
      </c>
      <c r="D110" s="74">
        <v>156855</v>
      </c>
      <c r="E110" s="74">
        <f t="shared" si="22"/>
        <v>160020</v>
      </c>
      <c r="F110" s="76">
        <f t="shared" si="23"/>
        <v>200</v>
      </c>
      <c r="G110" s="76">
        <f>SUMIF(F$6:F110,"&gt;0")</f>
        <v>80910</v>
      </c>
      <c r="H110" s="76">
        <f t="shared" si="24"/>
        <v>50</v>
      </c>
      <c r="I110" s="76">
        <f t="shared" si="20"/>
        <v>250</v>
      </c>
      <c r="J110" s="81">
        <f t="shared" si="25"/>
        <v>4.7619047619047619</v>
      </c>
      <c r="K110" s="76">
        <f t="shared" si="15"/>
        <v>16355</v>
      </c>
    </row>
    <row r="111" spans="1:13" x14ac:dyDescent="0.25">
      <c r="A111" s="77">
        <v>44024.893055555556</v>
      </c>
      <c r="C111" s="74">
        <v>3265</v>
      </c>
      <c r="D111" s="74">
        <v>156855</v>
      </c>
      <c r="E111" s="74">
        <f t="shared" si="22"/>
        <v>160120</v>
      </c>
      <c r="F111" s="76">
        <f t="shared" si="23"/>
        <v>100</v>
      </c>
      <c r="G111" s="76">
        <f>SUMIF(F$6:F111,"&gt;0")</f>
        <v>81010</v>
      </c>
      <c r="H111" s="76">
        <f t="shared" si="24"/>
        <v>0</v>
      </c>
      <c r="I111" s="76">
        <f t="shared" si="20"/>
        <v>100</v>
      </c>
      <c r="J111" s="81">
        <f t="shared" si="25"/>
        <v>1.9047619047619047</v>
      </c>
      <c r="K111" s="76">
        <f t="shared" si="15"/>
        <v>15345</v>
      </c>
    </row>
    <row r="112" spans="1:13" x14ac:dyDescent="0.25">
      <c r="A112" s="77">
        <v>44026.388194444444</v>
      </c>
      <c r="C112" s="74">
        <v>4645</v>
      </c>
      <c r="D112" s="74">
        <v>157600</v>
      </c>
      <c r="E112" s="74">
        <f t="shared" si="22"/>
        <v>162245</v>
      </c>
      <c r="F112" s="76">
        <f t="shared" si="23"/>
        <v>1380</v>
      </c>
      <c r="G112" s="76">
        <f>SUMIF(F$6:F112,"&gt;0")</f>
        <v>82390</v>
      </c>
      <c r="H112" s="76">
        <f t="shared" si="24"/>
        <v>745</v>
      </c>
      <c r="I112" s="76">
        <f t="shared" si="20"/>
        <v>2125</v>
      </c>
      <c r="J112" s="81">
        <f t="shared" si="25"/>
        <v>40.476190476190474</v>
      </c>
      <c r="K112" s="76">
        <f t="shared" si="15"/>
        <v>16500</v>
      </c>
      <c r="L112" s="74">
        <v>480</v>
      </c>
      <c r="M112" s="74">
        <v>10</v>
      </c>
    </row>
    <row r="113" spans="1:13" x14ac:dyDescent="0.25">
      <c r="A113" s="77">
        <v>44027.654166666667</v>
      </c>
      <c r="B113" s="105" t="s">
        <v>152</v>
      </c>
      <c r="C113" s="74">
        <v>1155</v>
      </c>
      <c r="D113" s="74">
        <v>125170</v>
      </c>
      <c r="E113" s="74">
        <f t="shared" si="22"/>
        <v>126325</v>
      </c>
      <c r="F113" s="76">
        <f t="shared" si="23"/>
        <v>-3490</v>
      </c>
      <c r="G113" s="76">
        <f>SUMIF(F$6:F113,"&gt;0")</f>
        <v>82390</v>
      </c>
      <c r="H113" s="76">
        <f t="shared" si="24"/>
        <v>-32430</v>
      </c>
      <c r="I113" s="76">
        <f t="shared" si="20"/>
        <v>-35920</v>
      </c>
      <c r="J113" s="81">
        <f t="shared" si="25"/>
        <v>-684.19047619047615</v>
      </c>
      <c r="K113" s="76">
        <f t="shared" si="15"/>
        <v>16440</v>
      </c>
    </row>
    <row r="114" spans="1:13" x14ac:dyDescent="0.25">
      <c r="A114" s="77">
        <v>44030.856249999997</v>
      </c>
      <c r="C114" s="74">
        <v>2345</v>
      </c>
      <c r="D114" s="74">
        <v>125320</v>
      </c>
      <c r="E114" s="74">
        <f t="shared" si="22"/>
        <v>127665</v>
      </c>
      <c r="F114" s="76">
        <f t="shared" si="23"/>
        <v>1190</v>
      </c>
      <c r="G114" s="76">
        <f>SUMIF(F$6:F114,"&gt;0")</f>
        <v>83580</v>
      </c>
      <c r="H114" s="76">
        <f t="shared" si="24"/>
        <v>150</v>
      </c>
      <c r="I114" s="76">
        <f t="shared" si="20"/>
        <v>1340</v>
      </c>
      <c r="J114" s="81">
        <f t="shared" si="25"/>
        <v>25.523809523809522</v>
      </c>
      <c r="K114" s="76">
        <f t="shared" si="15"/>
        <v>16715</v>
      </c>
    </row>
    <row r="115" spans="1:13" x14ac:dyDescent="0.25">
      <c r="A115" s="77">
        <v>44031.893750000003</v>
      </c>
      <c r="C115" s="74">
        <v>3405</v>
      </c>
      <c r="D115" s="74">
        <v>125370</v>
      </c>
      <c r="E115" s="74">
        <f t="shared" si="22"/>
        <v>128775</v>
      </c>
      <c r="F115" s="76">
        <f t="shared" si="23"/>
        <v>1060</v>
      </c>
      <c r="G115" s="76">
        <f>SUMIF(F$6:F115,"&gt;0")</f>
        <v>84640</v>
      </c>
      <c r="H115" s="76">
        <f t="shared" si="24"/>
        <v>50</v>
      </c>
      <c r="I115" s="76">
        <f t="shared" si="20"/>
        <v>1110</v>
      </c>
      <c r="J115" s="81">
        <f t="shared" si="25"/>
        <v>21.142857142857142</v>
      </c>
      <c r="K115" s="76">
        <f t="shared" si="15"/>
        <v>15325</v>
      </c>
    </row>
    <row r="116" spans="1:13" x14ac:dyDescent="0.25">
      <c r="A116" s="77">
        <v>44033.117361111108</v>
      </c>
      <c r="B116" s="105" t="s">
        <v>153</v>
      </c>
      <c r="C116" s="74">
        <v>5430</v>
      </c>
      <c r="D116" s="74">
        <v>125525</v>
      </c>
      <c r="E116" s="74">
        <f t="shared" si="22"/>
        <v>130955</v>
      </c>
      <c r="F116" s="76">
        <f t="shared" si="23"/>
        <v>2025</v>
      </c>
      <c r="G116" s="76">
        <f>SUMIF(F$6:F116,"&gt;0")</f>
        <v>86665</v>
      </c>
      <c r="H116" s="76">
        <f t="shared" si="24"/>
        <v>155</v>
      </c>
      <c r="I116" s="76">
        <f t="shared" si="20"/>
        <v>2180</v>
      </c>
      <c r="J116" s="81">
        <f t="shared" si="25"/>
        <v>41.523809523809526</v>
      </c>
      <c r="K116" s="76">
        <f t="shared" si="15"/>
        <v>17350</v>
      </c>
    </row>
    <row r="117" spans="1:13" x14ac:dyDescent="0.25">
      <c r="A117" s="77">
        <v>44033.922222222223</v>
      </c>
      <c r="B117" s="105" t="s">
        <v>154</v>
      </c>
      <c r="C117" s="74">
        <v>7430</v>
      </c>
      <c r="D117" s="74">
        <v>125515</v>
      </c>
      <c r="E117" s="74">
        <f t="shared" si="22"/>
        <v>132945</v>
      </c>
      <c r="F117" s="76">
        <f t="shared" si="23"/>
        <v>2000</v>
      </c>
      <c r="G117" s="76">
        <f>SUMIF(F$6:F117,"&gt;0")</f>
        <v>88665</v>
      </c>
      <c r="H117" s="76">
        <f t="shared" si="24"/>
        <v>-10</v>
      </c>
      <c r="I117" s="76">
        <f t="shared" si="20"/>
        <v>1990</v>
      </c>
      <c r="J117" s="81">
        <f t="shared" si="25"/>
        <v>37.904761904761905</v>
      </c>
      <c r="K117" s="76">
        <f t="shared" si="15"/>
        <v>19350</v>
      </c>
    </row>
    <row r="118" spans="1:13" x14ac:dyDescent="0.25">
      <c r="A118" s="77">
        <v>44035.056250000001</v>
      </c>
      <c r="B118" s="105" t="s">
        <v>156</v>
      </c>
      <c r="C118" s="74">
        <v>8755</v>
      </c>
      <c r="D118" s="74">
        <v>125505</v>
      </c>
      <c r="E118" s="74">
        <f t="shared" si="22"/>
        <v>134260</v>
      </c>
      <c r="F118" s="76">
        <f t="shared" si="23"/>
        <v>1325</v>
      </c>
      <c r="G118" s="76">
        <f>SUMIF(F$6:F118,"&gt;0")</f>
        <v>89990</v>
      </c>
      <c r="H118" s="76">
        <f t="shared" si="24"/>
        <v>-10</v>
      </c>
      <c r="I118" s="76">
        <f t="shared" si="20"/>
        <v>1315</v>
      </c>
      <c r="J118" s="81">
        <f t="shared" si="25"/>
        <v>25.047619047619047</v>
      </c>
      <c r="K118" s="76">
        <f t="shared" si="15"/>
        <v>15830</v>
      </c>
    </row>
    <row r="119" spans="1:13" x14ac:dyDescent="0.25">
      <c r="A119" s="77">
        <v>44036.682638888888</v>
      </c>
      <c r="B119" s="105" t="s">
        <v>89</v>
      </c>
      <c r="C119" s="74">
        <v>9405</v>
      </c>
      <c r="D119" s="74">
        <v>125555</v>
      </c>
      <c r="E119" s="74">
        <f t="shared" si="22"/>
        <v>134960</v>
      </c>
      <c r="F119" s="76">
        <f t="shared" si="23"/>
        <v>650</v>
      </c>
      <c r="G119" s="76">
        <f>SUMIF(F$6:F119,"&gt;0")</f>
        <v>90640</v>
      </c>
      <c r="H119" s="76">
        <f t="shared" si="24"/>
        <v>50</v>
      </c>
      <c r="I119" s="76">
        <f t="shared" si="20"/>
        <v>700</v>
      </c>
      <c r="J119" s="81">
        <f t="shared" si="25"/>
        <v>13.333333333333332</v>
      </c>
      <c r="K119" s="76">
        <f t="shared" si="15"/>
        <v>15955</v>
      </c>
    </row>
    <row r="120" spans="1:13" x14ac:dyDescent="0.25">
      <c r="A120" s="77">
        <v>44038.184027777781</v>
      </c>
      <c r="C120" s="74">
        <v>9780</v>
      </c>
      <c r="D120" s="74">
        <v>125685</v>
      </c>
      <c r="E120" s="74">
        <f t="shared" si="22"/>
        <v>135465</v>
      </c>
      <c r="F120" s="76">
        <f t="shared" si="23"/>
        <v>375</v>
      </c>
      <c r="G120" s="76">
        <f>SUMIF(F$6:F120,"&gt;0")</f>
        <v>91015</v>
      </c>
      <c r="H120" s="76">
        <f t="shared" si="24"/>
        <v>130</v>
      </c>
      <c r="I120" s="76">
        <f t="shared" si="20"/>
        <v>505</v>
      </c>
      <c r="J120" s="81">
        <f t="shared" si="25"/>
        <v>9.6190476190476186</v>
      </c>
      <c r="K120" s="76">
        <f t="shared" si="15"/>
        <v>15605</v>
      </c>
    </row>
    <row r="121" spans="1:13" x14ac:dyDescent="0.25">
      <c r="A121" s="77">
        <v>44039.043749999997</v>
      </c>
      <c r="B121" s="105" t="s">
        <v>155</v>
      </c>
      <c r="C121" s="74">
        <v>9805</v>
      </c>
      <c r="D121" s="74">
        <v>125535</v>
      </c>
      <c r="E121" s="74">
        <f t="shared" si="22"/>
        <v>135340</v>
      </c>
      <c r="F121" s="76">
        <f t="shared" si="23"/>
        <v>25</v>
      </c>
      <c r="G121" s="76">
        <f>SUMIF(F$6:F121,"&gt;0")</f>
        <v>91040</v>
      </c>
      <c r="H121" s="76">
        <f t="shared" si="24"/>
        <v>-150</v>
      </c>
      <c r="I121" s="76">
        <f t="shared" ref="I121:I152" si="26">SUM(F121,H121)</f>
        <v>-125</v>
      </c>
      <c r="J121" s="81">
        <f t="shared" si="25"/>
        <v>-2.3809523809523809</v>
      </c>
      <c r="K121" s="76">
        <f t="shared" si="15"/>
        <v>13980</v>
      </c>
    </row>
    <row r="122" spans="1:13" x14ac:dyDescent="0.25">
      <c r="A122" s="77">
        <v>44039.479861111111</v>
      </c>
      <c r="B122" s="105" t="s">
        <v>157</v>
      </c>
      <c r="C122" s="74">
        <v>10455</v>
      </c>
      <c r="D122" s="74">
        <v>125960</v>
      </c>
      <c r="E122" s="74">
        <f t="shared" si="22"/>
        <v>136415</v>
      </c>
      <c r="F122" s="76">
        <f t="shared" si="23"/>
        <v>650</v>
      </c>
      <c r="G122" s="76">
        <f>SUMIF(F$6:F122,"&gt;0")</f>
        <v>91690</v>
      </c>
      <c r="H122" s="76">
        <f t="shared" si="24"/>
        <v>425</v>
      </c>
      <c r="I122" s="76">
        <f t="shared" si="26"/>
        <v>1075</v>
      </c>
      <c r="J122" s="81">
        <f t="shared" si="25"/>
        <v>20.476190476190474</v>
      </c>
      <c r="K122" s="76">
        <f t="shared" si="15"/>
        <v>14630</v>
      </c>
      <c r="L122" s="74">
        <v>480</v>
      </c>
      <c r="M122" s="74">
        <v>10</v>
      </c>
    </row>
    <row r="123" spans="1:13" x14ac:dyDescent="0.25">
      <c r="A123" s="77">
        <v>44041.791666666664</v>
      </c>
      <c r="B123" s="105" t="s">
        <v>159</v>
      </c>
      <c r="C123" s="74">
        <v>12380</v>
      </c>
      <c r="D123" s="74">
        <v>124950</v>
      </c>
      <c r="E123" s="74">
        <f t="shared" si="22"/>
        <v>137330</v>
      </c>
      <c r="F123" s="76">
        <f t="shared" si="23"/>
        <v>1925</v>
      </c>
      <c r="G123" s="76">
        <f>SUMIF(F$6:F123,"&gt;0")</f>
        <v>93615</v>
      </c>
      <c r="H123" s="76">
        <f t="shared" si="24"/>
        <v>-1010</v>
      </c>
      <c r="I123" s="76">
        <f t="shared" si="26"/>
        <v>915</v>
      </c>
      <c r="J123" s="81">
        <f t="shared" si="25"/>
        <v>17.428571428571431</v>
      </c>
      <c r="K123" s="76">
        <f t="shared" si="15"/>
        <v>14855</v>
      </c>
    </row>
    <row r="124" spans="1:13" x14ac:dyDescent="0.25">
      <c r="A124" s="77">
        <v>44042.136111111111</v>
      </c>
      <c r="B124" s="105" t="s">
        <v>158</v>
      </c>
      <c r="C124" s="74">
        <v>380</v>
      </c>
      <c r="D124" s="74">
        <v>121350</v>
      </c>
      <c r="E124" s="74">
        <f t="shared" ref="E124:E134" si="27">SUM(C124:D124)</f>
        <v>121730</v>
      </c>
      <c r="F124" s="76">
        <f t="shared" si="23"/>
        <v>-12000</v>
      </c>
      <c r="G124" s="76">
        <f>SUMIF(F$6:F124,"&gt;0")</f>
        <v>93615</v>
      </c>
      <c r="H124" s="76">
        <f t="shared" si="24"/>
        <v>-3600</v>
      </c>
      <c r="I124" s="76">
        <f t="shared" si="26"/>
        <v>-15600</v>
      </c>
      <c r="J124" s="81">
        <f t="shared" si="25"/>
        <v>-297.14285714285717</v>
      </c>
      <c r="K124" s="76">
        <f t="shared" si="15"/>
        <v>14855</v>
      </c>
    </row>
    <row r="125" spans="1:13" x14ac:dyDescent="0.25">
      <c r="A125" s="77">
        <v>44044.12222222222</v>
      </c>
      <c r="B125" s="105" t="s">
        <v>160</v>
      </c>
      <c r="C125" s="74">
        <v>1290</v>
      </c>
      <c r="D125" s="74">
        <v>122670</v>
      </c>
      <c r="E125" s="74">
        <f t="shared" si="27"/>
        <v>123960</v>
      </c>
      <c r="F125" s="76">
        <f t="shared" si="23"/>
        <v>910</v>
      </c>
      <c r="G125" s="76">
        <f>SUMIF(F$6:F125,"&gt;0")</f>
        <v>94525</v>
      </c>
      <c r="H125" s="76">
        <f t="shared" si="24"/>
        <v>1320</v>
      </c>
      <c r="I125" s="76">
        <f t="shared" si="26"/>
        <v>2230</v>
      </c>
      <c r="J125" s="81">
        <f t="shared" si="25"/>
        <v>42.476190476190474</v>
      </c>
      <c r="K125" s="76">
        <f t="shared" si="15"/>
        <v>15665</v>
      </c>
      <c r="L125" s="74">
        <v>700</v>
      </c>
      <c r="M125" s="74">
        <v>10</v>
      </c>
    </row>
    <row r="126" spans="1:13" x14ac:dyDescent="0.2">
      <c r="A126" s="77">
        <v>44045.277777777781</v>
      </c>
      <c r="B126" s="111" t="s">
        <v>161</v>
      </c>
      <c r="C126" s="74">
        <v>1715</v>
      </c>
      <c r="D126" s="74">
        <v>122720</v>
      </c>
      <c r="E126" s="74">
        <f t="shared" si="27"/>
        <v>124435</v>
      </c>
      <c r="F126" s="76">
        <f t="shared" si="23"/>
        <v>425</v>
      </c>
      <c r="G126" s="76">
        <f>SUMIF(F$6:F126,"&gt;0")</f>
        <v>94950</v>
      </c>
      <c r="H126" s="76">
        <f t="shared" si="24"/>
        <v>50</v>
      </c>
      <c r="I126" s="76">
        <f t="shared" si="26"/>
        <v>475</v>
      </c>
      <c r="J126" s="81">
        <f t="shared" si="25"/>
        <v>9.0476190476190474</v>
      </c>
      <c r="K126" s="76">
        <f t="shared" si="15"/>
        <v>15765</v>
      </c>
    </row>
    <row r="127" spans="1:13" x14ac:dyDescent="0.25">
      <c r="A127" s="77">
        <v>44047.069444444445</v>
      </c>
      <c r="B127" s="105" t="s">
        <v>162</v>
      </c>
      <c r="C127" s="74">
        <v>2240</v>
      </c>
      <c r="D127" s="74">
        <v>121750</v>
      </c>
      <c r="E127" s="74">
        <f t="shared" si="27"/>
        <v>123990</v>
      </c>
      <c r="F127" s="76">
        <f t="shared" si="23"/>
        <v>525</v>
      </c>
      <c r="G127" s="76">
        <f>SUMIF(F$6:F127,"&gt;0")</f>
        <v>95475</v>
      </c>
      <c r="H127" s="76">
        <f t="shared" si="24"/>
        <v>-970</v>
      </c>
      <c r="I127" s="76">
        <f t="shared" si="26"/>
        <v>-445</v>
      </c>
      <c r="J127" s="81">
        <f t="shared" si="25"/>
        <v>-8.4761904761904763</v>
      </c>
      <c r="K127" s="76">
        <f t="shared" si="15"/>
        <v>16290</v>
      </c>
    </row>
    <row r="128" spans="1:13" x14ac:dyDescent="0.25">
      <c r="A128" s="77">
        <v>44048.241666666669</v>
      </c>
      <c r="C128" s="74">
        <v>2240</v>
      </c>
      <c r="D128" s="74">
        <v>121800</v>
      </c>
      <c r="E128" s="74">
        <f t="shared" si="27"/>
        <v>124040</v>
      </c>
      <c r="F128" s="76">
        <f t="shared" si="23"/>
        <v>0</v>
      </c>
      <c r="G128" s="76">
        <f>SUMIF(F$6:F128,"&gt;0")</f>
        <v>95475</v>
      </c>
      <c r="H128" s="76">
        <f t="shared" si="24"/>
        <v>50</v>
      </c>
      <c r="I128" s="76">
        <f t="shared" si="26"/>
        <v>50</v>
      </c>
      <c r="J128" s="81">
        <f t="shared" si="25"/>
        <v>0.95238095238095233</v>
      </c>
      <c r="K128" s="76">
        <f t="shared" si="15"/>
        <v>16090</v>
      </c>
    </row>
    <row r="129" spans="1:13" x14ac:dyDescent="0.25">
      <c r="A129" s="77">
        <v>44050.146527777775</v>
      </c>
      <c r="C129" s="74">
        <v>2840</v>
      </c>
      <c r="D129" s="74">
        <v>122330</v>
      </c>
      <c r="E129" s="74">
        <f t="shared" si="27"/>
        <v>125170</v>
      </c>
      <c r="F129" s="76">
        <f t="shared" si="23"/>
        <v>600</v>
      </c>
      <c r="G129" s="76">
        <f>SUMIF(F$6:F129,"&gt;0")</f>
        <v>96075</v>
      </c>
      <c r="H129" s="76">
        <f t="shared" si="24"/>
        <v>530</v>
      </c>
      <c r="I129" s="76">
        <f t="shared" si="26"/>
        <v>1130</v>
      </c>
      <c r="J129" s="81">
        <f t="shared" si="25"/>
        <v>21.523809523809522</v>
      </c>
      <c r="K129" s="76">
        <f t="shared" si="15"/>
        <v>16265</v>
      </c>
    </row>
    <row r="130" spans="1:13" x14ac:dyDescent="0.25">
      <c r="A130" s="77">
        <v>44051.536805555559</v>
      </c>
      <c r="C130" s="74">
        <v>3240</v>
      </c>
      <c r="D130" s="74">
        <v>123005</v>
      </c>
      <c r="E130" s="74">
        <f t="shared" si="27"/>
        <v>126245</v>
      </c>
      <c r="F130" s="76">
        <f t="shared" si="23"/>
        <v>400</v>
      </c>
      <c r="G130" s="76">
        <f>SUMIF(F$6:F130,"&gt;0")</f>
        <v>96475</v>
      </c>
      <c r="H130" s="76">
        <f t="shared" si="24"/>
        <v>675</v>
      </c>
      <c r="I130" s="76">
        <f t="shared" si="26"/>
        <v>1075</v>
      </c>
      <c r="J130" s="81">
        <f t="shared" si="25"/>
        <v>20.476190476190474</v>
      </c>
      <c r="K130" s="76">
        <f t="shared" si="15"/>
        <v>15765</v>
      </c>
    </row>
    <row r="131" spans="1:13" x14ac:dyDescent="0.25">
      <c r="A131" s="77">
        <v>44052.595138888886</v>
      </c>
      <c r="C131" s="74">
        <v>3340</v>
      </c>
      <c r="D131" s="74">
        <v>123055</v>
      </c>
      <c r="E131" s="74">
        <f t="shared" si="27"/>
        <v>126395</v>
      </c>
      <c r="F131" s="76">
        <f t="shared" si="23"/>
        <v>100</v>
      </c>
      <c r="G131" s="76">
        <f>SUMIF(F$6:F131,"&gt;0")</f>
        <v>96575</v>
      </c>
      <c r="H131" s="76">
        <f t="shared" si="24"/>
        <v>50</v>
      </c>
      <c r="I131" s="76">
        <f t="shared" si="26"/>
        <v>150</v>
      </c>
      <c r="J131" s="81">
        <f t="shared" si="25"/>
        <v>2.8571428571428568</v>
      </c>
      <c r="K131" s="76">
        <f t="shared" si="15"/>
        <v>15865</v>
      </c>
    </row>
    <row r="132" spans="1:13" x14ac:dyDescent="0.25">
      <c r="A132" s="77">
        <v>44053.20416666667</v>
      </c>
      <c r="C132" s="74">
        <v>3515</v>
      </c>
      <c r="D132" s="74">
        <v>123105</v>
      </c>
      <c r="E132" s="74">
        <f t="shared" si="27"/>
        <v>126620</v>
      </c>
      <c r="F132" s="76">
        <f t="shared" si="23"/>
        <v>175</v>
      </c>
      <c r="G132" s="76">
        <f>SUMIF(F$6:F132,"&gt;0")</f>
        <v>96750</v>
      </c>
      <c r="H132" s="76">
        <f t="shared" si="24"/>
        <v>50</v>
      </c>
      <c r="I132" s="76">
        <f t="shared" si="26"/>
        <v>225</v>
      </c>
      <c r="J132" s="81">
        <f t="shared" si="25"/>
        <v>4.2857142857142856</v>
      </c>
      <c r="K132" s="76">
        <f t="shared" si="15"/>
        <v>16040</v>
      </c>
    </row>
    <row r="133" spans="1:13" x14ac:dyDescent="0.25">
      <c r="A133" s="77">
        <v>44056.448611111111</v>
      </c>
      <c r="B133" s="105" t="s">
        <v>163</v>
      </c>
      <c r="C133" s="74">
        <v>4885</v>
      </c>
      <c r="D133" s="74">
        <v>123285</v>
      </c>
      <c r="E133" s="74">
        <f t="shared" si="27"/>
        <v>128170</v>
      </c>
      <c r="F133" s="76">
        <f t="shared" si="23"/>
        <v>1370</v>
      </c>
      <c r="G133" s="76">
        <f>SUMIF(F$6:F133,"&gt;0")</f>
        <v>98120</v>
      </c>
      <c r="H133" s="76">
        <f t="shared" si="24"/>
        <v>180</v>
      </c>
      <c r="I133" s="76">
        <f t="shared" si="26"/>
        <v>1550</v>
      </c>
      <c r="J133" s="81">
        <f t="shared" si="25"/>
        <v>29.523809523809526</v>
      </c>
      <c r="K133" s="76">
        <f t="shared" si="15"/>
        <v>15730</v>
      </c>
    </row>
    <row r="134" spans="1:13" x14ac:dyDescent="0.25">
      <c r="A134" s="77">
        <v>44057.05</v>
      </c>
      <c r="B134" s="105" t="s">
        <v>165</v>
      </c>
      <c r="C134" s="74">
        <v>85</v>
      </c>
      <c r="D134" s="74">
        <v>118455</v>
      </c>
      <c r="E134" s="74">
        <f t="shared" si="27"/>
        <v>118540</v>
      </c>
      <c r="F134" s="76">
        <f t="shared" si="23"/>
        <v>-4800</v>
      </c>
      <c r="G134" s="76">
        <f>SUMIF(F$6:F134,"&gt;0")</f>
        <v>98120</v>
      </c>
      <c r="H134" s="76">
        <f t="shared" si="24"/>
        <v>-4830</v>
      </c>
      <c r="I134" s="76">
        <f t="shared" si="26"/>
        <v>-9630</v>
      </c>
      <c r="J134" s="81">
        <f t="shared" si="25"/>
        <v>-183.42857142857142</v>
      </c>
      <c r="K134" s="76">
        <f t="shared" ref="K134:K197" si="28">_xlfn.SINGLE(IFERROR(G134 - _xlfn.XLOOKUP(A134-30, $A$6:$A$14998,G$6:G$14998,"",-1,2),NA()))</f>
        <v>15730</v>
      </c>
    </row>
    <row r="135" spans="1:13" x14ac:dyDescent="0.25">
      <c r="A135" s="77">
        <v>44058.041666666664</v>
      </c>
      <c r="C135" s="74">
        <v>145</v>
      </c>
      <c r="D135" s="74">
        <v>118505</v>
      </c>
      <c r="E135" s="74">
        <f t="shared" ref="E135:E189" si="29">SUM(C135:D135)</f>
        <v>118650</v>
      </c>
      <c r="F135" s="76">
        <f t="shared" si="23"/>
        <v>60</v>
      </c>
      <c r="G135" s="76">
        <f>SUMIF(F$6:F135,"&gt;0")</f>
        <v>98180</v>
      </c>
      <c r="H135" s="76">
        <f t="shared" si="24"/>
        <v>50</v>
      </c>
      <c r="I135" s="76">
        <f t="shared" si="26"/>
        <v>110</v>
      </c>
      <c r="J135" s="81">
        <f t="shared" si="25"/>
        <v>2.0952380952380953</v>
      </c>
      <c r="K135" s="76">
        <f t="shared" si="28"/>
        <v>15790</v>
      </c>
    </row>
    <row r="136" spans="1:13" x14ac:dyDescent="0.25">
      <c r="A136" s="77">
        <v>44059.04583333333</v>
      </c>
      <c r="C136" s="74">
        <v>435</v>
      </c>
      <c r="D136" s="74">
        <v>118605</v>
      </c>
      <c r="E136" s="74">
        <f t="shared" si="29"/>
        <v>119040</v>
      </c>
      <c r="F136" s="76">
        <f t="shared" si="23"/>
        <v>290</v>
      </c>
      <c r="G136" s="76">
        <f>SUMIF(F$6:F136,"&gt;0")</f>
        <v>98470</v>
      </c>
      <c r="H136" s="76">
        <f t="shared" si="24"/>
        <v>100</v>
      </c>
      <c r="I136" s="76">
        <f t="shared" si="26"/>
        <v>390</v>
      </c>
      <c r="J136" s="81">
        <f t="shared" si="25"/>
        <v>7.4285714285714288</v>
      </c>
      <c r="K136" s="76">
        <f t="shared" si="28"/>
        <v>16080</v>
      </c>
    </row>
    <row r="137" spans="1:13" x14ac:dyDescent="0.25">
      <c r="A137" s="77">
        <v>44060.220833333333</v>
      </c>
      <c r="B137" s="105" t="s">
        <v>160</v>
      </c>
      <c r="C137" s="74">
        <v>875</v>
      </c>
      <c r="D137" s="74">
        <v>127155</v>
      </c>
      <c r="E137" s="74">
        <f t="shared" si="29"/>
        <v>128030</v>
      </c>
      <c r="F137" s="76">
        <f t="shared" si="23"/>
        <v>440</v>
      </c>
      <c r="G137" s="76">
        <f>SUMIF(F$6:F137,"&gt;0")</f>
        <v>98910</v>
      </c>
      <c r="H137" s="76">
        <f t="shared" si="24"/>
        <v>8550</v>
      </c>
      <c r="I137" s="76">
        <f t="shared" si="26"/>
        <v>8990</v>
      </c>
      <c r="J137" s="81">
        <f t="shared" si="25"/>
        <v>171.23809523809524</v>
      </c>
      <c r="K137" s="76">
        <f t="shared" si="28"/>
        <v>16520</v>
      </c>
      <c r="L137" s="74">
        <v>8500</v>
      </c>
      <c r="M137" s="74">
        <v>123</v>
      </c>
    </row>
    <row r="138" spans="1:13" x14ac:dyDescent="0.25">
      <c r="A138" s="77">
        <v>44061.787499999999</v>
      </c>
      <c r="B138" s="105" t="s">
        <v>166</v>
      </c>
      <c r="C138" s="74">
        <v>4325</v>
      </c>
      <c r="D138" s="74">
        <v>127205</v>
      </c>
      <c r="E138" s="74">
        <f t="shared" si="29"/>
        <v>131530</v>
      </c>
      <c r="F138" s="76">
        <f t="shared" ref="F138:F169" si="30">C138-C137</f>
        <v>3450</v>
      </c>
      <c r="G138" s="76">
        <f>SUMIF(F$6:F138,"&gt;0")</f>
        <v>102360</v>
      </c>
      <c r="H138" s="76">
        <f t="shared" ref="H138:H169" si="31">D138-D137</f>
        <v>50</v>
      </c>
      <c r="I138" s="76">
        <f t="shared" si="26"/>
        <v>3500</v>
      </c>
      <c r="J138" s="81">
        <f t="shared" ref="J138:J169" si="32">I138/4200*80</f>
        <v>66.666666666666671</v>
      </c>
      <c r="K138" s="76">
        <f t="shared" si="28"/>
        <v>18780</v>
      </c>
    </row>
    <row r="139" spans="1:13" x14ac:dyDescent="0.25">
      <c r="A139" s="77">
        <v>44062.935416666667</v>
      </c>
      <c r="C139" s="74">
        <v>4450</v>
      </c>
      <c r="D139" s="74">
        <v>126785</v>
      </c>
      <c r="E139" s="74">
        <f t="shared" si="29"/>
        <v>131235</v>
      </c>
      <c r="F139" s="76">
        <f t="shared" si="30"/>
        <v>125</v>
      </c>
      <c r="G139" s="76">
        <f>SUMIF(F$6:F139,"&gt;0")</f>
        <v>102485</v>
      </c>
      <c r="H139" s="76">
        <f t="shared" si="31"/>
        <v>-420</v>
      </c>
      <c r="I139" s="76">
        <f t="shared" si="26"/>
        <v>-295</v>
      </c>
      <c r="J139" s="81">
        <f t="shared" si="32"/>
        <v>-5.6190476190476186</v>
      </c>
      <c r="K139" s="76">
        <f t="shared" si="28"/>
        <v>17845</v>
      </c>
    </row>
    <row r="140" spans="1:13" x14ac:dyDescent="0.25">
      <c r="A140" s="77">
        <v>44063.970138888886</v>
      </c>
      <c r="C140" s="74">
        <v>5100</v>
      </c>
      <c r="D140" s="74">
        <v>126835</v>
      </c>
      <c r="E140" s="74">
        <f t="shared" si="29"/>
        <v>131935</v>
      </c>
      <c r="F140" s="76">
        <f t="shared" si="30"/>
        <v>650</v>
      </c>
      <c r="G140" s="76">
        <f>SUMIF(F$6:F140,"&gt;0")</f>
        <v>103135</v>
      </c>
      <c r="H140" s="76">
        <f t="shared" si="31"/>
        <v>50</v>
      </c>
      <c r="I140" s="76">
        <f t="shared" si="26"/>
        <v>700</v>
      </c>
      <c r="J140" s="81">
        <f t="shared" si="32"/>
        <v>13.333333333333332</v>
      </c>
      <c r="K140" s="76">
        <f t="shared" si="28"/>
        <v>14470</v>
      </c>
    </row>
    <row r="141" spans="1:13" x14ac:dyDescent="0.25">
      <c r="A141" s="77">
        <v>44064.947222222225</v>
      </c>
      <c r="B141" s="105" t="s">
        <v>167</v>
      </c>
      <c r="C141" s="74">
        <v>5325</v>
      </c>
      <c r="D141" s="74">
        <v>137335</v>
      </c>
      <c r="E141" s="74">
        <f t="shared" si="29"/>
        <v>142660</v>
      </c>
      <c r="F141" s="76">
        <f t="shared" si="30"/>
        <v>225</v>
      </c>
      <c r="G141" s="76">
        <f>SUMIF(F$6:F141,"&gt;0")</f>
        <v>103360</v>
      </c>
      <c r="H141" s="76">
        <f t="shared" si="31"/>
        <v>10500</v>
      </c>
      <c r="I141" s="76">
        <f t="shared" si="26"/>
        <v>10725</v>
      </c>
      <c r="J141" s="81">
        <f t="shared" si="32"/>
        <v>204.28571428571428</v>
      </c>
      <c r="K141" s="76">
        <f t="shared" si="28"/>
        <v>14695</v>
      </c>
      <c r="L141" s="74">
        <v>10450</v>
      </c>
      <c r="M141" s="74">
        <v>206</v>
      </c>
    </row>
    <row r="142" spans="1:13" x14ac:dyDescent="0.25">
      <c r="A142" s="77">
        <v>44066.272222222222</v>
      </c>
      <c r="C142" s="74">
        <v>6475</v>
      </c>
      <c r="D142" s="74">
        <v>137435</v>
      </c>
      <c r="E142" s="74">
        <f t="shared" si="29"/>
        <v>143910</v>
      </c>
      <c r="F142" s="76">
        <f t="shared" si="30"/>
        <v>1150</v>
      </c>
      <c r="G142" s="76">
        <f>SUMIF(F$6:F142,"&gt;0")</f>
        <v>104510</v>
      </c>
      <c r="H142" s="76">
        <f t="shared" si="31"/>
        <v>100</v>
      </c>
      <c r="I142" s="76">
        <f t="shared" si="26"/>
        <v>1250</v>
      </c>
      <c r="J142" s="81">
        <f t="shared" si="32"/>
        <v>23.80952380952381</v>
      </c>
      <c r="K142" s="76">
        <f t="shared" si="28"/>
        <v>14520</v>
      </c>
    </row>
    <row r="143" spans="1:13" x14ac:dyDescent="0.25">
      <c r="A143" s="77">
        <v>44067.181250000001</v>
      </c>
      <c r="B143" s="106"/>
      <c r="C143" s="74">
        <v>6900</v>
      </c>
      <c r="D143" s="74">
        <v>137485</v>
      </c>
      <c r="E143" s="74">
        <f t="shared" si="29"/>
        <v>144385</v>
      </c>
      <c r="F143" s="76">
        <f t="shared" si="30"/>
        <v>425</v>
      </c>
      <c r="G143" s="76">
        <f>SUMIF(F$6:F143,"&gt;0")</f>
        <v>104935</v>
      </c>
      <c r="H143" s="76">
        <f t="shared" si="31"/>
        <v>50</v>
      </c>
      <c r="I143" s="76">
        <f t="shared" si="26"/>
        <v>475</v>
      </c>
      <c r="J143" s="81">
        <f t="shared" si="32"/>
        <v>9.0476190476190474</v>
      </c>
      <c r="K143" s="76">
        <f t="shared" si="28"/>
        <v>14295</v>
      </c>
    </row>
    <row r="144" spans="1:13" x14ac:dyDescent="0.25">
      <c r="A144" s="77">
        <v>44068.261111111111</v>
      </c>
      <c r="B144" s="105" t="s">
        <v>168</v>
      </c>
      <c r="C144" s="74">
        <v>7000</v>
      </c>
      <c r="D144" s="74">
        <v>137565</v>
      </c>
      <c r="E144" s="74">
        <f t="shared" si="29"/>
        <v>144565</v>
      </c>
      <c r="F144" s="76">
        <f t="shared" si="30"/>
        <v>100</v>
      </c>
      <c r="G144" s="76">
        <f>SUMIF(F$6:F144,"&gt;0")</f>
        <v>105035</v>
      </c>
      <c r="H144" s="76">
        <f t="shared" si="31"/>
        <v>80</v>
      </c>
      <c r="I144" s="76">
        <f t="shared" si="26"/>
        <v>180</v>
      </c>
      <c r="J144" s="81">
        <f t="shared" si="32"/>
        <v>3.4285714285714288</v>
      </c>
      <c r="K144" s="76">
        <f t="shared" si="28"/>
        <v>14020</v>
      </c>
      <c r="L144" s="74">
        <v>480</v>
      </c>
      <c r="M144" s="74">
        <v>10</v>
      </c>
    </row>
    <row r="145" spans="1:13" x14ac:dyDescent="0.25">
      <c r="A145" s="77">
        <v>44071.268055555556</v>
      </c>
      <c r="C145" s="74">
        <v>9775</v>
      </c>
      <c r="D145" s="74">
        <v>137710</v>
      </c>
      <c r="E145" s="74">
        <f t="shared" si="29"/>
        <v>147485</v>
      </c>
      <c r="F145" s="76">
        <f t="shared" si="30"/>
        <v>2775</v>
      </c>
      <c r="G145" s="76">
        <f>SUMIF(F$6:F145,"&gt;0")</f>
        <v>107810</v>
      </c>
      <c r="H145" s="76">
        <f t="shared" si="31"/>
        <v>145</v>
      </c>
      <c r="I145" s="76">
        <f t="shared" si="26"/>
        <v>2920</v>
      </c>
      <c r="J145" s="81">
        <f t="shared" si="32"/>
        <v>55.61904761904762</v>
      </c>
      <c r="K145" s="76">
        <f t="shared" si="28"/>
        <v>16120</v>
      </c>
    </row>
    <row r="146" spans="1:13" x14ac:dyDescent="0.25">
      <c r="A146" s="77">
        <v>44073.192361111112</v>
      </c>
      <c r="B146" s="105" t="s">
        <v>169</v>
      </c>
      <c r="C146" s="74">
        <v>925</v>
      </c>
      <c r="D146" s="74">
        <v>102125</v>
      </c>
      <c r="E146" s="74">
        <f t="shared" si="29"/>
        <v>103050</v>
      </c>
      <c r="F146" s="76">
        <f t="shared" si="30"/>
        <v>-8850</v>
      </c>
      <c r="G146" s="76">
        <f>SUMIF(F$6:F146,"&gt;0")</f>
        <v>107810</v>
      </c>
      <c r="H146" s="76">
        <f t="shared" si="31"/>
        <v>-35585</v>
      </c>
      <c r="I146" s="76">
        <f t="shared" si="26"/>
        <v>-44435</v>
      </c>
      <c r="J146" s="81">
        <f t="shared" si="32"/>
        <v>-846.38095238095229</v>
      </c>
      <c r="K146" s="76">
        <f t="shared" si="28"/>
        <v>14195</v>
      </c>
      <c r="L146" s="74">
        <v>525</v>
      </c>
      <c r="M146" s="74">
        <v>7</v>
      </c>
    </row>
    <row r="147" spans="1:13" x14ac:dyDescent="0.25">
      <c r="A147" s="77">
        <v>44075.066666666666</v>
      </c>
      <c r="B147" s="105" t="s">
        <v>175</v>
      </c>
      <c r="C147" s="74">
        <v>1250</v>
      </c>
      <c r="D147" s="74">
        <v>99385</v>
      </c>
      <c r="E147" s="74">
        <f t="shared" si="29"/>
        <v>100635</v>
      </c>
      <c r="F147" s="76">
        <f t="shared" si="30"/>
        <v>325</v>
      </c>
      <c r="G147" s="76">
        <f>SUMIF(F$6:F147,"&gt;0")</f>
        <v>108135</v>
      </c>
      <c r="H147" s="76">
        <f t="shared" si="31"/>
        <v>-2740</v>
      </c>
      <c r="I147" s="76">
        <f t="shared" si="26"/>
        <v>-2415</v>
      </c>
      <c r="J147" s="81">
        <f t="shared" si="32"/>
        <v>-46</v>
      </c>
      <c r="K147" s="76">
        <f t="shared" si="28"/>
        <v>13610</v>
      </c>
    </row>
    <row r="148" spans="1:13" x14ac:dyDescent="0.25">
      <c r="A148" s="77">
        <v>44076.088888888888</v>
      </c>
      <c r="B148" s="105" t="s">
        <v>176</v>
      </c>
      <c r="C148" s="74">
        <v>1905</v>
      </c>
      <c r="D148" s="74">
        <v>99305</v>
      </c>
      <c r="E148" s="74">
        <f t="shared" si="29"/>
        <v>101210</v>
      </c>
      <c r="F148" s="76">
        <f t="shared" si="30"/>
        <v>655</v>
      </c>
      <c r="G148" s="76">
        <f>SUMIF(F$6:F148,"&gt;0")</f>
        <v>108790</v>
      </c>
      <c r="H148" s="76">
        <f t="shared" si="31"/>
        <v>-80</v>
      </c>
      <c r="I148" s="76">
        <f t="shared" si="26"/>
        <v>575</v>
      </c>
      <c r="J148" s="81">
        <f t="shared" si="32"/>
        <v>10.952380952380953</v>
      </c>
      <c r="K148" s="76">
        <f t="shared" si="28"/>
        <v>13840</v>
      </c>
    </row>
    <row r="149" spans="1:13" x14ac:dyDescent="0.25">
      <c r="A149" s="77">
        <v>44077.094444444447</v>
      </c>
      <c r="C149" s="74">
        <v>2005</v>
      </c>
      <c r="D149" s="74">
        <v>99355</v>
      </c>
      <c r="E149" s="74">
        <f t="shared" si="29"/>
        <v>101360</v>
      </c>
      <c r="F149" s="76">
        <f t="shared" si="30"/>
        <v>100</v>
      </c>
      <c r="G149" s="76">
        <f>SUMIF(F$6:F149,"&gt;0")</f>
        <v>108890</v>
      </c>
      <c r="H149" s="76">
        <f t="shared" si="31"/>
        <v>50</v>
      </c>
      <c r="I149" s="76">
        <f t="shared" si="26"/>
        <v>150</v>
      </c>
      <c r="J149" s="81">
        <f t="shared" si="32"/>
        <v>2.8571428571428568</v>
      </c>
      <c r="K149" s="76">
        <f t="shared" si="28"/>
        <v>13415</v>
      </c>
    </row>
    <row r="150" spans="1:13" x14ac:dyDescent="0.25">
      <c r="A150" s="77">
        <v>44078.844444444447</v>
      </c>
      <c r="C150" s="74">
        <v>2105</v>
      </c>
      <c r="D150" s="74">
        <v>99405</v>
      </c>
      <c r="E150" s="74">
        <f t="shared" si="29"/>
        <v>101510</v>
      </c>
      <c r="F150" s="76">
        <f t="shared" si="30"/>
        <v>100</v>
      </c>
      <c r="G150" s="76">
        <f>SUMIF(F$6:F150,"&gt;0")</f>
        <v>108990</v>
      </c>
      <c r="H150" s="76">
        <f t="shared" si="31"/>
        <v>50</v>
      </c>
      <c r="I150" s="76">
        <f t="shared" si="26"/>
        <v>150</v>
      </c>
      <c r="J150" s="81">
        <f t="shared" si="32"/>
        <v>2.8571428571428568</v>
      </c>
      <c r="K150" s="76">
        <f t="shared" si="28"/>
        <v>13515</v>
      </c>
    </row>
    <row r="151" spans="1:13" x14ac:dyDescent="0.25">
      <c r="A151" s="77">
        <v>44080.875</v>
      </c>
      <c r="C151" s="74">
        <v>2505</v>
      </c>
      <c r="D151" s="74">
        <v>173560</v>
      </c>
      <c r="E151" s="74">
        <f t="shared" si="29"/>
        <v>176065</v>
      </c>
      <c r="F151" s="76">
        <f t="shared" si="30"/>
        <v>400</v>
      </c>
      <c r="G151" s="76">
        <f>SUMIF(F$6:F151,"&gt;0")</f>
        <v>109390</v>
      </c>
      <c r="H151" s="76">
        <f t="shared" si="31"/>
        <v>74155</v>
      </c>
      <c r="I151" s="76">
        <f t="shared" si="26"/>
        <v>74555</v>
      </c>
      <c r="J151" s="81">
        <f t="shared" si="32"/>
        <v>1420.0952380952381</v>
      </c>
      <c r="K151" s="76">
        <f t="shared" si="28"/>
        <v>13315</v>
      </c>
      <c r="L151" s="74">
        <v>73525</v>
      </c>
      <c r="M151" s="74">
        <v>1407</v>
      </c>
    </row>
    <row r="152" spans="1:13" x14ac:dyDescent="0.25">
      <c r="A152" s="77">
        <v>44081.661111111112</v>
      </c>
      <c r="C152" s="74">
        <v>2805</v>
      </c>
      <c r="D152" s="74">
        <v>174135</v>
      </c>
      <c r="E152" s="74">
        <f t="shared" si="29"/>
        <v>176940</v>
      </c>
      <c r="F152" s="76">
        <f t="shared" si="30"/>
        <v>300</v>
      </c>
      <c r="G152" s="76">
        <f>SUMIF(F$6:F152,"&gt;0")</f>
        <v>109690</v>
      </c>
      <c r="H152" s="76">
        <f t="shared" si="31"/>
        <v>575</v>
      </c>
      <c r="I152" s="76">
        <f t="shared" si="26"/>
        <v>875</v>
      </c>
      <c r="J152" s="81">
        <f t="shared" si="32"/>
        <v>16.666666666666668</v>
      </c>
      <c r="K152" s="76">
        <f t="shared" si="28"/>
        <v>13215</v>
      </c>
      <c r="L152" s="74">
        <v>525</v>
      </c>
      <c r="M152" s="74">
        <v>7</v>
      </c>
    </row>
    <row r="153" spans="1:13" x14ac:dyDescent="0.25">
      <c r="A153" s="77">
        <v>44082.099305555559</v>
      </c>
      <c r="C153" s="74">
        <v>3180</v>
      </c>
      <c r="D153" s="74">
        <v>174185</v>
      </c>
      <c r="E153" s="74">
        <f t="shared" si="29"/>
        <v>177365</v>
      </c>
      <c r="F153" s="76">
        <f t="shared" si="30"/>
        <v>375</v>
      </c>
      <c r="G153" s="76">
        <f>SUMIF(F$6:F153,"&gt;0")</f>
        <v>110065</v>
      </c>
      <c r="H153" s="76">
        <f t="shared" si="31"/>
        <v>50</v>
      </c>
      <c r="I153" s="76">
        <f t="shared" ref="I153:I184" si="33">SUM(F153,H153)</f>
        <v>425</v>
      </c>
      <c r="J153" s="81">
        <f t="shared" si="32"/>
        <v>8.0952380952380949</v>
      </c>
      <c r="K153" s="76">
        <f t="shared" si="28"/>
        <v>13590</v>
      </c>
    </row>
    <row r="154" spans="1:13" x14ac:dyDescent="0.25">
      <c r="A154" s="77">
        <v>44083.069444444445</v>
      </c>
      <c r="C154" s="74">
        <v>3230</v>
      </c>
      <c r="D154" s="74">
        <v>174235</v>
      </c>
      <c r="E154" s="74">
        <f t="shared" si="29"/>
        <v>177465</v>
      </c>
      <c r="F154" s="76">
        <f t="shared" si="30"/>
        <v>50</v>
      </c>
      <c r="G154" s="76">
        <f>SUMIF(F$6:F154,"&gt;0")</f>
        <v>110115</v>
      </c>
      <c r="H154" s="76">
        <f t="shared" si="31"/>
        <v>50</v>
      </c>
      <c r="I154" s="76">
        <f t="shared" si="33"/>
        <v>100</v>
      </c>
      <c r="J154" s="81">
        <f t="shared" si="32"/>
        <v>1.9047619047619047</v>
      </c>
      <c r="K154" s="76">
        <f t="shared" si="28"/>
        <v>13540</v>
      </c>
    </row>
    <row r="155" spans="1:13" x14ac:dyDescent="0.25">
      <c r="A155" s="77">
        <v>44084.088194444441</v>
      </c>
      <c r="B155" s="105" t="s">
        <v>186</v>
      </c>
      <c r="C155" s="74">
        <v>3330</v>
      </c>
      <c r="D155" s="74">
        <v>173785</v>
      </c>
      <c r="E155" s="74">
        <f t="shared" si="29"/>
        <v>177115</v>
      </c>
      <c r="F155" s="76">
        <f t="shared" si="30"/>
        <v>100</v>
      </c>
      <c r="G155" s="76">
        <f>SUMIF(F$6:F155,"&gt;0")</f>
        <v>110215</v>
      </c>
      <c r="H155" s="76">
        <f t="shared" si="31"/>
        <v>-450</v>
      </c>
      <c r="I155" s="76">
        <f t="shared" si="33"/>
        <v>-350</v>
      </c>
      <c r="J155" s="81">
        <f t="shared" si="32"/>
        <v>-6.6666666666666661</v>
      </c>
      <c r="K155" s="76">
        <f t="shared" si="28"/>
        <v>13465</v>
      </c>
    </row>
    <row r="156" spans="1:13" x14ac:dyDescent="0.25">
      <c r="A156" s="77">
        <v>44085.643055555556</v>
      </c>
      <c r="B156" s="105" t="s">
        <v>188</v>
      </c>
      <c r="C156" s="74">
        <v>4210</v>
      </c>
      <c r="D156" s="74">
        <v>174415</v>
      </c>
      <c r="E156" s="74">
        <f t="shared" si="29"/>
        <v>178625</v>
      </c>
      <c r="F156" s="76">
        <f t="shared" si="30"/>
        <v>880</v>
      </c>
      <c r="G156" s="76">
        <f>SUMIF(F$6:F156,"&gt;0")</f>
        <v>111095</v>
      </c>
      <c r="H156" s="76">
        <f t="shared" si="31"/>
        <v>630</v>
      </c>
      <c r="I156" s="76">
        <f t="shared" si="33"/>
        <v>1510</v>
      </c>
      <c r="J156" s="81">
        <f t="shared" si="32"/>
        <v>28.761904761904763</v>
      </c>
      <c r="K156" s="76">
        <f t="shared" si="28"/>
        <v>14345</v>
      </c>
      <c r="L156" s="74">
        <v>480</v>
      </c>
      <c r="M156" s="74">
        <v>10</v>
      </c>
    </row>
    <row r="157" spans="1:13" x14ac:dyDescent="0.25">
      <c r="A157" s="77">
        <v>44086.419444444444</v>
      </c>
      <c r="B157" s="105" t="s">
        <v>189</v>
      </c>
      <c r="C157" s="74">
        <v>610</v>
      </c>
      <c r="D157" s="74">
        <v>131185</v>
      </c>
      <c r="E157" s="74">
        <f t="shared" si="29"/>
        <v>131795</v>
      </c>
      <c r="F157" s="76">
        <f t="shared" si="30"/>
        <v>-3600</v>
      </c>
      <c r="G157" s="76">
        <f>SUMIF(F$6:F157,"&gt;0")</f>
        <v>111095</v>
      </c>
      <c r="H157" s="76">
        <f t="shared" si="31"/>
        <v>-43230</v>
      </c>
      <c r="I157" s="76">
        <f t="shared" si="33"/>
        <v>-46830</v>
      </c>
      <c r="J157" s="81">
        <f t="shared" si="32"/>
        <v>-892</v>
      </c>
      <c r="K157" s="76">
        <f t="shared" si="28"/>
        <v>14345</v>
      </c>
    </row>
    <row r="158" spans="1:13" x14ac:dyDescent="0.25">
      <c r="A158" s="77">
        <v>44087.070138888892</v>
      </c>
      <c r="C158" s="74">
        <v>670</v>
      </c>
      <c r="D158" s="74">
        <v>131235</v>
      </c>
      <c r="E158" s="74">
        <f t="shared" si="29"/>
        <v>131905</v>
      </c>
      <c r="F158" s="76">
        <f t="shared" si="30"/>
        <v>60</v>
      </c>
      <c r="G158" s="76">
        <f>SUMIF(F$6:F158,"&gt;0")</f>
        <v>111155</v>
      </c>
      <c r="H158" s="76">
        <f t="shared" si="31"/>
        <v>50</v>
      </c>
      <c r="I158" s="76">
        <f t="shared" si="33"/>
        <v>110</v>
      </c>
      <c r="J158" s="81">
        <f t="shared" si="32"/>
        <v>2.0952380952380953</v>
      </c>
      <c r="K158" s="76">
        <f t="shared" si="28"/>
        <v>13035</v>
      </c>
    </row>
    <row r="159" spans="1:13" x14ac:dyDescent="0.25">
      <c r="A159" s="77">
        <v>44089.077777777777</v>
      </c>
      <c r="C159" s="74">
        <v>1250</v>
      </c>
      <c r="D159" s="74">
        <v>131335</v>
      </c>
      <c r="E159" s="74">
        <f t="shared" si="29"/>
        <v>132585</v>
      </c>
      <c r="F159" s="76">
        <f t="shared" si="30"/>
        <v>580</v>
      </c>
      <c r="G159" s="76">
        <f>SUMIF(F$6:F159,"&gt;0")</f>
        <v>111735</v>
      </c>
      <c r="H159" s="76">
        <f t="shared" si="31"/>
        <v>100</v>
      </c>
      <c r="I159" s="76">
        <f t="shared" si="33"/>
        <v>680</v>
      </c>
      <c r="J159" s="81">
        <f t="shared" si="32"/>
        <v>12.952380952380953</v>
      </c>
      <c r="K159" s="76">
        <f t="shared" si="28"/>
        <v>13265</v>
      </c>
    </row>
    <row r="160" spans="1:13" x14ac:dyDescent="0.25">
      <c r="A160" s="77">
        <v>44090.068055555559</v>
      </c>
      <c r="C160" s="74">
        <v>1610</v>
      </c>
      <c r="D160" s="74">
        <v>131385</v>
      </c>
      <c r="E160" s="74">
        <f t="shared" si="29"/>
        <v>132995</v>
      </c>
      <c r="F160" s="76">
        <f t="shared" si="30"/>
        <v>360</v>
      </c>
      <c r="G160" s="76">
        <f>SUMIF(F$6:F160,"&gt;0")</f>
        <v>112095</v>
      </c>
      <c r="H160" s="76">
        <f t="shared" si="31"/>
        <v>50</v>
      </c>
      <c r="I160" s="76">
        <f t="shared" si="33"/>
        <v>410</v>
      </c>
      <c r="J160" s="81">
        <f t="shared" si="32"/>
        <v>7.8095238095238093</v>
      </c>
      <c r="K160" s="76">
        <f t="shared" si="28"/>
        <v>13625</v>
      </c>
    </row>
    <row r="161" spans="1:13" x14ac:dyDescent="0.25">
      <c r="A161" s="77">
        <v>44091.87777777778</v>
      </c>
      <c r="C161" s="74">
        <v>2030</v>
      </c>
      <c r="D161" s="74">
        <v>131435</v>
      </c>
      <c r="E161" s="74">
        <f t="shared" si="29"/>
        <v>133465</v>
      </c>
      <c r="F161" s="76">
        <f t="shared" si="30"/>
        <v>420</v>
      </c>
      <c r="G161" s="76">
        <f>SUMIF(F$6:F161,"&gt;0")</f>
        <v>112515</v>
      </c>
      <c r="H161" s="76">
        <f t="shared" si="31"/>
        <v>50</v>
      </c>
      <c r="I161" s="76">
        <f t="shared" si="33"/>
        <v>470</v>
      </c>
      <c r="J161" s="81">
        <f t="shared" si="32"/>
        <v>8.9523809523809526</v>
      </c>
      <c r="K161" s="76">
        <f t="shared" si="28"/>
        <v>10155</v>
      </c>
    </row>
    <row r="162" spans="1:13" x14ac:dyDescent="0.25">
      <c r="A162" s="77">
        <v>44092.488194444442</v>
      </c>
      <c r="B162" s="105" t="s">
        <v>190</v>
      </c>
      <c r="C162" s="74">
        <v>2090</v>
      </c>
      <c r="D162" s="74">
        <v>131015</v>
      </c>
      <c r="E162" s="74">
        <f t="shared" si="29"/>
        <v>133105</v>
      </c>
      <c r="F162" s="76">
        <f t="shared" si="30"/>
        <v>60</v>
      </c>
      <c r="G162" s="76">
        <f>SUMIF(F$6:F162,"&gt;0")</f>
        <v>112575</v>
      </c>
      <c r="H162" s="76">
        <f t="shared" si="31"/>
        <v>-420</v>
      </c>
      <c r="I162" s="76">
        <f t="shared" si="33"/>
        <v>-360</v>
      </c>
      <c r="J162" s="81">
        <f t="shared" si="32"/>
        <v>-6.8571428571428577</v>
      </c>
      <c r="K162" s="76">
        <f t="shared" si="28"/>
        <v>10215</v>
      </c>
      <c r="L162" s="74">
        <v>480</v>
      </c>
      <c r="M162" s="74">
        <v>10</v>
      </c>
    </row>
    <row r="163" spans="1:13" x14ac:dyDescent="0.25">
      <c r="A163" s="77">
        <v>44093.272916666669</v>
      </c>
      <c r="C163" s="74">
        <v>2150</v>
      </c>
      <c r="D163" s="74">
        <v>131065</v>
      </c>
      <c r="E163" s="74">
        <f t="shared" si="29"/>
        <v>133215</v>
      </c>
      <c r="F163" s="76">
        <f t="shared" si="30"/>
        <v>60</v>
      </c>
      <c r="G163" s="76">
        <f>SUMIF(F$6:F163,"&gt;0")</f>
        <v>112635</v>
      </c>
      <c r="H163" s="76">
        <f t="shared" si="31"/>
        <v>50</v>
      </c>
      <c r="I163" s="76">
        <f t="shared" si="33"/>
        <v>110</v>
      </c>
      <c r="J163" s="81">
        <f t="shared" si="32"/>
        <v>2.0952380952380953</v>
      </c>
      <c r="K163" s="76">
        <f t="shared" si="28"/>
        <v>10150</v>
      </c>
    </row>
    <row r="164" spans="1:13" x14ac:dyDescent="0.25">
      <c r="A164" s="77">
        <v>44094.209027777775</v>
      </c>
      <c r="C164" s="74">
        <v>2210</v>
      </c>
      <c r="D164" s="74">
        <v>131115</v>
      </c>
      <c r="E164" s="74">
        <f t="shared" si="29"/>
        <v>133325</v>
      </c>
      <c r="F164" s="76">
        <f t="shared" si="30"/>
        <v>60</v>
      </c>
      <c r="G164" s="76">
        <f>SUMIF(F$6:F164,"&gt;0")</f>
        <v>112695</v>
      </c>
      <c r="H164" s="76">
        <f t="shared" si="31"/>
        <v>50</v>
      </c>
      <c r="I164" s="76">
        <f t="shared" si="33"/>
        <v>110</v>
      </c>
      <c r="J164" s="81">
        <f t="shared" si="32"/>
        <v>2.0952380952380953</v>
      </c>
      <c r="K164" s="76">
        <f t="shared" si="28"/>
        <v>9560</v>
      </c>
    </row>
    <row r="165" spans="1:13" x14ac:dyDescent="0.25">
      <c r="A165" s="77">
        <v>44095.466666666667</v>
      </c>
      <c r="B165" s="105" t="s">
        <v>199</v>
      </c>
      <c r="C165" s="74">
        <v>3785</v>
      </c>
      <c r="D165" s="74">
        <v>131690</v>
      </c>
      <c r="E165" s="74">
        <f t="shared" si="29"/>
        <v>135475</v>
      </c>
      <c r="F165" s="76">
        <f t="shared" si="30"/>
        <v>1575</v>
      </c>
      <c r="G165" s="76">
        <f>SUMIF(F$6:F165,"&gt;0")</f>
        <v>114270</v>
      </c>
      <c r="H165" s="76">
        <f t="shared" si="31"/>
        <v>575</v>
      </c>
      <c r="I165" s="76">
        <f t="shared" si="33"/>
        <v>2150</v>
      </c>
      <c r="J165" s="81">
        <f t="shared" si="32"/>
        <v>40.952380952380949</v>
      </c>
      <c r="K165" s="76">
        <f t="shared" si="28"/>
        <v>10910</v>
      </c>
      <c r="L165" s="74">
        <v>525</v>
      </c>
      <c r="M165" s="74">
        <v>7</v>
      </c>
    </row>
    <row r="166" spans="1:13" x14ac:dyDescent="0.25">
      <c r="A166" s="77">
        <v>44096.39166666667</v>
      </c>
      <c r="C166" s="74">
        <v>4335</v>
      </c>
      <c r="D166" s="74">
        <v>131740</v>
      </c>
      <c r="E166" s="74">
        <f t="shared" si="29"/>
        <v>136075</v>
      </c>
      <c r="F166" s="76">
        <f t="shared" si="30"/>
        <v>550</v>
      </c>
      <c r="G166" s="76">
        <f>SUMIF(F$6:F166,"&gt;0")</f>
        <v>114820</v>
      </c>
      <c r="H166" s="76">
        <f t="shared" si="31"/>
        <v>50</v>
      </c>
      <c r="I166" s="76">
        <f t="shared" si="33"/>
        <v>600</v>
      </c>
      <c r="J166" s="81">
        <f t="shared" si="32"/>
        <v>11.428571428571427</v>
      </c>
      <c r="K166" s="76">
        <f t="shared" si="28"/>
        <v>10310</v>
      </c>
    </row>
    <row r="167" spans="1:13" x14ac:dyDescent="0.25">
      <c r="A167" s="77">
        <v>44097.388888888891</v>
      </c>
      <c r="C167" s="74">
        <v>4585</v>
      </c>
      <c r="D167" s="74">
        <v>131790</v>
      </c>
      <c r="E167" s="74">
        <f t="shared" si="29"/>
        <v>136375</v>
      </c>
      <c r="F167" s="76">
        <f t="shared" si="30"/>
        <v>250</v>
      </c>
      <c r="G167" s="76">
        <f>SUMIF(F$6:F167,"&gt;0")</f>
        <v>115070</v>
      </c>
      <c r="H167" s="76">
        <f t="shared" si="31"/>
        <v>50</v>
      </c>
      <c r="I167" s="76">
        <f t="shared" si="33"/>
        <v>300</v>
      </c>
      <c r="J167" s="81">
        <f t="shared" si="32"/>
        <v>5.7142857142857135</v>
      </c>
      <c r="K167" s="76">
        <f t="shared" si="28"/>
        <v>10135</v>
      </c>
    </row>
    <row r="168" spans="1:13" x14ac:dyDescent="0.25">
      <c r="A168" s="77">
        <v>44098.445833333331</v>
      </c>
      <c r="B168" s="105" t="s">
        <v>200</v>
      </c>
      <c r="C168" s="74">
        <v>4760</v>
      </c>
      <c r="D168" s="74">
        <v>131770</v>
      </c>
      <c r="E168" s="74">
        <f t="shared" si="29"/>
        <v>136530</v>
      </c>
      <c r="F168" s="76">
        <f t="shared" si="30"/>
        <v>175</v>
      </c>
      <c r="G168" s="76">
        <f>SUMIF(F$6:F168,"&gt;0")</f>
        <v>115245</v>
      </c>
      <c r="H168" s="76">
        <f t="shared" si="31"/>
        <v>-20</v>
      </c>
      <c r="I168" s="76">
        <f t="shared" si="33"/>
        <v>155</v>
      </c>
      <c r="J168" s="81">
        <f t="shared" si="32"/>
        <v>2.9523809523809526</v>
      </c>
      <c r="K168" s="76">
        <f t="shared" si="28"/>
        <v>10210</v>
      </c>
    </row>
    <row r="169" spans="1:13" x14ac:dyDescent="0.25">
      <c r="A169" s="77">
        <v>44099.1</v>
      </c>
      <c r="B169" s="105" t="s">
        <v>201</v>
      </c>
      <c r="C169" s="74">
        <v>6125</v>
      </c>
      <c r="D169" s="74">
        <v>137890</v>
      </c>
      <c r="E169" s="74">
        <f t="shared" si="29"/>
        <v>144015</v>
      </c>
      <c r="F169" s="76">
        <f t="shared" si="30"/>
        <v>1365</v>
      </c>
      <c r="G169" s="76">
        <f>SUMIF(F$6:F169,"&gt;0")</f>
        <v>116610</v>
      </c>
      <c r="H169" s="76">
        <f t="shared" si="31"/>
        <v>6120</v>
      </c>
      <c r="I169" s="76">
        <f t="shared" si="33"/>
        <v>7485</v>
      </c>
      <c r="J169" s="81">
        <f t="shared" si="32"/>
        <v>142.57142857142858</v>
      </c>
      <c r="K169" s="76">
        <f t="shared" si="28"/>
        <v>11575</v>
      </c>
    </row>
    <row r="170" spans="1:13" x14ac:dyDescent="0.25">
      <c r="A170" s="77">
        <v>44100.588888888888</v>
      </c>
      <c r="B170" s="105" t="s">
        <v>242</v>
      </c>
      <c r="C170" s="74">
        <v>6510</v>
      </c>
      <c r="D170" s="74">
        <v>133590</v>
      </c>
      <c r="E170" s="74">
        <f t="shared" si="29"/>
        <v>140100</v>
      </c>
      <c r="F170" s="76">
        <f t="shared" ref="F170:F189" si="34">C170-C169</f>
        <v>385</v>
      </c>
      <c r="G170" s="76">
        <f>SUMIF(F$6:F170,"&gt;0")</f>
        <v>116995</v>
      </c>
      <c r="H170" s="76">
        <f t="shared" ref="H170:H189" si="35">D170-D169</f>
        <v>-4300</v>
      </c>
      <c r="I170" s="76">
        <f t="shared" si="33"/>
        <v>-3915</v>
      </c>
      <c r="J170" s="81">
        <f t="shared" ref="J170:J190" si="36">I170/4200*80</f>
        <v>-74.571428571428569</v>
      </c>
      <c r="K170" s="76">
        <f t="shared" si="28"/>
        <v>11960</v>
      </c>
    </row>
    <row r="171" spans="1:13" x14ac:dyDescent="0.25">
      <c r="A171" s="77">
        <v>44101.04791666667</v>
      </c>
      <c r="B171" s="105" t="s">
        <v>223</v>
      </c>
      <c r="C171" s="74">
        <v>3760</v>
      </c>
      <c r="D171" s="74">
        <v>133590</v>
      </c>
      <c r="E171" s="74">
        <f t="shared" si="29"/>
        <v>137350</v>
      </c>
      <c r="F171" s="76">
        <f t="shared" si="34"/>
        <v>-2750</v>
      </c>
      <c r="G171" s="76">
        <f>SUMIF(F$6:F171,"&gt;0")</f>
        <v>116995</v>
      </c>
      <c r="H171" s="76">
        <f t="shared" si="35"/>
        <v>0</v>
      </c>
      <c r="I171" s="76">
        <f t="shared" si="33"/>
        <v>-2750</v>
      </c>
      <c r="J171" s="81">
        <f t="shared" si="36"/>
        <v>-52.38095238095238</v>
      </c>
      <c r="K171" s="76">
        <f t="shared" si="28"/>
        <v>11960</v>
      </c>
    </row>
    <row r="172" spans="1:13" x14ac:dyDescent="0.25">
      <c r="A172" s="77">
        <v>44101.078472222223</v>
      </c>
      <c r="B172" s="105" t="s">
        <v>251</v>
      </c>
      <c r="C172" s="74">
        <v>4410</v>
      </c>
      <c r="D172" s="74">
        <v>140540</v>
      </c>
      <c r="E172" s="74">
        <f t="shared" si="29"/>
        <v>144950</v>
      </c>
      <c r="F172" s="76">
        <f t="shared" si="34"/>
        <v>650</v>
      </c>
      <c r="G172" s="76">
        <f>SUMIF(F$6:F172,"&gt;0")</f>
        <v>117645</v>
      </c>
      <c r="H172" s="76">
        <f t="shared" si="35"/>
        <v>6950</v>
      </c>
      <c r="I172" s="76">
        <f t="shared" si="33"/>
        <v>7600</v>
      </c>
      <c r="J172" s="81">
        <f t="shared" si="36"/>
        <v>144.76190476190476</v>
      </c>
      <c r="K172" s="76">
        <f t="shared" si="28"/>
        <v>12610</v>
      </c>
      <c r="L172" s="74">
        <v>6900</v>
      </c>
      <c r="M172" s="74">
        <v>97</v>
      </c>
    </row>
    <row r="173" spans="1:13" x14ac:dyDescent="0.25">
      <c r="A173" s="77">
        <v>44102.477083333331</v>
      </c>
      <c r="B173" s="105" t="s">
        <v>223</v>
      </c>
      <c r="C173" s="74">
        <v>100</v>
      </c>
      <c r="D173" s="74">
        <v>140170</v>
      </c>
      <c r="E173" s="74">
        <f t="shared" si="29"/>
        <v>140270</v>
      </c>
      <c r="F173" s="76">
        <f t="shared" si="34"/>
        <v>-4310</v>
      </c>
      <c r="G173" s="76">
        <f>SUMIF(F$6:F173,"&gt;0")</f>
        <v>117645</v>
      </c>
      <c r="H173" s="76">
        <f t="shared" si="35"/>
        <v>-370</v>
      </c>
      <c r="I173" s="76">
        <f t="shared" si="33"/>
        <v>-4680</v>
      </c>
      <c r="J173" s="81">
        <f t="shared" si="36"/>
        <v>-89.142857142857139</v>
      </c>
      <c r="K173" s="76">
        <f t="shared" si="28"/>
        <v>9835</v>
      </c>
    </row>
    <row r="174" spans="1:13" x14ac:dyDescent="0.25">
      <c r="A174" s="77">
        <v>44103.054166666669</v>
      </c>
      <c r="C174" s="74">
        <v>10</v>
      </c>
      <c r="D174" s="74">
        <v>137400</v>
      </c>
      <c r="E174" s="74">
        <f t="shared" si="29"/>
        <v>137410</v>
      </c>
      <c r="F174" s="76">
        <f t="shared" si="34"/>
        <v>-90</v>
      </c>
      <c r="G174" s="76">
        <f>SUMIF(F$6:F174,"&gt;0")</f>
        <v>117645</v>
      </c>
      <c r="H174" s="76">
        <f t="shared" si="35"/>
        <v>-2770</v>
      </c>
      <c r="I174" s="76">
        <f t="shared" si="33"/>
        <v>-2860</v>
      </c>
      <c r="J174" s="81">
        <f t="shared" si="36"/>
        <v>-54.476190476190482</v>
      </c>
      <c r="K174" s="76">
        <f t="shared" si="28"/>
        <v>9835</v>
      </c>
    </row>
    <row r="175" spans="1:13" x14ac:dyDescent="0.25">
      <c r="A175" s="77">
        <v>44103.058333333334</v>
      </c>
      <c r="B175" s="105" t="s">
        <v>260</v>
      </c>
      <c r="C175" s="74">
        <v>210</v>
      </c>
      <c r="D175" s="74">
        <v>145430</v>
      </c>
      <c r="E175" s="74">
        <f t="shared" si="29"/>
        <v>145640</v>
      </c>
      <c r="F175" s="76">
        <f t="shared" si="34"/>
        <v>200</v>
      </c>
      <c r="G175" s="76">
        <f>SUMIF(F$6:F175,"&gt;0")</f>
        <v>117845</v>
      </c>
      <c r="H175" s="76">
        <f t="shared" si="35"/>
        <v>8030</v>
      </c>
      <c r="I175" s="76">
        <f t="shared" si="33"/>
        <v>8230</v>
      </c>
      <c r="J175" s="81">
        <f t="shared" si="36"/>
        <v>156.76190476190476</v>
      </c>
      <c r="K175" s="76">
        <f t="shared" si="28"/>
        <v>10035</v>
      </c>
      <c r="L175" s="74">
        <v>8000</v>
      </c>
      <c r="M175" s="74">
        <v>160</v>
      </c>
    </row>
    <row r="176" spans="1:13" x14ac:dyDescent="0.25">
      <c r="A176" s="77">
        <v>44104.373611111114</v>
      </c>
      <c r="B176" s="105" t="s">
        <v>261</v>
      </c>
      <c r="C176" s="74">
        <v>920</v>
      </c>
      <c r="D176" s="74">
        <v>117010</v>
      </c>
      <c r="E176" s="74">
        <f t="shared" si="29"/>
        <v>117930</v>
      </c>
      <c r="F176" s="76">
        <f t="shared" si="34"/>
        <v>710</v>
      </c>
      <c r="G176" s="76">
        <f>SUMIF(F$6:F176,"&gt;0")</f>
        <v>118555</v>
      </c>
      <c r="H176" s="76">
        <f t="shared" si="35"/>
        <v>-28420</v>
      </c>
      <c r="I176" s="76">
        <f t="shared" si="33"/>
        <v>-27710</v>
      </c>
      <c r="J176" s="81">
        <f t="shared" si="36"/>
        <v>-527.80952380952374</v>
      </c>
      <c r="K176" s="76">
        <f t="shared" si="28"/>
        <v>10745</v>
      </c>
    </row>
    <row r="177" spans="1:13" x14ac:dyDescent="0.25">
      <c r="A177" s="77">
        <v>44104.456944444442</v>
      </c>
      <c r="B177" s="105" t="s">
        <v>263</v>
      </c>
      <c r="C177" s="74">
        <v>830</v>
      </c>
      <c r="D177" s="74">
        <v>117010</v>
      </c>
      <c r="E177" s="74">
        <f t="shared" si="29"/>
        <v>117840</v>
      </c>
      <c r="F177" s="76">
        <f t="shared" si="34"/>
        <v>-90</v>
      </c>
      <c r="G177" s="76">
        <f>SUMIF(F$6:F177,"&gt;0")</f>
        <v>118555</v>
      </c>
      <c r="H177" s="76">
        <f t="shared" si="35"/>
        <v>0</v>
      </c>
      <c r="I177" s="76">
        <f t="shared" si="33"/>
        <v>-90</v>
      </c>
      <c r="J177" s="81">
        <f t="shared" si="36"/>
        <v>-1.7142857142857144</v>
      </c>
      <c r="K177" s="76">
        <f t="shared" si="28"/>
        <v>10745</v>
      </c>
    </row>
    <row r="178" spans="1:13" x14ac:dyDescent="0.25">
      <c r="A178" s="77">
        <v>44104.540277777778</v>
      </c>
      <c r="B178" s="105" t="s">
        <v>264</v>
      </c>
      <c r="C178" s="74">
        <v>1830</v>
      </c>
      <c r="D178" s="74">
        <v>117010</v>
      </c>
      <c r="E178" s="74">
        <f t="shared" si="29"/>
        <v>118840</v>
      </c>
      <c r="F178" s="76">
        <f t="shared" si="34"/>
        <v>1000</v>
      </c>
      <c r="G178" s="76">
        <f>SUMIF(F$6:F178,"&gt;0")</f>
        <v>119555</v>
      </c>
      <c r="H178" s="76">
        <f t="shared" si="35"/>
        <v>0</v>
      </c>
      <c r="I178" s="76">
        <f t="shared" si="33"/>
        <v>1000</v>
      </c>
      <c r="J178" s="81">
        <f t="shared" si="36"/>
        <v>19.047619047619047</v>
      </c>
      <c r="K178" s="76">
        <f t="shared" si="28"/>
        <v>11745</v>
      </c>
    </row>
    <row r="179" spans="1:13" x14ac:dyDescent="0.25">
      <c r="A179" s="77">
        <v>44105.105555555558</v>
      </c>
      <c r="B179" s="105" t="s">
        <v>266</v>
      </c>
      <c r="C179" s="74">
        <v>1150</v>
      </c>
      <c r="D179" s="74">
        <v>115230</v>
      </c>
      <c r="E179" s="74">
        <f t="shared" si="29"/>
        <v>116380</v>
      </c>
      <c r="F179" s="76">
        <f t="shared" si="34"/>
        <v>-680</v>
      </c>
      <c r="G179" s="76">
        <f>SUMIF(F$6:F179,"&gt;0")</f>
        <v>119555</v>
      </c>
      <c r="H179" s="76">
        <f t="shared" si="35"/>
        <v>-1780</v>
      </c>
      <c r="I179" s="76">
        <f t="shared" si="33"/>
        <v>-2460</v>
      </c>
      <c r="J179" s="81">
        <f t="shared" si="36"/>
        <v>-46.857142857142861</v>
      </c>
      <c r="K179" s="76">
        <f t="shared" si="28"/>
        <v>11420</v>
      </c>
    </row>
    <row r="180" spans="1:13" x14ac:dyDescent="0.25">
      <c r="A180" s="77">
        <v>44106.066666666666</v>
      </c>
      <c r="B180" s="105" t="s">
        <v>267</v>
      </c>
      <c r="C180" s="74">
        <v>3690</v>
      </c>
      <c r="D180" s="74">
        <v>115250</v>
      </c>
      <c r="E180" s="74">
        <f t="shared" si="29"/>
        <v>118940</v>
      </c>
      <c r="F180" s="76">
        <f t="shared" si="34"/>
        <v>2540</v>
      </c>
      <c r="G180" s="76">
        <f>SUMIF(F$6:F180,"&gt;0")</f>
        <v>122095</v>
      </c>
      <c r="H180" s="76">
        <f t="shared" si="35"/>
        <v>20</v>
      </c>
      <c r="I180" s="76">
        <f t="shared" si="33"/>
        <v>2560</v>
      </c>
      <c r="J180" s="81">
        <f t="shared" si="36"/>
        <v>48.761904761904766</v>
      </c>
      <c r="K180" s="76">
        <f t="shared" si="28"/>
        <v>13960</v>
      </c>
    </row>
    <row r="181" spans="1:13" x14ac:dyDescent="0.25">
      <c r="A181" s="77">
        <v>44107.056944444441</v>
      </c>
      <c r="C181" s="74">
        <v>3815</v>
      </c>
      <c r="D181" s="74">
        <v>115270</v>
      </c>
      <c r="E181" s="74">
        <f t="shared" si="29"/>
        <v>119085</v>
      </c>
      <c r="F181" s="76">
        <f t="shared" si="34"/>
        <v>125</v>
      </c>
      <c r="G181" s="76">
        <f>SUMIF(F$6:F181,"&gt;0")</f>
        <v>122220</v>
      </c>
      <c r="H181" s="76">
        <f t="shared" si="35"/>
        <v>20</v>
      </c>
      <c r="I181" s="76">
        <f t="shared" si="33"/>
        <v>145</v>
      </c>
      <c r="J181" s="81">
        <f t="shared" si="36"/>
        <v>2.7619047619047619</v>
      </c>
      <c r="K181" s="76">
        <f t="shared" si="28"/>
        <v>13430</v>
      </c>
    </row>
    <row r="182" spans="1:13" x14ac:dyDescent="0.25">
      <c r="A182" s="77">
        <v>44108.432638888888</v>
      </c>
      <c r="C182" s="74">
        <v>3915</v>
      </c>
      <c r="D182" s="74">
        <v>115290</v>
      </c>
      <c r="E182" s="74">
        <f t="shared" si="29"/>
        <v>119205</v>
      </c>
      <c r="F182" s="76">
        <f t="shared" si="34"/>
        <v>100</v>
      </c>
      <c r="G182" s="76">
        <f>SUMIF(F$6:F182,"&gt;0")</f>
        <v>122320</v>
      </c>
      <c r="H182" s="76">
        <f t="shared" si="35"/>
        <v>20</v>
      </c>
      <c r="I182" s="76">
        <f t="shared" si="33"/>
        <v>120</v>
      </c>
      <c r="J182" s="81">
        <f t="shared" si="36"/>
        <v>2.2857142857142856</v>
      </c>
      <c r="K182" s="76">
        <f t="shared" si="28"/>
        <v>13430</v>
      </c>
    </row>
    <row r="183" spans="1:13" x14ac:dyDescent="0.25">
      <c r="A183" s="77">
        <v>44109.045138888891</v>
      </c>
      <c r="C183" s="74">
        <v>4915</v>
      </c>
      <c r="D183" s="74">
        <v>115290</v>
      </c>
      <c r="E183" s="74">
        <f t="shared" si="29"/>
        <v>120205</v>
      </c>
      <c r="F183" s="76">
        <f t="shared" si="34"/>
        <v>1000</v>
      </c>
      <c r="G183" s="76">
        <f>SUMIF(F$6:F183,"&gt;0")</f>
        <v>123320</v>
      </c>
      <c r="H183" s="76">
        <f t="shared" si="35"/>
        <v>0</v>
      </c>
      <c r="I183" s="76">
        <f t="shared" si="33"/>
        <v>1000</v>
      </c>
      <c r="J183" s="81">
        <f t="shared" si="36"/>
        <v>19.047619047619047</v>
      </c>
      <c r="K183" s="76">
        <f t="shared" si="28"/>
        <v>14330</v>
      </c>
    </row>
    <row r="184" spans="1:13" x14ac:dyDescent="0.25">
      <c r="A184" s="77">
        <v>44110.046527777777</v>
      </c>
      <c r="B184" s="105" t="s">
        <v>268</v>
      </c>
      <c r="C184" s="74">
        <v>3715</v>
      </c>
      <c r="D184" s="74">
        <v>90060</v>
      </c>
      <c r="E184" s="74">
        <f t="shared" si="29"/>
        <v>93775</v>
      </c>
      <c r="F184" s="76">
        <f t="shared" si="34"/>
        <v>-1200</v>
      </c>
      <c r="G184" s="76">
        <f>SUMIF(F$6:F184,"&gt;0")</f>
        <v>123320</v>
      </c>
      <c r="H184" s="76">
        <f t="shared" si="35"/>
        <v>-25230</v>
      </c>
      <c r="I184" s="76">
        <f t="shared" si="33"/>
        <v>-26430</v>
      </c>
      <c r="J184" s="81">
        <f t="shared" si="36"/>
        <v>-503.42857142857144</v>
      </c>
      <c r="K184" s="76">
        <f t="shared" si="28"/>
        <v>14330</v>
      </c>
      <c r="L184" s="74">
        <v>480</v>
      </c>
      <c r="M184" s="74">
        <v>10</v>
      </c>
    </row>
    <row r="185" spans="1:13" x14ac:dyDescent="0.25">
      <c r="A185" s="77">
        <v>44110.083333333336</v>
      </c>
      <c r="C185" s="74">
        <v>6175</v>
      </c>
      <c r="D185" s="74">
        <v>90660</v>
      </c>
      <c r="E185" s="74">
        <f t="shared" si="29"/>
        <v>96835</v>
      </c>
      <c r="F185" s="76">
        <f t="shared" si="34"/>
        <v>2460</v>
      </c>
      <c r="G185" s="76">
        <f>SUMIF(F$6:F185,"&gt;0")</f>
        <v>125780</v>
      </c>
      <c r="H185" s="76">
        <f t="shared" si="35"/>
        <v>600</v>
      </c>
      <c r="I185" s="76">
        <f t="shared" ref="I185:I248" si="37">SUM(F185,H185)</f>
        <v>3060</v>
      </c>
      <c r="J185" s="81">
        <f t="shared" si="36"/>
        <v>58.285714285714285</v>
      </c>
      <c r="K185" s="76">
        <f t="shared" si="28"/>
        <v>16790</v>
      </c>
    </row>
    <row r="186" spans="1:13" x14ac:dyDescent="0.25">
      <c r="A186" s="77">
        <v>44111.042361111111</v>
      </c>
      <c r="B186" s="105" t="s">
        <v>269</v>
      </c>
      <c r="C186" s="74">
        <v>2875</v>
      </c>
      <c r="D186" s="74">
        <v>90660</v>
      </c>
      <c r="E186" s="74">
        <f t="shared" si="29"/>
        <v>93535</v>
      </c>
      <c r="F186" s="76">
        <f t="shared" si="34"/>
        <v>-3300</v>
      </c>
      <c r="G186" s="76">
        <f>SUMIF(F$6:F186,"&gt;0")</f>
        <v>125780</v>
      </c>
      <c r="H186" s="76">
        <f t="shared" si="35"/>
        <v>0</v>
      </c>
      <c r="I186" s="76">
        <f t="shared" si="37"/>
        <v>-3300</v>
      </c>
      <c r="J186" s="81">
        <f t="shared" si="36"/>
        <v>-62.857142857142854</v>
      </c>
      <c r="K186" s="76">
        <f t="shared" si="28"/>
        <v>16390</v>
      </c>
    </row>
    <row r="187" spans="1:13" x14ac:dyDescent="0.25">
      <c r="A187" s="77">
        <v>44111.111111111109</v>
      </c>
      <c r="C187" s="74">
        <v>3450</v>
      </c>
      <c r="D187" s="74">
        <v>90680</v>
      </c>
      <c r="E187" s="74">
        <f t="shared" si="29"/>
        <v>94130</v>
      </c>
      <c r="F187" s="76">
        <f t="shared" si="34"/>
        <v>575</v>
      </c>
      <c r="G187" s="76">
        <f>SUMIF(F$6:F187,"&gt;0")</f>
        <v>126355</v>
      </c>
      <c r="H187" s="76">
        <f t="shared" si="35"/>
        <v>20</v>
      </c>
      <c r="I187" s="76">
        <f t="shared" si="37"/>
        <v>595</v>
      </c>
      <c r="J187" s="81">
        <f t="shared" si="36"/>
        <v>11.333333333333332</v>
      </c>
      <c r="K187" s="76">
        <f t="shared" si="28"/>
        <v>16965</v>
      </c>
    </row>
    <row r="188" spans="1:13" x14ac:dyDescent="0.25">
      <c r="A188" s="77">
        <v>44112.045138888891</v>
      </c>
      <c r="B188" s="105" t="s">
        <v>270</v>
      </c>
      <c r="C188" s="74">
        <v>25</v>
      </c>
      <c r="D188" s="74">
        <v>89450</v>
      </c>
      <c r="E188" s="74">
        <f t="shared" si="29"/>
        <v>89475</v>
      </c>
      <c r="F188" s="76">
        <f t="shared" si="34"/>
        <v>-3425</v>
      </c>
      <c r="G188" s="76">
        <f>SUMIF(F$6:F188,"&gt;0")</f>
        <v>126355</v>
      </c>
      <c r="H188" s="76">
        <f t="shared" si="35"/>
        <v>-1230</v>
      </c>
      <c r="I188" s="76">
        <f t="shared" si="37"/>
        <v>-4655</v>
      </c>
      <c r="J188" s="81">
        <f t="shared" si="36"/>
        <v>-88.666666666666671</v>
      </c>
      <c r="K188" s="76">
        <f t="shared" si="28"/>
        <v>16665</v>
      </c>
    </row>
    <row r="189" spans="1:13" x14ac:dyDescent="0.25">
      <c r="A189" s="77">
        <v>44112.142361111109</v>
      </c>
      <c r="B189" s="105" t="s">
        <v>271</v>
      </c>
      <c r="C189" s="74">
        <v>25</v>
      </c>
      <c r="D189" s="74">
        <v>88730</v>
      </c>
      <c r="E189" s="74">
        <f t="shared" si="29"/>
        <v>88755</v>
      </c>
      <c r="F189" s="76">
        <f t="shared" si="34"/>
        <v>0</v>
      </c>
      <c r="G189" s="76">
        <f>SUMIF(F$6:F189,"&gt;0")</f>
        <v>126355</v>
      </c>
      <c r="H189" s="76">
        <f t="shared" si="35"/>
        <v>-720</v>
      </c>
      <c r="I189" s="76">
        <f t="shared" si="37"/>
        <v>-720</v>
      </c>
      <c r="J189" s="81">
        <f t="shared" si="36"/>
        <v>-13.714285714285715</v>
      </c>
      <c r="K189" s="76">
        <f t="shared" si="28"/>
        <v>16290</v>
      </c>
    </row>
    <row r="190" spans="1:13" x14ac:dyDescent="0.25">
      <c r="A190" s="77">
        <v>44112.257638888892</v>
      </c>
      <c r="B190" s="105" t="s">
        <v>272</v>
      </c>
      <c r="C190" s="74">
        <v>125</v>
      </c>
      <c r="D190" s="74">
        <v>88730</v>
      </c>
      <c r="E190" s="74">
        <f t="shared" ref="E190:E210" si="38">SUM(C190:D190)</f>
        <v>88855</v>
      </c>
      <c r="F190" s="76">
        <f t="shared" ref="F190:F221" si="39">C190-C189</f>
        <v>100</v>
      </c>
      <c r="G190" s="76">
        <f>SUMIF(F$6:F190,"&gt;0")</f>
        <v>126455</v>
      </c>
      <c r="H190" s="76">
        <f t="shared" ref="H190:H221" si="40">D190-D189</f>
        <v>0</v>
      </c>
      <c r="I190" s="76">
        <f t="shared" si="37"/>
        <v>100</v>
      </c>
      <c r="J190" s="81">
        <f t="shared" si="36"/>
        <v>1.9047619047619047</v>
      </c>
      <c r="K190" s="76">
        <f t="shared" si="28"/>
        <v>16390</v>
      </c>
    </row>
    <row r="191" spans="1:13" x14ac:dyDescent="0.25">
      <c r="A191" s="77">
        <v>44113.240972222222</v>
      </c>
      <c r="B191" s="105" t="s">
        <v>271</v>
      </c>
      <c r="C191" s="74">
        <v>185</v>
      </c>
      <c r="D191" s="74">
        <v>84270</v>
      </c>
      <c r="E191" s="74">
        <f t="shared" si="38"/>
        <v>84455</v>
      </c>
      <c r="F191" s="76">
        <f t="shared" si="39"/>
        <v>60</v>
      </c>
      <c r="G191" s="76">
        <f>SUMIF(F$6:F191,"&gt;0")</f>
        <v>126515</v>
      </c>
      <c r="H191" s="76">
        <f t="shared" si="40"/>
        <v>-4460</v>
      </c>
      <c r="I191" s="76">
        <f t="shared" si="37"/>
        <v>-4400</v>
      </c>
      <c r="J191" s="81">
        <f t="shared" ref="J191:J222" si="41">I191/4200*80</f>
        <v>-83.80952380952381</v>
      </c>
      <c r="K191" s="76">
        <f t="shared" si="28"/>
        <v>16400</v>
      </c>
    </row>
    <row r="192" spans="1:13" x14ac:dyDescent="0.25">
      <c r="A192" s="77">
        <v>44114.05972222222</v>
      </c>
      <c r="B192" s="105" t="s">
        <v>273</v>
      </c>
      <c r="C192" s="74">
        <v>5</v>
      </c>
      <c r="D192" s="74">
        <v>83130</v>
      </c>
      <c r="E192" s="74">
        <f t="shared" si="38"/>
        <v>83135</v>
      </c>
      <c r="F192" s="76">
        <f t="shared" si="39"/>
        <v>-180</v>
      </c>
      <c r="G192" s="76">
        <f>SUMIF(F$6:F192,"&gt;0")</f>
        <v>126515</v>
      </c>
      <c r="H192" s="76">
        <f t="shared" si="40"/>
        <v>-1140</v>
      </c>
      <c r="I192" s="76">
        <f t="shared" si="37"/>
        <v>-1320</v>
      </c>
      <c r="J192" s="81">
        <f t="shared" si="41"/>
        <v>-25.142857142857142</v>
      </c>
      <c r="K192" s="76">
        <f t="shared" si="28"/>
        <v>16400</v>
      </c>
    </row>
    <row r="193" spans="1:13" x14ac:dyDescent="0.25">
      <c r="A193" s="77">
        <v>44114.138194444444</v>
      </c>
      <c r="B193" s="105" t="s">
        <v>274</v>
      </c>
      <c r="C193" s="74">
        <v>105</v>
      </c>
      <c r="D193" s="74">
        <v>82650</v>
      </c>
      <c r="E193" s="74">
        <f t="shared" si="38"/>
        <v>82755</v>
      </c>
      <c r="F193" s="76">
        <f t="shared" si="39"/>
        <v>100</v>
      </c>
      <c r="G193" s="76">
        <f>SUMIF(F$6:F193,"&gt;0")</f>
        <v>126615</v>
      </c>
      <c r="H193" s="76">
        <f t="shared" si="40"/>
        <v>-480</v>
      </c>
      <c r="I193" s="76">
        <f t="shared" si="37"/>
        <v>-380</v>
      </c>
      <c r="J193" s="81">
        <f t="shared" si="41"/>
        <v>-7.2380952380952381</v>
      </c>
      <c r="K193" s="76">
        <f t="shared" si="28"/>
        <v>16400</v>
      </c>
    </row>
    <row r="194" spans="1:13" x14ac:dyDescent="0.25">
      <c r="A194" s="77">
        <v>44115.041666666664</v>
      </c>
      <c r="C194" s="74">
        <v>130</v>
      </c>
      <c r="D194" s="74">
        <v>78030</v>
      </c>
      <c r="E194" s="74">
        <f t="shared" si="38"/>
        <v>78160</v>
      </c>
      <c r="F194" s="76">
        <f t="shared" si="39"/>
        <v>25</v>
      </c>
      <c r="G194" s="76">
        <f>SUMIF(F$6:F194,"&gt;0")</f>
        <v>126640</v>
      </c>
      <c r="H194" s="76">
        <f t="shared" si="40"/>
        <v>-4620</v>
      </c>
      <c r="I194" s="76">
        <f t="shared" si="37"/>
        <v>-4595</v>
      </c>
      <c r="J194" s="81">
        <f t="shared" si="41"/>
        <v>-87.523809523809533</v>
      </c>
      <c r="K194" s="76">
        <f t="shared" si="28"/>
        <v>16425</v>
      </c>
    </row>
    <row r="195" spans="1:13" x14ac:dyDescent="0.25">
      <c r="A195" s="77">
        <v>44115.106249999997</v>
      </c>
      <c r="C195" s="74">
        <v>230</v>
      </c>
      <c r="D195" s="74">
        <v>78050</v>
      </c>
      <c r="E195" s="74">
        <f t="shared" si="38"/>
        <v>78280</v>
      </c>
      <c r="F195" s="76">
        <f t="shared" si="39"/>
        <v>100</v>
      </c>
      <c r="G195" s="76">
        <f>SUMIF(F$6:F195,"&gt;0")</f>
        <v>126740</v>
      </c>
      <c r="H195" s="76">
        <f t="shared" si="40"/>
        <v>20</v>
      </c>
      <c r="I195" s="76">
        <f t="shared" si="37"/>
        <v>120</v>
      </c>
      <c r="J195" s="81">
        <f t="shared" si="41"/>
        <v>2.2857142857142856</v>
      </c>
      <c r="K195" s="76">
        <f t="shared" si="28"/>
        <v>16525</v>
      </c>
    </row>
    <row r="196" spans="1:13" x14ac:dyDescent="0.25">
      <c r="A196" s="77">
        <v>44116.059027777781</v>
      </c>
      <c r="B196" s="105" t="s">
        <v>275</v>
      </c>
      <c r="C196" s="74">
        <v>330</v>
      </c>
      <c r="D196" s="74">
        <v>73700</v>
      </c>
      <c r="E196" s="74">
        <f t="shared" si="38"/>
        <v>74030</v>
      </c>
      <c r="F196" s="76">
        <f t="shared" si="39"/>
        <v>100</v>
      </c>
      <c r="G196" s="76">
        <f>SUMIF(F$6:F196,"&gt;0")</f>
        <v>126840</v>
      </c>
      <c r="H196" s="76">
        <f t="shared" si="40"/>
        <v>-4350</v>
      </c>
      <c r="I196" s="76">
        <f t="shared" si="37"/>
        <v>-4250</v>
      </c>
      <c r="J196" s="81">
        <f t="shared" si="41"/>
        <v>-80.952380952380949</v>
      </c>
      <c r="K196" s="76">
        <f t="shared" si="28"/>
        <v>15745</v>
      </c>
      <c r="L196" s="74">
        <v>480</v>
      </c>
      <c r="M196" s="74">
        <v>10</v>
      </c>
    </row>
    <row r="197" spans="1:13" x14ac:dyDescent="0.25">
      <c r="A197" s="77">
        <v>44116.081250000003</v>
      </c>
      <c r="B197" s="105" t="s">
        <v>276</v>
      </c>
      <c r="C197" s="74">
        <v>1035</v>
      </c>
      <c r="D197" s="74">
        <v>74280</v>
      </c>
      <c r="E197" s="74">
        <f t="shared" si="38"/>
        <v>75315</v>
      </c>
      <c r="F197" s="76">
        <f t="shared" si="39"/>
        <v>705</v>
      </c>
      <c r="G197" s="76">
        <f>SUMIF(F$6:F197,"&gt;0")</f>
        <v>127545</v>
      </c>
      <c r="H197" s="76">
        <f t="shared" si="40"/>
        <v>580</v>
      </c>
      <c r="I197" s="76">
        <f t="shared" si="37"/>
        <v>1285</v>
      </c>
      <c r="J197" s="81">
        <f t="shared" si="41"/>
        <v>24.476190476190478</v>
      </c>
      <c r="K197" s="76">
        <f t="shared" si="28"/>
        <v>16450</v>
      </c>
    </row>
    <row r="198" spans="1:13" x14ac:dyDescent="0.25">
      <c r="A198" s="77">
        <v>44116.84652777778</v>
      </c>
      <c r="B198" s="105" t="s">
        <v>277</v>
      </c>
      <c r="C198" s="74">
        <v>1060</v>
      </c>
      <c r="D198" s="74">
        <v>70650</v>
      </c>
      <c r="E198" s="74">
        <f t="shared" si="38"/>
        <v>71710</v>
      </c>
      <c r="F198" s="76">
        <f t="shared" si="39"/>
        <v>25</v>
      </c>
      <c r="G198" s="76">
        <f>SUMIF(F$6:F198,"&gt;0")</f>
        <v>127570</v>
      </c>
      <c r="H198" s="76">
        <f t="shared" si="40"/>
        <v>-3630</v>
      </c>
      <c r="I198" s="76">
        <f t="shared" si="37"/>
        <v>-3605</v>
      </c>
      <c r="J198" s="81">
        <f t="shared" si="41"/>
        <v>-68.666666666666657</v>
      </c>
      <c r="K198" s="76">
        <f t="shared" ref="K198:K261" si="42">_xlfn.SINGLE(IFERROR(G198 - _xlfn.XLOOKUP(A198-30, $A$6:$A$14998,G$6:G$14998,"",-1,2),NA()))</f>
        <v>16475</v>
      </c>
    </row>
    <row r="199" spans="1:13" x14ac:dyDescent="0.25">
      <c r="A199" s="77">
        <v>44117.600694444445</v>
      </c>
      <c r="B199" s="105" t="s">
        <v>277</v>
      </c>
      <c r="C199" s="74">
        <v>10</v>
      </c>
      <c r="D199" s="74">
        <v>70620</v>
      </c>
      <c r="E199" s="74">
        <f t="shared" si="38"/>
        <v>70630</v>
      </c>
      <c r="F199" s="76">
        <f t="shared" si="39"/>
        <v>-1050</v>
      </c>
      <c r="G199" s="76">
        <f>SUMIF(F$6:F199,"&gt;0")</f>
        <v>127570</v>
      </c>
      <c r="H199" s="76">
        <f t="shared" si="40"/>
        <v>-30</v>
      </c>
      <c r="I199" s="76">
        <f t="shared" si="37"/>
        <v>-1080</v>
      </c>
      <c r="J199" s="81">
        <f t="shared" si="41"/>
        <v>-20.571428571428569</v>
      </c>
      <c r="K199" s="76">
        <f t="shared" si="42"/>
        <v>16415</v>
      </c>
    </row>
    <row r="200" spans="1:13" x14ac:dyDescent="0.25">
      <c r="A200" s="77">
        <v>44117.60833333333</v>
      </c>
      <c r="C200" s="74">
        <v>280</v>
      </c>
      <c r="D200" s="74">
        <v>70670</v>
      </c>
      <c r="E200" s="74">
        <f t="shared" si="38"/>
        <v>70950</v>
      </c>
      <c r="F200" s="76">
        <f t="shared" si="39"/>
        <v>270</v>
      </c>
      <c r="G200" s="76">
        <f>SUMIF(F$6:F200,"&gt;0")</f>
        <v>127840</v>
      </c>
      <c r="H200" s="76">
        <f t="shared" si="40"/>
        <v>50</v>
      </c>
      <c r="I200" s="76">
        <f t="shared" si="37"/>
        <v>320</v>
      </c>
      <c r="J200" s="81">
        <f t="shared" si="41"/>
        <v>6.0952380952380958</v>
      </c>
      <c r="K200" s="76">
        <f t="shared" si="42"/>
        <v>16685</v>
      </c>
    </row>
    <row r="201" spans="1:13" x14ac:dyDescent="0.25">
      <c r="A201" s="77">
        <v>44118.054861111108</v>
      </c>
      <c r="C201" s="74">
        <v>425</v>
      </c>
      <c r="D201" s="74">
        <v>70690</v>
      </c>
      <c r="E201" s="74">
        <f t="shared" si="38"/>
        <v>71115</v>
      </c>
      <c r="F201" s="76">
        <f t="shared" si="39"/>
        <v>145</v>
      </c>
      <c r="G201" s="76">
        <f>SUMIF(F$6:F201,"&gt;0")</f>
        <v>127985</v>
      </c>
      <c r="H201" s="76">
        <f t="shared" si="40"/>
        <v>20</v>
      </c>
      <c r="I201" s="76">
        <f t="shared" si="37"/>
        <v>165</v>
      </c>
      <c r="J201" s="81">
        <f t="shared" si="41"/>
        <v>3.1428571428571428</v>
      </c>
      <c r="K201" s="76">
        <f t="shared" si="42"/>
        <v>16830</v>
      </c>
    </row>
    <row r="202" spans="1:13" x14ac:dyDescent="0.25">
      <c r="A202" s="77">
        <v>44119.049305555556</v>
      </c>
      <c r="B202" s="105" t="s">
        <v>288</v>
      </c>
      <c r="C202" s="74">
        <v>5</v>
      </c>
      <c r="D202" s="74">
        <v>65710</v>
      </c>
      <c r="E202" s="74">
        <f t="shared" si="38"/>
        <v>65715</v>
      </c>
      <c r="F202" s="76">
        <f t="shared" si="39"/>
        <v>-420</v>
      </c>
      <c r="G202" s="76">
        <f>SUMIF(F$6:F202,"&gt;0")</f>
        <v>127985</v>
      </c>
      <c r="H202" s="76">
        <f t="shared" si="40"/>
        <v>-4980</v>
      </c>
      <c r="I202" s="76">
        <f t="shared" si="37"/>
        <v>-5400</v>
      </c>
      <c r="J202" s="81">
        <f t="shared" si="41"/>
        <v>-102.85714285714286</v>
      </c>
      <c r="K202" s="76">
        <f t="shared" si="42"/>
        <v>16830</v>
      </c>
    </row>
    <row r="203" spans="1:13" x14ac:dyDescent="0.25">
      <c r="A203" s="77">
        <v>44119.147222222222</v>
      </c>
      <c r="C203" s="74">
        <v>415</v>
      </c>
      <c r="D203" s="74">
        <v>65730</v>
      </c>
      <c r="E203" s="74">
        <f t="shared" si="38"/>
        <v>66145</v>
      </c>
      <c r="F203" s="76">
        <f t="shared" si="39"/>
        <v>410</v>
      </c>
      <c r="G203" s="76">
        <f>SUMIF(F$6:F203,"&gt;0")</f>
        <v>128395</v>
      </c>
      <c r="H203" s="76">
        <f t="shared" si="40"/>
        <v>20</v>
      </c>
      <c r="I203" s="76">
        <f t="shared" si="37"/>
        <v>430</v>
      </c>
      <c r="J203" s="81">
        <f t="shared" si="41"/>
        <v>8.1904761904761898</v>
      </c>
      <c r="K203" s="76">
        <f t="shared" si="42"/>
        <v>16660</v>
      </c>
    </row>
    <row r="204" spans="1:13" x14ac:dyDescent="0.25">
      <c r="A204" s="77">
        <v>44120.174305555556</v>
      </c>
      <c r="B204" s="105" t="s">
        <v>290</v>
      </c>
      <c r="C204" s="74">
        <v>415</v>
      </c>
      <c r="D204" s="74">
        <v>29200</v>
      </c>
      <c r="E204" s="74">
        <f t="shared" si="38"/>
        <v>29615</v>
      </c>
      <c r="F204" s="76">
        <f t="shared" si="39"/>
        <v>0</v>
      </c>
      <c r="G204" s="76">
        <f>SUMIF(F$6:F204,"&gt;0")</f>
        <v>128395</v>
      </c>
      <c r="H204" s="76">
        <f t="shared" si="40"/>
        <v>-36530</v>
      </c>
      <c r="I204" s="76">
        <f t="shared" si="37"/>
        <v>-36530</v>
      </c>
      <c r="J204" s="81">
        <f t="shared" si="41"/>
        <v>-695.80952380952385</v>
      </c>
      <c r="K204" s="76">
        <f t="shared" si="42"/>
        <v>16300</v>
      </c>
    </row>
    <row r="205" spans="1:13" x14ac:dyDescent="0.25">
      <c r="A205" s="77">
        <v>44120.204861111109</v>
      </c>
      <c r="C205" s="74">
        <v>775</v>
      </c>
      <c r="D205" s="74">
        <v>29250</v>
      </c>
      <c r="E205" s="74">
        <f t="shared" si="38"/>
        <v>30025</v>
      </c>
      <c r="F205" s="76">
        <f t="shared" si="39"/>
        <v>360</v>
      </c>
      <c r="G205" s="76">
        <f>SUMIF(F$6:F205,"&gt;0")</f>
        <v>128755</v>
      </c>
      <c r="H205" s="76">
        <f t="shared" si="40"/>
        <v>50</v>
      </c>
      <c r="I205" s="76">
        <f t="shared" si="37"/>
        <v>410</v>
      </c>
      <c r="J205" s="81">
        <f t="shared" si="41"/>
        <v>7.8095238095238093</v>
      </c>
      <c r="K205" s="76">
        <f t="shared" si="42"/>
        <v>16660</v>
      </c>
    </row>
    <row r="206" spans="1:13" x14ac:dyDescent="0.25">
      <c r="A206" s="77">
        <v>44121.52847222222</v>
      </c>
      <c r="C206" s="74">
        <v>905</v>
      </c>
      <c r="D206" s="74">
        <v>29250</v>
      </c>
      <c r="E206" s="74">
        <f t="shared" si="38"/>
        <v>30155</v>
      </c>
      <c r="F206" s="76">
        <f t="shared" si="39"/>
        <v>130</v>
      </c>
      <c r="G206" s="76">
        <f>SUMIF(F$6:F206,"&gt;0")</f>
        <v>128885</v>
      </c>
      <c r="H206" s="76">
        <f t="shared" si="40"/>
        <v>0</v>
      </c>
      <c r="I206" s="76">
        <f t="shared" si="37"/>
        <v>130</v>
      </c>
      <c r="J206" s="81">
        <f t="shared" si="41"/>
        <v>2.4761904761904763</v>
      </c>
      <c r="K206" s="76">
        <f t="shared" si="42"/>
        <v>16790</v>
      </c>
    </row>
    <row r="207" spans="1:13" x14ac:dyDescent="0.25">
      <c r="A207" s="77">
        <v>44121.974305555559</v>
      </c>
      <c r="C207" s="74">
        <v>1285</v>
      </c>
      <c r="D207" s="74">
        <v>29795</v>
      </c>
      <c r="E207" s="74">
        <f t="shared" si="38"/>
        <v>31080</v>
      </c>
      <c r="F207" s="76">
        <f t="shared" si="39"/>
        <v>380</v>
      </c>
      <c r="G207" s="76">
        <f>SUMIF(F$6:F207,"&gt;0")</f>
        <v>129265</v>
      </c>
      <c r="H207" s="76">
        <f t="shared" si="40"/>
        <v>545</v>
      </c>
      <c r="I207" s="76">
        <f t="shared" si="37"/>
        <v>925</v>
      </c>
      <c r="J207" s="81">
        <f t="shared" si="41"/>
        <v>17.61904761904762</v>
      </c>
      <c r="K207" s="76">
        <f t="shared" si="42"/>
        <v>16750</v>
      </c>
      <c r="L207" s="74">
        <v>525</v>
      </c>
      <c r="M207" s="74">
        <v>7</v>
      </c>
    </row>
    <row r="208" spans="1:13" x14ac:dyDescent="0.25">
      <c r="A208" s="77">
        <v>44122.167361111111</v>
      </c>
      <c r="B208" s="105" t="s">
        <v>291</v>
      </c>
      <c r="C208" s="74">
        <v>1745</v>
      </c>
      <c r="D208" s="74">
        <v>29795</v>
      </c>
      <c r="E208" s="74">
        <f t="shared" si="38"/>
        <v>31540</v>
      </c>
      <c r="F208" s="76">
        <f t="shared" si="39"/>
        <v>460</v>
      </c>
      <c r="G208" s="76">
        <f>SUMIF(F$6:F208,"&gt;0")</f>
        <v>129725</v>
      </c>
      <c r="H208" s="76">
        <f t="shared" si="40"/>
        <v>0</v>
      </c>
      <c r="I208" s="76">
        <f t="shared" si="37"/>
        <v>460</v>
      </c>
      <c r="J208" s="81">
        <f t="shared" si="41"/>
        <v>8.7619047619047628</v>
      </c>
      <c r="K208" s="76">
        <f t="shared" si="42"/>
        <v>17210</v>
      </c>
      <c r="L208" s="74">
        <v>480</v>
      </c>
      <c r="M208" s="74">
        <v>10</v>
      </c>
    </row>
    <row r="209" spans="1:13" x14ac:dyDescent="0.25">
      <c r="A209" s="77">
        <v>44123.044444444444</v>
      </c>
      <c r="C209" s="74">
        <v>1745</v>
      </c>
      <c r="D209" s="74">
        <v>29845</v>
      </c>
      <c r="E209" s="74">
        <f t="shared" si="38"/>
        <v>31590</v>
      </c>
      <c r="F209" s="76">
        <f t="shared" si="39"/>
        <v>0</v>
      </c>
      <c r="G209" s="76">
        <f>SUMIF(F$6:F209,"&gt;0")</f>
        <v>129725</v>
      </c>
      <c r="H209" s="76">
        <f t="shared" si="40"/>
        <v>50</v>
      </c>
      <c r="I209" s="76">
        <f t="shared" si="37"/>
        <v>50</v>
      </c>
      <c r="J209" s="81">
        <f t="shared" si="41"/>
        <v>0.95238095238095233</v>
      </c>
      <c r="K209" s="76">
        <f t="shared" si="42"/>
        <v>17150</v>
      </c>
    </row>
    <row r="210" spans="1:13" x14ac:dyDescent="0.25">
      <c r="A210" s="77">
        <v>44123.165277777778</v>
      </c>
      <c r="B210" s="105" t="s">
        <v>300</v>
      </c>
      <c r="C210" s="74">
        <v>4195</v>
      </c>
      <c r="D210" s="74">
        <v>29865</v>
      </c>
      <c r="E210" s="74">
        <f t="shared" si="38"/>
        <v>34060</v>
      </c>
      <c r="F210" s="76">
        <f t="shared" si="39"/>
        <v>2450</v>
      </c>
      <c r="G210" s="76">
        <f>SUMIF(F$6:F210,"&gt;0")</f>
        <v>132175</v>
      </c>
      <c r="H210" s="76">
        <f t="shared" si="40"/>
        <v>20</v>
      </c>
      <c r="I210" s="76">
        <f t="shared" si="37"/>
        <v>2470</v>
      </c>
      <c r="J210" s="81">
        <f t="shared" si="41"/>
        <v>47.047619047619051</v>
      </c>
      <c r="K210" s="76">
        <f t="shared" si="42"/>
        <v>19600</v>
      </c>
    </row>
    <row r="211" spans="1:13" x14ac:dyDescent="0.25">
      <c r="A211" s="77">
        <v>44124.158333333333</v>
      </c>
      <c r="C211" s="74">
        <v>4270</v>
      </c>
      <c r="D211" s="74">
        <v>29885</v>
      </c>
      <c r="E211" s="74">
        <f>SUM(C211:D211)</f>
        <v>34155</v>
      </c>
      <c r="F211" s="76">
        <f t="shared" si="39"/>
        <v>75</v>
      </c>
      <c r="G211" s="76">
        <f>SUMIF(F$6:F211,"&gt;0")</f>
        <v>132250</v>
      </c>
      <c r="H211" s="76">
        <f t="shared" si="40"/>
        <v>20</v>
      </c>
      <c r="I211" s="76">
        <f t="shared" si="37"/>
        <v>95</v>
      </c>
      <c r="J211" s="81">
        <f t="shared" si="41"/>
        <v>1.8095238095238095</v>
      </c>
      <c r="K211" s="76">
        <f t="shared" si="42"/>
        <v>19615</v>
      </c>
    </row>
    <row r="212" spans="1:13" x14ac:dyDescent="0.25">
      <c r="A212" s="77">
        <v>44125.623611111114</v>
      </c>
      <c r="C212" s="74">
        <v>4445</v>
      </c>
      <c r="D212" s="74">
        <v>29905</v>
      </c>
      <c r="E212" s="74">
        <f>SUM(C212:D212)</f>
        <v>34350</v>
      </c>
      <c r="F212" s="76">
        <f t="shared" si="39"/>
        <v>175</v>
      </c>
      <c r="G212" s="76">
        <f>SUMIF(F$6:F212,"&gt;0")</f>
        <v>132425</v>
      </c>
      <c r="H212" s="76">
        <f t="shared" si="40"/>
        <v>20</v>
      </c>
      <c r="I212" s="76">
        <f t="shared" si="37"/>
        <v>195</v>
      </c>
      <c r="J212" s="81">
        <f t="shared" si="41"/>
        <v>3.7142857142857144</v>
      </c>
      <c r="K212" s="76">
        <f t="shared" si="42"/>
        <v>18155</v>
      </c>
    </row>
    <row r="213" spans="1:13" x14ac:dyDescent="0.25">
      <c r="A213" s="77">
        <v>44126.047222222223</v>
      </c>
      <c r="B213" s="105" t="s">
        <v>301</v>
      </c>
      <c r="C213" s="74">
        <v>4995</v>
      </c>
      <c r="D213" s="74">
        <v>29925</v>
      </c>
      <c r="E213" s="74">
        <f t="shared" ref="E213:E232" si="43">SUM(C213:D213)</f>
        <v>34920</v>
      </c>
      <c r="F213" s="76">
        <f t="shared" si="39"/>
        <v>550</v>
      </c>
      <c r="G213" s="76">
        <f>SUMIF(F$6:F213,"&gt;0")</f>
        <v>132975</v>
      </c>
      <c r="H213" s="76">
        <f t="shared" si="40"/>
        <v>20</v>
      </c>
      <c r="I213" s="76">
        <f t="shared" si="37"/>
        <v>570</v>
      </c>
      <c r="J213" s="81">
        <f t="shared" si="41"/>
        <v>10.857142857142856</v>
      </c>
      <c r="K213" s="76">
        <f t="shared" si="42"/>
        <v>18705</v>
      </c>
    </row>
    <row r="214" spans="1:13" x14ac:dyDescent="0.25">
      <c r="A214" s="77">
        <v>44127.375694444447</v>
      </c>
      <c r="B214" s="105" t="s">
        <v>302</v>
      </c>
      <c r="C214" s="74">
        <v>5320</v>
      </c>
      <c r="D214" s="74">
        <v>29945</v>
      </c>
      <c r="E214" s="74">
        <f t="shared" si="43"/>
        <v>35265</v>
      </c>
      <c r="F214" s="76">
        <f t="shared" si="39"/>
        <v>325</v>
      </c>
      <c r="G214" s="76">
        <f>SUMIF(F$6:F214,"&gt;0")</f>
        <v>133300</v>
      </c>
      <c r="H214" s="76">
        <f t="shared" si="40"/>
        <v>20</v>
      </c>
      <c r="I214" s="76">
        <f t="shared" si="37"/>
        <v>345</v>
      </c>
      <c r="J214" s="81">
        <f t="shared" si="41"/>
        <v>6.5714285714285712</v>
      </c>
      <c r="K214" s="76">
        <f t="shared" si="42"/>
        <v>18480</v>
      </c>
    </row>
    <row r="215" spans="1:13" x14ac:dyDescent="0.25">
      <c r="A215" s="77">
        <v>44128.201388888891</v>
      </c>
      <c r="C215" s="74">
        <v>5595</v>
      </c>
      <c r="D215" s="74">
        <v>29995</v>
      </c>
      <c r="E215" s="74">
        <f t="shared" si="43"/>
        <v>35590</v>
      </c>
      <c r="F215" s="76">
        <f t="shared" si="39"/>
        <v>275</v>
      </c>
      <c r="G215" s="76">
        <f>SUMIF(F$6:F215,"&gt;0")</f>
        <v>133575</v>
      </c>
      <c r="H215" s="76">
        <f t="shared" si="40"/>
        <v>50</v>
      </c>
      <c r="I215" s="76">
        <f t="shared" si="37"/>
        <v>325</v>
      </c>
      <c r="J215" s="81">
        <f t="shared" si="41"/>
        <v>6.1904761904761907</v>
      </c>
      <c r="K215" s="76">
        <f t="shared" si="42"/>
        <v>18505</v>
      </c>
    </row>
    <row r="216" spans="1:13" x14ac:dyDescent="0.25">
      <c r="A216" s="77">
        <v>44130.044444444444</v>
      </c>
      <c r="C216" s="74">
        <v>5785</v>
      </c>
      <c r="D216" s="74">
        <v>30490</v>
      </c>
      <c r="E216" s="74">
        <f t="shared" si="43"/>
        <v>36275</v>
      </c>
      <c r="F216" s="76">
        <f t="shared" si="39"/>
        <v>190</v>
      </c>
      <c r="G216" s="76">
        <f>SUMIF(F$6:F216,"&gt;0")</f>
        <v>133765</v>
      </c>
      <c r="H216" s="76">
        <f t="shared" si="40"/>
        <v>495</v>
      </c>
      <c r="I216" s="76">
        <f t="shared" si="37"/>
        <v>685</v>
      </c>
      <c r="J216" s="81">
        <f t="shared" si="41"/>
        <v>13.047619047619047</v>
      </c>
      <c r="K216" s="76">
        <f t="shared" si="42"/>
        <v>17155</v>
      </c>
    </row>
    <row r="217" spans="1:13" x14ac:dyDescent="0.25">
      <c r="A217" s="77">
        <v>44131.328472222223</v>
      </c>
      <c r="C217" s="74">
        <v>7095</v>
      </c>
      <c r="D217" s="74">
        <v>43870</v>
      </c>
      <c r="E217" s="74">
        <f t="shared" si="43"/>
        <v>50965</v>
      </c>
      <c r="F217" s="76">
        <f t="shared" si="39"/>
        <v>1310</v>
      </c>
      <c r="G217" s="76">
        <f>SUMIF(F$6:F217,"&gt;0")</f>
        <v>135075</v>
      </c>
      <c r="H217" s="76">
        <f t="shared" si="40"/>
        <v>13380</v>
      </c>
      <c r="I217" s="76">
        <f t="shared" si="37"/>
        <v>14690</v>
      </c>
      <c r="J217" s="81">
        <f t="shared" si="41"/>
        <v>279.8095238095238</v>
      </c>
      <c r="K217" s="76">
        <f t="shared" si="42"/>
        <v>17430</v>
      </c>
    </row>
    <row r="218" spans="1:13" x14ac:dyDescent="0.25">
      <c r="A218" s="77">
        <v>44132.470138888886</v>
      </c>
      <c r="C218" s="74">
        <v>7145</v>
      </c>
      <c r="D218" s="74">
        <v>61840</v>
      </c>
      <c r="E218" s="74">
        <f t="shared" si="43"/>
        <v>68985</v>
      </c>
      <c r="F218" s="76">
        <f t="shared" si="39"/>
        <v>50</v>
      </c>
      <c r="G218" s="76">
        <f>SUMIF(F$6:F218,"&gt;0")</f>
        <v>135125</v>
      </c>
      <c r="H218" s="76">
        <f t="shared" si="40"/>
        <v>17970</v>
      </c>
      <c r="I218" s="76">
        <f t="shared" si="37"/>
        <v>18020</v>
      </c>
      <c r="J218" s="81">
        <f t="shared" si="41"/>
        <v>343.23809523809524</v>
      </c>
      <c r="K218" s="76">
        <f t="shared" si="42"/>
        <v>17480</v>
      </c>
      <c r="L218" s="74">
        <f>2000*9</f>
        <v>18000</v>
      </c>
      <c r="M218" s="74">
        <v>360</v>
      </c>
    </row>
    <row r="219" spans="1:13" x14ac:dyDescent="0.25">
      <c r="A219" s="77">
        <v>44134.042361111111</v>
      </c>
      <c r="C219" s="74">
        <v>7220</v>
      </c>
      <c r="D219" s="74">
        <v>61910</v>
      </c>
      <c r="E219" s="74">
        <f t="shared" si="43"/>
        <v>69130</v>
      </c>
      <c r="F219" s="76">
        <f t="shared" si="39"/>
        <v>75</v>
      </c>
      <c r="G219" s="76">
        <f>SUMIF(F$6:F219,"&gt;0")</f>
        <v>135200</v>
      </c>
      <c r="H219" s="76">
        <f t="shared" si="40"/>
        <v>70</v>
      </c>
      <c r="I219" s="76">
        <f t="shared" si="37"/>
        <v>145</v>
      </c>
      <c r="J219" s="81">
        <f t="shared" si="41"/>
        <v>2.7619047619047619</v>
      </c>
      <c r="K219" s="76">
        <f t="shared" si="42"/>
        <v>17355</v>
      </c>
    </row>
    <row r="220" spans="1:13" x14ac:dyDescent="0.25">
      <c r="A220" s="77">
        <v>44134.056250000001</v>
      </c>
      <c r="B220" s="105" t="s">
        <v>304</v>
      </c>
      <c r="C220" s="74">
        <v>4820</v>
      </c>
      <c r="D220" s="74">
        <v>30680</v>
      </c>
      <c r="E220" s="74">
        <f t="shared" si="43"/>
        <v>35500</v>
      </c>
      <c r="F220" s="76">
        <f t="shared" si="39"/>
        <v>-2400</v>
      </c>
      <c r="G220" s="76">
        <f>SUMIF(F$6:F220,"&gt;0")</f>
        <v>135200</v>
      </c>
      <c r="H220" s="76">
        <f t="shared" si="40"/>
        <v>-31230</v>
      </c>
      <c r="I220" s="76">
        <f t="shared" si="37"/>
        <v>-33630</v>
      </c>
      <c r="J220" s="81">
        <f t="shared" si="41"/>
        <v>-640.57142857142867</v>
      </c>
      <c r="K220" s="76">
        <f t="shared" si="42"/>
        <v>17355</v>
      </c>
    </row>
    <row r="221" spans="1:13" x14ac:dyDescent="0.25">
      <c r="A221" s="77">
        <v>44134.271527777775</v>
      </c>
      <c r="B221" s="105" t="s">
        <v>110</v>
      </c>
      <c r="C221" s="74">
        <v>5020</v>
      </c>
      <c r="D221" s="74">
        <v>30760</v>
      </c>
      <c r="E221" s="74">
        <f t="shared" si="43"/>
        <v>35780</v>
      </c>
      <c r="F221" s="76">
        <f t="shared" si="39"/>
        <v>200</v>
      </c>
      <c r="G221" s="76">
        <f>SUMIF(F$6:F221,"&gt;0")</f>
        <v>135400</v>
      </c>
      <c r="H221" s="76">
        <f t="shared" si="40"/>
        <v>80</v>
      </c>
      <c r="I221" s="76">
        <f t="shared" si="37"/>
        <v>280</v>
      </c>
      <c r="J221" s="81">
        <f t="shared" si="41"/>
        <v>5.333333333333333</v>
      </c>
      <c r="K221" s="76">
        <f t="shared" si="42"/>
        <v>17555</v>
      </c>
    </row>
    <row r="222" spans="1:13" x14ac:dyDescent="0.25">
      <c r="A222" s="77">
        <v>44135.375</v>
      </c>
      <c r="B222" s="105" t="s">
        <v>305</v>
      </c>
      <c r="C222" s="74">
        <v>3660</v>
      </c>
      <c r="D222" s="74">
        <v>30780</v>
      </c>
      <c r="E222" s="74">
        <f t="shared" si="43"/>
        <v>34440</v>
      </c>
      <c r="F222" s="76">
        <f t="shared" ref="F222:F253" si="44">C222-C221</f>
        <v>-1360</v>
      </c>
      <c r="G222" s="76">
        <f>SUMIF(F$6:F222,"&gt;0")</f>
        <v>135400</v>
      </c>
      <c r="H222" s="76">
        <f t="shared" ref="H222:H253" si="45">D222-D221</f>
        <v>20</v>
      </c>
      <c r="I222" s="76">
        <f t="shared" si="37"/>
        <v>-1340</v>
      </c>
      <c r="J222" s="81">
        <f t="shared" si="41"/>
        <v>-25.523809523809522</v>
      </c>
      <c r="K222" s="76">
        <f t="shared" si="42"/>
        <v>15845</v>
      </c>
    </row>
    <row r="223" spans="1:13" x14ac:dyDescent="0.25">
      <c r="A223" s="77">
        <v>44136.129861111112</v>
      </c>
      <c r="C223" s="74">
        <v>3710</v>
      </c>
      <c r="D223" s="74">
        <v>31325</v>
      </c>
      <c r="E223" s="74">
        <f t="shared" si="43"/>
        <v>35035</v>
      </c>
      <c r="F223" s="76">
        <f t="shared" si="44"/>
        <v>50</v>
      </c>
      <c r="G223" s="76">
        <f>SUMIF(F$6:F223,"&gt;0")</f>
        <v>135450</v>
      </c>
      <c r="H223" s="76">
        <f t="shared" si="45"/>
        <v>545</v>
      </c>
      <c r="I223" s="76">
        <f t="shared" si="37"/>
        <v>595</v>
      </c>
      <c r="J223" s="81">
        <f t="shared" ref="J223:J254" si="46">I223/4200*80</f>
        <v>11.333333333333332</v>
      </c>
      <c r="K223" s="76">
        <f t="shared" si="42"/>
        <v>13355</v>
      </c>
    </row>
    <row r="224" spans="1:13" x14ac:dyDescent="0.25">
      <c r="A224" s="77">
        <v>44137.363888888889</v>
      </c>
      <c r="C224" s="74">
        <v>4225</v>
      </c>
      <c r="D224" s="74">
        <v>31345</v>
      </c>
      <c r="E224" s="74">
        <f t="shared" si="43"/>
        <v>35570</v>
      </c>
      <c r="F224" s="76">
        <f t="shared" si="44"/>
        <v>515</v>
      </c>
      <c r="G224" s="76">
        <f>SUMIF(F$6:F224,"&gt;0")</f>
        <v>135965</v>
      </c>
      <c r="H224" s="76">
        <f t="shared" si="45"/>
        <v>20</v>
      </c>
      <c r="I224" s="76">
        <f t="shared" si="37"/>
        <v>535</v>
      </c>
      <c r="J224" s="81">
        <f t="shared" si="46"/>
        <v>10.19047619047619</v>
      </c>
      <c r="K224" s="76">
        <f t="shared" si="42"/>
        <v>13745</v>
      </c>
    </row>
    <row r="225" spans="1:13" x14ac:dyDescent="0.25">
      <c r="A225" s="77">
        <v>44138.12222222222</v>
      </c>
      <c r="B225" s="105" t="s">
        <v>306</v>
      </c>
      <c r="C225" s="74">
        <v>4275</v>
      </c>
      <c r="D225" s="74">
        <v>31365</v>
      </c>
      <c r="E225" s="74">
        <f t="shared" si="43"/>
        <v>35640</v>
      </c>
      <c r="F225" s="76">
        <f t="shared" si="44"/>
        <v>50</v>
      </c>
      <c r="G225" s="76">
        <f>SUMIF(F$6:F225,"&gt;0")</f>
        <v>136015</v>
      </c>
      <c r="H225" s="76">
        <f t="shared" si="45"/>
        <v>20</v>
      </c>
      <c r="I225" s="76">
        <f t="shared" si="37"/>
        <v>70</v>
      </c>
      <c r="J225" s="81">
        <f t="shared" si="46"/>
        <v>1.3333333333333333</v>
      </c>
      <c r="K225" s="76">
        <f t="shared" si="42"/>
        <v>13795</v>
      </c>
    </row>
    <row r="226" spans="1:13" x14ac:dyDescent="0.25">
      <c r="A226" s="77">
        <v>44139.001388888886</v>
      </c>
      <c r="B226" s="105" t="s">
        <v>308</v>
      </c>
      <c r="C226" s="74">
        <v>3885</v>
      </c>
      <c r="D226" s="74">
        <v>14585</v>
      </c>
      <c r="E226" s="74">
        <f t="shared" si="43"/>
        <v>18470</v>
      </c>
      <c r="F226" s="76">
        <f t="shared" si="44"/>
        <v>-390</v>
      </c>
      <c r="G226" s="76">
        <f>SUMIF(F$6:F226,"&gt;0")</f>
        <v>136015</v>
      </c>
      <c r="H226" s="76">
        <f t="shared" si="45"/>
        <v>-16780</v>
      </c>
      <c r="I226" s="76">
        <f t="shared" si="37"/>
        <v>-17170</v>
      </c>
      <c r="J226" s="81">
        <f t="shared" si="46"/>
        <v>-327.04761904761904</v>
      </c>
      <c r="K226" s="76">
        <f t="shared" si="42"/>
        <v>13695</v>
      </c>
    </row>
    <row r="227" spans="1:13" x14ac:dyDescent="0.25">
      <c r="A227" s="77">
        <v>44140.142361111109</v>
      </c>
      <c r="B227" s="105" t="s">
        <v>309</v>
      </c>
      <c r="C227" s="74">
        <v>3985</v>
      </c>
      <c r="D227" s="74">
        <v>14635</v>
      </c>
      <c r="E227" s="74">
        <f t="shared" si="43"/>
        <v>18620</v>
      </c>
      <c r="F227" s="76">
        <f t="shared" si="44"/>
        <v>100</v>
      </c>
      <c r="G227" s="76">
        <f>SUMIF(F$6:F227,"&gt;0")</f>
        <v>136115</v>
      </c>
      <c r="H227" s="76">
        <f t="shared" si="45"/>
        <v>50</v>
      </c>
      <c r="I227" s="76">
        <f t="shared" si="37"/>
        <v>150</v>
      </c>
      <c r="J227" s="81">
        <f t="shared" si="46"/>
        <v>2.8571428571428568</v>
      </c>
      <c r="K227" s="76">
        <f t="shared" si="42"/>
        <v>10335</v>
      </c>
      <c r="L227" s="74">
        <v>480</v>
      </c>
      <c r="M227" s="74">
        <v>10</v>
      </c>
    </row>
    <row r="228" spans="1:13" x14ac:dyDescent="0.25">
      <c r="A228" s="77">
        <v>44141.667361111111</v>
      </c>
      <c r="B228" s="105" t="s">
        <v>306</v>
      </c>
      <c r="C228" s="74">
        <v>4785</v>
      </c>
      <c r="D228" s="74">
        <v>14655</v>
      </c>
      <c r="E228" s="74">
        <f t="shared" si="43"/>
        <v>19440</v>
      </c>
      <c r="F228" s="76">
        <f t="shared" si="44"/>
        <v>800</v>
      </c>
      <c r="G228" s="76">
        <f>SUMIF(F$6:F228,"&gt;0")</f>
        <v>136915</v>
      </c>
      <c r="H228" s="76">
        <f t="shared" si="45"/>
        <v>20</v>
      </c>
      <c r="I228" s="76">
        <f t="shared" si="37"/>
        <v>820</v>
      </c>
      <c r="J228" s="81">
        <f t="shared" si="46"/>
        <v>15.619047619047619</v>
      </c>
      <c r="K228" s="76">
        <f t="shared" si="42"/>
        <v>10560</v>
      </c>
    </row>
    <row r="229" spans="1:13" x14ac:dyDescent="0.25">
      <c r="A229" s="77">
        <v>44141.92083333333</v>
      </c>
      <c r="B229" s="105" t="s">
        <v>306</v>
      </c>
      <c r="C229" s="74">
        <v>4575</v>
      </c>
      <c r="D229" s="74">
        <v>15180</v>
      </c>
      <c r="E229" s="74">
        <f t="shared" si="43"/>
        <v>19755</v>
      </c>
      <c r="F229" s="76">
        <f t="shared" si="44"/>
        <v>-210</v>
      </c>
      <c r="G229" s="76">
        <f>SUMIF(F$6:F229,"&gt;0")</f>
        <v>136915</v>
      </c>
      <c r="H229" s="76">
        <f t="shared" si="45"/>
        <v>525</v>
      </c>
      <c r="I229" s="76">
        <f t="shared" si="37"/>
        <v>315</v>
      </c>
      <c r="J229" s="81">
        <f t="shared" si="46"/>
        <v>6</v>
      </c>
      <c r="K229" s="76">
        <f t="shared" si="42"/>
        <v>10560</v>
      </c>
    </row>
    <row r="230" spans="1:13" x14ac:dyDescent="0.25">
      <c r="A230" s="77">
        <v>44142.001388888886</v>
      </c>
      <c r="C230" s="74">
        <v>4575</v>
      </c>
      <c r="D230" s="74">
        <v>152980</v>
      </c>
      <c r="E230" s="74">
        <f t="shared" si="43"/>
        <v>157555</v>
      </c>
      <c r="F230" s="76">
        <f t="shared" si="44"/>
        <v>0</v>
      </c>
      <c r="G230" s="76">
        <f>SUMIF(F$6:F230,"&gt;0")</f>
        <v>136915</v>
      </c>
      <c r="H230" s="76">
        <f t="shared" si="45"/>
        <v>137800</v>
      </c>
      <c r="I230" s="76">
        <f t="shared" si="37"/>
        <v>137800</v>
      </c>
      <c r="J230" s="81">
        <f t="shared" si="46"/>
        <v>2624.7619047619046</v>
      </c>
      <c r="K230" s="76">
        <f t="shared" si="42"/>
        <v>10560</v>
      </c>
      <c r="L230" s="74">
        <v>138325</v>
      </c>
      <c r="M230" s="74">
        <v>2647</v>
      </c>
    </row>
    <row r="231" spans="1:13" x14ac:dyDescent="0.25">
      <c r="A231" s="77">
        <v>44142.019444444442</v>
      </c>
      <c r="C231" s="74">
        <v>4625</v>
      </c>
      <c r="D231" s="74">
        <v>153000</v>
      </c>
      <c r="E231" s="74">
        <f t="shared" si="43"/>
        <v>157625</v>
      </c>
      <c r="F231" s="76">
        <f t="shared" si="44"/>
        <v>50</v>
      </c>
      <c r="G231" s="76">
        <f>SUMIF(F$6:F231,"&gt;0")</f>
        <v>136965</v>
      </c>
      <c r="H231" s="76">
        <f t="shared" si="45"/>
        <v>20</v>
      </c>
      <c r="I231" s="76">
        <f t="shared" si="37"/>
        <v>70</v>
      </c>
      <c r="J231" s="81">
        <f t="shared" si="46"/>
        <v>1.3333333333333333</v>
      </c>
      <c r="K231" s="76">
        <f t="shared" si="42"/>
        <v>10610</v>
      </c>
    </row>
    <row r="232" spans="1:13" x14ac:dyDescent="0.25">
      <c r="A232" s="77">
        <v>44143.212500000001</v>
      </c>
      <c r="B232" s="105" t="s">
        <v>306</v>
      </c>
      <c r="C232" s="74">
        <v>3775</v>
      </c>
      <c r="D232" s="74">
        <v>153020</v>
      </c>
      <c r="E232" s="74">
        <f t="shared" si="43"/>
        <v>156795</v>
      </c>
      <c r="F232" s="76">
        <f t="shared" si="44"/>
        <v>-850</v>
      </c>
      <c r="G232" s="76">
        <f>SUMIF(F$6:F232,"&gt;0")</f>
        <v>136965</v>
      </c>
      <c r="H232" s="76">
        <f t="shared" si="45"/>
        <v>20</v>
      </c>
      <c r="I232" s="76">
        <f t="shared" si="37"/>
        <v>-830</v>
      </c>
      <c r="J232" s="81">
        <f t="shared" si="46"/>
        <v>-15.809523809523808</v>
      </c>
      <c r="K232" s="76">
        <f t="shared" si="42"/>
        <v>10510</v>
      </c>
    </row>
    <row r="233" spans="1:13" x14ac:dyDescent="0.25">
      <c r="A233" s="77">
        <v>44144.083333333336</v>
      </c>
      <c r="B233" s="105" t="s">
        <v>306</v>
      </c>
      <c r="C233" s="74">
        <v>3145</v>
      </c>
      <c r="D233" s="74">
        <v>153020</v>
      </c>
      <c r="E233" s="74">
        <f t="shared" ref="E233:E254" si="47">SUM(C233:D233)</f>
        <v>156165</v>
      </c>
      <c r="F233" s="76">
        <f t="shared" si="44"/>
        <v>-630</v>
      </c>
      <c r="G233" s="76">
        <f>SUMIF(F$6:F233,"&gt;0")</f>
        <v>136965</v>
      </c>
      <c r="H233" s="76">
        <f t="shared" si="45"/>
        <v>0</v>
      </c>
      <c r="I233" s="76">
        <f t="shared" si="37"/>
        <v>-630</v>
      </c>
      <c r="J233" s="81">
        <f t="shared" si="46"/>
        <v>-12</v>
      </c>
      <c r="K233" s="76">
        <f t="shared" si="42"/>
        <v>10450</v>
      </c>
    </row>
    <row r="234" spans="1:13" x14ac:dyDescent="0.25">
      <c r="A234" s="77">
        <v>44144.269444444442</v>
      </c>
      <c r="B234" s="105" t="s">
        <v>310</v>
      </c>
      <c r="C234" s="74">
        <v>3565</v>
      </c>
      <c r="D234" s="74">
        <v>153040</v>
      </c>
      <c r="E234" s="74">
        <f t="shared" si="47"/>
        <v>156605</v>
      </c>
      <c r="F234" s="76">
        <f t="shared" si="44"/>
        <v>420</v>
      </c>
      <c r="G234" s="76">
        <f>SUMIF(F$6:F234,"&gt;0")</f>
        <v>137385</v>
      </c>
      <c r="H234" s="76">
        <f t="shared" si="45"/>
        <v>20</v>
      </c>
      <c r="I234" s="76">
        <f t="shared" si="37"/>
        <v>440</v>
      </c>
      <c r="J234" s="81">
        <f t="shared" si="46"/>
        <v>8.3809523809523814</v>
      </c>
      <c r="K234" s="76">
        <f t="shared" si="42"/>
        <v>10770</v>
      </c>
    </row>
    <row r="235" spans="1:13" x14ac:dyDescent="0.25">
      <c r="A235" s="77">
        <v>44145.065972222219</v>
      </c>
      <c r="C235" s="74">
        <v>3610</v>
      </c>
      <c r="D235" s="74">
        <v>153060</v>
      </c>
      <c r="E235" s="74">
        <f t="shared" si="47"/>
        <v>156670</v>
      </c>
      <c r="F235" s="76">
        <f t="shared" si="44"/>
        <v>45</v>
      </c>
      <c r="G235" s="76">
        <f>SUMIF(F$6:F235,"&gt;0")</f>
        <v>137430</v>
      </c>
      <c r="H235" s="76">
        <f t="shared" si="45"/>
        <v>20</v>
      </c>
      <c r="I235" s="76">
        <f t="shared" si="37"/>
        <v>65</v>
      </c>
      <c r="J235" s="81">
        <f t="shared" si="46"/>
        <v>1.2380952380952381</v>
      </c>
      <c r="K235" s="76">
        <f t="shared" si="42"/>
        <v>10790</v>
      </c>
    </row>
    <row r="236" spans="1:13" x14ac:dyDescent="0.25">
      <c r="A236" s="77">
        <v>44145.996527777781</v>
      </c>
      <c r="C236" s="74">
        <v>3130</v>
      </c>
      <c r="D236" s="74">
        <v>153060</v>
      </c>
      <c r="E236" s="74">
        <f t="shared" si="47"/>
        <v>156190</v>
      </c>
      <c r="F236" s="76">
        <f t="shared" si="44"/>
        <v>-480</v>
      </c>
      <c r="G236" s="76">
        <f>SUMIF(F$6:F236,"&gt;0")</f>
        <v>137430</v>
      </c>
      <c r="H236" s="76">
        <f t="shared" si="45"/>
        <v>0</v>
      </c>
      <c r="I236" s="76">
        <f t="shared" si="37"/>
        <v>-480</v>
      </c>
      <c r="J236" s="81">
        <f t="shared" si="46"/>
        <v>-9.1428571428571423</v>
      </c>
      <c r="K236" s="76">
        <f t="shared" si="42"/>
        <v>10690</v>
      </c>
    </row>
    <row r="237" spans="1:13" x14ac:dyDescent="0.25">
      <c r="A237" s="77">
        <v>44146.801388888889</v>
      </c>
      <c r="C237" s="74">
        <v>3440</v>
      </c>
      <c r="D237" s="74">
        <v>153640</v>
      </c>
      <c r="E237" s="74">
        <f t="shared" si="47"/>
        <v>157080</v>
      </c>
      <c r="F237" s="76">
        <f t="shared" si="44"/>
        <v>310</v>
      </c>
      <c r="G237" s="76">
        <f>SUMIF(F$6:F237,"&gt;0")</f>
        <v>137740</v>
      </c>
      <c r="H237" s="76">
        <f t="shared" si="45"/>
        <v>580</v>
      </c>
      <c r="I237" s="76">
        <f t="shared" si="37"/>
        <v>890</v>
      </c>
      <c r="J237" s="81">
        <f t="shared" si="46"/>
        <v>16.952380952380953</v>
      </c>
      <c r="K237" s="76">
        <f t="shared" si="42"/>
        <v>10195</v>
      </c>
    </row>
    <row r="238" spans="1:13" x14ac:dyDescent="0.25">
      <c r="A238" s="77">
        <v>44147.304861111108</v>
      </c>
      <c r="C238" s="74">
        <v>3090</v>
      </c>
      <c r="D238" s="74">
        <v>153660</v>
      </c>
      <c r="E238" s="74">
        <f t="shared" si="47"/>
        <v>156750</v>
      </c>
      <c r="F238" s="76">
        <f t="shared" si="44"/>
        <v>-350</v>
      </c>
      <c r="G238" s="76">
        <f>SUMIF(F$6:F238,"&gt;0")</f>
        <v>137740</v>
      </c>
      <c r="H238" s="76">
        <f t="shared" si="45"/>
        <v>20</v>
      </c>
      <c r="I238" s="76">
        <f t="shared" si="37"/>
        <v>-330</v>
      </c>
      <c r="J238" s="81">
        <f t="shared" si="46"/>
        <v>-6.2857142857142856</v>
      </c>
      <c r="K238" s="76">
        <f t="shared" si="42"/>
        <v>10170</v>
      </c>
    </row>
    <row r="239" spans="1:13" x14ac:dyDescent="0.25">
      <c r="A239" s="77">
        <v>44149.261111111111</v>
      </c>
      <c r="B239" s="105" t="s">
        <v>311</v>
      </c>
      <c r="C239" s="74">
        <v>225</v>
      </c>
      <c r="D239" s="74">
        <v>135680</v>
      </c>
      <c r="E239" s="74">
        <f t="shared" si="47"/>
        <v>135905</v>
      </c>
      <c r="F239" s="76">
        <f t="shared" si="44"/>
        <v>-2865</v>
      </c>
      <c r="G239" s="76">
        <f>SUMIF(F$6:F239,"&gt;0")</f>
        <v>137740</v>
      </c>
      <c r="H239" s="76">
        <f t="shared" si="45"/>
        <v>-17980</v>
      </c>
      <c r="I239" s="76">
        <f t="shared" si="37"/>
        <v>-20845</v>
      </c>
      <c r="J239" s="81">
        <f t="shared" si="46"/>
        <v>-397.04761904761904</v>
      </c>
      <c r="K239" s="76">
        <f t="shared" si="42"/>
        <v>9345</v>
      </c>
    </row>
    <row r="240" spans="1:13" x14ac:dyDescent="0.25">
      <c r="A240" s="77">
        <v>44149.62222222222</v>
      </c>
      <c r="C240" s="74">
        <v>75</v>
      </c>
      <c r="D240" s="74">
        <v>136225</v>
      </c>
      <c r="E240" s="74">
        <f t="shared" si="47"/>
        <v>136300</v>
      </c>
      <c r="F240" s="76">
        <f t="shared" si="44"/>
        <v>-150</v>
      </c>
      <c r="G240" s="76">
        <f>SUMIF(F$6:F240,"&gt;0")</f>
        <v>137740</v>
      </c>
      <c r="H240" s="76">
        <f t="shared" si="45"/>
        <v>545</v>
      </c>
      <c r="I240" s="76">
        <f t="shared" si="37"/>
        <v>395</v>
      </c>
      <c r="J240" s="81">
        <f t="shared" si="46"/>
        <v>7.5238095238095237</v>
      </c>
      <c r="K240" s="76">
        <f t="shared" si="42"/>
        <v>9345</v>
      </c>
      <c r="L240" s="74">
        <v>525</v>
      </c>
      <c r="M240" s="74">
        <v>7</v>
      </c>
    </row>
    <row r="241" spans="1:13" x14ac:dyDescent="0.25">
      <c r="A241" s="77">
        <v>44150.202777777777</v>
      </c>
      <c r="C241" s="74">
        <v>835</v>
      </c>
      <c r="D241" s="74">
        <v>135745</v>
      </c>
      <c r="E241" s="74">
        <f t="shared" si="47"/>
        <v>136580</v>
      </c>
      <c r="F241" s="76">
        <f t="shared" si="44"/>
        <v>760</v>
      </c>
      <c r="G241" s="76">
        <f>SUMIF(F$6:F241,"&gt;0")</f>
        <v>138500</v>
      </c>
      <c r="H241" s="76">
        <f t="shared" si="45"/>
        <v>-480</v>
      </c>
      <c r="I241" s="76">
        <f t="shared" si="37"/>
        <v>280</v>
      </c>
      <c r="J241" s="81">
        <f t="shared" si="46"/>
        <v>5.333333333333333</v>
      </c>
      <c r="K241" s="76">
        <f t="shared" si="42"/>
        <v>10105</v>
      </c>
    </row>
    <row r="242" spans="1:13" x14ac:dyDescent="0.25">
      <c r="A242" s="77">
        <v>44151.444444444445</v>
      </c>
      <c r="C242" s="74">
        <v>1810</v>
      </c>
      <c r="D242" s="74">
        <v>135765</v>
      </c>
      <c r="E242" s="74">
        <f t="shared" si="47"/>
        <v>137575</v>
      </c>
      <c r="F242" s="76">
        <f t="shared" si="44"/>
        <v>975</v>
      </c>
      <c r="G242" s="76">
        <f>SUMIF(F$6:F242,"&gt;0")</f>
        <v>139475</v>
      </c>
      <c r="H242" s="76">
        <f t="shared" si="45"/>
        <v>20</v>
      </c>
      <c r="I242" s="76">
        <f t="shared" si="37"/>
        <v>995</v>
      </c>
      <c r="J242" s="81">
        <f t="shared" si="46"/>
        <v>18.952380952380953</v>
      </c>
      <c r="K242" s="76">
        <f t="shared" si="42"/>
        <v>10720</v>
      </c>
    </row>
    <row r="243" spans="1:13" x14ac:dyDescent="0.25">
      <c r="A243" s="77">
        <v>44152.215277777781</v>
      </c>
      <c r="B243" s="105" t="s">
        <v>312</v>
      </c>
      <c r="C243" s="74">
        <v>1910</v>
      </c>
      <c r="D243" s="74">
        <v>135815</v>
      </c>
      <c r="E243" s="74">
        <f t="shared" si="47"/>
        <v>137725</v>
      </c>
      <c r="F243" s="76">
        <f t="shared" si="44"/>
        <v>100</v>
      </c>
      <c r="G243" s="76">
        <f>SUMIF(F$6:F243,"&gt;0")</f>
        <v>139575</v>
      </c>
      <c r="H243" s="76">
        <f t="shared" si="45"/>
        <v>50</v>
      </c>
      <c r="I243" s="76">
        <f t="shared" si="37"/>
        <v>150</v>
      </c>
      <c r="J243" s="81">
        <f t="shared" si="46"/>
        <v>2.8571428571428568</v>
      </c>
      <c r="K243" s="76">
        <f t="shared" si="42"/>
        <v>9850</v>
      </c>
      <c r="L243" s="74">
        <v>480</v>
      </c>
      <c r="M243" s="74">
        <v>10</v>
      </c>
    </row>
    <row r="244" spans="1:13" x14ac:dyDescent="0.25">
      <c r="A244" s="77">
        <v>44153.294444444444</v>
      </c>
      <c r="C244" s="74">
        <v>2210</v>
      </c>
      <c r="D244" s="74">
        <v>135835</v>
      </c>
      <c r="E244" s="74">
        <f t="shared" si="47"/>
        <v>138045</v>
      </c>
      <c r="F244" s="76">
        <f t="shared" si="44"/>
        <v>300</v>
      </c>
      <c r="G244" s="76">
        <f>SUMIF(F$6:F244,"&gt;0")</f>
        <v>139875</v>
      </c>
      <c r="H244" s="76">
        <f t="shared" si="45"/>
        <v>20</v>
      </c>
      <c r="I244" s="76">
        <f t="shared" si="37"/>
        <v>320</v>
      </c>
      <c r="J244" s="81">
        <f t="shared" si="46"/>
        <v>6.0952380952380958</v>
      </c>
      <c r="K244" s="76">
        <f t="shared" si="42"/>
        <v>7700</v>
      </c>
    </row>
    <row r="245" spans="1:13" x14ac:dyDescent="0.25">
      <c r="A245" s="77">
        <v>44154.629166666666</v>
      </c>
      <c r="C245" s="74">
        <v>2360</v>
      </c>
      <c r="D245" s="74">
        <v>135855</v>
      </c>
      <c r="E245" s="74">
        <f t="shared" si="47"/>
        <v>138215</v>
      </c>
      <c r="F245" s="76">
        <f t="shared" si="44"/>
        <v>150</v>
      </c>
      <c r="G245" s="76">
        <f>SUMIF(F$6:F245,"&gt;0")</f>
        <v>140025</v>
      </c>
      <c r="H245" s="76">
        <f t="shared" si="45"/>
        <v>20</v>
      </c>
      <c r="I245" s="76">
        <f t="shared" si="37"/>
        <v>170</v>
      </c>
      <c r="J245" s="81">
        <f t="shared" si="46"/>
        <v>3.2380952380952381</v>
      </c>
      <c r="K245" s="76">
        <f t="shared" si="42"/>
        <v>7775</v>
      </c>
    </row>
    <row r="246" spans="1:13" x14ac:dyDescent="0.25">
      <c r="A246" s="77">
        <v>44155.32916666667</v>
      </c>
      <c r="C246" s="74">
        <v>2485</v>
      </c>
      <c r="D246" s="74">
        <v>135875</v>
      </c>
      <c r="E246" s="74">
        <f t="shared" si="47"/>
        <v>138360</v>
      </c>
      <c r="F246" s="76">
        <f t="shared" si="44"/>
        <v>125</v>
      </c>
      <c r="G246" s="76">
        <f>SUMIF(F$6:F246,"&gt;0")</f>
        <v>140150</v>
      </c>
      <c r="H246" s="76">
        <f t="shared" si="45"/>
        <v>20</v>
      </c>
      <c r="I246" s="76">
        <f t="shared" si="37"/>
        <v>145</v>
      </c>
      <c r="J246" s="81">
        <f t="shared" si="46"/>
        <v>2.7619047619047619</v>
      </c>
      <c r="K246" s="76">
        <f t="shared" si="42"/>
        <v>7900</v>
      </c>
    </row>
    <row r="247" spans="1:13" x14ac:dyDescent="0.25">
      <c r="A247" s="77">
        <v>44156.618750000001</v>
      </c>
      <c r="C247" s="74">
        <v>2910</v>
      </c>
      <c r="D247" s="74">
        <v>135895</v>
      </c>
      <c r="E247" s="74">
        <f t="shared" si="47"/>
        <v>138805</v>
      </c>
      <c r="F247" s="76">
        <f t="shared" si="44"/>
        <v>425</v>
      </c>
      <c r="G247" s="76">
        <f>SUMIF(F$6:F247,"&gt;0")</f>
        <v>140575</v>
      </c>
      <c r="H247" s="76">
        <f t="shared" si="45"/>
        <v>20</v>
      </c>
      <c r="I247" s="76">
        <f t="shared" si="37"/>
        <v>445</v>
      </c>
      <c r="J247" s="81">
        <f t="shared" si="46"/>
        <v>8.4761904761904763</v>
      </c>
      <c r="K247" s="76">
        <f t="shared" si="42"/>
        <v>7600</v>
      </c>
    </row>
    <row r="248" spans="1:13" x14ac:dyDescent="0.25">
      <c r="A248" s="77">
        <v>44157.438194444447</v>
      </c>
      <c r="C248" s="74">
        <v>2960</v>
      </c>
      <c r="D248" s="74">
        <v>136440</v>
      </c>
      <c r="E248" s="74">
        <f t="shared" si="47"/>
        <v>139400</v>
      </c>
      <c r="F248" s="76">
        <f t="shared" si="44"/>
        <v>50</v>
      </c>
      <c r="G248" s="76">
        <f>SUMIF(F$6:F248,"&gt;0")</f>
        <v>140625</v>
      </c>
      <c r="H248" s="76">
        <f t="shared" si="45"/>
        <v>545</v>
      </c>
      <c r="I248" s="76">
        <f t="shared" si="37"/>
        <v>595</v>
      </c>
      <c r="J248" s="81">
        <f t="shared" si="46"/>
        <v>11.333333333333332</v>
      </c>
      <c r="K248" s="76">
        <f t="shared" si="42"/>
        <v>7325</v>
      </c>
      <c r="L248" s="74">
        <v>480</v>
      </c>
      <c r="M248" s="74">
        <v>10</v>
      </c>
    </row>
    <row r="249" spans="1:13" x14ac:dyDescent="0.25">
      <c r="A249" s="77">
        <v>44158.165972222225</v>
      </c>
      <c r="B249" s="105" t="s">
        <v>313</v>
      </c>
      <c r="C249" s="74">
        <v>1610</v>
      </c>
      <c r="D249" s="74">
        <v>136490</v>
      </c>
      <c r="E249" s="74">
        <f t="shared" si="47"/>
        <v>138100</v>
      </c>
      <c r="F249" s="76">
        <f t="shared" si="44"/>
        <v>-1350</v>
      </c>
      <c r="G249" s="76">
        <f>SUMIF(F$6:F249,"&gt;0")</f>
        <v>140625</v>
      </c>
      <c r="H249" s="76">
        <f t="shared" si="45"/>
        <v>50</v>
      </c>
      <c r="I249" s="76">
        <f t="shared" ref="I249:I312" si="48">SUM(F249,H249)</f>
        <v>-1300</v>
      </c>
      <c r="J249" s="81">
        <f t="shared" si="46"/>
        <v>-24.761904761904763</v>
      </c>
      <c r="K249" s="76">
        <f t="shared" si="42"/>
        <v>7325</v>
      </c>
      <c r="L249" s="74">
        <v>480</v>
      </c>
      <c r="M249" s="74">
        <v>10</v>
      </c>
    </row>
    <row r="250" spans="1:13" x14ac:dyDescent="0.25">
      <c r="A250" s="77">
        <v>44159.003472222219</v>
      </c>
      <c r="C250" s="74">
        <v>1785</v>
      </c>
      <c r="D250" s="74">
        <v>136510</v>
      </c>
      <c r="E250" s="74">
        <f t="shared" si="47"/>
        <v>138295</v>
      </c>
      <c r="F250" s="76">
        <f t="shared" si="44"/>
        <v>175</v>
      </c>
      <c r="G250" s="76">
        <f>SUMIF(F$6:F250,"&gt;0")</f>
        <v>140800</v>
      </c>
      <c r="H250" s="76">
        <f t="shared" si="45"/>
        <v>20</v>
      </c>
      <c r="I250" s="76">
        <f t="shared" si="48"/>
        <v>195</v>
      </c>
      <c r="J250" s="81">
        <f t="shared" si="46"/>
        <v>3.7142857142857144</v>
      </c>
      <c r="K250" s="76">
        <f t="shared" si="42"/>
        <v>7225</v>
      </c>
    </row>
    <row r="251" spans="1:13" x14ac:dyDescent="0.25">
      <c r="A251" s="77">
        <v>44160.904166666667</v>
      </c>
      <c r="C251" s="74">
        <v>2135</v>
      </c>
      <c r="D251" s="74">
        <v>136530</v>
      </c>
      <c r="E251" s="74">
        <f t="shared" si="47"/>
        <v>138665</v>
      </c>
      <c r="F251" s="76">
        <f t="shared" si="44"/>
        <v>350</v>
      </c>
      <c r="G251" s="76">
        <f>SUMIF(F$6:F251,"&gt;0")</f>
        <v>141150</v>
      </c>
      <c r="H251" s="76">
        <f t="shared" si="45"/>
        <v>20</v>
      </c>
      <c r="I251" s="76">
        <f t="shared" si="48"/>
        <v>370</v>
      </c>
      <c r="J251" s="81">
        <f t="shared" si="46"/>
        <v>7.0476190476190483</v>
      </c>
      <c r="K251" s="76">
        <f t="shared" si="42"/>
        <v>7385</v>
      </c>
    </row>
    <row r="252" spans="1:13" x14ac:dyDescent="0.25">
      <c r="A252" s="77">
        <v>44161.138194444444</v>
      </c>
      <c r="C252" s="74">
        <v>2485</v>
      </c>
      <c r="D252" s="74">
        <v>136530</v>
      </c>
      <c r="E252" s="74">
        <f t="shared" si="47"/>
        <v>139015</v>
      </c>
      <c r="F252" s="76">
        <f t="shared" si="44"/>
        <v>350</v>
      </c>
      <c r="G252" s="76">
        <f>SUMIF(F$6:F252,"&gt;0")</f>
        <v>141500</v>
      </c>
      <c r="H252" s="76">
        <f t="shared" si="45"/>
        <v>0</v>
      </c>
      <c r="I252" s="76">
        <f t="shared" si="48"/>
        <v>350</v>
      </c>
      <c r="J252" s="81">
        <f t="shared" si="46"/>
        <v>6.6666666666666661</v>
      </c>
      <c r="K252" s="76">
        <f t="shared" si="42"/>
        <v>7735</v>
      </c>
    </row>
    <row r="253" spans="1:13" x14ac:dyDescent="0.25">
      <c r="A253" s="77">
        <v>44161.900694444441</v>
      </c>
      <c r="C253" s="74">
        <v>25</v>
      </c>
      <c r="D253" s="74">
        <v>136550</v>
      </c>
      <c r="E253" s="74">
        <f t="shared" si="47"/>
        <v>136575</v>
      </c>
      <c r="F253" s="76">
        <f t="shared" si="44"/>
        <v>-2460</v>
      </c>
      <c r="G253" s="76">
        <f>SUMIF(F$6:F253,"&gt;0")</f>
        <v>141500</v>
      </c>
      <c r="H253" s="76">
        <f t="shared" si="45"/>
        <v>20</v>
      </c>
      <c r="I253" s="76">
        <f t="shared" si="48"/>
        <v>-2440</v>
      </c>
      <c r="J253" s="81">
        <f t="shared" si="46"/>
        <v>-46.476190476190482</v>
      </c>
      <c r="K253" s="76">
        <f t="shared" si="42"/>
        <v>6425</v>
      </c>
    </row>
    <row r="254" spans="1:13" x14ac:dyDescent="0.25">
      <c r="A254" s="77">
        <v>44162.533333333333</v>
      </c>
      <c r="B254" s="105" t="s">
        <v>315</v>
      </c>
      <c r="C254" s="74">
        <v>680</v>
      </c>
      <c r="D254" s="74">
        <v>120970</v>
      </c>
      <c r="E254" s="74">
        <f t="shared" si="47"/>
        <v>121650</v>
      </c>
      <c r="F254" s="76">
        <f t="shared" ref="F254:F285" si="49">C254-C253</f>
        <v>655</v>
      </c>
      <c r="G254" s="76">
        <f>SUMIF(F$6:F254,"&gt;0")</f>
        <v>142155</v>
      </c>
      <c r="H254" s="76">
        <f t="shared" ref="H254:H285" si="50">D254-D253</f>
        <v>-15580</v>
      </c>
      <c r="I254" s="76">
        <f t="shared" si="48"/>
        <v>-14925</v>
      </c>
      <c r="J254" s="81">
        <f t="shared" si="46"/>
        <v>-284.28571428571428</v>
      </c>
      <c r="K254" s="76">
        <f t="shared" si="42"/>
        <v>7030</v>
      </c>
    </row>
    <row r="255" spans="1:13" x14ac:dyDescent="0.25">
      <c r="A255" s="77">
        <v>44164.081944444442</v>
      </c>
      <c r="B255" s="105" t="s">
        <v>318</v>
      </c>
      <c r="C255" s="74">
        <v>1330</v>
      </c>
      <c r="D255" s="74">
        <v>150965</v>
      </c>
      <c r="E255" s="74">
        <f t="shared" ref="E255:E263" si="51">SUM(C255:D255)</f>
        <v>152295</v>
      </c>
      <c r="F255" s="76">
        <f t="shared" si="49"/>
        <v>650</v>
      </c>
      <c r="G255" s="76">
        <f>SUMIF(F$6:F255,"&gt;0")</f>
        <v>142805</v>
      </c>
      <c r="H255" s="76">
        <f t="shared" si="50"/>
        <v>29995</v>
      </c>
      <c r="I255" s="76">
        <f t="shared" si="48"/>
        <v>30645</v>
      </c>
      <c r="J255" s="81">
        <f t="shared" ref="J255:J286" si="52">I255/4200*80</f>
        <v>583.71428571428578</v>
      </c>
      <c r="K255" s="76">
        <f t="shared" si="42"/>
        <v>7605</v>
      </c>
      <c r="L255" s="74">
        <v>30405</v>
      </c>
      <c r="M255" s="74">
        <v>577</v>
      </c>
    </row>
    <row r="256" spans="1:13" x14ac:dyDescent="0.25">
      <c r="A256" s="77">
        <v>44165.065972222219</v>
      </c>
      <c r="B256" s="105" t="s">
        <v>329</v>
      </c>
      <c r="C256" s="74">
        <v>130</v>
      </c>
      <c r="D256" s="74">
        <v>114935</v>
      </c>
      <c r="E256" s="74">
        <f t="shared" si="51"/>
        <v>115065</v>
      </c>
      <c r="F256" s="76">
        <f t="shared" si="49"/>
        <v>-1200</v>
      </c>
      <c r="G256" s="76">
        <f>SUMIF(F$6:F256,"&gt;0")</f>
        <v>142805</v>
      </c>
      <c r="H256" s="76">
        <f t="shared" si="50"/>
        <v>-36030</v>
      </c>
      <c r="I256" s="76">
        <f t="shared" si="48"/>
        <v>-37230</v>
      </c>
      <c r="J256" s="81">
        <f t="shared" si="52"/>
        <v>-709.14285714285711</v>
      </c>
      <c r="K256" s="76">
        <f t="shared" si="42"/>
        <v>7405</v>
      </c>
    </row>
    <row r="257" spans="1:13" x14ac:dyDescent="0.25">
      <c r="A257" s="77">
        <v>44165.190972222219</v>
      </c>
      <c r="B257" s="105" t="s">
        <v>330</v>
      </c>
      <c r="C257" s="74">
        <v>855</v>
      </c>
      <c r="D257" s="74">
        <v>115510</v>
      </c>
      <c r="E257" s="74">
        <f t="shared" si="51"/>
        <v>116365</v>
      </c>
      <c r="F257" s="76">
        <f t="shared" si="49"/>
        <v>725</v>
      </c>
      <c r="G257" s="76">
        <f>SUMIF(F$6:F257,"&gt;0")</f>
        <v>143530</v>
      </c>
      <c r="H257" s="76">
        <f t="shared" si="50"/>
        <v>575</v>
      </c>
      <c r="I257" s="76">
        <f t="shared" si="48"/>
        <v>1300</v>
      </c>
      <c r="J257" s="81">
        <f t="shared" si="52"/>
        <v>24.761904761904763</v>
      </c>
      <c r="K257" s="76">
        <f t="shared" si="42"/>
        <v>8130</v>
      </c>
      <c r="L257" s="74">
        <v>525</v>
      </c>
      <c r="M257" s="74">
        <v>7</v>
      </c>
    </row>
    <row r="258" spans="1:13" x14ac:dyDescent="0.25">
      <c r="A258" s="77">
        <v>44166.293749999997</v>
      </c>
      <c r="C258" s="74">
        <v>1425</v>
      </c>
      <c r="D258" s="74">
        <v>115530</v>
      </c>
      <c r="E258" s="74">
        <f t="shared" si="51"/>
        <v>116955</v>
      </c>
      <c r="F258" s="76">
        <f t="shared" si="49"/>
        <v>570</v>
      </c>
      <c r="G258" s="76">
        <f>SUMIF(F$6:F258,"&gt;0")</f>
        <v>144100</v>
      </c>
      <c r="H258" s="76">
        <f t="shared" si="50"/>
        <v>20</v>
      </c>
      <c r="I258" s="76">
        <f t="shared" si="48"/>
        <v>590</v>
      </c>
      <c r="J258" s="81">
        <f t="shared" si="52"/>
        <v>11.238095238095237</v>
      </c>
      <c r="K258" s="76">
        <f t="shared" si="42"/>
        <v>8650</v>
      </c>
    </row>
    <row r="259" spans="1:13" x14ac:dyDescent="0.25">
      <c r="A259" s="77">
        <v>44167.293749999997</v>
      </c>
      <c r="C259" s="74">
        <v>1875</v>
      </c>
      <c r="D259" s="74">
        <v>115550</v>
      </c>
      <c r="E259" s="74">
        <f t="shared" si="51"/>
        <v>117425</v>
      </c>
      <c r="F259" s="76">
        <f t="shared" si="49"/>
        <v>450</v>
      </c>
      <c r="G259" s="76">
        <f>SUMIF(F$6:F259,"&gt;0")</f>
        <v>144550</v>
      </c>
      <c r="H259" s="76">
        <f t="shared" si="50"/>
        <v>20</v>
      </c>
      <c r="I259" s="76">
        <f t="shared" si="48"/>
        <v>470</v>
      </c>
      <c r="J259" s="81">
        <f t="shared" si="52"/>
        <v>8.9523809523809526</v>
      </c>
      <c r="K259" s="76">
        <f t="shared" si="42"/>
        <v>9100</v>
      </c>
    </row>
    <row r="260" spans="1:13" x14ac:dyDescent="0.25">
      <c r="A260" s="77">
        <v>44168.175694444442</v>
      </c>
      <c r="C260" s="74">
        <v>1975</v>
      </c>
      <c r="D260" s="74">
        <v>115570</v>
      </c>
      <c r="E260" s="74">
        <f t="shared" si="51"/>
        <v>117545</v>
      </c>
      <c r="F260" s="76">
        <f t="shared" si="49"/>
        <v>100</v>
      </c>
      <c r="G260" s="76">
        <f>SUMIF(F$6:F260,"&gt;0")</f>
        <v>144650</v>
      </c>
      <c r="H260" s="76">
        <f t="shared" si="50"/>
        <v>20</v>
      </c>
      <c r="I260" s="76">
        <f t="shared" si="48"/>
        <v>120</v>
      </c>
      <c r="J260" s="81">
        <f t="shared" si="52"/>
        <v>2.2857142857142856</v>
      </c>
      <c r="K260" s="76">
        <f t="shared" si="42"/>
        <v>8635</v>
      </c>
    </row>
    <row r="261" spans="1:13" x14ac:dyDescent="0.25">
      <c r="A261" s="77">
        <v>44169.754861111112</v>
      </c>
      <c r="C261" s="74">
        <v>2425</v>
      </c>
      <c r="D261" s="74">
        <v>115590</v>
      </c>
      <c r="E261" s="74">
        <f t="shared" si="51"/>
        <v>118015</v>
      </c>
      <c r="F261" s="76">
        <f t="shared" si="49"/>
        <v>450</v>
      </c>
      <c r="G261" s="76">
        <f>SUMIF(F$6:F261,"&gt;0")</f>
        <v>145100</v>
      </c>
      <c r="H261" s="76">
        <f t="shared" si="50"/>
        <v>20</v>
      </c>
      <c r="I261" s="76">
        <f t="shared" si="48"/>
        <v>470</v>
      </c>
      <c r="J261" s="81">
        <f t="shared" si="52"/>
        <v>8.9523809523809526</v>
      </c>
      <c r="K261" s="76">
        <f t="shared" si="42"/>
        <v>9085</v>
      </c>
    </row>
    <row r="262" spans="1:13" x14ac:dyDescent="0.25">
      <c r="A262" s="77">
        <v>44170.035416666666</v>
      </c>
      <c r="C262" s="74">
        <v>4150</v>
      </c>
      <c r="D262" s="74">
        <v>115640</v>
      </c>
      <c r="E262" s="74">
        <f t="shared" si="51"/>
        <v>119790</v>
      </c>
      <c r="F262" s="76">
        <f t="shared" si="49"/>
        <v>1725</v>
      </c>
      <c r="G262" s="76">
        <f>SUMIF(F$6:F262,"&gt;0")</f>
        <v>146825</v>
      </c>
      <c r="H262" s="76">
        <f t="shared" si="50"/>
        <v>50</v>
      </c>
      <c r="I262" s="76">
        <f t="shared" si="48"/>
        <v>1775</v>
      </c>
      <c r="J262" s="81">
        <f t="shared" si="52"/>
        <v>33.80952380952381</v>
      </c>
      <c r="K262" s="76">
        <f t="shared" ref="K262:K303" si="53">_xlfn.SINGLE(IFERROR(G262 - _xlfn.XLOOKUP(A262-30, $A$6:$A$14998,G$6:G$14998,"",-1,2),NA()))</f>
        <v>10810</v>
      </c>
    </row>
    <row r="263" spans="1:13" x14ac:dyDescent="0.25">
      <c r="A263" s="77">
        <v>44171.594444444447</v>
      </c>
      <c r="C263" s="74">
        <v>4525</v>
      </c>
      <c r="D263" s="74">
        <v>115660</v>
      </c>
      <c r="E263" s="74">
        <f t="shared" si="51"/>
        <v>120185</v>
      </c>
      <c r="F263" s="76">
        <f t="shared" si="49"/>
        <v>375</v>
      </c>
      <c r="G263" s="76">
        <f>SUMIF(F$6:F263,"&gt;0")</f>
        <v>147200</v>
      </c>
      <c r="H263" s="76">
        <f t="shared" si="50"/>
        <v>20</v>
      </c>
      <c r="I263" s="76">
        <f t="shared" si="48"/>
        <v>395</v>
      </c>
      <c r="J263" s="81">
        <f t="shared" si="52"/>
        <v>7.5238095238095237</v>
      </c>
      <c r="K263" s="76">
        <f t="shared" si="53"/>
        <v>11085</v>
      </c>
    </row>
    <row r="264" spans="1:13" x14ac:dyDescent="0.25">
      <c r="A264" s="77">
        <v>44172.018750000003</v>
      </c>
      <c r="C264" s="74">
        <v>4575</v>
      </c>
      <c r="D264" s="74">
        <v>115680</v>
      </c>
      <c r="E264" s="74">
        <f t="shared" ref="E264:E284" si="54">SUM(C264:D264)</f>
        <v>120255</v>
      </c>
      <c r="F264" s="76">
        <f t="shared" si="49"/>
        <v>50</v>
      </c>
      <c r="G264" s="76">
        <f>SUMIF(F$6:F264,"&gt;0")</f>
        <v>147250</v>
      </c>
      <c r="H264" s="76">
        <f t="shared" si="50"/>
        <v>20</v>
      </c>
      <c r="I264" s="76">
        <f t="shared" si="48"/>
        <v>70</v>
      </c>
      <c r="J264" s="81">
        <f t="shared" si="52"/>
        <v>1.3333333333333333</v>
      </c>
      <c r="K264" s="76">
        <f t="shared" si="53"/>
        <v>10335</v>
      </c>
    </row>
    <row r="265" spans="1:13" x14ac:dyDescent="0.25">
      <c r="A265" s="77">
        <v>44173.915972222225</v>
      </c>
      <c r="C265" s="74">
        <v>4625</v>
      </c>
      <c r="D265" s="74">
        <v>115700</v>
      </c>
      <c r="E265" s="74">
        <f t="shared" si="54"/>
        <v>120325</v>
      </c>
      <c r="F265" s="76">
        <f t="shared" si="49"/>
        <v>50</v>
      </c>
      <c r="G265" s="76">
        <f>SUMIF(F$6:F265,"&gt;0")</f>
        <v>147300</v>
      </c>
      <c r="H265" s="76">
        <f t="shared" si="50"/>
        <v>20</v>
      </c>
      <c r="I265" s="76">
        <f t="shared" si="48"/>
        <v>70</v>
      </c>
      <c r="J265" s="81">
        <f t="shared" si="52"/>
        <v>1.3333333333333333</v>
      </c>
      <c r="K265" s="76">
        <f t="shared" si="53"/>
        <v>10335</v>
      </c>
    </row>
    <row r="266" spans="1:13" x14ac:dyDescent="0.25">
      <c r="A266" s="77">
        <v>44174.231249999997</v>
      </c>
      <c r="C266" s="74">
        <v>4675</v>
      </c>
      <c r="D266" s="74">
        <v>115720</v>
      </c>
      <c r="E266" s="74">
        <f t="shared" si="54"/>
        <v>120395</v>
      </c>
      <c r="F266" s="76">
        <f t="shared" si="49"/>
        <v>50</v>
      </c>
      <c r="G266" s="76">
        <f>SUMIF(F$6:F266,"&gt;0")</f>
        <v>147350</v>
      </c>
      <c r="H266" s="76">
        <f t="shared" si="50"/>
        <v>20</v>
      </c>
      <c r="I266" s="76">
        <f t="shared" si="48"/>
        <v>70</v>
      </c>
      <c r="J266" s="81">
        <f t="shared" si="52"/>
        <v>1.3333333333333333</v>
      </c>
      <c r="K266" s="76">
        <f t="shared" si="53"/>
        <v>10385</v>
      </c>
    </row>
    <row r="267" spans="1:13" x14ac:dyDescent="0.25">
      <c r="A267" s="77">
        <v>44175.32708333333</v>
      </c>
      <c r="C267" s="74">
        <v>4725</v>
      </c>
      <c r="D267" s="74">
        <v>115740</v>
      </c>
      <c r="E267" s="74">
        <f t="shared" si="54"/>
        <v>120465</v>
      </c>
      <c r="F267" s="76">
        <f t="shared" si="49"/>
        <v>50</v>
      </c>
      <c r="G267" s="76">
        <f>SUMIF(F$6:F267,"&gt;0")</f>
        <v>147400</v>
      </c>
      <c r="H267" s="76">
        <f t="shared" si="50"/>
        <v>20</v>
      </c>
      <c r="I267" s="76">
        <f t="shared" si="48"/>
        <v>70</v>
      </c>
      <c r="J267" s="81">
        <f t="shared" si="52"/>
        <v>1.3333333333333333</v>
      </c>
      <c r="K267" s="76">
        <f t="shared" si="53"/>
        <v>9970</v>
      </c>
    </row>
    <row r="268" spans="1:13" x14ac:dyDescent="0.25">
      <c r="A268" s="77">
        <v>44176.415277777778</v>
      </c>
      <c r="C268" s="74">
        <v>4775</v>
      </c>
      <c r="D268" s="74">
        <v>116815</v>
      </c>
      <c r="E268" s="74">
        <f t="shared" si="54"/>
        <v>121590</v>
      </c>
      <c r="F268" s="76">
        <f t="shared" si="49"/>
        <v>50</v>
      </c>
      <c r="G268" s="76">
        <f>SUMIF(F$6:F268,"&gt;0")</f>
        <v>147450</v>
      </c>
      <c r="H268" s="76">
        <f t="shared" si="50"/>
        <v>1075</v>
      </c>
      <c r="I268" s="76">
        <f t="shared" si="48"/>
        <v>1125</v>
      </c>
      <c r="J268" s="81">
        <f t="shared" si="52"/>
        <v>21.428571428571427</v>
      </c>
      <c r="K268" s="76">
        <f t="shared" si="53"/>
        <v>10020</v>
      </c>
      <c r="L268" s="74">
        <f>525+480</f>
        <v>1005</v>
      </c>
      <c r="M268" s="74">
        <f>17</f>
        <v>17</v>
      </c>
    </row>
    <row r="269" spans="1:13" x14ac:dyDescent="0.25">
      <c r="A269" s="77">
        <v>44177.791666666664</v>
      </c>
      <c r="C269" s="74">
        <v>4825</v>
      </c>
      <c r="D269" s="74">
        <v>116835</v>
      </c>
      <c r="E269" s="74">
        <f t="shared" si="54"/>
        <v>121660</v>
      </c>
      <c r="F269" s="76">
        <f t="shared" si="49"/>
        <v>50</v>
      </c>
      <c r="G269" s="76">
        <f>SUMIF(F$6:F269,"&gt;0")</f>
        <v>147500</v>
      </c>
      <c r="H269" s="76">
        <f t="shared" si="50"/>
        <v>20</v>
      </c>
      <c r="I269" s="76">
        <f t="shared" si="48"/>
        <v>70</v>
      </c>
      <c r="J269" s="81">
        <f t="shared" si="52"/>
        <v>1.3333333333333333</v>
      </c>
      <c r="K269" s="76">
        <f t="shared" si="53"/>
        <v>9760</v>
      </c>
    </row>
    <row r="270" spans="1:13" x14ac:dyDescent="0.25">
      <c r="A270" s="77">
        <v>44178.615277777775</v>
      </c>
      <c r="C270" s="418">
        <v>4875</v>
      </c>
      <c r="D270" s="418">
        <v>116855</v>
      </c>
      <c r="E270" s="418">
        <f t="shared" si="54"/>
        <v>121730</v>
      </c>
      <c r="F270" s="76">
        <f t="shared" si="49"/>
        <v>50</v>
      </c>
      <c r="G270" s="76">
        <f>SUMIF(F$6:F270,"&gt;0")</f>
        <v>147550</v>
      </c>
      <c r="H270" s="76">
        <f t="shared" si="50"/>
        <v>20</v>
      </c>
      <c r="I270" s="76">
        <f t="shared" si="48"/>
        <v>70</v>
      </c>
      <c r="J270" s="81">
        <f t="shared" si="52"/>
        <v>1.3333333333333333</v>
      </c>
      <c r="K270" s="76">
        <f t="shared" si="53"/>
        <v>9810</v>
      </c>
      <c r="L270" s="418"/>
      <c r="M270" s="418"/>
    </row>
    <row r="271" spans="1:13" x14ac:dyDescent="0.25">
      <c r="A271" s="77">
        <v>44179.063888888886</v>
      </c>
      <c r="C271" s="418">
        <v>5620</v>
      </c>
      <c r="D271" s="418">
        <v>116875</v>
      </c>
      <c r="E271" s="418">
        <f t="shared" si="54"/>
        <v>122495</v>
      </c>
      <c r="F271" s="76">
        <f t="shared" si="49"/>
        <v>745</v>
      </c>
      <c r="G271" s="76">
        <f>SUMIF(F$6:F271,"&gt;0")</f>
        <v>148295</v>
      </c>
      <c r="H271" s="76">
        <f t="shared" si="50"/>
        <v>20</v>
      </c>
      <c r="I271" s="76">
        <f t="shared" si="48"/>
        <v>765</v>
      </c>
      <c r="J271" s="81">
        <f t="shared" si="52"/>
        <v>14.571428571428571</v>
      </c>
      <c r="K271" s="76">
        <f t="shared" si="53"/>
        <v>10555</v>
      </c>
      <c r="L271" s="418"/>
      <c r="M271" s="418"/>
    </row>
    <row r="272" spans="1:13" x14ac:dyDescent="0.25">
      <c r="A272" s="77">
        <v>44180.186805555553</v>
      </c>
      <c r="B272" s="105" t="s">
        <v>349</v>
      </c>
      <c r="C272" s="418">
        <v>5630</v>
      </c>
      <c r="D272" s="418">
        <v>95995</v>
      </c>
      <c r="E272" s="418">
        <f t="shared" si="54"/>
        <v>101625</v>
      </c>
      <c r="F272" s="76">
        <f t="shared" si="49"/>
        <v>10</v>
      </c>
      <c r="G272" s="76">
        <f>SUMIF(F$6:F272,"&gt;0")</f>
        <v>148305</v>
      </c>
      <c r="H272" s="76">
        <f t="shared" si="50"/>
        <v>-20880</v>
      </c>
      <c r="I272" s="76">
        <f t="shared" si="48"/>
        <v>-20870</v>
      </c>
      <c r="J272" s="81">
        <f t="shared" si="52"/>
        <v>-397.52380952380952</v>
      </c>
      <c r="K272" s="76">
        <f t="shared" si="53"/>
        <v>10565</v>
      </c>
      <c r="L272" s="418"/>
      <c r="M272" s="418"/>
    </row>
    <row r="273" spans="1:13" x14ac:dyDescent="0.25">
      <c r="A273" s="77">
        <v>44181.272916666669</v>
      </c>
      <c r="C273" s="418">
        <v>7860</v>
      </c>
      <c r="D273" s="418">
        <v>96015</v>
      </c>
      <c r="E273" s="418">
        <f t="shared" si="54"/>
        <v>103875</v>
      </c>
      <c r="F273" s="76">
        <f t="shared" si="49"/>
        <v>2230</v>
      </c>
      <c r="G273" s="76">
        <f>SUMIF(F$6:F273,"&gt;0")</f>
        <v>150535</v>
      </c>
      <c r="H273" s="76">
        <f t="shared" si="50"/>
        <v>20</v>
      </c>
      <c r="I273" s="76">
        <f t="shared" si="48"/>
        <v>2250</v>
      </c>
      <c r="J273" s="81">
        <f t="shared" si="52"/>
        <v>42.857142857142854</v>
      </c>
      <c r="K273" s="76">
        <f t="shared" si="53"/>
        <v>12035</v>
      </c>
      <c r="L273" s="418"/>
      <c r="M273" s="418"/>
    </row>
    <row r="274" spans="1:13" x14ac:dyDescent="0.25">
      <c r="A274" s="77">
        <v>44182.362500000003</v>
      </c>
      <c r="C274" s="418">
        <v>8230</v>
      </c>
      <c r="D274" s="418">
        <v>96065</v>
      </c>
      <c r="E274" s="418">
        <f t="shared" si="54"/>
        <v>104295</v>
      </c>
      <c r="F274" s="76">
        <f t="shared" si="49"/>
        <v>370</v>
      </c>
      <c r="G274" s="76">
        <f>SUMIF(F$6:F274,"&gt;0")</f>
        <v>150905</v>
      </c>
      <c r="H274" s="76">
        <f t="shared" si="50"/>
        <v>50</v>
      </c>
      <c r="I274" s="76">
        <f t="shared" si="48"/>
        <v>420</v>
      </c>
      <c r="J274" s="81">
        <f t="shared" si="52"/>
        <v>8</v>
      </c>
      <c r="K274" s="76">
        <f t="shared" si="53"/>
        <v>11330</v>
      </c>
      <c r="L274" s="418">
        <v>480</v>
      </c>
      <c r="M274" s="418">
        <v>10</v>
      </c>
    </row>
    <row r="275" spans="1:13" x14ac:dyDescent="0.25">
      <c r="A275" s="77">
        <v>44183.550694444442</v>
      </c>
      <c r="C275" s="418">
        <v>8660</v>
      </c>
      <c r="D275" s="418">
        <v>96085</v>
      </c>
      <c r="E275" s="418">
        <f t="shared" si="54"/>
        <v>104745</v>
      </c>
      <c r="F275" s="76">
        <f t="shared" si="49"/>
        <v>430</v>
      </c>
      <c r="G275" s="76">
        <f>SUMIF(F$6:F275,"&gt;0")</f>
        <v>151335</v>
      </c>
      <c r="H275" s="76">
        <f t="shared" si="50"/>
        <v>20</v>
      </c>
      <c r="I275" s="76">
        <f t="shared" si="48"/>
        <v>450</v>
      </c>
      <c r="J275" s="81">
        <f t="shared" si="52"/>
        <v>8.5714285714285712</v>
      </c>
      <c r="K275" s="76">
        <f t="shared" si="53"/>
        <v>11460</v>
      </c>
      <c r="L275" s="418"/>
      <c r="M275" s="418"/>
    </row>
    <row r="276" spans="1:13" x14ac:dyDescent="0.25">
      <c r="A276" s="77">
        <v>44184.210416666669</v>
      </c>
      <c r="C276" s="418">
        <v>9200</v>
      </c>
      <c r="D276" s="418">
        <v>96630</v>
      </c>
      <c r="E276" s="418">
        <f t="shared" si="54"/>
        <v>105830</v>
      </c>
      <c r="F276" s="76">
        <f t="shared" si="49"/>
        <v>540</v>
      </c>
      <c r="G276" s="76">
        <f>SUMIF(F$6:F276,"&gt;0")</f>
        <v>151875</v>
      </c>
      <c r="H276" s="76">
        <f t="shared" si="50"/>
        <v>545</v>
      </c>
      <c r="I276" s="76">
        <f t="shared" si="48"/>
        <v>1085</v>
      </c>
      <c r="J276" s="81">
        <f t="shared" si="52"/>
        <v>20.666666666666668</v>
      </c>
      <c r="K276" s="76">
        <f t="shared" si="53"/>
        <v>12000</v>
      </c>
      <c r="L276" s="418">
        <v>525</v>
      </c>
      <c r="M276" s="418">
        <v>7</v>
      </c>
    </row>
    <row r="277" spans="1:13" x14ac:dyDescent="0.25">
      <c r="A277" s="77">
        <v>44185.538194444445</v>
      </c>
      <c r="C277" s="418">
        <v>9330</v>
      </c>
      <c r="D277" s="418">
        <v>96650</v>
      </c>
      <c r="E277" s="418">
        <f t="shared" si="54"/>
        <v>105980</v>
      </c>
      <c r="F277" s="76">
        <f t="shared" si="49"/>
        <v>130</v>
      </c>
      <c r="G277" s="76">
        <f>SUMIF(F$6:F277,"&gt;0")</f>
        <v>152005</v>
      </c>
      <c r="H277" s="76">
        <f t="shared" si="50"/>
        <v>20</v>
      </c>
      <c r="I277" s="76">
        <f t="shared" si="48"/>
        <v>150</v>
      </c>
      <c r="J277" s="81">
        <f t="shared" si="52"/>
        <v>2.8571428571428568</v>
      </c>
      <c r="K277" s="76">
        <f t="shared" si="53"/>
        <v>11855</v>
      </c>
      <c r="L277" s="418"/>
      <c r="M277" s="418"/>
    </row>
    <row r="278" spans="1:13" x14ac:dyDescent="0.25">
      <c r="A278" s="77">
        <v>44186.543055555558</v>
      </c>
      <c r="C278" s="418">
        <v>10380</v>
      </c>
      <c r="D278" s="418">
        <v>96670</v>
      </c>
      <c r="E278" s="418">
        <f t="shared" si="54"/>
        <v>107050</v>
      </c>
      <c r="F278" s="76">
        <f t="shared" si="49"/>
        <v>1050</v>
      </c>
      <c r="G278" s="76">
        <f>SUMIF(F$6:F278,"&gt;0")</f>
        <v>153055</v>
      </c>
      <c r="H278" s="76">
        <f t="shared" si="50"/>
        <v>20</v>
      </c>
      <c r="I278" s="76">
        <f t="shared" si="48"/>
        <v>1070</v>
      </c>
      <c r="J278" s="81">
        <f t="shared" si="52"/>
        <v>20.38095238095238</v>
      </c>
      <c r="K278" s="76">
        <f t="shared" si="53"/>
        <v>12905</v>
      </c>
      <c r="L278" s="418"/>
      <c r="M278" s="418"/>
    </row>
    <row r="279" spans="1:13" x14ac:dyDescent="0.25">
      <c r="A279" s="77">
        <v>44187.379861111112</v>
      </c>
      <c r="C279" s="418">
        <v>10490</v>
      </c>
      <c r="D279" s="418">
        <v>96690</v>
      </c>
      <c r="E279" s="418">
        <f t="shared" si="54"/>
        <v>107180</v>
      </c>
      <c r="F279" s="76">
        <f t="shared" si="49"/>
        <v>110</v>
      </c>
      <c r="G279" s="76">
        <f>SUMIF(F$6:F279,"&gt;0")</f>
        <v>153165</v>
      </c>
      <c r="H279" s="76">
        <f t="shared" si="50"/>
        <v>20</v>
      </c>
      <c r="I279" s="76">
        <f t="shared" si="48"/>
        <v>130</v>
      </c>
      <c r="J279" s="81">
        <f t="shared" si="52"/>
        <v>2.4761904761904763</v>
      </c>
      <c r="K279" s="76">
        <f t="shared" si="53"/>
        <v>12590</v>
      </c>
      <c r="L279" s="418"/>
      <c r="M279" s="418"/>
    </row>
    <row r="280" spans="1:13" x14ac:dyDescent="0.25">
      <c r="A280" s="77">
        <v>44188.379861111112</v>
      </c>
      <c r="C280" s="418">
        <v>10775</v>
      </c>
      <c r="D280" s="418">
        <v>96740</v>
      </c>
      <c r="E280" s="418">
        <f t="shared" si="54"/>
        <v>107515</v>
      </c>
      <c r="F280" s="76">
        <f t="shared" si="49"/>
        <v>285</v>
      </c>
      <c r="G280" s="76">
        <f>SUMIF(F$6:F280,"&gt;0")</f>
        <v>153450</v>
      </c>
      <c r="H280" s="76">
        <f t="shared" si="50"/>
        <v>50</v>
      </c>
      <c r="I280" s="76">
        <f t="shared" si="48"/>
        <v>335</v>
      </c>
      <c r="J280" s="81">
        <f t="shared" si="52"/>
        <v>6.3809523809523805</v>
      </c>
      <c r="K280" s="76">
        <f t="shared" si="53"/>
        <v>12825</v>
      </c>
      <c r="L280" s="418">
        <v>480</v>
      </c>
      <c r="M280" s="418">
        <v>10</v>
      </c>
    </row>
    <row r="281" spans="1:13" x14ac:dyDescent="0.25">
      <c r="A281" s="77">
        <v>44189.761111111111</v>
      </c>
      <c r="C281" s="74">
        <v>10860</v>
      </c>
      <c r="D281" s="74">
        <v>96760</v>
      </c>
      <c r="E281" s="74">
        <f t="shared" si="54"/>
        <v>107620</v>
      </c>
      <c r="F281" s="76">
        <f t="shared" si="49"/>
        <v>85</v>
      </c>
      <c r="G281" s="76">
        <f>SUMIF(F$6:F281,"&gt;0")</f>
        <v>153535</v>
      </c>
      <c r="H281" s="76">
        <f t="shared" si="50"/>
        <v>20</v>
      </c>
      <c r="I281" s="76">
        <f t="shared" si="48"/>
        <v>105</v>
      </c>
      <c r="J281" s="81">
        <f t="shared" si="52"/>
        <v>2</v>
      </c>
      <c r="K281" s="76">
        <f t="shared" si="53"/>
        <v>12735</v>
      </c>
    </row>
    <row r="282" spans="1:13" x14ac:dyDescent="0.25">
      <c r="A282" s="77">
        <v>44190.740277777775</v>
      </c>
      <c r="C282" s="74">
        <v>12770</v>
      </c>
      <c r="D282" s="74">
        <v>96780</v>
      </c>
      <c r="E282" s="74">
        <f t="shared" si="54"/>
        <v>109550</v>
      </c>
      <c r="F282" s="76">
        <f t="shared" si="49"/>
        <v>1910</v>
      </c>
      <c r="G282" s="76">
        <f>SUMIF(F$6:F282,"&gt;0")</f>
        <v>155445</v>
      </c>
      <c r="H282" s="76">
        <f t="shared" si="50"/>
        <v>20</v>
      </c>
      <c r="I282" s="76">
        <f t="shared" si="48"/>
        <v>1930</v>
      </c>
      <c r="J282" s="81">
        <f t="shared" si="52"/>
        <v>36.761904761904759</v>
      </c>
      <c r="K282" s="76">
        <f t="shared" si="53"/>
        <v>14645</v>
      </c>
    </row>
    <row r="283" spans="1:13" x14ac:dyDescent="0.25">
      <c r="A283" s="77">
        <v>44191.968055555553</v>
      </c>
      <c r="C283" s="74">
        <v>12885</v>
      </c>
      <c r="D283" s="74">
        <v>96800</v>
      </c>
      <c r="E283" s="74">
        <f t="shared" si="54"/>
        <v>109685</v>
      </c>
      <c r="F283" s="76">
        <f t="shared" si="49"/>
        <v>115</v>
      </c>
      <c r="G283" s="76">
        <f>SUMIF(F$6:F283,"&gt;0")</f>
        <v>155560</v>
      </c>
      <c r="H283" s="76">
        <f t="shared" si="50"/>
        <v>20</v>
      </c>
      <c r="I283" s="76">
        <f t="shared" si="48"/>
        <v>135</v>
      </c>
      <c r="J283" s="81">
        <f t="shared" si="52"/>
        <v>2.5714285714285712</v>
      </c>
      <c r="K283" s="76">
        <f t="shared" si="53"/>
        <v>14060</v>
      </c>
    </row>
    <row r="284" spans="1:13" x14ac:dyDescent="0.25">
      <c r="A284" s="77">
        <v>44192.4</v>
      </c>
      <c r="B284" s="105" t="s">
        <v>350</v>
      </c>
      <c r="C284" s="74">
        <v>12145</v>
      </c>
      <c r="D284" s="74">
        <v>97345</v>
      </c>
      <c r="E284" s="74">
        <f t="shared" si="54"/>
        <v>109490</v>
      </c>
      <c r="F284" s="76">
        <f t="shared" si="49"/>
        <v>-740</v>
      </c>
      <c r="G284" s="76">
        <f>SUMIF(F$6:F284,"&gt;0")</f>
        <v>155560</v>
      </c>
      <c r="H284" s="76">
        <f t="shared" si="50"/>
        <v>545</v>
      </c>
      <c r="I284" s="76">
        <f t="shared" si="48"/>
        <v>-195</v>
      </c>
      <c r="J284" s="81">
        <f t="shared" si="52"/>
        <v>-3.7142857142857144</v>
      </c>
      <c r="K284" s="76">
        <f t="shared" si="53"/>
        <v>14060</v>
      </c>
    </row>
    <row r="285" spans="1:13" x14ac:dyDescent="0.25">
      <c r="A285" s="77">
        <v>44192.609027777777</v>
      </c>
      <c r="C285" s="74">
        <v>12495</v>
      </c>
      <c r="D285" s="74">
        <v>97345</v>
      </c>
      <c r="E285" s="74">
        <f t="shared" ref="E285:E291" si="55">SUM(C285:D285)</f>
        <v>109840</v>
      </c>
      <c r="F285" s="76">
        <f t="shared" si="49"/>
        <v>350</v>
      </c>
      <c r="G285" s="76">
        <f>SUMIF(F$6:F285,"&gt;0")</f>
        <v>155910</v>
      </c>
      <c r="H285" s="76">
        <f t="shared" si="50"/>
        <v>0</v>
      </c>
      <c r="I285" s="76">
        <f t="shared" si="48"/>
        <v>350</v>
      </c>
      <c r="J285" s="81">
        <f t="shared" si="52"/>
        <v>6.6666666666666661</v>
      </c>
      <c r="K285" s="76">
        <f t="shared" si="53"/>
        <v>13755</v>
      </c>
    </row>
    <row r="286" spans="1:13" x14ac:dyDescent="0.25">
      <c r="A286" s="77">
        <v>44193.339583333334</v>
      </c>
      <c r="B286" s="105" t="s">
        <v>350</v>
      </c>
      <c r="C286" s="74">
        <v>10725</v>
      </c>
      <c r="D286" s="74">
        <v>97345</v>
      </c>
      <c r="E286" s="74">
        <f t="shared" si="55"/>
        <v>108070</v>
      </c>
      <c r="F286" s="76">
        <f t="shared" ref="F286:F317" si="56">C286-C285</f>
        <v>-1770</v>
      </c>
      <c r="G286" s="76">
        <f>SUMIF(F$6:F286,"&gt;0")</f>
        <v>155910</v>
      </c>
      <c r="H286" s="76">
        <f t="shared" ref="H286:H317" si="57">D286-D285</f>
        <v>0</v>
      </c>
      <c r="I286" s="76">
        <f t="shared" si="48"/>
        <v>-1770</v>
      </c>
      <c r="J286" s="81">
        <f t="shared" si="52"/>
        <v>-33.714285714285715</v>
      </c>
      <c r="K286" s="76">
        <f t="shared" si="53"/>
        <v>13755</v>
      </c>
    </row>
    <row r="287" spans="1:13" x14ac:dyDescent="0.25">
      <c r="A287" s="77">
        <v>44193.428472222222</v>
      </c>
      <c r="B287" s="105" t="s">
        <v>352</v>
      </c>
      <c r="C287" s="74">
        <v>9525</v>
      </c>
      <c r="D287" s="74">
        <v>81715</v>
      </c>
      <c r="E287" s="74">
        <f t="shared" si="55"/>
        <v>91240</v>
      </c>
      <c r="F287" s="76">
        <f t="shared" si="56"/>
        <v>-1200</v>
      </c>
      <c r="G287" s="76">
        <f>SUMIF(F$6:F287,"&gt;0")</f>
        <v>155910</v>
      </c>
      <c r="H287" s="76">
        <f t="shared" si="57"/>
        <v>-15630</v>
      </c>
      <c r="I287" s="76">
        <f t="shared" si="48"/>
        <v>-16830</v>
      </c>
      <c r="J287" s="81">
        <f t="shared" ref="J287:J318" si="58">I287/4200*80</f>
        <v>-320.57142857142856</v>
      </c>
      <c r="K287" s="76">
        <f t="shared" si="53"/>
        <v>13755</v>
      </c>
    </row>
    <row r="288" spans="1:13" x14ac:dyDescent="0.25">
      <c r="A288" s="77">
        <v>44193.46597222222</v>
      </c>
      <c r="C288" s="74">
        <v>9725</v>
      </c>
      <c r="D288" s="74">
        <v>81765</v>
      </c>
      <c r="E288" s="74">
        <f t="shared" si="55"/>
        <v>91490</v>
      </c>
      <c r="F288" s="76">
        <f t="shared" si="56"/>
        <v>200</v>
      </c>
      <c r="G288" s="76">
        <f>SUMIF(F$6:F288,"&gt;0")</f>
        <v>156110</v>
      </c>
      <c r="H288" s="76">
        <f t="shared" si="57"/>
        <v>50</v>
      </c>
      <c r="I288" s="76">
        <f t="shared" si="48"/>
        <v>250</v>
      </c>
      <c r="J288" s="81">
        <f t="shared" si="58"/>
        <v>4.7619047619047619</v>
      </c>
      <c r="K288" s="76">
        <f t="shared" si="53"/>
        <v>13955</v>
      </c>
    </row>
    <row r="289" spans="1:13" x14ac:dyDescent="0.25">
      <c r="A289" s="77">
        <v>44194.430555555555</v>
      </c>
      <c r="B289" s="105" t="s">
        <v>350</v>
      </c>
      <c r="C289" s="74">
        <v>6815</v>
      </c>
      <c r="D289" s="74">
        <v>81765</v>
      </c>
      <c r="E289" s="74">
        <f t="shared" si="55"/>
        <v>88580</v>
      </c>
      <c r="F289" s="76">
        <f t="shared" si="56"/>
        <v>-2910</v>
      </c>
      <c r="G289" s="76">
        <f>SUMIF(F$6:F289,"&gt;0")</f>
        <v>156110</v>
      </c>
      <c r="H289" s="76">
        <f t="shared" si="57"/>
        <v>0</v>
      </c>
      <c r="I289" s="76">
        <f t="shared" si="48"/>
        <v>-2910</v>
      </c>
      <c r="J289" s="81">
        <f t="shared" si="58"/>
        <v>-55.428571428571431</v>
      </c>
      <c r="K289" s="76">
        <f t="shared" si="53"/>
        <v>13305</v>
      </c>
    </row>
    <row r="290" spans="1:13" x14ac:dyDescent="0.25">
      <c r="A290" s="77">
        <v>44194.45</v>
      </c>
      <c r="C290" s="74">
        <v>6965</v>
      </c>
      <c r="D290" s="74">
        <v>110940</v>
      </c>
      <c r="E290" s="74">
        <f t="shared" si="55"/>
        <v>117905</v>
      </c>
      <c r="F290" s="76">
        <f t="shared" si="56"/>
        <v>150</v>
      </c>
      <c r="G290" s="76">
        <f>SUMIF(F$6:F290,"&gt;0")</f>
        <v>156260</v>
      </c>
      <c r="H290" s="76">
        <f t="shared" si="57"/>
        <v>29175</v>
      </c>
      <c r="I290" s="76">
        <f t="shared" si="48"/>
        <v>29325</v>
      </c>
      <c r="J290" s="81">
        <f t="shared" si="58"/>
        <v>558.57142857142856</v>
      </c>
      <c r="K290" s="76">
        <f t="shared" si="53"/>
        <v>13455</v>
      </c>
      <c r="L290" s="74">
        <v>29605</v>
      </c>
      <c r="M290" s="74">
        <v>577</v>
      </c>
    </row>
    <row r="291" spans="1:13" x14ac:dyDescent="0.25">
      <c r="A291" s="77">
        <v>44195.634027777778</v>
      </c>
      <c r="B291" s="105" t="s">
        <v>350</v>
      </c>
      <c r="C291" s="74">
        <v>2705</v>
      </c>
      <c r="D291" s="74">
        <v>110940</v>
      </c>
      <c r="E291" s="74">
        <f t="shared" si="55"/>
        <v>113645</v>
      </c>
      <c r="F291" s="76">
        <f t="shared" si="56"/>
        <v>-4260</v>
      </c>
      <c r="G291" s="76">
        <f>SUMIF(F$6:F291,"&gt;0")</f>
        <v>156260</v>
      </c>
      <c r="H291" s="76">
        <f t="shared" si="57"/>
        <v>0</v>
      </c>
      <c r="I291" s="76">
        <f t="shared" si="48"/>
        <v>-4260</v>
      </c>
      <c r="J291" s="81">
        <f t="shared" si="58"/>
        <v>-81.142857142857139</v>
      </c>
      <c r="K291" s="76">
        <f t="shared" si="53"/>
        <v>12730</v>
      </c>
    </row>
    <row r="292" spans="1:13" x14ac:dyDescent="0.25">
      <c r="A292" s="77">
        <v>44196.003472222219</v>
      </c>
      <c r="B292" s="105" t="s">
        <v>350</v>
      </c>
      <c r="C292" s="74">
        <v>1505</v>
      </c>
      <c r="D292" s="74">
        <v>110960</v>
      </c>
      <c r="E292" s="74">
        <f t="shared" ref="E292:E302" si="59">SUM(C292:D292)</f>
        <v>112465</v>
      </c>
      <c r="F292" s="76">
        <f t="shared" si="56"/>
        <v>-1200</v>
      </c>
      <c r="G292" s="76">
        <f>SUMIF(F$6:F292,"&gt;0")</f>
        <v>156260</v>
      </c>
      <c r="H292" s="76">
        <f t="shared" si="57"/>
        <v>20</v>
      </c>
      <c r="I292" s="76">
        <f t="shared" si="48"/>
        <v>-1180</v>
      </c>
      <c r="J292" s="81">
        <f t="shared" si="58"/>
        <v>-22.476190476190474</v>
      </c>
      <c r="K292" s="76">
        <f t="shared" si="53"/>
        <v>12730</v>
      </c>
    </row>
    <row r="293" spans="1:13" x14ac:dyDescent="0.25">
      <c r="A293" s="77">
        <v>44196.034722222219</v>
      </c>
      <c r="B293" s="105" t="s">
        <v>355</v>
      </c>
      <c r="C293" s="74">
        <v>1505</v>
      </c>
      <c r="D293" s="74">
        <v>88130</v>
      </c>
      <c r="E293" s="74">
        <f t="shared" si="59"/>
        <v>89635</v>
      </c>
      <c r="F293" s="76">
        <f t="shared" si="56"/>
        <v>0</v>
      </c>
      <c r="G293" s="76">
        <f>SUMIF(F$6:F293,"&gt;0")</f>
        <v>156260</v>
      </c>
      <c r="H293" s="76">
        <f t="shared" si="57"/>
        <v>-22830</v>
      </c>
      <c r="I293" s="76">
        <f t="shared" si="48"/>
        <v>-22830</v>
      </c>
      <c r="J293" s="81">
        <f t="shared" si="58"/>
        <v>-434.85714285714289</v>
      </c>
      <c r="K293" s="76">
        <f t="shared" si="53"/>
        <v>12730</v>
      </c>
    </row>
    <row r="294" spans="1:13" x14ac:dyDescent="0.25">
      <c r="A294" s="77">
        <v>44196.243055555555</v>
      </c>
      <c r="C294" s="74">
        <v>1880</v>
      </c>
      <c r="D294" s="74">
        <v>88180</v>
      </c>
      <c r="E294" s="74">
        <f t="shared" si="59"/>
        <v>90060</v>
      </c>
      <c r="F294" s="76">
        <f t="shared" si="56"/>
        <v>375</v>
      </c>
      <c r="G294" s="76">
        <f>SUMIF(F$6:F294,"&gt;0")</f>
        <v>156635</v>
      </c>
      <c r="H294" s="76">
        <f t="shared" si="57"/>
        <v>50</v>
      </c>
      <c r="I294" s="76">
        <f t="shared" si="48"/>
        <v>425</v>
      </c>
      <c r="J294" s="81">
        <f t="shared" si="58"/>
        <v>8.0952380952380949</v>
      </c>
      <c r="K294" s="76">
        <f t="shared" si="53"/>
        <v>13105</v>
      </c>
    </row>
    <row r="295" spans="1:13" x14ac:dyDescent="0.25">
      <c r="A295" s="77">
        <v>44196.245833333334</v>
      </c>
      <c r="B295" s="105" t="s">
        <v>356</v>
      </c>
      <c r="C295" s="74">
        <v>1880</v>
      </c>
      <c r="D295" s="74">
        <v>108580</v>
      </c>
      <c r="E295" s="74">
        <f t="shared" si="59"/>
        <v>110460</v>
      </c>
      <c r="F295" s="76">
        <f t="shared" si="56"/>
        <v>0</v>
      </c>
      <c r="G295" s="76">
        <f>SUMIF(F$6:F295,"&gt;0")</f>
        <v>156635</v>
      </c>
      <c r="H295" s="76">
        <f t="shared" si="57"/>
        <v>20400</v>
      </c>
      <c r="I295" s="76">
        <f t="shared" si="48"/>
        <v>20400</v>
      </c>
      <c r="J295" s="81">
        <f t="shared" si="58"/>
        <v>388.57142857142856</v>
      </c>
      <c r="K295" s="76">
        <f t="shared" si="53"/>
        <v>13105</v>
      </c>
      <c r="L295" s="74">
        <v>20400</v>
      </c>
      <c r="M295" s="74">
        <v>337</v>
      </c>
    </row>
    <row r="296" spans="1:13" x14ac:dyDescent="0.25">
      <c r="A296" s="77">
        <v>44197.0625</v>
      </c>
      <c r="B296" s="105" t="s">
        <v>267</v>
      </c>
      <c r="C296" s="74">
        <v>3980</v>
      </c>
      <c r="D296" s="74">
        <v>108600</v>
      </c>
      <c r="E296" s="74">
        <f t="shared" si="59"/>
        <v>112580</v>
      </c>
      <c r="F296" s="76">
        <f t="shared" si="56"/>
        <v>2100</v>
      </c>
      <c r="G296" s="76">
        <f>SUMIF(F$6:F296,"&gt;0")</f>
        <v>158735</v>
      </c>
      <c r="H296" s="76">
        <f t="shared" si="57"/>
        <v>20</v>
      </c>
      <c r="I296" s="76">
        <f t="shared" si="48"/>
        <v>2120</v>
      </c>
      <c r="J296" s="81">
        <f t="shared" si="58"/>
        <v>40.38095238095238</v>
      </c>
      <c r="K296" s="76">
        <f t="shared" si="53"/>
        <v>14635</v>
      </c>
    </row>
    <row r="297" spans="1:13" x14ac:dyDescent="0.25">
      <c r="A297" s="77">
        <v>44199.209722222222</v>
      </c>
      <c r="C297" s="74">
        <v>4080</v>
      </c>
      <c r="D297" s="74">
        <v>108640</v>
      </c>
      <c r="E297" s="74">
        <f t="shared" si="59"/>
        <v>112720</v>
      </c>
      <c r="F297" s="76">
        <f t="shared" si="56"/>
        <v>100</v>
      </c>
      <c r="G297" s="76">
        <f>SUMIF(F$6:F297,"&gt;0")</f>
        <v>158835</v>
      </c>
      <c r="H297" s="76">
        <f t="shared" si="57"/>
        <v>40</v>
      </c>
      <c r="I297" s="76">
        <f t="shared" si="48"/>
        <v>140</v>
      </c>
      <c r="J297" s="81">
        <f t="shared" si="58"/>
        <v>2.6666666666666665</v>
      </c>
      <c r="K297" s="76">
        <f t="shared" si="53"/>
        <v>14185</v>
      </c>
    </row>
    <row r="298" spans="1:13" x14ac:dyDescent="0.25">
      <c r="A298" s="77">
        <v>44200.943055555559</v>
      </c>
      <c r="C298" s="74">
        <v>4155</v>
      </c>
      <c r="D298" s="74">
        <v>108690</v>
      </c>
      <c r="E298" s="74">
        <f t="shared" si="59"/>
        <v>112845</v>
      </c>
      <c r="F298" s="76">
        <f t="shared" si="56"/>
        <v>75</v>
      </c>
      <c r="G298" s="76">
        <f>SUMIF(F$6:F298,"&gt;0")</f>
        <v>158910</v>
      </c>
      <c r="H298" s="76">
        <f t="shared" si="57"/>
        <v>50</v>
      </c>
      <c r="I298" s="76">
        <f t="shared" si="48"/>
        <v>125</v>
      </c>
      <c r="J298" s="81">
        <f t="shared" si="58"/>
        <v>2.3809523809523809</v>
      </c>
      <c r="K298" s="76">
        <f t="shared" si="53"/>
        <v>12085</v>
      </c>
      <c r="L298" s="418">
        <v>480</v>
      </c>
      <c r="M298" s="418">
        <v>10</v>
      </c>
    </row>
    <row r="299" spans="1:13" x14ac:dyDescent="0.25">
      <c r="A299" s="77">
        <v>44201.058333333334</v>
      </c>
      <c r="B299" s="105" t="s">
        <v>359</v>
      </c>
      <c r="C299" s="74">
        <v>3915</v>
      </c>
      <c r="D299" s="74">
        <v>108690</v>
      </c>
      <c r="E299" s="74">
        <f t="shared" si="59"/>
        <v>112605</v>
      </c>
      <c r="F299" s="76">
        <f t="shared" si="56"/>
        <v>-240</v>
      </c>
      <c r="G299" s="76">
        <f>SUMIF(F$6:F299,"&gt;0")</f>
        <v>158910</v>
      </c>
      <c r="H299" s="76">
        <f t="shared" si="57"/>
        <v>0</v>
      </c>
      <c r="I299" s="76">
        <f t="shared" si="48"/>
        <v>-240</v>
      </c>
      <c r="J299" s="81">
        <f t="shared" si="58"/>
        <v>-4.5714285714285712</v>
      </c>
      <c r="K299" s="76">
        <f t="shared" si="53"/>
        <v>12085</v>
      </c>
    </row>
    <row r="300" spans="1:13" x14ac:dyDescent="0.25">
      <c r="A300" s="77">
        <v>44201.163194444445</v>
      </c>
      <c r="C300" s="74">
        <v>4265</v>
      </c>
      <c r="D300" s="74">
        <v>108710</v>
      </c>
      <c r="E300" s="74">
        <f t="shared" si="59"/>
        <v>112975</v>
      </c>
      <c r="F300" s="76">
        <f t="shared" si="56"/>
        <v>350</v>
      </c>
      <c r="G300" s="76">
        <f>SUMIF(F$6:F300,"&gt;0")</f>
        <v>159260</v>
      </c>
      <c r="H300" s="76">
        <f t="shared" si="57"/>
        <v>20</v>
      </c>
      <c r="I300" s="76">
        <f t="shared" si="48"/>
        <v>370</v>
      </c>
      <c r="J300" s="81">
        <f t="shared" si="58"/>
        <v>7.0476190476190483</v>
      </c>
      <c r="K300" s="76">
        <f t="shared" si="53"/>
        <v>12435</v>
      </c>
    </row>
    <row r="301" spans="1:13" x14ac:dyDescent="0.25">
      <c r="A301" s="77">
        <v>44201.974999999999</v>
      </c>
      <c r="B301" s="105" t="s">
        <v>359</v>
      </c>
      <c r="C301" s="74">
        <v>4175</v>
      </c>
      <c r="D301" s="74">
        <v>108710</v>
      </c>
      <c r="E301" s="74">
        <f t="shared" si="59"/>
        <v>112885</v>
      </c>
      <c r="F301" s="76">
        <f t="shared" si="56"/>
        <v>-90</v>
      </c>
      <c r="G301" s="76">
        <f>SUMIF(F$6:F301,"&gt;0")</f>
        <v>159260</v>
      </c>
      <c r="H301" s="76">
        <f t="shared" si="57"/>
        <v>0</v>
      </c>
      <c r="I301" s="76">
        <f t="shared" si="48"/>
        <v>-90</v>
      </c>
      <c r="J301" s="81">
        <f t="shared" si="58"/>
        <v>-1.7142857142857144</v>
      </c>
      <c r="K301" s="76">
        <f t="shared" si="53"/>
        <v>12060</v>
      </c>
    </row>
    <row r="302" spans="1:13" x14ac:dyDescent="0.25">
      <c r="A302" s="77">
        <v>44202.138888888891</v>
      </c>
      <c r="C302" s="74">
        <v>4525</v>
      </c>
      <c r="D302" s="74">
        <v>108730</v>
      </c>
      <c r="E302" s="74">
        <f t="shared" si="59"/>
        <v>113255</v>
      </c>
      <c r="F302" s="76">
        <f t="shared" si="56"/>
        <v>350</v>
      </c>
      <c r="G302" s="76">
        <f>SUMIF(F$6:F302,"&gt;0")</f>
        <v>159610</v>
      </c>
      <c r="H302" s="76">
        <f t="shared" si="57"/>
        <v>20</v>
      </c>
      <c r="I302" s="76">
        <f t="shared" si="48"/>
        <v>370</v>
      </c>
      <c r="J302" s="81">
        <f t="shared" si="58"/>
        <v>7.0476190476190483</v>
      </c>
      <c r="K302" s="76">
        <f t="shared" si="53"/>
        <v>12360</v>
      </c>
    </row>
    <row r="303" spans="1:13" x14ac:dyDescent="0.25">
      <c r="A303" s="77">
        <v>44203.302083333336</v>
      </c>
      <c r="B303" s="105" t="s">
        <v>353</v>
      </c>
      <c r="C303" s="74">
        <v>4950</v>
      </c>
      <c r="D303" s="74">
        <v>105150</v>
      </c>
      <c r="E303" s="74">
        <f t="shared" ref="E303:E313" si="60">SUM(C303:D303)</f>
        <v>110100</v>
      </c>
      <c r="F303" s="76">
        <f t="shared" si="56"/>
        <v>425</v>
      </c>
      <c r="G303" s="76">
        <f>SUMIF(F$6:F303,"&gt;0")</f>
        <v>160035</v>
      </c>
      <c r="H303" s="76">
        <f t="shared" si="57"/>
        <v>-3580</v>
      </c>
      <c r="I303" s="76">
        <f t="shared" si="48"/>
        <v>-3155</v>
      </c>
      <c r="J303" s="81">
        <f t="shared" si="58"/>
        <v>-60.095238095238095</v>
      </c>
      <c r="K303" s="76">
        <f t="shared" si="53"/>
        <v>12785</v>
      </c>
    </row>
    <row r="304" spans="1:13" x14ac:dyDescent="0.25">
      <c r="A304" s="77">
        <v>44204.001388888886</v>
      </c>
      <c r="B304" s="105" t="s">
        <v>360</v>
      </c>
      <c r="C304" s="74">
        <v>3570</v>
      </c>
      <c r="D304" s="74">
        <v>105150</v>
      </c>
      <c r="E304" s="74">
        <f t="shared" si="60"/>
        <v>108720</v>
      </c>
      <c r="F304" s="76">
        <f t="shared" si="56"/>
        <v>-1380</v>
      </c>
      <c r="G304" s="76">
        <f>SUMIF(F$6:F304,"&gt;0")</f>
        <v>160035</v>
      </c>
      <c r="H304" s="76">
        <f t="shared" si="57"/>
        <v>0</v>
      </c>
      <c r="I304" s="76">
        <f t="shared" si="48"/>
        <v>-1380</v>
      </c>
      <c r="J304" s="81">
        <f t="shared" si="58"/>
        <v>-26.285714285714285</v>
      </c>
      <c r="K304" s="76">
        <f t="shared" ref="K304:K335" si="61">IFERROR(G304 - _xlfn.XLOOKUP(A304-30, $A$6:$A$14998,G$6:G$14998,"",-1,2),NA())</f>
        <v>12735</v>
      </c>
    </row>
    <row r="305" spans="1:13" x14ac:dyDescent="0.25">
      <c r="A305" s="77">
        <v>44204.022222222222</v>
      </c>
      <c r="C305" s="74">
        <v>4020</v>
      </c>
      <c r="D305" s="74">
        <v>105725</v>
      </c>
      <c r="E305" s="74">
        <f t="shared" si="60"/>
        <v>109745</v>
      </c>
      <c r="F305" s="76">
        <f t="shared" si="56"/>
        <v>450</v>
      </c>
      <c r="G305" s="76">
        <f>SUMIF(F$6:F305,"&gt;0")</f>
        <v>160485</v>
      </c>
      <c r="H305" s="76">
        <f t="shared" si="57"/>
        <v>575</v>
      </c>
      <c r="I305" s="76">
        <f t="shared" si="48"/>
        <v>1025</v>
      </c>
      <c r="J305" s="81">
        <f t="shared" si="58"/>
        <v>19.523809523809522</v>
      </c>
      <c r="K305" s="76">
        <f t="shared" si="61"/>
        <v>13185</v>
      </c>
      <c r="L305" s="74">
        <v>525</v>
      </c>
      <c r="M305" s="74">
        <v>7</v>
      </c>
    </row>
    <row r="306" spans="1:13" x14ac:dyDescent="0.25">
      <c r="A306" s="77">
        <v>44205.086111111108</v>
      </c>
      <c r="B306" s="105" t="s">
        <v>361</v>
      </c>
      <c r="C306" s="74">
        <v>2580</v>
      </c>
      <c r="D306" s="74">
        <v>105725</v>
      </c>
      <c r="E306" s="74">
        <f t="shared" si="60"/>
        <v>108305</v>
      </c>
      <c r="F306" s="76">
        <f t="shared" si="56"/>
        <v>-1440</v>
      </c>
      <c r="G306" s="76">
        <f>SUMIF(F$6:F306,"&gt;0")</f>
        <v>160485</v>
      </c>
      <c r="H306" s="76">
        <f t="shared" si="57"/>
        <v>0</v>
      </c>
      <c r="I306" s="76">
        <f t="shared" si="48"/>
        <v>-1440</v>
      </c>
      <c r="J306" s="81">
        <f t="shared" si="58"/>
        <v>-27.428571428571431</v>
      </c>
      <c r="K306" s="76">
        <f t="shared" si="61"/>
        <v>13135</v>
      </c>
    </row>
    <row r="307" spans="1:13" x14ac:dyDescent="0.25">
      <c r="A307" s="77">
        <v>44205.164583333331</v>
      </c>
      <c r="C307" s="74">
        <v>2630</v>
      </c>
      <c r="D307" s="74">
        <v>105745</v>
      </c>
      <c r="E307" s="74">
        <f t="shared" si="60"/>
        <v>108375</v>
      </c>
      <c r="F307" s="76">
        <f t="shared" si="56"/>
        <v>50</v>
      </c>
      <c r="G307" s="76">
        <f>SUMIF(F$6:F307,"&gt;0")</f>
        <v>160535</v>
      </c>
      <c r="H307" s="76">
        <f t="shared" si="57"/>
        <v>20</v>
      </c>
      <c r="I307" s="76">
        <f t="shared" si="48"/>
        <v>70</v>
      </c>
      <c r="J307" s="81">
        <f t="shared" si="58"/>
        <v>1.3333333333333333</v>
      </c>
      <c r="K307" s="76">
        <f t="shared" si="61"/>
        <v>13185</v>
      </c>
    </row>
    <row r="308" spans="1:13" x14ac:dyDescent="0.25">
      <c r="A308" s="77">
        <v>44206.24722222222</v>
      </c>
      <c r="B308" s="105" t="s">
        <v>362</v>
      </c>
      <c r="C308" s="74">
        <v>1340</v>
      </c>
      <c r="D308" s="74">
        <v>105745</v>
      </c>
      <c r="E308" s="74">
        <f t="shared" si="60"/>
        <v>107085</v>
      </c>
      <c r="F308" s="76">
        <f t="shared" si="56"/>
        <v>-1290</v>
      </c>
      <c r="G308" s="76">
        <f>SUMIF(F$6:F308,"&gt;0")</f>
        <v>160535</v>
      </c>
      <c r="H308" s="76">
        <f t="shared" si="57"/>
        <v>0</v>
      </c>
      <c r="I308" s="76">
        <f t="shared" si="48"/>
        <v>-1290</v>
      </c>
      <c r="J308" s="81">
        <f t="shared" si="58"/>
        <v>-24.571428571428573</v>
      </c>
      <c r="K308" s="76">
        <f t="shared" si="61"/>
        <v>13135</v>
      </c>
    </row>
    <row r="309" spans="1:13" x14ac:dyDescent="0.25">
      <c r="A309" s="77">
        <v>44206.253472222219</v>
      </c>
      <c r="C309" s="74">
        <v>1390</v>
      </c>
      <c r="D309" s="74">
        <v>106295</v>
      </c>
      <c r="E309" s="74">
        <f t="shared" si="60"/>
        <v>107685</v>
      </c>
      <c r="F309" s="76">
        <f t="shared" si="56"/>
        <v>50</v>
      </c>
      <c r="G309" s="76">
        <f>SUMIF(F$6:F309,"&gt;0")</f>
        <v>160585</v>
      </c>
      <c r="H309" s="76">
        <f t="shared" si="57"/>
        <v>550</v>
      </c>
      <c r="I309" s="76">
        <f t="shared" si="48"/>
        <v>600</v>
      </c>
      <c r="J309" s="81">
        <f t="shared" si="58"/>
        <v>11.428571428571427</v>
      </c>
      <c r="K309" s="76">
        <f t="shared" si="61"/>
        <v>13185</v>
      </c>
      <c r="L309" s="74">
        <v>480</v>
      </c>
      <c r="M309" s="74">
        <v>10</v>
      </c>
    </row>
    <row r="310" spans="1:13" x14ac:dyDescent="0.25">
      <c r="A310" s="77">
        <v>44207.566666666666</v>
      </c>
      <c r="B310" s="105" t="s">
        <v>360</v>
      </c>
      <c r="C310" s="74">
        <v>460</v>
      </c>
      <c r="D310" s="74">
        <v>106295</v>
      </c>
      <c r="E310" s="74">
        <f t="shared" si="60"/>
        <v>106755</v>
      </c>
      <c r="F310" s="76">
        <f t="shared" si="56"/>
        <v>-930</v>
      </c>
      <c r="G310" s="76">
        <f>SUMIF(F$6:F310,"&gt;0")</f>
        <v>160585</v>
      </c>
      <c r="H310" s="76">
        <f t="shared" si="57"/>
        <v>0</v>
      </c>
      <c r="I310" s="76">
        <f t="shared" si="48"/>
        <v>-930</v>
      </c>
      <c r="J310" s="81">
        <f t="shared" si="58"/>
        <v>-17.714285714285715</v>
      </c>
      <c r="K310" s="76">
        <f t="shared" si="61"/>
        <v>13135</v>
      </c>
    </row>
    <row r="311" spans="1:13" x14ac:dyDescent="0.25">
      <c r="A311" s="77">
        <v>44207.609027777777</v>
      </c>
      <c r="C311" s="74">
        <v>510</v>
      </c>
      <c r="D311" s="74">
        <v>106315</v>
      </c>
      <c r="E311" s="74">
        <f t="shared" si="60"/>
        <v>106825</v>
      </c>
      <c r="F311" s="76">
        <f t="shared" si="56"/>
        <v>50</v>
      </c>
      <c r="G311" s="76">
        <f>SUMIF(F$6:F311,"&gt;0")</f>
        <v>160635</v>
      </c>
      <c r="H311" s="76">
        <f t="shared" si="57"/>
        <v>20</v>
      </c>
      <c r="I311" s="76">
        <f t="shared" si="48"/>
        <v>70</v>
      </c>
      <c r="J311" s="81">
        <f t="shared" si="58"/>
        <v>1.3333333333333333</v>
      </c>
      <c r="K311" s="76">
        <f t="shared" si="61"/>
        <v>13185</v>
      </c>
    </row>
    <row r="312" spans="1:13" x14ac:dyDescent="0.25">
      <c r="A312" s="77">
        <v>44208.493055555555</v>
      </c>
      <c r="B312" s="105" t="s">
        <v>363</v>
      </c>
      <c r="C312" s="74">
        <v>30</v>
      </c>
      <c r="D312" s="74">
        <v>106315</v>
      </c>
      <c r="E312" s="74">
        <f t="shared" si="60"/>
        <v>106345</v>
      </c>
      <c r="F312" s="76">
        <f t="shared" si="56"/>
        <v>-480</v>
      </c>
      <c r="G312" s="76">
        <f>SUMIF(F$6:F312,"&gt;0")</f>
        <v>160635</v>
      </c>
      <c r="H312" s="76">
        <f t="shared" si="57"/>
        <v>0</v>
      </c>
      <c r="I312" s="76">
        <f t="shared" si="48"/>
        <v>-480</v>
      </c>
      <c r="J312" s="81">
        <f t="shared" si="58"/>
        <v>-9.1428571428571423</v>
      </c>
      <c r="K312" s="76">
        <f t="shared" si="61"/>
        <v>13135</v>
      </c>
    </row>
    <row r="313" spans="1:13" x14ac:dyDescent="0.25">
      <c r="A313" s="77">
        <v>44208.863194444442</v>
      </c>
      <c r="C313" s="74">
        <v>80</v>
      </c>
      <c r="D313" s="74">
        <v>106335</v>
      </c>
      <c r="E313" s="74">
        <f t="shared" si="60"/>
        <v>106415</v>
      </c>
      <c r="F313" s="76">
        <f t="shared" si="56"/>
        <v>50</v>
      </c>
      <c r="G313" s="76">
        <f>SUMIF(F$6:F313,"&gt;0")</f>
        <v>160685</v>
      </c>
      <c r="H313" s="76">
        <f t="shared" si="57"/>
        <v>20</v>
      </c>
      <c r="I313" s="76">
        <f t="shared" ref="I313:I376" si="62">SUM(F313,H313)</f>
        <v>70</v>
      </c>
      <c r="J313" s="81">
        <f t="shared" si="58"/>
        <v>1.3333333333333333</v>
      </c>
      <c r="K313" s="76">
        <f t="shared" si="61"/>
        <v>13135</v>
      </c>
    </row>
    <row r="314" spans="1:13" x14ac:dyDescent="0.25">
      <c r="A314" s="77">
        <v>44208.904861111114</v>
      </c>
      <c r="B314" s="105" t="s">
        <v>364</v>
      </c>
      <c r="C314" s="74">
        <v>20</v>
      </c>
      <c r="D314" s="74">
        <v>106335</v>
      </c>
      <c r="E314" s="74">
        <f>SUM(C314:D314)</f>
        <v>106355</v>
      </c>
      <c r="F314" s="76">
        <f t="shared" si="56"/>
        <v>-60</v>
      </c>
      <c r="G314" s="76">
        <f>SUMIF(F$6:F314,"&gt;0")</f>
        <v>160685</v>
      </c>
      <c r="H314" s="76">
        <f t="shared" si="57"/>
        <v>0</v>
      </c>
      <c r="I314" s="76">
        <f t="shared" si="62"/>
        <v>-60</v>
      </c>
      <c r="J314" s="81">
        <f t="shared" si="58"/>
        <v>-1.1428571428571428</v>
      </c>
      <c r="K314" s="76">
        <f t="shared" si="61"/>
        <v>13135</v>
      </c>
    </row>
    <row r="315" spans="1:13" x14ac:dyDescent="0.25">
      <c r="A315" s="77">
        <v>44209.324999999997</v>
      </c>
      <c r="C315" s="74">
        <v>685</v>
      </c>
      <c r="D315" s="74">
        <v>106880</v>
      </c>
      <c r="E315" s="74">
        <f>SUM(C315:D315)</f>
        <v>107565</v>
      </c>
      <c r="F315" s="76">
        <f t="shared" si="56"/>
        <v>665</v>
      </c>
      <c r="G315" s="76">
        <f>SUMIF(F$6:F315,"&gt;0")</f>
        <v>161350</v>
      </c>
      <c r="H315" s="76">
        <f t="shared" si="57"/>
        <v>545</v>
      </c>
      <c r="I315" s="76">
        <f t="shared" si="62"/>
        <v>1210</v>
      </c>
      <c r="J315" s="81">
        <f t="shared" si="58"/>
        <v>23.047619047619044</v>
      </c>
      <c r="K315" s="76">
        <f t="shared" si="61"/>
        <v>13055</v>
      </c>
      <c r="L315" s="74">
        <v>525</v>
      </c>
      <c r="M315" s="74">
        <v>7</v>
      </c>
    </row>
    <row r="316" spans="1:13" x14ac:dyDescent="0.25">
      <c r="A316" s="77">
        <v>44210.00277777778</v>
      </c>
      <c r="C316" s="74">
        <v>685</v>
      </c>
      <c r="D316" s="74">
        <v>106880</v>
      </c>
      <c r="E316" s="74">
        <f>SUM(C316:D316)</f>
        <v>107565</v>
      </c>
      <c r="F316" s="76">
        <f t="shared" si="56"/>
        <v>0</v>
      </c>
      <c r="G316" s="76">
        <f>SUMIF(F$6:F316,"&gt;0")</f>
        <v>161350</v>
      </c>
      <c r="H316" s="76">
        <f t="shared" si="57"/>
        <v>0</v>
      </c>
      <c r="I316" s="76">
        <f t="shared" si="62"/>
        <v>0</v>
      </c>
      <c r="J316" s="81">
        <f t="shared" si="58"/>
        <v>0</v>
      </c>
      <c r="K316" s="76">
        <f t="shared" si="61"/>
        <v>13055</v>
      </c>
    </row>
    <row r="317" spans="1:13" x14ac:dyDescent="0.25">
      <c r="A317" s="77">
        <v>44210.013888888891</v>
      </c>
      <c r="B317" s="21" t="s">
        <v>365</v>
      </c>
      <c r="C317" s="74">
        <v>685</v>
      </c>
      <c r="D317" s="74">
        <v>93650</v>
      </c>
      <c r="E317" s="74">
        <f t="shared" ref="E317:E323" si="63">SUM(C317:D317)</f>
        <v>94335</v>
      </c>
      <c r="F317" s="76">
        <f t="shared" si="56"/>
        <v>0</v>
      </c>
      <c r="G317" s="76">
        <f>SUMIF(F$6:F317,"&gt;0")</f>
        <v>161350</v>
      </c>
      <c r="H317" s="76">
        <f t="shared" si="57"/>
        <v>-13230</v>
      </c>
      <c r="I317" s="76">
        <f t="shared" si="62"/>
        <v>-13230</v>
      </c>
      <c r="J317" s="81">
        <f t="shared" si="58"/>
        <v>-252</v>
      </c>
      <c r="K317" s="76">
        <f t="shared" si="61"/>
        <v>13055</v>
      </c>
    </row>
    <row r="318" spans="1:13" x14ac:dyDescent="0.25">
      <c r="A318" s="77">
        <v>44211.109027777777</v>
      </c>
      <c r="C318" s="74">
        <v>1495</v>
      </c>
      <c r="D318" s="74">
        <v>93200</v>
      </c>
      <c r="E318" s="74">
        <f t="shared" si="63"/>
        <v>94695</v>
      </c>
      <c r="F318" s="76">
        <f t="shared" ref="F318:F323" si="64">C318-C317</f>
        <v>810</v>
      </c>
      <c r="G318" s="76">
        <f>SUMIF(F$6:F318,"&gt;0")</f>
        <v>162160</v>
      </c>
      <c r="H318" s="76">
        <f t="shared" ref="H318:H323" si="65">D318-D317</f>
        <v>-450</v>
      </c>
      <c r="I318" s="76">
        <f t="shared" si="62"/>
        <v>360</v>
      </c>
      <c r="J318" s="81">
        <f t="shared" si="58"/>
        <v>6.8571428571428577</v>
      </c>
      <c r="K318" s="76">
        <f t="shared" si="61"/>
        <v>13855</v>
      </c>
    </row>
    <row r="319" spans="1:13" x14ac:dyDescent="0.25">
      <c r="A319" s="77">
        <v>44211.945138888892</v>
      </c>
      <c r="C319" s="74">
        <v>1795</v>
      </c>
      <c r="D319" s="74">
        <v>93250</v>
      </c>
      <c r="E319" s="74">
        <f t="shared" si="63"/>
        <v>95045</v>
      </c>
      <c r="F319" s="76">
        <f t="shared" si="64"/>
        <v>300</v>
      </c>
      <c r="G319" s="76">
        <f>SUMIF(F$6:F319,"&gt;0")</f>
        <v>162460</v>
      </c>
      <c r="H319" s="76">
        <f t="shared" si="65"/>
        <v>50</v>
      </c>
      <c r="I319" s="76">
        <f t="shared" si="62"/>
        <v>350</v>
      </c>
      <c r="J319" s="81">
        <f t="shared" ref="J319:J350" si="66">I319/4200*80</f>
        <v>6.6666666666666661</v>
      </c>
      <c r="K319" s="76">
        <f t="shared" si="61"/>
        <v>11925</v>
      </c>
    </row>
    <row r="320" spans="1:13" x14ac:dyDescent="0.25">
      <c r="A320" s="77">
        <v>44212.011805555558</v>
      </c>
      <c r="B320" s="105" t="s">
        <v>367</v>
      </c>
      <c r="C320" s="74">
        <v>2165</v>
      </c>
      <c r="D320" s="74">
        <v>93300</v>
      </c>
      <c r="E320" s="74">
        <f t="shared" si="63"/>
        <v>95465</v>
      </c>
      <c r="F320" s="76">
        <f t="shared" si="64"/>
        <v>370</v>
      </c>
      <c r="G320" s="76">
        <f>SUMIF(F$6:F320,"&gt;0")</f>
        <v>162830</v>
      </c>
      <c r="H320" s="76">
        <f t="shared" si="65"/>
        <v>50</v>
      </c>
      <c r="I320" s="76">
        <f t="shared" si="62"/>
        <v>420</v>
      </c>
      <c r="J320" s="81">
        <f t="shared" si="66"/>
        <v>8</v>
      </c>
      <c r="K320" s="76">
        <f t="shared" si="61"/>
        <v>12295</v>
      </c>
      <c r="L320" s="74">
        <v>480</v>
      </c>
      <c r="M320" s="74">
        <v>10</v>
      </c>
    </row>
    <row r="321" spans="1:13" x14ac:dyDescent="0.25">
      <c r="A321" s="77">
        <v>44213.213888888888</v>
      </c>
      <c r="C321" s="74">
        <v>2225</v>
      </c>
      <c r="D321" s="74">
        <v>93320</v>
      </c>
      <c r="E321" s="74">
        <f t="shared" si="63"/>
        <v>95545</v>
      </c>
      <c r="F321" s="76">
        <f t="shared" si="64"/>
        <v>60</v>
      </c>
      <c r="G321" s="76">
        <f>SUMIF(F$6:F321,"&gt;0")</f>
        <v>162890</v>
      </c>
      <c r="H321" s="76">
        <f t="shared" si="65"/>
        <v>20</v>
      </c>
      <c r="I321" s="76">
        <f t="shared" si="62"/>
        <v>80</v>
      </c>
      <c r="J321" s="81">
        <f t="shared" si="66"/>
        <v>1.5238095238095239</v>
      </c>
      <c r="K321" s="76">
        <f t="shared" si="61"/>
        <v>11985</v>
      </c>
    </row>
    <row r="322" spans="1:13" x14ac:dyDescent="0.25">
      <c r="A322" s="77">
        <v>44214.208333333336</v>
      </c>
      <c r="C322" s="74">
        <v>2375</v>
      </c>
      <c r="D322" s="74">
        <v>93340</v>
      </c>
      <c r="E322" s="74">
        <f t="shared" si="63"/>
        <v>95715</v>
      </c>
      <c r="F322" s="76">
        <f t="shared" si="64"/>
        <v>150</v>
      </c>
      <c r="G322" s="76">
        <f>SUMIF(F$6:F322,"&gt;0")</f>
        <v>163040</v>
      </c>
      <c r="H322" s="76">
        <f t="shared" si="65"/>
        <v>20</v>
      </c>
      <c r="I322" s="76">
        <f t="shared" si="62"/>
        <v>170</v>
      </c>
      <c r="J322" s="81">
        <f t="shared" si="66"/>
        <v>3.2380952380952381</v>
      </c>
      <c r="K322" s="76">
        <f t="shared" si="61"/>
        <v>11705</v>
      </c>
    </row>
    <row r="323" spans="1:13" x14ac:dyDescent="0.25">
      <c r="A323" s="77">
        <v>44215.931250000001</v>
      </c>
      <c r="C323" s="74">
        <v>2435</v>
      </c>
      <c r="D323" s="74">
        <v>93360</v>
      </c>
      <c r="E323" s="74">
        <f t="shared" si="63"/>
        <v>95795</v>
      </c>
      <c r="F323" s="76">
        <f t="shared" si="64"/>
        <v>60</v>
      </c>
      <c r="G323" s="76">
        <f>SUMIF(F$6:F323,"&gt;0")</f>
        <v>163100</v>
      </c>
      <c r="H323" s="76">
        <f t="shared" si="65"/>
        <v>20</v>
      </c>
      <c r="I323" s="76">
        <f t="shared" si="62"/>
        <v>80</v>
      </c>
      <c r="J323" s="81">
        <f t="shared" si="66"/>
        <v>1.5238095238095239</v>
      </c>
      <c r="K323" s="76">
        <f t="shared" si="61"/>
        <v>11095</v>
      </c>
    </row>
    <row r="324" spans="1:13" x14ac:dyDescent="0.25">
      <c r="A324" s="77">
        <v>44216.05</v>
      </c>
      <c r="B324" s="105" t="s">
        <v>378</v>
      </c>
      <c r="C324" s="74">
        <v>3805</v>
      </c>
      <c r="D324" s="74">
        <v>93380</v>
      </c>
      <c r="E324" s="74">
        <f t="shared" ref="E324:E337" si="67">SUM(C324:D324)</f>
        <v>97185</v>
      </c>
      <c r="F324" s="76">
        <f t="shared" ref="F324:F329" si="68">C324-C323</f>
        <v>1370</v>
      </c>
      <c r="G324" s="76">
        <f>SUMIF(F$6:F324,"&gt;0")</f>
        <v>164470</v>
      </c>
      <c r="H324" s="76">
        <f t="shared" ref="H324:H329" si="69">D324-D323</f>
        <v>20</v>
      </c>
      <c r="I324" s="76">
        <f t="shared" si="62"/>
        <v>1390</v>
      </c>
      <c r="J324" s="81">
        <f t="shared" si="66"/>
        <v>26.476190476190474</v>
      </c>
      <c r="K324" s="76">
        <f t="shared" si="61"/>
        <v>12465</v>
      </c>
    </row>
    <row r="325" spans="1:13" x14ac:dyDescent="0.25">
      <c r="A325" s="77">
        <v>44217.148611111108</v>
      </c>
      <c r="C325" s="74">
        <v>4480</v>
      </c>
      <c r="D325" s="74">
        <v>93400</v>
      </c>
      <c r="E325" s="74">
        <f t="shared" si="67"/>
        <v>97880</v>
      </c>
      <c r="F325" s="76">
        <f t="shared" si="68"/>
        <v>675</v>
      </c>
      <c r="G325" s="76">
        <f>SUMIF(F$6:F325,"&gt;0")</f>
        <v>165145</v>
      </c>
      <c r="H325" s="76">
        <f t="shared" si="69"/>
        <v>20</v>
      </c>
      <c r="I325" s="76">
        <f t="shared" si="62"/>
        <v>695</v>
      </c>
      <c r="J325" s="81">
        <f t="shared" si="66"/>
        <v>13.238095238095237</v>
      </c>
      <c r="K325" s="76">
        <f t="shared" si="61"/>
        <v>12090</v>
      </c>
    </row>
    <row r="326" spans="1:13" x14ac:dyDescent="0.25">
      <c r="A326" s="77">
        <v>44218.18472222222</v>
      </c>
      <c r="B326" s="105" t="s">
        <v>383</v>
      </c>
      <c r="C326" s="74">
        <v>4580</v>
      </c>
      <c r="D326" s="74">
        <v>93975</v>
      </c>
      <c r="E326" s="74">
        <f t="shared" si="67"/>
        <v>98555</v>
      </c>
      <c r="F326" s="76">
        <f t="shared" si="68"/>
        <v>100</v>
      </c>
      <c r="G326" s="76">
        <f>SUMIF(F$6:F326,"&gt;0")</f>
        <v>165245</v>
      </c>
      <c r="H326" s="76">
        <f t="shared" si="69"/>
        <v>575</v>
      </c>
      <c r="I326" s="76">
        <f t="shared" si="62"/>
        <v>675</v>
      </c>
      <c r="J326" s="81">
        <f t="shared" si="66"/>
        <v>12.857142857142858</v>
      </c>
      <c r="K326" s="76">
        <f t="shared" si="61"/>
        <v>12080</v>
      </c>
      <c r="L326" s="74">
        <f>480+525</f>
        <v>1005</v>
      </c>
      <c r="M326" s="74">
        <v>17</v>
      </c>
    </row>
    <row r="327" spans="1:13" x14ac:dyDescent="0.25">
      <c r="A327" s="77">
        <v>44219.36041666667</v>
      </c>
      <c r="C327" s="74">
        <v>4680</v>
      </c>
      <c r="D327" s="74">
        <v>93995</v>
      </c>
      <c r="E327" s="74">
        <f t="shared" si="67"/>
        <v>98675</v>
      </c>
      <c r="F327" s="76">
        <f t="shared" si="68"/>
        <v>100</v>
      </c>
      <c r="G327" s="76">
        <f>SUMIF(F$6:F327,"&gt;0")</f>
        <v>165345</v>
      </c>
      <c r="H327" s="76">
        <f t="shared" si="69"/>
        <v>20</v>
      </c>
      <c r="I327" s="76">
        <f t="shared" si="62"/>
        <v>120</v>
      </c>
      <c r="J327" s="81">
        <f t="shared" si="66"/>
        <v>2.2857142857142856</v>
      </c>
      <c r="K327" s="76">
        <f t="shared" si="61"/>
        <v>11895</v>
      </c>
    </row>
    <row r="328" spans="1:13" x14ac:dyDescent="0.25">
      <c r="A328" s="77">
        <v>44220.511805555558</v>
      </c>
      <c r="C328" s="74">
        <v>4780</v>
      </c>
      <c r="D328" s="74">
        <v>94015</v>
      </c>
      <c r="E328" s="74">
        <f t="shared" si="67"/>
        <v>98795</v>
      </c>
      <c r="F328" s="76">
        <f t="shared" si="68"/>
        <v>100</v>
      </c>
      <c r="G328" s="76">
        <f>SUMIF(F$6:F328,"&gt;0")</f>
        <v>165445</v>
      </c>
      <c r="H328" s="76">
        <f t="shared" si="69"/>
        <v>20</v>
      </c>
      <c r="I328" s="76">
        <f t="shared" si="62"/>
        <v>120</v>
      </c>
      <c r="J328" s="81">
        <f t="shared" si="66"/>
        <v>2.2857142857142856</v>
      </c>
      <c r="K328" s="76">
        <f t="shared" si="61"/>
        <v>11910</v>
      </c>
    </row>
    <row r="329" spans="1:13" x14ac:dyDescent="0.25">
      <c r="A329" s="77">
        <v>44221.515972222223</v>
      </c>
      <c r="C329" s="74">
        <v>5300</v>
      </c>
      <c r="D329" s="74">
        <v>94035</v>
      </c>
      <c r="E329" s="74">
        <f t="shared" si="67"/>
        <v>99335</v>
      </c>
      <c r="F329" s="76">
        <f t="shared" si="68"/>
        <v>520</v>
      </c>
      <c r="G329" s="76">
        <f>SUMIF(F$6:F329,"&gt;0")</f>
        <v>165965</v>
      </c>
      <c r="H329" s="76">
        <f t="shared" si="69"/>
        <v>20</v>
      </c>
      <c r="I329" s="76">
        <f t="shared" si="62"/>
        <v>540</v>
      </c>
      <c r="J329" s="81">
        <f t="shared" si="66"/>
        <v>10.285714285714285</v>
      </c>
      <c r="K329" s="76">
        <f t="shared" si="61"/>
        <v>10520</v>
      </c>
    </row>
    <row r="330" spans="1:13" x14ac:dyDescent="0.25">
      <c r="A330" s="77">
        <v>44222.856249999997</v>
      </c>
      <c r="C330" s="74">
        <v>5750</v>
      </c>
      <c r="D330" s="74">
        <v>94055</v>
      </c>
      <c r="E330" s="74">
        <f t="shared" si="67"/>
        <v>99805</v>
      </c>
      <c r="F330" s="76">
        <f t="shared" ref="F330:F361" si="70">C330-C329</f>
        <v>450</v>
      </c>
      <c r="G330" s="76">
        <f>SUMIF(F$6:F330,"&gt;0")</f>
        <v>166415</v>
      </c>
      <c r="H330" s="76">
        <f t="shared" ref="H330:H361" si="71">D330-D329</f>
        <v>20</v>
      </c>
      <c r="I330" s="76">
        <f t="shared" si="62"/>
        <v>470</v>
      </c>
      <c r="J330" s="81">
        <f t="shared" si="66"/>
        <v>8.9523809523809526</v>
      </c>
      <c r="K330" s="76">
        <f t="shared" si="61"/>
        <v>10505</v>
      </c>
    </row>
    <row r="331" spans="1:13" x14ac:dyDescent="0.25">
      <c r="A331" s="77">
        <v>44223.73333333333</v>
      </c>
      <c r="B331" s="21" t="s">
        <v>384</v>
      </c>
      <c r="C331" s="74">
        <v>6450</v>
      </c>
      <c r="D331" s="74">
        <v>85675</v>
      </c>
      <c r="E331" s="74">
        <f t="shared" si="67"/>
        <v>92125</v>
      </c>
      <c r="F331" s="76">
        <f t="shared" si="70"/>
        <v>700</v>
      </c>
      <c r="G331" s="76">
        <f>SUMIF(F$6:F331,"&gt;0")</f>
        <v>167115</v>
      </c>
      <c r="H331" s="76">
        <f t="shared" si="71"/>
        <v>-8380</v>
      </c>
      <c r="I331" s="76">
        <f t="shared" si="62"/>
        <v>-7680</v>
      </c>
      <c r="J331" s="81">
        <f t="shared" si="66"/>
        <v>-146.28571428571428</v>
      </c>
      <c r="K331" s="76">
        <f t="shared" si="61"/>
        <v>11005</v>
      </c>
    </row>
    <row r="332" spans="1:13" x14ac:dyDescent="0.25">
      <c r="A332" s="77">
        <v>44223.900694444441</v>
      </c>
      <c r="C332" s="74">
        <v>6850</v>
      </c>
      <c r="D332" s="74">
        <v>85675</v>
      </c>
      <c r="E332" s="74">
        <f t="shared" si="67"/>
        <v>92525</v>
      </c>
      <c r="F332" s="76">
        <f t="shared" si="70"/>
        <v>400</v>
      </c>
      <c r="G332" s="76">
        <f>SUMIF(F$6:F332,"&gt;0")</f>
        <v>167515</v>
      </c>
      <c r="H332" s="76">
        <f t="shared" si="71"/>
        <v>0</v>
      </c>
      <c r="I332" s="76">
        <f t="shared" si="62"/>
        <v>400</v>
      </c>
      <c r="J332" s="81">
        <f t="shared" si="66"/>
        <v>7.6190476190476186</v>
      </c>
      <c r="K332" s="76">
        <f t="shared" si="61"/>
        <v>11405</v>
      </c>
    </row>
    <row r="333" spans="1:13" x14ac:dyDescent="0.25">
      <c r="A333" s="77">
        <v>44224.669444444444</v>
      </c>
      <c r="B333" s="105" t="s">
        <v>383</v>
      </c>
      <c r="C333" s="74">
        <v>7000</v>
      </c>
      <c r="D333" s="74">
        <v>85725</v>
      </c>
      <c r="E333" s="74">
        <f t="shared" si="67"/>
        <v>92725</v>
      </c>
      <c r="F333" s="76">
        <f t="shared" si="70"/>
        <v>150</v>
      </c>
      <c r="G333" s="76">
        <f>SUMIF(F$6:F333,"&gt;0")</f>
        <v>167665</v>
      </c>
      <c r="H333" s="76">
        <f t="shared" si="71"/>
        <v>50</v>
      </c>
      <c r="I333" s="76">
        <f t="shared" si="62"/>
        <v>200</v>
      </c>
      <c r="J333" s="81">
        <f t="shared" si="66"/>
        <v>3.8095238095238093</v>
      </c>
      <c r="K333" s="76">
        <f t="shared" si="61"/>
        <v>11405</v>
      </c>
      <c r="L333" s="74">
        <v>480</v>
      </c>
      <c r="M333" s="74">
        <v>10</v>
      </c>
    </row>
    <row r="334" spans="1:13" x14ac:dyDescent="0.25">
      <c r="A334" s="77">
        <v>44225.34097222222</v>
      </c>
      <c r="C334" s="74">
        <v>7565</v>
      </c>
      <c r="D334" s="74">
        <v>85725</v>
      </c>
      <c r="E334" s="74">
        <f t="shared" si="67"/>
        <v>93290</v>
      </c>
      <c r="F334" s="76">
        <f t="shared" si="70"/>
        <v>565</v>
      </c>
      <c r="G334" s="76">
        <f>SUMIF(F$6:F334,"&gt;0")</f>
        <v>168230</v>
      </c>
      <c r="H334" s="76">
        <f t="shared" si="71"/>
        <v>0</v>
      </c>
      <c r="I334" s="76">
        <f t="shared" si="62"/>
        <v>565</v>
      </c>
      <c r="J334" s="81">
        <f t="shared" si="66"/>
        <v>10.761904761904761</v>
      </c>
      <c r="K334" s="76">
        <f t="shared" si="61"/>
        <v>11970</v>
      </c>
    </row>
    <row r="335" spans="1:13" x14ac:dyDescent="0.25">
      <c r="A335" s="77">
        <v>44225.702777777777</v>
      </c>
      <c r="B335" s="105" t="s">
        <v>397</v>
      </c>
      <c r="C335" s="74">
        <v>7790</v>
      </c>
      <c r="D335" s="74">
        <v>102270</v>
      </c>
      <c r="E335" s="74">
        <f t="shared" si="67"/>
        <v>110060</v>
      </c>
      <c r="F335" s="76">
        <f t="shared" si="70"/>
        <v>225</v>
      </c>
      <c r="G335" s="76">
        <f>SUMIF(F$6:F335,"&gt;0")</f>
        <v>168455</v>
      </c>
      <c r="H335" s="76">
        <f t="shared" si="71"/>
        <v>16545</v>
      </c>
      <c r="I335" s="76">
        <f t="shared" si="62"/>
        <v>16770</v>
      </c>
      <c r="J335" s="81">
        <f t="shared" si="66"/>
        <v>319.42857142857144</v>
      </c>
      <c r="K335" s="76">
        <f t="shared" si="61"/>
        <v>12195</v>
      </c>
      <c r="L335" s="74">
        <v>16525</v>
      </c>
      <c r="M335" s="74">
        <v>327</v>
      </c>
    </row>
    <row r="336" spans="1:13" x14ac:dyDescent="0.25">
      <c r="A336" s="77">
        <v>44226.591666666667</v>
      </c>
      <c r="C336" s="74">
        <v>7890</v>
      </c>
      <c r="D336" s="74">
        <v>102290</v>
      </c>
      <c r="E336" s="74">
        <f t="shared" si="67"/>
        <v>110180</v>
      </c>
      <c r="F336" s="76">
        <f t="shared" si="70"/>
        <v>100</v>
      </c>
      <c r="G336" s="76">
        <f>SUMIF(F$6:F336,"&gt;0")</f>
        <v>168555</v>
      </c>
      <c r="H336" s="76">
        <f t="shared" si="71"/>
        <v>20</v>
      </c>
      <c r="I336" s="76">
        <f t="shared" si="62"/>
        <v>120</v>
      </c>
      <c r="J336" s="81">
        <f t="shared" si="66"/>
        <v>2.2857142857142856</v>
      </c>
      <c r="K336" s="76">
        <f t="shared" ref="K336:K367" si="72">IFERROR(G336 - _xlfn.XLOOKUP(A336-30, $A$6:$A$14998,G$6:G$14998,"",-1,2),NA())</f>
        <v>11920</v>
      </c>
    </row>
    <row r="337" spans="1:13" x14ac:dyDescent="0.25">
      <c r="A337" s="77">
        <v>44227</v>
      </c>
      <c r="B337" s="105" t="s">
        <v>387</v>
      </c>
      <c r="C337" s="74">
        <v>7890</v>
      </c>
      <c r="D337" s="74">
        <f>D336+14130</f>
        <v>116420</v>
      </c>
      <c r="E337" s="74">
        <f t="shared" si="67"/>
        <v>124310</v>
      </c>
      <c r="F337" s="76">
        <f t="shared" si="70"/>
        <v>0</v>
      </c>
      <c r="G337" s="76">
        <f>SUMIF(F$6:F337,"&gt;0")</f>
        <v>168555</v>
      </c>
      <c r="H337" s="76">
        <f t="shared" si="71"/>
        <v>14130</v>
      </c>
      <c r="I337" s="76">
        <f t="shared" si="62"/>
        <v>14130</v>
      </c>
      <c r="J337" s="81">
        <f t="shared" si="66"/>
        <v>269.14285714285717</v>
      </c>
      <c r="K337" s="76">
        <f t="shared" si="72"/>
        <v>11920</v>
      </c>
      <c r="L337" s="74">
        <v>14130</v>
      </c>
      <c r="M337" s="74">
        <v>238</v>
      </c>
    </row>
    <row r="338" spans="1:13" x14ac:dyDescent="0.25">
      <c r="A338" s="77">
        <v>44227.008333333331</v>
      </c>
      <c r="B338" s="105" t="s">
        <v>394</v>
      </c>
      <c r="C338" s="74">
        <v>7890</v>
      </c>
      <c r="D338" s="74">
        <v>100460</v>
      </c>
      <c r="E338" s="74">
        <f>SUM(C338:D338)</f>
        <v>108350</v>
      </c>
      <c r="F338" s="76">
        <f t="shared" si="70"/>
        <v>0</v>
      </c>
      <c r="G338" s="76">
        <f>SUMIF(F$6:F338,"&gt;0")</f>
        <v>168555</v>
      </c>
      <c r="H338" s="76">
        <f t="shared" si="71"/>
        <v>-15960</v>
      </c>
      <c r="I338" s="76">
        <f t="shared" si="62"/>
        <v>-15960</v>
      </c>
      <c r="J338" s="81">
        <f t="shared" si="66"/>
        <v>-304</v>
      </c>
      <c r="K338" s="76">
        <f t="shared" si="72"/>
        <v>11920</v>
      </c>
    </row>
    <row r="339" spans="1:13" x14ac:dyDescent="0.25">
      <c r="A339" s="77">
        <v>44227.566666666666</v>
      </c>
      <c r="B339" s="105" t="s">
        <v>388</v>
      </c>
      <c r="C339" s="74">
        <v>8515</v>
      </c>
      <c r="D339" s="74">
        <v>100510</v>
      </c>
      <c r="E339" s="74">
        <f>SUM(C339:D339)</f>
        <v>109025</v>
      </c>
      <c r="F339" s="76">
        <f t="shared" si="70"/>
        <v>625</v>
      </c>
      <c r="G339" s="76">
        <f>SUMIF(F$6:F339,"&gt;0")</f>
        <v>169180</v>
      </c>
      <c r="H339" s="76">
        <f t="shared" si="71"/>
        <v>50</v>
      </c>
      <c r="I339" s="76">
        <f t="shared" si="62"/>
        <v>675</v>
      </c>
      <c r="J339" s="81">
        <f t="shared" si="66"/>
        <v>12.857142857142858</v>
      </c>
      <c r="K339" s="76">
        <f t="shared" si="72"/>
        <v>10445</v>
      </c>
    </row>
    <row r="340" spans="1:13" x14ac:dyDescent="0.25">
      <c r="A340" s="77">
        <v>44228.770138888889</v>
      </c>
      <c r="B340" s="105" t="s">
        <v>389</v>
      </c>
      <c r="C340" s="74">
        <v>4915</v>
      </c>
      <c r="D340" s="74">
        <v>100510</v>
      </c>
      <c r="E340" s="74">
        <f>SUM(C340:D340)</f>
        <v>105425</v>
      </c>
      <c r="F340" s="76">
        <f t="shared" si="70"/>
        <v>-3600</v>
      </c>
      <c r="G340" s="76">
        <f>SUMIF(F$6:F340,"&gt;0")</f>
        <v>169180</v>
      </c>
      <c r="H340" s="76">
        <f t="shared" si="71"/>
        <v>0</v>
      </c>
      <c r="I340" s="76">
        <f t="shared" si="62"/>
        <v>-3600</v>
      </c>
      <c r="J340" s="81">
        <f t="shared" si="66"/>
        <v>-68.571428571428569</v>
      </c>
      <c r="K340" s="76">
        <f t="shared" si="72"/>
        <v>10445</v>
      </c>
    </row>
    <row r="341" spans="1:13" x14ac:dyDescent="0.25">
      <c r="A341" s="77">
        <v>44228.779861111114</v>
      </c>
      <c r="C341" s="74">
        <v>6550</v>
      </c>
      <c r="D341" s="74">
        <v>100530</v>
      </c>
      <c r="E341" s="74">
        <f>SUM(C341:D341)</f>
        <v>107080</v>
      </c>
      <c r="F341" s="76">
        <f t="shared" si="70"/>
        <v>1635</v>
      </c>
      <c r="G341" s="76">
        <f>SUMIF(F$6:F341,"&gt;0")</f>
        <v>170815</v>
      </c>
      <c r="H341" s="76">
        <f t="shared" si="71"/>
        <v>20</v>
      </c>
      <c r="I341" s="76">
        <f t="shared" si="62"/>
        <v>1655</v>
      </c>
      <c r="J341" s="81">
        <f t="shared" si="66"/>
        <v>31.523809523809522</v>
      </c>
      <c r="K341" s="76">
        <f t="shared" si="72"/>
        <v>12080</v>
      </c>
    </row>
    <row r="342" spans="1:13" x14ac:dyDescent="0.25">
      <c r="A342" s="77">
        <v>44229.037499999999</v>
      </c>
      <c r="B342" s="105" t="s">
        <v>389</v>
      </c>
      <c r="C342" s="74">
        <v>6070</v>
      </c>
      <c r="D342" s="74">
        <v>100530</v>
      </c>
      <c r="E342" s="74">
        <f>SUM(C342:D342)</f>
        <v>106600</v>
      </c>
      <c r="F342" s="76">
        <f t="shared" si="70"/>
        <v>-480</v>
      </c>
      <c r="G342" s="76">
        <f>SUMIF(F$6:F342,"&gt;0")</f>
        <v>170815</v>
      </c>
      <c r="H342" s="76">
        <f t="shared" si="71"/>
        <v>0</v>
      </c>
      <c r="I342" s="76">
        <f t="shared" si="62"/>
        <v>-480</v>
      </c>
      <c r="J342" s="81">
        <f t="shared" si="66"/>
        <v>-9.1428571428571423</v>
      </c>
      <c r="K342" s="76">
        <f t="shared" si="72"/>
        <v>12080</v>
      </c>
    </row>
    <row r="343" spans="1:13" x14ac:dyDescent="0.25">
      <c r="A343" s="77">
        <v>44229.04583333333</v>
      </c>
      <c r="C343" s="74">
        <v>6120</v>
      </c>
      <c r="D343" s="74">
        <v>100550</v>
      </c>
      <c r="E343" s="74">
        <f t="shared" ref="E343:E348" si="73">SUM(C343:D343)</f>
        <v>106670</v>
      </c>
      <c r="F343" s="76">
        <f t="shared" si="70"/>
        <v>50</v>
      </c>
      <c r="G343" s="76">
        <f>SUMIF(F$6:F343,"&gt;0")</f>
        <v>170865</v>
      </c>
      <c r="H343" s="76">
        <f t="shared" si="71"/>
        <v>20</v>
      </c>
      <c r="I343" s="76">
        <f t="shared" si="62"/>
        <v>70</v>
      </c>
      <c r="J343" s="81">
        <f t="shared" si="66"/>
        <v>1.3333333333333333</v>
      </c>
      <c r="K343" s="76">
        <f t="shared" si="72"/>
        <v>12130</v>
      </c>
    </row>
    <row r="344" spans="1:13" x14ac:dyDescent="0.25">
      <c r="A344" s="77">
        <v>44230.195833333331</v>
      </c>
      <c r="B344" s="105" t="s">
        <v>389</v>
      </c>
      <c r="C344" s="74">
        <v>360</v>
      </c>
      <c r="D344" s="74">
        <v>100550</v>
      </c>
      <c r="E344" s="74">
        <f t="shared" si="73"/>
        <v>100910</v>
      </c>
      <c r="F344" s="76">
        <f t="shared" si="70"/>
        <v>-5760</v>
      </c>
      <c r="G344" s="76">
        <f>SUMIF(F$6:F344,"&gt;0")</f>
        <v>170865</v>
      </c>
      <c r="H344" s="76">
        <f t="shared" si="71"/>
        <v>0</v>
      </c>
      <c r="I344" s="76">
        <f t="shared" si="62"/>
        <v>-5760</v>
      </c>
      <c r="J344" s="81">
        <f t="shared" si="66"/>
        <v>-109.71428571428572</v>
      </c>
      <c r="K344" s="76">
        <f t="shared" si="72"/>
        <v>12030</v>
      </c>
    </row>
    <row r="345" spans="1:13" x14ac:dyDescent="0.25">
      <c r="A345" s="77">
        <v>44230.200694444444</v>
      </c>
      <c r="B345" s="105" t="s">
        <v>383</v>
      </c>
      <c r="C345" s="74">
        <v>410</v>
      </c>
      <c r="D345" s="74">
        <v>100600</v>
      </c>
      <c r="E345" s="74">
        <f t="shared" si="73"/>
        <v>101010</v>
      </c>
      <c r="F345" s="76">
        <f t="shared" si="70"/>
        <v>50</v>
      </c>
      <c r="G345" s="76">
        <f>SUMIF(F$6:F345,"&gt;0")</f>
        <v>170915</v>
      </c>
      <c r="H345" s="76">
        <f t="shared" si="71"/>
        <v>50</v>
      </c>
      <c r="I345" s="76">
        <f t="shared" si="62"/>
        <v>100</v>
      </c>
      <c r="J345" s="81">
        <f t="shared" si="66"/>
        <v>1.9047619047619047</v>
      </c>
      <c r="K345" s="76">
        <f t="shared" si="72"/>
        <v>12080</v>
      </c>
      <c r="L345" s="74">
        <v>480</v>
      </c>
      <c r="M345" s="74">
        <v>10</v>
      </c>
    </row>
    <row r="346" spans="1:13" x14ac:dyDescent="0.25">
      <c r="A346" s="77">
        <v>44231.001388888886</v>
      </c>
      <c r="B346" s="105" t="s">
        <v>389</v>
      </c>
      <c r="C346" s="74">
        <v>380</v>
      </c>
      <c r="D346" s="74">
        <v>100600</v>
      </c>
      <c r="E346" s="74">
        <f t="shared" si="73"/>
        <v>100980</v>
      </c>
      <c r="F346" s="76">
        <f t="shared" si="70"/>
        <v>-30</v>
      </c>
      <c r="G346" s="76">
        <f>SUMIF(F$6:F346,"&gt;0")</f>
        <v>170915</v>
      </c>
      <c r="H346" s="76">
        <f t="shared" si="71"/>
        <v>0</v>
      </c>
      <c r="I346" s="76">
        <f t="shared" si="62"/>
        <v>-30</v>
      </c>
      <c r="J346" s="81">
        <f t="shared" si="66"/>
        <v>-0.5714285714285714</v>
      </c>
      <c r="K346" s="76">
        <f t="shared" si="72"/>
        <v>12005</v>
      </c>
    </row>
    <row r="347" spans="1:13" x14ac:dyDescent="0.25">
      <c r="A347" s="77">
        <v>44231.020138888889</v>
      </c>
      <c r="C347" s="74">
        <v>905</v>
      </c>
      <c r="D347" s="74">
        <v>100620</v>
      </c>
      <c r="E347" s="74">
        <f t="shared" si="73"/>
        <v>101525</v>
      </c>
      <c r="F347" s="76">
        <f t="shared" si="70"/>
        <v>525</v>
      </c>
      <c r="G347" s="76">
        <f>SUMIF(F$6:F347,"&gt;0")</f>
        <v>171440</v>
      </c>
      <c r="H347" s="76">
        <f t="shared" si="71"/>
        <v>20</v>
      </c>
      <c r="I347" s="76">
        <f t="shared" si="62"/>
        <v>545</v>
      </c>
      <c r="J347" s="81">
        <f t="shared" si="66"/>
        <v>10.380952380952381</v>
      </c>
      <c r="K347" s="76">
        <f t="shared" si="72"/>
        <v>12530</v>
      </c>
    </row>
    <row r="348" spans="1:13" x14ac:dyDescent="0.25">
      <c r="A348" s="77">
        <v>44232.088888888888</v>
      </c>
      <c r="C348" s="74">
        <v>1265</v>
      </c>
      <c r="D348" s="74">
        <v>100640</v>
      </c>
      <c r="E348" s="74">
        <f t="shared" si="73"/>
        <v>101905</v>
      </c>
      <c r="F348" s="76">
        <f t="shared" si="70"/>
        <v>360</v>
      </c>
      <c r="G348" s="76">
        <f>SUMIF(F$6:F348,"&gt;0")</f>
        <v>171800</v>
      </c>
      <c r="H348" s="76">
        <f t="shared" si="71"/>
        <v>20</v>
      </c>
      <c r="I348" s="76">
        <f t="shared" si="62"/>
        <v>380</v>
      </c>
      <c r="J348" s="81">
        <f t="shared" si="66"/>
        <v>7.2380952380952381</v>
      </c>
      <c r="K348" s="76">
        <f t="shared" si="72"/>
        <v>12540</v>
      </c>
    </row>
    <row r="349" spans="1:13" x14ac:dyDescent="0.25">
      <c r="A349" s="77">
        <v>44233.002083333333</v>
      </c>
      <c r="C349" s="74">
        <v>2465</v>
      </c>
      <c r="D349" s="74">
        <v>100640</v>
      </c>
      <c r="E349" s="74">
        <f>SUM(C349:D349)</f>
        <v>103105</v>
      </c>
      <c r="F349" s="76">
        <f t="shared" si="70"/>
        <v>1200</v>
      </c>
      <c r="G349" s="76">
        <f>SUMIF(F$6:F349,"&gt;0")</f>
        <v>173000</v>
      </c>
      <c r="H349" s="76">
        <f t="shared" si="71"/>
        <v>0</v>
      </c>
      <c r="I349" s="76">
        <f t="shared" si="62"/>
        <v>1200</v>
      </c>
      <c r="J349" s="81">
        <f t="shared" si="66"/>
        <v>22.857142857142854</v>
      </c>
      <c r="K349" s="76">
        <f t="shared" si="72"/>
        <v>13390</v>
      </c>
    </row>
    <row r="350" spans="1:13" x14ac:dyDescent="0.25">
      <c r="A350" s="77">
        <v>44233.006249999999</v>
      </c>
      <c r="B350" s="105" t="s">
        <v>395</v>
      </c>
      <c r="C350" s="74">
        <v>2465</v>
      </c>
      <c r="D350" s="74">
        <v>100640</v>
      </c>
      <c r="E350" s="74">
        <f t="shared" ref="E350:E369" si="74">SUM(C350:D350)</f>
        <v>103105</v>
      </c>
      <c r="F350" s="76">
        <f t="shared" si="70"/>
        <v>0</v>
      </c>
      <c r="G350" s="76">
        <f>SUMIF(F$6:F350,"&gt;0")</f>
        <v>173000</v>
      </c>
      <c r="H350" s="76">
        <f t="shared" si="71"/>
        <v>0</v>
      </c>
      <c r="I350" s="76">
        <f t="shared" si="62"/>
        <v>0</v>
      </c>
      <c r="J350" s="81">
        <f t="shared" si="66"/>
        <v>0</v>
      </c>
      <c r="K350" s="76">
        <f t="shared" si="72"/>
        <v>13390</v>
      </c>
    </row>
    <row r="351" spans="1:13" x14ac:dyDescent="0.25">
      <c r="A351" s="77">
        <v>44233.186111111114</v>
      </c>
      <c r="C351" s="74">
        <v>2840</v>
      </c>
      <c r="D351" s="74">
        <v>100660</v>
      </c>
      <c r="E351" s="74">
        <f t="shared" si="74"/>
        <v>103500</v>
      </c>
      <c r="F351" s="76">
        <f t="shared" si="70"/>
        <v>375</v>
      </c>
      <c r="G351" s="76">
        <f>SUMIF(F$6:F351,"&gt;0")</f>
        <v>173375</v>
      </c>
      <c r="H351" s="76">
        <f t="shared" si="71"/>
        <v>20</v>
      </c>
      <c r="I351" s="76">
        <f t="shared" si="62"/>
        <v>395</v>
      </c>
      <c r="J351" s="81">
        <f t="shared" ref="J351:J382" si="75">I351/4200*80</f>
        <v>7.5238095238095237</v>
      </c>
      <c r="K351" s="76">
        <f t="shared" si="72"/>
        <v>13765</v>
      </c>
    </row>
    <row r="352" spans="1:13" x14ac:dyDescent="0.25">
      <c r="A352" s="77">
        <v>44234.268055555556</v>
      </c>
      <c r="B352" s="105" t="s">
        <v>389</v>
      </c>
      <c r="C352" s="74">
        <v>680</v>
      </c>
      <c r="D352" s="74">
        <v>100660</v>
      </c>
      <c r="E352" s="74">
        <f t="shared" si="74"/>
        <v>101340</v>
      </c>
      <c r="F352" s="76">
        <f t="shared" si="70"/>
        <v>-2160</v>
      </c>
      <c r="G352" s="76">
        <f>SUMIF(F$6:F352,"&gt;0")</f>
        <v>173375</v>
      </c>
      <c r="H352" s="76">
        <f t="shared" si="71"/>
        <v>0</v>
      </c>
      <c r="I352" s="76">
        <f t="shared" si="62"/>
        <v>-2160</v>
      </c>
      <c r="J352" s="81">
        <f t="shared" si="75"/>
        <v>-41.142857142857139</v>
      </c>
      <c r="K352" s="76">
        <f t="shared" si="72"/>
        <v>12890</v>
      </c>
    </row>
    <row r="353" spans="1:13" x14ac:dyDescent="0.25">
      <c r="A353" s="77">
        <v>44234.291666666664</v>
      </c>
      <c r="C353" s="74">
        <v>795</v>
      </c>
      <c r="D353" s="74">
        <v>101205</v>
      </c>
      <c r="E353" s="74">
        <f t="shared" si="74"/>
        <v>102000</v>
      </c>
      <c r="F353" s="76">
        <f t="shared" si="70"/>
        <v>115</v>
      </c>
      <c r="G353" s="76">
        <f>SUMIF(F$6:F353,"&gt;0")</f>
        <v>173490</v>
      </c>
      <c r="H353" s="76">
        <f t="shared" si="71"/>
        <v>545</v>
      </c>
      <c r="I353" s="76">
        <f t="shared" si="62"/>
        <v>660</v>
      </c>
      <c r="J353" s="81">
        <f t="shared" si="75"/>
        <v>12.571428571428571</v>
      </c>
      <c r="K353" s="76">
        <f t="shared" si="72"/>
        <v>13005</v>
      </c>
      <c r="L353" s="74">
        <v>525</v>
      </c>
      <c r="M353" s="74">
        <v>7</v>
      </c>
    </row>
    <row r="354" spans="1:13" x14ac:dyDescent="0.25">
      <c r="A354" s="77">
        <v>44235.772916666669</v>
      </c>
      <c r="B354" s="105" t="s">
        <v>389</v>
      </c>
      <c r="C354" s="74">
        <v>15</v>
      </c>
      <c r="D354" s="74">
        <v>101205</v>
      </c>
      <c r="E354" s="74">
        <f t="shared" si="74"/>
        <v>101220</v>
      </c>
      <c r="F354" s="76">
        <f t="shared" si="70"/>
        <v>-780</v>
      </c>
      <c r="G354" s="76">
        <f>SUMIF(F$6:F354,"&gt;0")</f>
        <v>173490</v>
      </c>
      <c r="H354" s="76">
        <f t="shared" si="71"/>
        <v>0</v>
      </c>
      <c r="I354" s="76">
        <f t="shared" si="62"/>
        <v>-780</v>
      </c>
      <c r="J354" s="81">
        <f t="shared" si="75"/>
        <v>-14.857142857142858</v>
      </c>
      <c r="K354" s="76">
        <f t="shared" si="72"/>
        <v>12955</v>
      </c>
    </row>
    <row r="355" spans="1:13" x14ac:dyDescent="0.25">
      <c r="A355" s="77">
        <v>44235.793749999997</v>
      </c>
      <c r="C355" s="74">
        <v>65</v>
      </c>
      <c r="D355" s="74">
        <v>101255</v>
      </c>
      <c r="E355" s="74">
        <f t="shared" si="74"/>
        <v>101320</v>
      </c>
      <c r="F355" s="76">
        <f t="shared" si="70"/>
        <v>50</v>
      </c>
      <c r="G355" s="76">
        <f>SUMIF(F$6:F355,"&gt;0")</f>
        <v>173540</v>
      </c>
      <c r="H355" s="76">
        <f t="shared" si="71"/>
        <v>50</v>
      </c>
      <c r="I355" s="76">
        <f t="shared" si="62"/>
        <v>100</v>
      </c>
      <c r="J355" s="81">
        <f t="shared" si="75"/>
        <v>1.9047619047619047</v>
      </c>
      <c r="K355" s="76">
        <f t="shared" si="72"/>
        <v>13005</v>
      </c>
    </row>
    <row r="356" spans="1:13" x14ac:dyDescent="0.25">
      <c r="A356" s="77">
        <v>44236.84375</v>
      </c>
      <c r="B356" s="105" t="s">
        <v>401</v>
      </c>
      <c r="C356" s="74">
        <v>115</v>
      </c>
      <c r="D356" s="74">
        <v>101805</v>
      </c>
      <c r="E356" s="74">
        <f t="shared" si="74"/>
        <v>101920</v>
      </c>
      <c r="F356" s="76">
        <f t="shared" si="70"/>
        <v>50</v>
      </c>
      <c r="G356" s="76">
        <f>SUMIF(F$6:F356,"&gt;0")</f>
        <v>173590</v>
      </c>
      <c r="H356" s="76">
        <f t="shared" si="71"/>
        <v>550</v>
      </c>
      <c r="I356" s="76">
        <f t="shared" si="62"/>
        <v>600</v>
      </c>
      <c r="J356" s="81">
        <f t="shared" si="75"/>
        <v>11.428571428571427</v>
      </c>
      <c r="K356" s="76">
        <f t="shared" si="72"/>
        <v>13005</v>
      </c>
      <c r="L356" s="74">
        <v>480</v>
      </c>
      <c r="M356" s="74">
        <v>10</v>
      </c>
    </row>
    <row r="357" spans="1:13" x14ac:dyDescent="0.25">
      <c r="A357" s="77">
        <v>44237.717361111114</v>
      </c>
      <c r="C357" s="74">
        <v>165</v>
      </c>
      <c r="D357" s="74">
        <v>101825</v>
      </c>
      <c r="E357" s="74">
        <f t="shared" si="74"/>
        <v>101990</v>
      </c>
      <c r="F357" s="76">
        <f t="shared" si="70"/>
        <v>50</v>
      </c>
      <c r="G357" s="76">
        <f>SUMIF(F$6:F357,"&gt;0")</f>
        <v>173640</v>
      </c>
      <c r="H357" s="76">
        <f t="shared" si="71"/>
        <v>20</v>
      </c>
      <c r="I357" s="76">
        <f t="shared" si="62"/>
        <v>70</v>
      </c>
      <c r="J357" s="81">
        <f t="shared" si="75"/>
        <v>1.3333333333333333</v>
      </c>
      <c r="K357" s="76">
        <f t="shared" si="72"/>
        <v>13005</v>
      </c>
    </row>
    <row r="358" spans="1:13" x14ac:dyDescent="0.25">
      <c r="A358" s="77">
        <v>44238.354166666664</v>
      </c>
      <c r="C358" s="74">
        <v>1415</v>
      </c>
      <c r="D358" s="74">
        <v>101845</v>
      </c>
      <c r="E358" s="74">
        <f t="shared" si="74"/>
        <v>103260</v>
      </c>
      <c r="F358" s="76">
        <f t="shared" si="70"/>
        <v>1250</v>
      </c>
      <c r="G358" s="76">
        <f>SUMIF(F$6:F358,"&gt;0")</f>
        <v>174890</v>
      </c>
      <c r="H358" s="76">
        <f t="shared" si="71"/>
        <v>20</v>
      </c>
      <c r="I358" s="76">
        <f t="shared" si="62"/>
        <v>1270</v>
      </c>
      <c r="J358" s="81">
        <f t="shared" si="75"/>
        <v>24.19047619047619</v>
      </c>
      <c r="K358" s="76">
        <f t="shared" si="72"/>
        <v>14255</v>
      </c>
    </row>
    <row r="359" spans="1:13" x14ac:dyDescent="0.25">
      <c r="A359" s="77">
        <v>44239.012499999997</v>
      </c>
      <c r="B359" s="21" t="s">
        <v>398</v>
      </c>
      <c r="C359" s="74">
        <v>1415</v>
      </c>
      <c r="D359" s="74">
        <v>85015</v>
      </c>
      <c r="E359" s="74">
        <f t="shared" si="74"/>
        <v>86430</v>
      </c>
      <c r="F359" s="76">
        <f t="shared" si="70"/>
        <v>0</v>
      </c>
      <c r="G359" s="76">
        <f>SUMIF(F$6:F359,"&gt;0")</f>
        <v>174890</v>
      </c>
      <c r="H359" s="76">
        <f t="shared" si="71"/>
        <v>-16830</v>
      </c>
      <c r="I359" s="76">
        <f t="shared" si="62"/>
        <v>-16830</v>
      </c>
      <c r="J359" s="81">
        <f t="shared" si="75"/>
        <v>-320.57142857142856</v>
      </c>
      <c r="K359" s="76">
        <f t="shared" si="72"/>
        <v>14205</v>
      </c>
    </row>
    <row r="360" spans="1:13" x14ac:dyDescent="0.25">
      <c r="A360" s="77">
        <v>44239.591666666667</v>
      </c>
      <c r="B360" s="105" t="s">
        <v>186</v>
      </c>
      <c r="C360" s="74">
        <v>2520</v>
      </c>
      <c r="D360" s="74">
        <v>84565</v>
      </c>
      <c r="E360" s="74">
        <f t="shared" si="74"/>
        <v>87085</v>
      </c>
      <c r="F360" s="76">
        <f t="shared" si="70"/>
        <v>1105</v>
      </c>
      <c r="G360" s="76">
        <f>SUMIF(F$6:F360,"&gt;0")</f>
        <v>175995</v>
      </c>
      <c r="H360" s="76">
        <f t="shared" si="71"/>
        <v>-450</v>
      </c>
      <c r="I360" s="76">
        <f t="shared" si="62"/>
        <v>655</v>
      </c>
      <c r="J360" s="81">
        <f t="shared" si="75"/>
        <v>12.476190476190476</v>
      </c>
      <c r="K360" s="76">
        <f t="shared" si="72"/>
        <v>14645</v>
      </c>
    </row>
    <row r="361" spans="1:13" x14ac:dyDescent="0.25">
      <c r="A361" s="77">
        <v>44240.034722222219</v>
      </c>
      <c r="C361" s="74">
        <v>2945</v>
      </c>
      <c r="D361" s="74">
        <v>84615</v>
      </c>
      <c r="E361" s="74">
        <f t="shared" si="74"/>
        <v>87560</v>
      </c>
      <c r="F361" s="76">
        <f t="shared" si="70"/>
        <v>425</v>
      </c>
      <c r="G361" s="76">
        <f>SUMIF(F$6:F361,"&gt;0")</f>
        <v>176420</v>
      </c>
      <c r="H361" s="76">
        <f t="shared" si="71"/>
        <v>50</v>
      </c>
      <c r="I361" s="76">
        <f t="shared" si="62"/>
        <v>475</v>
      </c>
      <c r="J361" s="81">
        <f t="shared" si="75"/>
        <v>9.0476190476190474</v>
      </c>
      <c r="K361" s="76">
        <f t="shared" si="72"/>
        <v>15070</v>
      </c>
    </row>
    <row r="362" spans="1:13" x14ac:dyDescent="0.25">
      <c r="A362" s="77">
        <v>44241.740277777775</v>
      </c>
      <c r="C362" s="74">
        <v>3345</v>
      </c>
      <c r="D362" s="74">
        <v>84635</v>
      </c>
      <c r="E362" s="74">
        <f t="shared" si="74"/>
        <v>87980</v>
      </c>
      <c r="F362" s="76">
        <f t="shared" ref="F362:F390" si="76">C362-C361</f>
        <v>400</v>
      </c>
      <c r="G362" s="76">
        <f>SUMIF(F$6:F362,"&gt;0")</f>
        <v>176820</v>
      </c>
      <c r="H362" s="76">
        <f t="shared" ref="H362:H390" si="77">D362-D361</f>
        <v>20</v>
      </c>
      <c r="I362" s="76">
        <f t="shared" si="62"/>
        <v>420</v>
      </c>
      <c r="J362" s="81">
        <f t="shared" si="75"/>
        <v>8</v>
      </c>
      <c r="K362" s="76">
        <f t="shared" si="72"/>
        <v>14660</v>
      </c>
    </row>
    <row r="363" spans="1:13" x14ac:dyDescent="0.25">
      <c r="A363" s="77">
        <v>44243.201388888891</v>
      </c>
      <c r="B363" s="105" t="s">
        <v>401</v>
      </c>
      <c r="C363" s="74">
        <v>4430</v>
      </c>
      <c r="D363" s="74">
        <v>84655</v>
      </c>
      <c r="E363" s="74">
        <f t="shared" si="74"/>
        <v>89085</v>
      </c>
      <c r="F363" s="76">
        <f t="shared" si="76"/>
        <v>1085</v>
      </c>
      <c r="G363" s="76">
        <f>SUMIF(F$6:F363,"&gt;0")</f>
        <v>177905</v>
      </c>
      <c r="H363" s="76">
        <f t="shared" si="77"/>
        <v>20</v>
      </c>
      <c r="I363" s="76">
        <f t="shared" si="62"/>
        <v>1105</v>
      </c>
      <c r="J363" s="81">
        <f t="shared" si="75"/>
        <v>21.047619047619047</v>
      </c>
      <c r="K363" s="76">
        <f t="shared" si="72"/>
        <v>15075</v>
      </c>
      <c r="L363" s="74">
        <v>480</v>
      </c>
      <c r="M363" s="74">
        <v>10</v>
      </c>
    </row>
    <row r="364" spans="1:13" x14ac:dyDescent="0.25">
      <c r="A364" s="77">
        <v>44244.09375</v>
      </c>
      <c r="C364" s="74">
        <v>4540</v>
      </c>
      <c r="D364" s="74">
        <v>84675</v>
      </c>
      <c r="E364" s="74">
        <f t="shared" si="74"/>
        <v>89215</v>
      </c>
      <c r="F364" s="76">
        <f t="shared" si="76"/>
        <v>110</v>
      </c>
      <c r="G364" s="76">
        <f>SUMIF(F$6:F364,"&gt;0")</f>
        <v>178015</v>
      </c>
      <c r="H364" s="76">
        <f t="shared" si="77"/>
        <v>20</v>
      </c>
      <c r="I364" s="76">
        <f t="shared" si="62"/>
        <v>130</v>
      </c>
      <c r="J364" s="81">
        <f t="shared" si="75"/>
        <v>2.4761904761904763</v>
      </c>
      <c r="K364" s="76">
        <f t="shared" si="72"/>
        <v>15125</v>
      </c>
    </row>
    <row r="365" spans="1:13" x14ac:dyDescent="0.25">
      <c r="A365" s="77">
        <v>44245.219444444447</v>
      </c>
      <c r="B365" s="105" t="s">
        <v>402</v>
      </c>
      <c r="C365" s="74">
        <v>4825</v>
      </c>
      <c r="D365" s="74">
        <v>84725</v>
      </c>
      <c r="E365" s="74">
        <f t="shared" si="74"/>
        <v>89550</v>
      </c>
      <c r="F365" s="76">
        <f t="shared" si="76"/>
        <v>285</v>
      </c>
      <c r="G365" s="76">
        <f>SUMIF(F$6:F365,"&gt;0")</f>
        <v>178300</v>
      </c>
      <c r="H365" s="76">
        <f t="shared" si="77"/>
        <v>50</v>
      </c>
      <c r="I365" s="76">
        <f t="shared" si="62"/>
        <v>335</v>
      </c>
      <c r="J365" s="81">
        <f t="shared" si="75"/>
        <v>6.3809523809523805</v>
      </c>
      <c r="K365" s="76">
        <f t="shared" si="72"/>
        <v>15260</v>
      </c>
    </row>
    <row r="366" spans="1:13" x14ac:dyDescent="0.25">
      <c r="A366" s="77">
        <v>44246.790972222225</v>
      </c>
      <c r="C366" s="74">
        <v>5025</v>
      </c>
      <c r="D366" s="74">
        <v>84745</v>
      </c>
      <c r="E366" s="74">
        <f t="shared" si="74"/>
        <v>89770</v>
      </c>
      <c r="F366" s="76">
        <f t="shared" si="76"/>
        <v>200</v>
      </c>
      <c r="G366" s="76">
        <f>SUMIF(F$6:F366,"&gt;0")</f>
        <v>178500</v>
      </c>
      <c r="H366" s="76">
        <f t="shared" si="77"/>
        <v>20</v>
      </c>
      <c r="I366" s="76">
        <f t="shared" si="62"/>
        <v>220</v>
      </c>
      <c r="J366" s="81">
        <f t="shared" si="75"/>
        <v>4.1904761904761907</v>
      </c>
      <c r="K366" s="76">
        <f t="shared" si="72"/>
        <v>14030</v>
      </c>
    </row>
    <row r="367" spans="1:13" x14ac:dyDescent="0.25">
      <c r="A367" s="77">
        <v>44247</v>
      </c>
      <c r="B367" s="105" t="s">
        <v>186</v>
      </c>
      <c r="C367" s="74">
        <v>5150</v>
      </c>
      <c r="D367" s="74">
        <v>84265</v>
      </c>
      <c r="E367" s="74">
        <f t="shared" si="74"/>
        <v>89415</v>
      </c>
      <c r="F367" s="76">
        <f t="shared" si="76"/>
        <v>125</v>
      </c>
      <c r="G367" s="76">
        <f>SUMIF(F$6:F367,"&gt;0")</f>
        <v>178625</v>
      </c>
      <c r="H367" s="76">
        <f t="shared" si="77"/>
        <v>-480</v>
      </c>
      <c r="I367" s="76">
        <f t="shared" si="62"/>
        <v>-355</v>
      </c>
      <c r="J367" s="81">
        <f t="shared" si="75"/>
        <v>-6.7619047619047628</v>
      </c>
      <c r="K367" s="76">
        <f t="shared" si="72"/>
        <v>14155</v>
      </c>
    </row>
    <row r="368" spans="1:13" x14ac:dyDescent="0.25">
      <c r="A368" s="77">
        <v>44248.703472222223</v>
      </c>
      <c r="C368" s="74">
        <v>5250</v>
      </c>
      <c r="D368" s="74">
        <v>84810</v>
      </c>
      <c r="E368" s="74">
        <f t="shared" si="74"/>
        <v>90060</v>
      </c>
      <c r="F368" s="76">
        <f t="shared" si="76"/>
        <v>100</v>
      </c>
      <c r="G368" s="76">
        <f>SUMIF(F$6:F368,"&gt;0")</f>
        <v>178725</v>
      </c>
      <c r="H368" s="76">
        <f t="shared" si="77"/>
        <v>545</v>
      </c>
      <c r="I368" s="76">
        <f t="shared" si="62"/>
        <v>645</v>
      </c>
      <c r="J368" s="81">
        <f t="shared" si="75"/>
        <v>12.285714285714286</v>
      </c>
      <c r="K368" s="76">
        <f t="shared" ref="K368:K390" si="78">IFERROR(G368 - _xlfn.XLOOKUP(A368-30, $A$6:$A$14998,G$6:G$14998,"",-1,2),NA())</f>
        <v>13480</v>
      </c>
      <c r="L368" s="74">
        <v>525</v>
      </c>
      <c r="M368" s="74">
        <v>7</v>
      </c>
    </row>
    <row r="369" spans="1:13" x14ac:dyDescent="0.25">
      <c r="A369" s="77">
        <v>44249.054166666669</v>
      </c>
      <c r="B369" s="105" t="s">
        <v>403</v>
      </c>
      <c r="C369" s="74">
        <v>5600</v>
      </c>
      <c r="D369" s="74">
        <v>85360</v>
      </c>
      <c r="E369" s="74">
        <f t="shared" si="74"/>
        <v>90960</v>
      </c>
      <c r="F369" s="76">
        <f t="shared" si="76"/>
        <v>350</v>
      </c>
      <c r="G369" s="76">
        <f>SUMIF(F$6:F369,"&gt;0")</f>
        <v>179075</v>
      </c>
      <c r="H369" s="76">
        <f t="shared" si="77"/>
        <v>550</v>
      </c>
      <c r="I369" s="76">
        <f t="shared" si="62"/>
        <v>900</v>
      </c>
      <c r="J369" s="81">
        <f t="shared" si="75"/>
        <v>17.142857142857142</v>
      </c>
      <c r="K369" s="76">
        <f t="shared" si="78"/>
        <v>13830</v>
      </c>
      <c r="L369" s="74">
        <v>480</v>
      </c>
      <c r="M369" s="74">
        <v>10</v>
      </c>
    </row>
    <row r="370" spans="1:13" x14ac:dyDescent="0.25">
      <c r="A370" s="77">
        <v>44250.185416666667</v>
      </c>
      <c r="C370" s="74">
        <v>5750</v>
      </c>
      <c r="D370" s="74">
        <v>85380</v>
      </c>
      <c r="E370" s="74">
        <f>SUM(C370:D370)</f>
        <v>91130</v>
      </c>
      <c r="F370" s="76">
        <f t="shared" si="76"/>
        <v>150</v>
      </c>
      <c r="G370" s="76">
        <f>SUMIF(F$6:F370,"&gt;0")</f>
        <v>179225</v>
      </c>
      <c r="H370" s="76">
        <f t="shared" si="77"/>
        <v>20</v>
      </c>
      <c r="I370" s="76">
        <f t="shared" si="62"/>
        <v>170</v>
      </c>
      <c r="J370" s="81">
        <f t="shared" si="75"/>
        <v>3.2380952380952381</v>
      </c>
      <c r="K370" s="76">
        <f t="shared" si="78"/>
        <v>13880</v>
      </c>
    </row>
    <row r="371" spans="1:13" x14ac:dyDescent="0.25">
      <c r="A371" s="77">
        <v>44251.03125</v>
      </c>
      <c r="C371" s="74">
        <v>6100</v>
      </c>
      <c r="D371" s="74">
        <v>85925</v>
      </c>
      <c r="E371" s="74">
        <f>SUM(C371:D371)</f>
        <v>92025</v>
      </c>
      <c r="F371" s="76">
        <f t="shared" si="76"/>
        <v>350</v>
      </c>
      <c r="G371" s="76">
        <f>SUMIF(F$6:F371,"&gt;0")</f>
        <v>179575</v>
      </c>
      <c r="H371" s="76">
        <f t="shared" si="77"/>
        <v>545</v>
      </c>
      <c r="I371" s="76">
        <f t="shared" si="62"/>
        <v>895</v>
      </c>
      <c r="J371" s="81">
        <f t="shared" si="75"/>
        <v>17.047619047619047</v>
      </c>
      <c r="K371" s="76">
        <f t="shared" si="78"/>
        <v>14130</v>
      </c>
      <c r="L371" s="74">
        <v>525</v>
      </c>
      <c r="M371" s="74">
        <v>7</v>
      </c>
    </row>
    <row r="372" spans="1:13" x14ac:dyDescent="0.25">
      <c r="A372" s="77">
        <v>44252.364583333336</v>
      </c>
      <c r="C372" s="74">
        <v>6450</v>
      </c>
      <c r="D372" s="74">
        <v>85945</v>
      </c>
      <c r="E372" s="74">
        <f>SUM(C372:D372)</f>
        <v>92395</v>
      </c>
      <c r="F372" s="76">
        <f t="shared" si="76"/>
        <v>350</v>
      </c>
      <c r="G372" s="76">
        <f>SUMIF(F$6:F372,"&gt;0")</f>
        <v>179925</v>
      </c>
      <c r="H372" s="76">
        <f t="shared" si="77"/>
        <v>20</v>
      </c>
      <c r="I372" s="76">
        <f t="shared" si="62"/>
        <v>370</v>
      </c>
      <c r="J372" s="81">
        <f t="shared" si="75"/>
        <v>7.0476190476190483</v>
      </c>
      <c r="K372" s="76">
        <f t="shared" si="78"/>
        <v>13960</v>
      </c>
    </row>
    <row r="373" spans="1:13" x14ac:dyDescent="0.25">
      <c r="A373" s="77">
        <v>44253.297222222223</v>
      </c>
      <c r="B373" s="105" t="s">
        <v>405</v>
      </c>
      <c r="C373" s="74">
        <v>7100</v>
      </c>
      <c r="D373" s="74">
        <v>69165</v>
      </c>
      <c r="E373" s="74">
        <f>SUM(C373:D373)</f>
        <v>76265</v>
      </c>
      <c r="F373" s="76">
        <f t="shared" si="76"/>
        <v>650</v>
      </c>
      <c r="G373" s="76">
        <f>SUMIF(F$6:F373,"&gt;0")</f>
        <v>180575</v>
      </c>
      <c r="H373" s="76">
        <f t="shared" si="77"/>
        <v>-16780</v>
      </c>
      <c r="I373" s="76">
        <f t="shared" si="62"/>
        <v>-16130</v>
      </c>
      <c r="J373" s="81">
        <f t="shared" si="75"/>
        <v>-307.23809523809524</v>
      </c>
      <c r="K373" s="76">
        <f t="shared" si="78"/>
        <v>14160</v>
      </c>
    </row>
    <row r="374" spans="1:13" x14ac:dyDescent="0.25">
      <c r="A374" s="77">
        <v>44254.041666666664</v>
      </c>
      <c r="C374" s="74">
        <v>7400</v>
      </c>
      <c r="D374" s="74">
        <v>68665</v>
      </c>
      <c r="E374" s="74">
        <f>SUM(C374:D374)</f>
        <v>76065</v>
      </c>
      <c r="F374" s="76">
        <f t="shared" si="76"/>
        <v>300</v>
      </c>
      <c r="G374" s="76">
        <f>SUMIF(F$6:F374,"&gt;0")</f>
        <v>180875</v>
      </c>
      <c r="H374" s="76">
        <f t="shared" si="77"/>
        <v>-500</v>
      </c>
      <c r="I374" s="76">
        <f t="shared" si="62"/>
        <v>-200</v>
      </c>
      <c r="J374" s="81">
        <f t="shared" si="75"/>
        <v>-3.8095238095238093</v>
      </c>
      <c r="K374" s="76">
        <f t="shared" si="78"/>
        <v>13360</v>
      </c>
    </row>
    <row r="375" spans="1:13" x14ac:dyDescent="0.25">
      <c r="A375" s="77">
        <v>44254.092361111114</v>
      </c>
      <c r="C375" s="74">
        <v>7400</v>
      </c>
      <c r="D375" s="74">
        <v>68685</v>
      </c>
      <c r="E375" s="74">
        <f t="shared" ref="E375:E381" si="79">SUM(C375:D375)</f>
        <v>76085</v>
      </c>
      <c r="F375" s="76">
        <f t="shared" si="76"/>
        <v>0</v>
      </c>
      <c r="G375" s="76">
        <f>SUMIF(F$6:F375,"&gt;0")</f>
        <v>180875</v>
      </c>
      <c r="H375" s="76">
        <f t="shared" si="77"/>
        <v>20</v>
      </c>
      <c r="I375" s="76">
        <f t="shared" si="62"/>
        <v>20</v>
      </c>
      <c r="J375" s="81">
        <f t="shared" si="75"/>
        <v>0.38095238095238099</v>
      </c>
      <c r="K375" s="76">
        <f t="shared" si="78"/>
        <v>13360</v>
      </c>
    </row>
    <row r="376" spans="1:13" x14ac:dyDescent="0.25">
      <c r="A376" s="77">
        <v>44255.447916666664</v>
      </c>
      <c r="B376" s="105" t="s">
        <v>403</v>
      </c>
      <c r="C376" s="74">
        <v>7600</v>
      </c>
      <c r="D376" s="74">
        <v>69165</v>
      </c>
      <c r="E376" s="74">
        <f t="shared" si="79"/>
        <v>76765</v>
      </c>
      <c r="F376" s="76">
        <f t="shared" si="76"/>
        <v>200</v>
      </c>
      <c r="G376" s="76">
        <f>SUMIF(F$6:F376,"&gt;0")</f>
        <v>181075</v>
      </c>
      <c r="H376" s="76">
        <f t="shared" si="77"/>
        <v>480</v>
      </c>
      <c r="I376" s="76">
        <f t="shared" si="62"/>
        <v>680</v>
      </c>
      <c r="J376" s="81">
        <f t="shared" si="75"/>
        <v>12.952380952380953</v>
      </c>
      <c r="K376" s="76">
        <f t="shared" si="78"/>
        <v>12845</v>
      </c>
    </row>
    <row r="377" spans="1:13" x14ac:dyDescent="0.25">
      <c r="A377" s="77">
        <v>44256.033333333333</v>
      </c>
      <c r="C377" s="74">
        <v>7650</v>
      </c>
      <c r="D377" s="74">
        <v>69185</v>
      </c>
      <c r="E377" s="74">
        <f t="shared" si="79"/>
        <v>76835</v>
      </c>
      <c r="F377" s="76">
        <f t="shared" si="76"/>
        <v>50</v>
      </c>
      <c r="G377" s="76">
        <f>SUMIF(F$6:F377,"&gt;0")</f>
        <v>181125</v>
      </c>
      <c r="H377" s="76">
        <f t="shared" si="77"/>
        <v>20</v>
      </c>
      <c r="I377" s="76">
        <f t="shared" ref="I377:I390" si="80">SUM(F377,H377)</f>
        <v>70</v>
      </c>
      <c r="J377" s="81">
        <f t="shared" si="75"/>
        <v>1.3333333333333333</v>
      </c>
      <c r="K377" s="76">
        <f t="shared" si="78"/>
        <v>12670</v>
      </c>
    </row>
    <row r="378" spans="1:13" x14ac:dyDescent="0.25">
      <c r="A378" s="77">
        <v>44257.306944444441</v>
      </c>
      <c r="C378" s="74">
        <v>7815</v>
      </c>
      <c r="D378" s="74">
        <v>69205</v>
      </c>
      <c r="E378" s="74">
        <f t="shared" si="79"/>
        <v>77020</v>
      </c>
      <c r="F378" s="76">
        <f t="shared" si="76"/>
        <v>165</v>
      </c>
      <c r="G378" s="76">
        <f>SUMIF(F$6:F378,"&gt;0")</f>
        <v>181290</v>
      </c>
      <c r="H378" s="76">
        <f t="shared" si="77"/>
        <v>20</v>
      </c>
      <c r="I378" s="76">
        <f t="shared" si="80"/>
        <v>185</v>
      </c>
      <c r="J378" s="81">
        <f t="shared" si="75"/>
        <v>3.5238095238095242</v>
      </c>
      <c r="K378" s="76">
        <f t="shared" si="78"/>
        <v>12735</v>
      </c>
    </row>
    <row r="379" spans="1:13" x14ac:dyDescent="0.25">
      <c r="A379" s="77">
        <v>44257.997916666667</v>
      </c>
      <c r="C379" s="74">
        <v>7815</v>
      </c>
      <c r="D379" s="74">
        <v>69205</v>
      </c>
      <c r="E379" s="74">
        <f t="shared" si="79"/>
        <v>77020</v>
      </c>
      <c r="F379" s="76">
        <f t="shared" si="76"/>
        <v>0</v>
      </c>
      <c r="G379" s="76">
        <f>SUMIF(F$6:F379,"&gt;0")</f>
        <v>181290</v>
      </c>
      <c r="H379" s="76">
        <f t="shared" si="77"/>
        <v>0</v>
      </c>
      <c r="I379" s="76">
        <f t="shared" si="80"/>
        <v>0</v>
      </c>
      <c r="J379" s="81">
        <f t="shared" si="75"/>
        <v>0</v>
      </c>
      <c r="K379" s="76">
        <f t="shared" si="78"/>
        <v>12110</v>
      </c>
    </row>
    <row r="380" spans="1:13" x14ac:dyDescent="0.25">
      <c r="A380" s="77">
        <v>44258.081944444442</v>
      </c>
      <c r="B380" s="105" t="s">
        <v>407</v>
      </c>
      <c r="C380" s="74">
        <v>6615</v>
      </c>
      <c r="D380" s="74">
        <v>53575</v>
      </c>
      <c r="E380" s="74">
        <f t="shared" si="79"/>
        <v>60190</v>
      </c>
      <c r="F380" s="76">
        <f t="shared" si="76"/>
        <v>-1200</v>
      </c>
      <c r="G380" s="76">
        <f>SUMIF(F$6:F380,"&gt;0")</f>
        <v>181290</v>
      </c>
      <c r="H380" s="76">
        <f t="shared" si="77"/>
        <v>-15630</v>
      </c>
      <c r="I380" s="76">
        <f t="shared" si="80"/>
        <v>-16830</v>
      </c>
      <c r="J380" s="81">
        <f t="shared" si="75"/>
        <v>-320.57142857142856</v>
      </c>
      <c r="K380" s="76">
        <f t="shared" si="78"/>
        <v>12110</v>
      </c>
    </row>
    <row r="381" spans="1:13" x14ac:dyDescent="0.25">
      <c r="A381" s="77">
        <v>44258.311805555553</v>
      </c>
      <c r="C381" s="74">
        <v>6815</v>
      </c>
      <c r="D381" s="74">
        <v>53625</v>
      </c>
      <c r="E381" s="74">
        <f t="shared" si="79"/>
        <v>60440</v>
      </c>
      <c r="F381" s="76">
        <f t="shared" si="76"/>
        <v>200</v>
      </c>
      <c r="G381" s="76">
        <f>SUMIF(F$6:F381,"&gt;0")</f>
        <v>181490</v>
      </c>
      <c r="H381" s="76">
        <f t="shared" si="77"/>
        <v>50</v>
      </c>
      <c r="I381" s="76">
        <f t="shared" si="80"/>
        <v>250</v>
      </c>
      <c r="J381" s="81">
        <f t="shared" si="75"/>
        <v>4.7619047619047619</v>
      </c>
      <c r="K381" s="76">
        <f t="shared" si="78"/>
        <v>12310</v>
      </c>
    </row>
    <row r="382" spans="1:13" x14ac:dyDescent="0.25">
      <c r="A382" s="77">
        <v>44259.277777777781</v>
      </c>
      <c r="C382" s="74">
        <v>6890</v>
      </c>
      <c r="D382" s="74">
        <v>53645</v>
      </c>
      <c r="E382" s="74">
        <f t="shared" ref="E382:E409" si="81">SUM(C382:D382)</f>
        <v>60535</v>
      </c>
      <c r="F382" s="76">
        <f t="shared" si="76"/>
        <v>75</v>
      </c>
      <c r="G382" s="76">
        <f>SUMIF(F$6:F382,"&gt;0")</f>
        <v>181565</v>
      </c>
      <c r="H382" s="76">
        <f t="shared" si="77"/>
        <v>20</v>
      </c>
      <c r="I382" s="76">
        <f t="shared" si="80"/>
        <v>95</v>
      </c>
      <c r="J382" s="81">
        <f t="shared" si="75"/>
        <v>1.8095238095238095</v>
      </c>
      <c r="K382" s="76">
        <f t="shared" si="78"/>
        <v>10700</v>
      </c>
    </row>
    <row r="383" spans="1:13" x14ac:dyDescent="0.25">
      <c r="A383" s="77">
        <v>44260.643055555556</v>
      </c>
      <c r="C383" s="74">
        <v>6940</v>
      </c>
      <c r="D383" s="74">
        <v>53665</v>
      </c>
      <c r="E383" s="74">
        <f t="shared" si="81"/>
        <v>60605</v>
      </c>
      <c r="F383" s="76">
        <f t="shared" si="76"/>
        <v>50</v>
      </c>
      <c r="G383" s="76">
        <f>SUMIF(F$6:F383,"&gt;0")</f>
        <v>181615</v>
      </c>
      <c r="H383" s="76">
        <f t="shared" si="77"/>
        <v>20</v>
      </c>
      <c r="I383" s="76">
        <f t="shared" si="80"/>
        <v>70</v>
      </c>
      <c r="J383" s="81">
        <f t="shared" ref="J383:J390" si="82">I383/4200*80</f>
        <v>1.3333333333333333</v>
      </c>
      <c r="K383" s="76">
        <f t="shared" si="78"/>
        <v>10700</v>
      </c>
    </row>
    <row r="384" spans="1:13" x14ac:dyDescent="0.25">
      <c r="A384" s="77">
        <v>44261.158333333333</v>
      </c>
      <c r="B384" s="105" t="s">
        <v>401</v>
      </c>
      <c r="C384" s="74">
        <v>7290</v>
      </c>
      <c r="D384" s="74">
        <v>53715</v>
      </c>
      <c r="E384" s="74">
        <f t="shared" si="81"/>
        <v>61005</v>
      </c>
      <c r="F384" s="76">
        <f t="shared" si="76"/>
        <v>350</v>
      </c>
      <c r="G384" s="76">
        <f>SUMIF(F$6:F384,"&gt;0")</f>
        <v>181965</v>
      </c>
      <c r="H384" s="76">
        <f t="shared" si="77"/>
        <v>50</v>
      </c>
      <c r="I384" s="76">
        <f t="shared" si="80"/>
        <v>400</v>
      </c>
      <c r="J384" s="81">
        <f t="shared" si="82"/>
        <v>7.6190476190476186</v>
      </c>
      <c r="K384" s="76">
        <f t="shared" si="78"/>
        <v>10525</v>
      </c>
      <c r="L384" s="74">
        <v>480</v>
      </c>
      <c r="M384" s="74">
        <v>10</v>
      </c>
    </row>
    <row r="385" spans="1:13" x14ac:dyDescent="0.25">
      <c r="A385" s="77">
        <v>44262.569444444445</v>
      </c>
      <c r="C385" s="74">
        <v>7640</v>
      </c>
      <c r="D385" s="74">
        <v>53735</v>
      </c>
      <c r="E385" s="74">
        <f t="shared" si="81"/>
        <v>61375</v>
      </c>
      <c r="F385" s="76">
        <f t="shared" si="76"/>
        <v>350</v>
      </c>
      <c r="G385" s="76">
        <f>SUMIF(F$6:F385,"&gt;0")</f>
        <v>182315</v>
      </c>
      <c r="H385" s="76">
        <f t="shared" si="77"/>
        <v>20</v>
      </c>
      <c r="I385" s="76">
        <f t="shared" si="80"/>
        <v>370</v>
      </c>
      <c r="J385" s="81">
        <f t="shared" si="82"/>
        <v>7.0476190476190483</v>
      </c>
      <c r="K385" s="76">
        <f t="shared" si="78"/>
        <v>10515</v>
      </c>
    </row>
    <row r="386" spans="1:13" x14ac:dyDescent="0.25">
      <c r="A386" s="77">
        <v>44263.268750000003</v>
      </c>
      <c r="C386" s="74">
        <v>7690</v>
      </c>
      <c r="D386" s="74">
        <v>53755</v>
      </c>
      <c r="E386" s="74">
        <f t="shared" si="81"/>
        <v>61445</v>
      </c>
      <c r="F386" s="76">
        <f t="shared" si="76"/>
        <v>50</v>
      </c>
      <c r="G386" s="76">
        <f>SUMIF(F$6:F386,"&gt;0")</f>
        <v>182365</v>
      </c>
      <c r="H386" s="76">
        <f t="shared" si="77"/>
        <v>20</v>
      </c>
      <c r="I386" s="76">
        <f t="shared" si="80"/>
        <v>70</v>
      </c>
      <c r="J386" s="81">
        <f t="shared" si="82"/>
        <v>1.3333333333333333</v>
      </c>
      <c r="K386" s="76">
        <f t="shared" si="78"/>
        <v>8990</v>
      </c>
    </row>
    <row r="387" spans="1:13" x14ac:dyDescent="0.25">
      <c r="A387" s="77">
        <v>44264.314583333333</v>
      </c>
      <c r="C387" s="74">
        <v>7855</v>
      </c>
      <c r="D387" s="74">
        <v>53775</v>
      </c>
      <c r="E387" s="74">
        <f t="shared" si="81"/>
        <v>61630</v>
      </c>
      <c r="F387" s="76">
        <f t="shared" si="76"/>
        <v>165</v>
      </c>
      <c r="G387" s="76">
        <f>SUMIF(F$6:F387,"&gt;0")</f>
        <v>182530</v>
      </c>
      <c r="H387" s="76">
        <f t="shared" si="77"/>
        <v>20</v>
      </c>
      <c r="I387" s="76">
        <f t="shared" si="80"/>
        <v>185</v>
      </c>
      <c r="J387" s="81">
        <f t="shared" si="82"/>
        <v>3.5238095238095242</v>
      </c>
      <c r="K387" s="76">
        <f t="shared" si="78"/>
        <v>9040</v>
      </c>
    </row>
    <row r="388" spans="1:13" x14ac:dyDescent="0.25">
      <c r="A388" s="77">
        <v>44266.184027777781</v>
      </c>
      <c r="C388" s="74">
        <v>8850</v>
      </c>
      <c r="D388" s="74">
        <v>53815</v>
      </c>
      <c r="E388" s="74">
        <f t="shared" si="81"/>
        <v>62665</v>
      </c>
      <c r="F388" s="76">
        <f t="shared" si="76"/>
        <v>995</v>
      </c>
      <c r="G388" s="76">
        <f>SUMIF(F$6:F388,"&gt;0")</f>
        <v>183525</v>
      </c>
      <c r="H388" s="76">
        <f t="shared" si="77"/>
        <v>40</v>
      </c>
      <c r="I388" s="76">
        <f t="shared" si="80"/>
        <v>1035</v>
      </c>
      <c r="J388" s="81">
        <f t="shared" si="82"/>
        <v>19.714285714285715</v>
      </c>
      <c r="K388" s="76">
        <f t="shared" si="78"/>
        <v>9985</v>
      </c>
    </row>
    <row r="389" spans="1:13" x14ac:dyDescent="0.25">
      <c r="A389" s="77">
        <v>44267.856249999997</v>
      </c>
      <c r="B389" s="105" t="s">
        <v>437</v>
      </c>
      <c r="C389" s="74">
        <v>9435</v>
      </c>
      <c r="D389" s="74">
        <v>41190</v>
      </c>
      <c r="E389" s="74">
        <f t="shared" si="81"/>
        <v>50625</v>
      </c>
      <c r="F389" s="76">
        <f t="shared" si="76"/>
        <v>585</v>
      </c>
      <c r="G389" s="76">
        <f>SUMIF(F$6:F389,"&gt;0")</f>
        <v>184110</v>
      </c>
      <c r="H389" s="76">
        <f t="shared" si="77"/>
        <v>-12625</v>
      </c>
      <c r="I389" s="76">
        <f t="shared" si="80"/>
        <v>-12040</v>
      </c>
      <c r="J389" s="81">
        <f t="shared" si="82"/>
        <v>-229.33333333333334</v>
      </c>
      <c r="K389" s="76">
        <f t="shared" si="78"/>
        <v>10470</v>
      </c>
    </row>
    <row r="390" spans="1:13" x14ac:dyDescent="0.25">
      <c r="A390" s="77">
        <v>44267.859027777777</v>
      </c>
      <c r="B390" s="105" t="s">
        <v>397</v>
      </c>
      <c r="C390" s="74">
        <v>9435</v>
      </c>
      <c r="D390" s="74">
        <v>57190</v>
      </c>
      <c r="E390" s="74">
        <f t="shared" si="81"/>
        <v>66625</v>
      </c>
      <c r="F390" s="76">
        <f t="shared" si="76"/>
        <v>0</v>
      </c>
      <c r="G390" s="76">
        <f>SUMIF(F$6:F390,"&gt;0")</f>
        <v>184110</v>
      </c>
      <c r="H390" s="76">
        <f t="shared" si="77"/>
        <v>16000</v>
      </c>
      <c r="I390" s="76">
        <f t="shared" si="80"/>
        <v>16000</v>
      </c>
      <c r="J390" s="81">
        <f t="shared" si="82"/>
        <v>304.76190476190476</v>
      </c>
      <c r="K390" s="76">
        <f t="shared" si="78"/>
        <v>10470</v>
      </c>
      <c r="L390" s="74">
        <v>16000</v>
      </c>
      <c r="M390" s="74">
        <v>320</v>
      </c>
    </row>
    <row r="391" spans="1:13" x14ac:dyDescent="0.25">
      <c r="A391" s="77">
        <v>44269.583333333336</v>
      </c>
      <c r="B391" s="105" t="s">
        <v>449</v>
      </c>
      <c r="C391" s="74">
        <v>9375</v>
      </c>
      <c r="D391" s="74">
        <v>57230</v>
      </c>
      <c r="E391" s="74">
        <f t="shared" si="81"/>
        <v>66605</v>
      </c>
      <c r="F391" s="76">
        <f t="shared" ref="F391:F392" si="83">C391-C390</f>
        <v>-60</v>
      </c>
      <c r="G391" s="76">
        <f>SUMIF(F$6:F391,"&gt;0")</f>
        <v>184110</v>
      </c>
      <c r="H391" s="76">
        <f t="shared" ref="H391:H392" si="84">D391-D390</f>
        <v>40</v>
      </c>
      <c r="I391" s="76">
        <f t="shared" ref="I391:I392" si="85">SUM(F391,H391)</f>
        <v>-20</v>
      </c>
      <c r="J391" s="81">
        <f t="shared" ref="J391:J392" si="86">I391/4200*80</f>
        <v>-0.38095238095238099</v>
      </c>
      <c r="K391" s="76">
        <f t="shared" ref="K391:K392" si="87">IFERROR(G391 - _xlfn.XLOOKUP(A391-30, $A$6:$A$14998,G$6:G$14998,"",-1,2),NA())</f>
        <v>9220</v>
      </c>
    </row>
    <row r="392" spans="1:13" x14ac:dyDescent="0.25">
      <c r="A392" s="77">
        <v>44269.606944444444</v>
      </c>
      <c r="C392" s="74">
        <v>9435</v>
      </c>
      <c r="D392" s="74">
        <v>57230</v>
      </c>
      <c r="E392" s="74">
        <f t="shared" si="81"/>
        <v>66665</v>
      </c>
      <c r="F392" s="76">
        <f t="shared" si="83"/>
        <v>60</v>
      </c>
      <c r="G392" s="76">
        <f>SUMIF(F$6:F392,"&gt;0")</f>
        <v>184170</v>
      </c>
      <c r="H392" s="76">
        <f t="shared" si="84"/>
        <v>0</v>
      </c>
      <c r="I392" s="76">
        <f t="shared" si="85"/>
        <v>60</v>
      </c>
      <c r="J392" s="81">
        <f t="shared" si="86"/>
        <v>1.1428571428571428</v>
      </c>
      <c r="K392" s="76">
        <f t="shared" si="87"/>
        <v>8175</v>
      </c>
    </row>
    <row r="393" spans="1:13" x14ac:dyDescent="0.25">
      <c r="A393" s="77">
        <v>44271.02847222222</v>
      </c>
      <c r="C393" s="74">
        <v>9495</v>
      </c>
      <c r="D393" s="74">
        <v>57250</v>
      </c>
      <c r="E393" s="74">
        <f t="shared" si="81"/>
        <v>66745</v>
      </c>
      <c r="F393" s="76">
        <f t="shared" ref="F393" si="88">C393-C392</f>
        <v>60</v>
      </c>
      <c r="G393" s="76">
        <f>SUMIF(F$6:F393,"&gt;0")</f>
        <v>184230</v>
      </c>
      <c r="H393" s="76">
        <f t="shared" ref="H393" si="89">D393-D392</f>
        <v>20</v>
      </c>
      <c r="I393" s="76">
        <f t="shared" ref="I393" si="90">SUM(F393,H393)</f>
        <v>80</v>
      </c>
      <c r="J393" s="81">
        <f t="shared" ref="J393" si="91">I393/4200*80</f>
        <v>1.5238095238095239</v>
      </c>
      <c r="K393" s="76">
        <f t="shared" ref="K393" si="92">IFERROR(G393 - _xlfn.XLOOKUP(A393-30, $A$6:$A$14998,G$6:G$14998,"",-1,2),NA())</f>
        <v>7810</v>
      </c>
    </row>
    <row r="394" spans="1:13" x14ac:dyDescent="0.25">
      <c r="A394" s="77">
        <v>44271.05972222222</v>
      </c>
      <c r="C394" s="74">
        <v>9855</v>
      </c>
      <c r="D394" s="74">
        <v>57270</v>
      </c>
      <c r="E394" s="74">
        <f t="shared" si="81"/>
        <v>67125</v>
      </c>
      <c r="F394" s="76">
        <f t="shared" ref="F394" si="93">C394-C393</f>
        <v>360</v>
      </c>
      <c r="G394" s="76">
        <f>SUMIF(F$6:F394,"&gt;0")</f>
        <v>184590</v>
      </c>
      <c r="H394" s="76">
        <f t="shared" ref="H394" si="94">D394-D393</f>
        <v>20</v>
      </c>
      <c r="I394" s="76">
        <f t="shared" ref="I394" si="95">SUM(F394,H394)</f>
        <v>380</v>
      </c>
      <c r="J394" s="81">
        <f t="shared" ref="J394" si="96">I394/4200*80</f>
        <v>7.2380952380952381</v>
      </c>
      <c r="K394" s="76">
        <f t="shared" ref="K394" si="97">IFERROR(G394 - _xlfn.XLOOKUP(A394-30, $A$6:$A$14998,G$6:G$14998,"",-1,2),NA())</f>
        <v>8170</v>
      </c>
    </row>
    <row r="395" spans="1:13" x14ac:dyDescent="0.25">
      <c r="A395" s="77">
        <v>44272.517361111109</v>
      </c>
      <c r="B395" s="105" t="s">
        <v>200</v>
      </c>
      <c r="C395" s="74">
        <v>10395</v>
      </c>
      <c r="D395" s="74">
        <v>56790</v>
      </c>
      <c r="E395" s="74">
        <f t="shared" si="81"/>
        <v>67185</v>
      </c>
      <c r="F395" s="76">
        <f t="shared" ref="F395" si="98">C395-C394</f>
        <v>540</v>
      </c>
      <c r="G395" s="76">
        <f>SUMIF(F$6:F395,"&gt;0")</f>
        <v>185130</v>
      </c>
      <c r="H395" s="76">
        <f t="shared" ref="H395" si="99">D395-D394</f>
        <v>-480</v>
      </c>
      <c r="I395" s="76">
        <f t="shared" ref="I395" si="100">SUM(F395,H395)</f>
        <v>60</v>
      </c>
      <c r="J395" s="81">
        <f t="shared" ref="J395" si="101">I395/4200*80</f>
        <v>1.1428571428571428</v>
      </c>
      <c r="K395" s="76">
        <f t="shared" ref="K395" si="102">IFERROR(G395 - _xlfn.XLOOKUP(A395-30, $A$6:$A$14998,G$6:G$14998,"",-1,2),NA())</f>
        <v>8310</v>
      </c>
    </row>
    <row r="396" spans="1:13" x14ac:dyDescent="0.25">
      <c r="A396" s="77">
        <v>44273.064583333333</v>
      </c>
      <c r="B396" s="105" t="s">
        <v>451</v>
      </c>
      <c r="C396" s="74">
        <v>9915</v>
      </c>
      <c r="D396" s="74">
        <v>56790</v>
      </c>
      <c r="E396" s="74">
        <f t="shared" si="81"/>
        <v>66705</v>
      </c>
      <c r="F396" s="76">
        <f t="shared" ref="F396" si="103">C396-C395</f>
        <v>-480</v>
      </c>
      <c r="G396" s="76">
        <f>SUMIF(F$6:F396,"&gt;0")</f>
        <v>185130</v>
      </c>
      <c r="H396" s="76">
        <f t="shared" ref="H396" si="104">D396-D395</f>
        <v>0</v>
      </c>
      <c r="I396" s="76">
        <f t="shared" ref="I396" si="105">SUM(F396,H396)</f>
        <v>-480</v>
      </c>
      <c r="J396" s="81">
        <f t="shared" ref="J396" si="106">I396/4200*80</f>
        <v>-9.1428571428571423</v>
      </c>
      <c r="K396" s="76">
        <f t="shared" ref="K396" si="107">IFERROR(G396 - _xlfn.XLOOKUP(A396-30, $A$6:$A$14998,G$6:G$14998,"",-1,2),NA())</f>
        <v>8310</v>
      </c>
    </row>
    <row r="397" spans="1:13" x14ac:dyDescent="0.25">
      <c r="A397" s="77">
        <v>44273.092361111114</v>
      </c>
      <c r="B397" s="105" t="s">
        <v>383</v>
      </c>
      <c r="C397" s="74">
        <v>9975</v>
      </c>
      <c r="D397" s="74">
        <v>56840</v>
      </c>
      <c r="E397" s="74">
        <f t="shared" si="81"/>
        <v>66815</v>
      </c>
      <c r="F397" s="76">
        <f t="shared" ref="F397" si="108">C397-C396</f>
        <v>60</v>
      </c>
      <c r="G397" s="76">
        <f>SUMIF(F$6:F397,"&gt;0")</f>
        <v>185190</v>
      </c>
      <c r="H397" s="76">
        <f t="shared" ref="H397" si="109">D397-D396</f>
        <v>50</v>
      </c>
      <c r="I397" s="76">
        <f t="shared" ref="I397" si="110">SUM(F397,H397)</f>
        <v>110</v>
      </c>
      <c r="J397" s="81">
        <f t="shared" ref="J397" si="111">I397/4200*80</f>
        <v>2.0952380952380953</v>
      </c>
      <c r="K397" s="76">
        <f t="shared" ref="K397" si="112">IFERROR(G397 - _xlfn.XLOOKUP(A397-30, $A$6:$A$14998,G$6:G$14998,"",-1,2),NA())</f>
        <v>8370</v>
      </c>
      <c r="L397" s="74">
        <v>480</v>
      </c>
      <c r="M397" s="74">
        <v>10</v>
      </c>
    </row>
    <row r="398" spans="1:13" x14ac:dyDescent="0.25">
      <c r="A398" s="77">
        <v>44274.817361111112</v>
      </c>
      <c r="C398" s="74">
        <v>10800</v>
      </c>
      <c r="D398" s="74">
        <v>56860</v>
      </c>
      <c r="E398" s="74">
        <f t="shared" si="81"/>
        <v>67660</v>
      </c>
      <c r="F398" s="76">
        <f t="shared" ref="F398" si="113">C398-C397</f>
        <v>825</v>
      </c>
      <c r="G398" s="76">
        <f>SUMIF(F$6:F398,"&gt;0")</f>
        <v>186015</v>
      </c>
      <c r="H398" s="76">
        <f t="shared" ref="H398" si="114">D398-D397</f>
        <v>20</v>
      </c>
      <c r="I398" s="76">
        <f t="shared" ref="I398" si="115">SUM(F398,H398)</f>
        <v>845</v>
      </c>
      <c r="J398" s="81">
        <f t="shared" ref="J398" si="116">I398/4200*80</f>
        <v>16.095238095238095</v>
      </c>
      <c r="K398" s="76">
        <f t="shared" ref="K398" si="117">IFERROR(G398 - _xlfn.XLOOKUP(A398-30, $A$6:$A$14998,G$6:G$14998,"",-1,2),NA())</f>
        <v>8000</v>
      </c>
    </row>
    <row r="399" spans="1:13" x14ac:dyDescent="0.25">
      <c r="A399" s="77">
        <v>44275.719444444447</v>
      </c>
      <c r="C399" s="74">
        <v>11200</v>
      </c>
      <c r="D399" s="74">
        <v>57405</v>
      </c>
      <c r="E399" s="74">
        <f t="shared" si="81"/>
        <v>68605</v>
      </c>
      <c r="F399" s="76">
        <f t="shared" ref="F399" si="118">C399-C398</f>
        <v>400</v>
      </c>
      <c r="G399" s="76">
        <f>SUMIF(F$6:F399,"&gt;0")</f>
        <v>186415</v>
      </c>
      <c r="H399" s="76">
        <f t="shared" ref="H399" si="119">D399-D398</f>
        <v>545</v>
      </c>
      <c r="I399" s="76">
        <f t="shared" ref="I399" si="120">SUM(F399,H399)</f>
        <v>945</v>
      </c>
      <c r="J399" s="81">
        <f t="shared" ref="J399" si="121">I399/4200*80</f>
        <v>18</v>
      </c>
      <c r="K399" s="76">
        <f t="shared" ref="K399" si="122">IFERROR(G399 - _xlfn.XLOOKUP(A399-30, $A$6:$A$14998,G$6:G$14998,"",-1,2),NA())</f>
        <v>8115</v>
      </c>
      <c r="L399" s="74">
        <v>525</v>
      </c>
      <c r="M399" s="74">
        <v>7</v>
      </c>
    </row>
    <row r="400" spans="1:13" x14ac:dyDescent="0.25">
      <c r="A400" s="77">
        <v>44277.259722222225</v>
      </c>
      <c r="C400" s="74">
        <v>11625</v>
      </c>
      <c r="D400" s="74">
        <v>57445</v>
      </c>
      <c r="E400" s="74">
        <f t="shared" si="81"/>
        <v>69070</v>
      </c>
      <c r="F400" s="76">
        <f t="shared" ref="F400" si="123">C400-C399</f>
        <v>425</v>
      </c>
      <c r="G400" s="76">
        <f>SUMIF(F$6:F400,"&gt;0")</f>
        <v>186840</v>
      </c>
      <c r="H400" s="76">
        <f t="shared" ref="H400" si="124">D400-D399</f>
        <v>40</v>
      </c>
      <c r="I400" s="76">
        <f t="shared" ref="I400" si="125">SUM(F400,H400)</f>
        <v>465</v>
      </c>
      <c r="J400" s="81">
        <f t="shared" ref="J400" si="126">I400/4200*80</f>
        <v>8.8571428571428577</v>
      </c>
      <c r="K400" s="76">
        <f t="shared" ref="K400" si="127">IFERROR(G400 - _xlfn.XLOOKUP(A400-30, $A$6:$A$14998,G$6:G$14998,"",-1,2),NA())</f>
        <v>8215</v>
      </c>
    </row>
    <row r="401" spans="1:13" x14ac:dyDescent="0.25">
      <c r="A401" s="77">
        <v>44278.275694444441</v>
      </c>
      <c r="C401" s="74">
        <v>11700</v>
      </c>
      <c r="D401" s="74">
        <v>57465</v>
      </c>
      <c r="E401" s="74">
        <f t="shared" si="81"/>
        <v>69165</v>
      </c>
      <c r="F401" s="76">
        <f t="shared" ref="F401" si="128">C401-C400</f>
        <v>75</v>
      </c>
      <c r="G401" s="76">
        <f>SUMIF(F$6:F401,"&gt;0")</f>
        <v>186915</v>
      </c>
      <c r="H401" s="76">
        <f t="shared" ref="H401" si="129">D401-D400</f>
        <v>20</v>
      </c>
      <c r="I401" s="76">
        <f t="shared" ref="I401" si="130">SUM(F401,H401)</f>
        <v>95</v>
      </c>
      <c r="J401" s="81">
        <f t="shared" ref="J401" si="131">I401/4200*80</f>
        <v>1.8095238095238095</v>
      </c>
      <c r="K401" s="76">
        <f t="shared" ref="K401" si="132">IFERROR(G401 - _xlfn.XLOOKUP(A401-30, $A$6:$A$14998,G$6:G$14998,"",-1,2),NA())</f>
        <v>8290</v>
      </c>
    </row>
    <row r="402" spans="1:13" x14ac:dyDescent="0.25">
      <c r="A402" s="77">
        <v>44279.157638888886</v>
      </c>
      <c r="C402" s="74">
        <v>11975</v>
      </c>
      <c r="D402" s="74">
        <v>58015</v>
      </c>
      <c r="E402" s="74">
        <f t="shared" si="81"/>
        <v>69990</v>
      </c>
      <c r="F402" s="76">
        <f t="shared" ref="F402" si="133">C402-C401</f>
        <v>275</v>
      </c>
      <c r="G402" s="76">
        <f>SUMIF(F$6:F402,"&gt;0")</f>
        <v>187190</v>
      </c>
      <c r="H402" s="76">
        <f t="shared" ref="H402" si="134">D402-D401</f>
        <v>550</v>
      </c>
      <c r="I402" s="76">
        <f t="shared" ref="I402" si="135">SUM(F402,H402)</f>
        <v>825</v>
      </c>
      <c r="J402" s="81">
        <f t="shared" ref="J402" si="136">I402/4200*80</f>
        <v>15.714285714285714</v>
      </c>
      <c r="K402" s="76">
        <f t="shared" ref="K402" si="137">IFERROR(G402 - _xlfn.XLOOKUP(A402-30, $A$6:$A$14998,G$6:G$14998,"",-1,2),NA())</f>
        <v>8115</v>
      </c>
      <c r="L402" s="74">
        <v>480</v>
      </c>
      <c r="M402" s="74">
        <v>10</v>
      </c>
    </row>
    <row r="403" spans="1:13" x14ac:dyDescent="0.25">
      <c r="A403" s="77">
        <v>44280.430555555555</v>
      </c>
      <c r="B403" s="105" t="s">
        <v>452</v>
      </c>
      <c r="C403" s="74">
        <v>10385</v>
      </c>
      <c r="D403" s="74">
        <v>58015</v>
      </c>
      <c r="E403" s="74">
        <f t="shared" si="81"/>
        <v>68400</v>
      </c>
      <c r="F403" s="76">
        <f t="shared" ref="F403" si="138">C403-C402</f>
        <v>-1590</v>
      </c>
      <c r="G403" s="76">
        <f>SUMIF(F$6:F403,"&gt;0")</f>
        <v>187190</v>
      </c>
      <c r="H403" s="76">
        <f t="shared" ref="H403" si="139">D403-D402</f>
        <v>0</v>
      </c>
      <c r="I403" s="76">
        <f t="shared" ref="I403" si="140">SUM(F403,H403)</f>
        <v>-1590</v>
      </c>
      <c r="J403" s="81">
        <f t="shared" ref="J403" si="141">I403/4200*80</f>
        <v>-30.285714285714285</v>
      </c>
      <c r="K403" s="76">
        <f t="shared" ref="K403" si="142">IFERROR(G403 - _xlfn.XLOOKUP(A403-30, $A$6:$A$14998,G$6:G$14998,"",-1,2),NA())</f>
        <v>7965</v>
      </c>
    </row>
    <row r="404" spans="1:13" x14ac:dyDescent="0.25">
      <c r="A404" s="77">
        <v>44280.436805555553</v>
      </c>
      <c r="C404" s="74">
        <v>10435</v>
      </c>
      <c r="D404" s="74">
        <v>58035</v>
      </c>
      <c r="E404" s="74">
        <f t="shared" si="81"/>
        <v>68470</v>
      </c>
      <c r="F404" s="76">
        <f t="shared" ref="F404" si="143">C404-C403</f>
        <v>50</v>
      </c>
      <c r="G404" s="76">
        <f>SUMIF(F$6:F404,"&gt;0")</f>
        <v>187240</v>
      </c>
      <c r="H404" s="76">
        <f t="shared" ref="H404" si="144">D404-D403</f>
        <v>20</v>
      </c>
      <c r="I404" s="76">
        <f t="shared" ref="I404" si="145">SUM(F404,H404)</f>
        <v>70</v>
      </c>
      <c r="J404" s="81">
        <f t="shared" ref="J404" si="146">I404/4200*80</f>
        <v>1.3333333333333333</v>
      </c>
      <c r="K404" s="76">
        <f t="shared" ref="K404" si="147">IFERROR(G404 - _xlfn.XLOOKUP(A404-30, $A$6:$A$14998,G$6:G$14998,"",-1,2),NA())</f>
        <v>8015</v>
      </c>
    </row>
    <row r="405" spans="1:13" x14ac:dyDescent="0.25">
      <c r="A405" s="77">
        <v>44281.54583333333</v>
      </c>
      <c r="B405" s="105" t="s">
        <v>452</v>
      </c>
      <c r="C405" s="74">
        <v>9215</v>
      </c>
      <c r="D405" s="74">
        <v>58035</v>
      </c>
      <c r="E405" s="74">
        <f t="shared" si="81"/>
        <v>67250</v>
      </c>
      <c r="F405" s="76">
        <f t="shared" ref="F405" si="148">C405-C404</f>
        <v>-1220</v>
      </c>
      <c r="G405" s="76">
        <f>SUMIF(F$6:F405,"&gt;0")</f>
        <v>187240</v>
      </c>
      <c r="H405" s="76">
        <f t="shared" ref="H405" si="149">D405-D404</f>
        <v>0</v>
      </c>
      <c r="I405" s="76">
        <f t="shared" ref="I405" si="150">SUM(F405,H405)</f>
        <v>-1220</v>
      </c>
      <c r="J405" s="81">
        <f t="shared" ref="J405" si="151">I405/4200*80</f>
        <v>-23.238095238095241</v>
      </c>
      <c r="K405" s="76">
        <f t="shared" ref="K405" si="152">IFERROR(G405 - _xlfn.XLOOKUP(A405-30, $A$6:$A$14998,G$6:G$14998,"",-1,2),NA())</f>
        <v>7665</v>
      </c>
    </row>
    <row r="406" spans="1:13" x14ac:dyDescent="0.25">
      <c r="A406" s="77">
        <v>44281.582638888889</v>
      </c>
      <c r="C406" s="74">
        <v>9330</v>
      </c>
      <c r="D406" s="74">
        <v>58085</v>
      </c>
      <c r="E406" s="74">
        <f t="shared" si="81"/>
        <v>67415</v>
      </c>
      <c r="F406" s="76">
        <f t="shared" ref="F406" si="153">C406-C405</f>
        <v>115</v>
      </c>
      <c r="G406" s="76">
        <f>SUMIF(F$6:F406,"&gt;0")</f>
        <v>187355</v>
      </c>
      <c r="H406" s="76">
        <f t="shared" ref="H406" si="154">D406-D405</f>
        <v>50</v>
      </c>
      <c r="I406" s="76">
        <f t="shared" ref="I406" si="155">SUM(F406,H406)</f>
        <v>165</v>
      </c>
      <c r="J406" s="81">
        <f t="shared" ref="J406" si="156">I406/4200*80</f>
        <v>3.1428571428571428</v>
      </c>
      <c r="K406" s="76">
        <f t="shared" ref="K406" si="157">IFERROR(G406 - _xlfn.XLOOKUP(A406-30, $A$6:$A$14998,G$6:G$14998,"",-1,2),NA())</f>
        <v>7780</v>
      </c>
    </row>
    <row r="407" spans="1:13" x14ac:dyDescent="0.25">
      <c r="A407" s="77">
        <v>44282.04791666667</v>
      </c>
      <c r="C407" s="74">
        <v>8790</v>
      </c>
      <c r="D407" s="74">
        <v>58055</v>
      </c>
      <c r="E407" s="74">
        <f t="shared" si="81"/>
        <v>66845</v>
      </c>
      <c r="F407" s="76">
        <f t="shared" ref="F407" si="158">C407-C406</f>
        <v>-540</v>
      </c>
      <c r="G407" s="76">
        <f>SUMIF(F$6:F407,"&gt;0")</f>
        <v>187355</v>
      </c>
      <c r="H407" s="76">
        <f t="shared" ref="H407" si="159">D407-D406</f>
        <v>-30</v>
      </c>
      <c r="I407" s="76">
        <f t="shared" ref="I407" si="160">SUM(F407,H407)</f>
        <v>-570</v>
      </c>
      <c r="J407" s="81">
        <f t="shared" ref="J407" si="161">I407/4200*80</f>
        <v>-10.857142857142856</v>
      </c>
      <c r="K407" s="76">
        <f t="shared" ref="K407" si="162">IFERROR(G407 - _xlfn.XLOOKUP(A407-30, $A$6:$A$14998,G$6:G$14998,"",-1,2),NA())</f>
        <v>7780</v>
      </c>
    </row>
    <row r="408" spans="1:13" x14ac:dyDescent="0.25">
      <c r="A408" s="77">
        <v>44282.118750000001</v>
      </c>
      <c r="B408" s="105" t="s">
        <v>454</v>
      </c>
      <c r="C408" s="74">
        <v>8670</v>
      </c>
      <c r="D408" s="74">
        <v>42425</v>
      </c>
      <c r="E408" s="74">
        <f t="shared" si="81"/>
        <v>51095</v>
      </c>
      <c r="F408" s="76">
        <f t="shared" ref="F408" si="163">C408-C407</f>
        <v>-120</v>
      </c>
      <c r="G408" s="76">
        <f>SUMIF(F$6:F408,"&gt;0")</f>
        <v>187355</v>
      </c>
      <c r="H408" s="76">
        <f t="shared" ref="H408" si="164">D408-D407</f>
        <v>-15630</v>
      </c>
      <c r="I408" s="76">
        <f t="shared" ref="I408" si="165">SUM(F408,H408)</f>
        <v>-15750</v>
      </c>
      <c r="J408" s="81">
        <f t="shared" ref="J408" si="166">I408/4200*80</f>
        <v>-300</v>
      </c>
      <c r="K408" s="76">
        <f t="shared" ref="K408" si="167">IFERROR(G408 - _xlfn.XLOOKUP(A408-30, $A$6:$A$14998,G$6:G$14998,"",-1,2),NA())</f>
        <v>7780</v>
      </c>
    </row>
    <row r="409" spans="1:13" x14ac:dyDescent="0.25">
      <c r="A409" s="77">
        <v>44282.140277777777</v>
      </c>
      <c r="C409" s="74">
        <v>9445</v>
      </c>
      <c r="D409" s="74">
        <v>42475</v>
      </c>
      <c r="E409" s="74">
        <f t="shared" si="81"/>
        <v>51920</v>
      </c>
      <c r="F409" s="76">
        <f t="shared" ref="F409" si="168">C409-C408</f>
        <v>775</v>
      </c>
      <c r="G409" s="76">
        <f>SUMIF(F$6:F409,"&gt;0")</f>
        <v>188130</v>
      </c>
      <c r="H409" s="76">
        <f t="shared" ref="H409" si="169">D409-D408</f>
        <v>50</v>
      </c>
      <c r="I409" s="76">
        <f t="shared" ref="I409" si="170">SUM(F409,H409)</f>
        <v>825</v>
      </c>
      <c r="J409" s="81">
        <f t="shared" ref="J409" si="171">I409/4200*80</f>
        <v>15.714285714285714</v>
      </c>
      <c r="K409" s="76">
        <f t="shared" ref="K409" si="172">IFERROR(G409 - _xlfn.XLOOKUP(A409-30, $A$6:$A$14998,G$6:G$14998,"",-1,2),NA())</f>
        <v>8555</v>
      </c>
    </row>
    <row r="410" spans="1:13" x14ac:dyDescent="0.25">
      <c r="A410" s="77">
        <v>44282.529861111114</v>
      </c>
      <c r="C410" s="74">
        <v>9295</v>
      </c>
      <c r="D410" s="74">
        <v>42475</v>
      </c>
      <c r="E410" s="74">
        <f t="shared" ref="E410:E411" si="173">SUM(C410:D410)</f>
        <v>51770</v>
      </c>
      <c r="F410" s="76">
        <f t="shared" ref="F410" si="174">C410-C409</f>
        <v>-150</v>
      </c>
      <c r="G410" s="76">
        <f>SUMIF(F$6:F410,"&gt;0")</f>
        <v>188130</v>
      </c>
      <c r="H410" s="76">
        <f t="shared" ref="H410" si="175">D410-D409</f>
        <v>0</v>
      </c>
      <c r="I410" s="76">
        <f t="shared" ref="I410" si="176">SUM(F410,H410)</f>
        <v>-150</v>
      </c>
      <c r="J410" s="81">
        <f t="shared" ref="J410" si="177">I410/4200*80</f>
        <v>-2.8571428571428568</v>
      </c>
      <c r="K410" s="76">
        <f t="shared" ref="K410" si="178">IFERROR(G410 - _xlfn.XLOOKUP(A410-30, $A$6:$A$14998,G$6:G$14998,"",-1,2),NA())</f>
        <v>8205</v>
      </c>
    </row>
    <row r="411" spans="1:13" x14ac:dyDescent="0.25">
      <c r="A411" s="77">
        <v>44283.461111111108</v>
      </c>
      <c r="B411" s="105" t="s">
        <v>456</v>
      </c>
      <c r="C411" s="74">
        <v>8655</v>
      </c>
      <c r="D411" s="74">
        <v>41975</v>
      </c>
      <c r="E411" s="74">
        <f t="shared" si="173"/>
        <v>50630</v>
      </c>
      <c r="F411" s="76">
        <f t="shared" ref="F411" si="179">C411-C410</f>
        <v>-640</v>
      </c>
      <c r="G411" s="76">
        <f>SUMIF(F$6:F411,"&gt;0")</f>
        <v>188130</v>
      </c>
      <c r="H411" s="76">
        <f t="shared" ref="H411" si="180">D411-D410</f>
        <v>-500</v>
      </c>
      <c r="I411" s="76">
        <f t="shared" ref="I411" si="181">SUM(F411,H411)</f>
        <v>-1140</v>
      </c>
      <c r="J411" s="81">
        <f t="shared" ref="J411" si="182">I411/4200*80</f>
        <v>-21.714285714285712</v>
      </c>
      <c r="K411" s="76">
        <f t="shared" ref="K411" si="183">IFERROR(G411 - _xlfn.XLOOKUP(A411-30, $A$6:$A$14998,G$6:G$14998,"",-1,2),NA())</f>
        <v>7555</v>
      </c>
    </row>
    <row r="412" spans="1:13" x14ac:dyDescent="0.25">
      <c r="A412" s="77">
        <v>44283.854861111111</v>
      </c>
      <c r="B412" s="105" t="s">
        <v>452</v>
      </c>
      <c r="C412" s="74">
        <v>8325</v>
      </c>
      <c r="D412" s="74">
        <v>42550</v>
      </c>
      <c r="E412" s="74">
        <f t="shared" ref="E412" si="184">SUM(C412:D412)</f>
        <v>50875</v>
      </c>
      <c r="F412" s="76">
        <f t="shared" ref="F412" si="185">C412-C411</f>
        <v>-330</v>
      </c>
      <c r="G412" s="76">
        <f>SUMIF(F$6:F412,"&gt;0")</f>
        <v>188130</v>
      </c>
      <c r="H412" s="76">
        <f t="shared" ref="H412" si="186">D412-D411</f>
        <v>575</v>
      </c>
      <c r="I412" s="76">
        <f t="shared" ref="I412" si="187">SUM(F412,H412)</f>
        <v>245</v>
      </c>
      <c r="J412" s="81">
        <f t="shared" ref="J412" si="188">I412/4200*80</f>
        <v>4.666666666666667</v>
      </c>
      <c r="K412" s="76">
        <f t="shared" ref="K412" si="189">IFERROR(G412 - _xlfn.XLOOKUP(A412-30, $A$6:$A$14998,G$6:G$14998,"",-1,2),NA())</f>
        <v>7555</v>
      </c>
      <c r="L412" s="74">
        <v>525</v>
      </c>
      <c r="M412" s="74">
        <v>7</v>
      </c>
    </row>
    <row r="413" spans="1:13" x14ac:dyDescent="0.25">
      <c r="A413" s="77">
        <v>44283.859027777777</v>
      </c>
      <c r="C413" s="74">
        <v>8475</v>
      </c>
      <c r="D413" s="74">
        <v>42520</v>
      </c>
      <c r="E413" s="74">
        <f t="shared" ref="E413:E417" si="190">SUM(C413:D413)</f>
        <v>50995</v>
      </c>
      <c r="F413" s="76">
        <f t="shared" ref="F413" si="191">C413-C412</f>
        <v>150</v>
      </c>
      <c r="G413" s="76">
        <f>SUMIF(F$6:F413,"&gt;0")</f>
        <v>188280</v>
      </c>
      <c r="H413" s="76">
        <f t="shared" ref="H413" si="192">D413-D412</f>
        <v>-30</v>
      </c>
      <c r="I413" s="76">
        <f t="shared" ref="I413" si="193">SUM(F413,H413)</f>
        <v>120</v>
      </c>
      <c r="J413" s="81">
        <f t="shared" ref="J413" si="194">I413/4200*80</f>
        <v>2.2857142857142856</v>
      </c>
      <c r="K413" s="76">
        <f t="shared" ref="K413" si="195">IFERROR(G413 - _xlfn.XLOOKUP(A413-30, $A$6:$A$14998,G$6:G$14998,"",-1,2),NA())</f>
        <v>7705</v>
      </c>
    </row>
    <row r="414" spans="1:13" x14ac:dyDescent="0.25">
      <c r="A414" s="77">
        <v>44284.052777777775</v>
      </c>
      <c r="C414" s="74">
        <v>7995</v>
      </c>
      <c r="D414" s="74">
        <v>42520</v>
      </c>
      <c r="E414" s="74">
        <f t="shared" si="190"/>
        <v>50515</v>
      </c>
      <c r="F414" s="76">
        <f t="shared" ref="F414" si="196">C414-C413</f>
        <v>-480</v>
      </c>
      <c r="G414" s="76">
        <f>SUMIF(F$6:F414,"&gt;0")</f>
        <v>188280</v>
      </c>
      <c r="H414" s="76">
        <f t="shared" ref="H414" si="197">D414-D413</f>
        <v>0</v>
      </c>
      <c r="I414" s="76">
        <f t="shared" ref="I414" si="198">SUM(F414,H414)</f>
        <v>-480</v>
      </c>
      <c r="J414" s="81">
        <f t="shared" ref="J414" si="199">I414/4200*80</f>
        <v>-9.1428571428571423</v>
      </c>
      <c r="K414" s="76">
        <f t="shared" ref="K414" si="200">IFERROR(G414 - _xlfn.XLOOKUP(A414-30, $A$6:$A$14998,G$6:G$14998,"",-1,2),NA())</f>
        <v>7405</v>
      </c>
    </row>
    <row r="415" spans="1:13" x14ac:dyDescent="0.25">
      <c r="A415" s="77">
        <v>44284.081250000003</v>
      </c>
      <c r="C415" s="74">
        <v>8170</v>
      </c>
      <c r="D415" s="74">
        <v>42540</v>
      </c>
      <c r="E415" s="74">
        <f t="shared" si="190"/>
        <v>50710</v>
      </c>
      <c r="F415" s="76">
        <f t="shared" ref="F415" si="201">C415-C414</f>
        <v>175</v>
      </c>
      <c r="G415" s="76">
        <f>SUMIF(F$6:F415,"&gt;0")</f>
        <v>188455</v>
      </c>
      <c r="H415" s="76">
        <f t="shared" ref="H415" si="202">D415-D414</f>
        <v>20</v>
      </c>
      <c r="I415" s="76">
        <f t="shared" ref="I415" si="203">SUM(F415,H415)</f>
        <v>195</v>
      </c>
      <c r="J415" s="81">
        <f t="shared" ref="J415" si="204">I415/4200*80</f>
        <v>3.7142857142857144</v>
      </c>
      <c r="K415" s="76">
        <f t="shared" ref="K415" si="205">IFERROR(G415 - _xlfn.XLOOKUP(A415-30, $A$6:$A$14998,G$6:G$14998,"",-1,2),NA())</f>
        <v>7580</v>
      </c>
    </row>
    <row r="416" spans="1:13" x14ac:dyDescent="0.25">
      <c r="A416" s="77">
        <v>44285.261805555558</v>
      </c>
      <c r="B416" s="105" t="s">
        <v>452</v>
      </c>
      <c r="C416" s="74">
        <v>6905</v>
      </c>
      <c r="D416" s="74">
        <v>42540</v>
      </c>
      <c r="E416" s="74">
        <f t="shared" si="190"/>
        <v>49445</v>
      </c>
      <c r="F416" s="76">
        <f t="shared" ref="F416" si="206">C416-C415</f>
        <v>-1265</v>
      </c>
      <c r="G416" s="76">
        <f>SUMIF(F$6:F416,"&gt;0")</f>
        <v>188455</v>
      </c>
      <c r="H416" s="76">
        <f t="shared" ref="H416" si="207">D416-D415</f>
        <v>0</v>
      </c>
      <c r="I416" s="76">
        <f t="shared" ref="I416" si="208">SUM(F416,H416)</f>
        <v>-1265</v>
      </c>
      <c r="J416" s="81">
        <f t="shared" ref="J416" si="209">I416/4200*80</f>
        <v>-24.095238095238095</v>
      </c>
      <c r="K416" s="76">
        <f t="shared" ref="K416" si="210">IFERROR(G416 - _xlfn.XLOOKUP(A416-30, $A$6:$A$14998,G$6:G$14998,"",-1,2),NA())</f>
        <v>7580</v>
      </c>
    </row>
    <row r="417" spans="1:13" x14ac:dyDescent="0.25">
      <c r="A417" s="77">
        <v>44285.328472222223</v>
      </c>
      <c r="C417" s="74">
        <v>7910</v>
      </c>
      <c r="D417" s="74">
        <v>43090</v>
      </c>
      <c r="E417" s="74">
        <f t="shared" si="190"/>
        <v>51000</v>
      </c>
      <c r="F417" s="76">
        <f t="shared" ref="F417" si="211">C417-C416</f>
        <v>1005</v>
      </c>
      <c r="G417" s="76">
        <f>SUMIF(F$6:F417,"&gt;0")</f>
        <v>189460</v>
      </c>
      <c r="H417" s="76">
        <f t="shared" ref="H417" si="212">D417-D416</f>
        <v>550</v>
      </c>
      <c r="I417" s="76">
        <f t="shared" ref="I417" si="213">SUM(F417,H417)</f>
        <v>1555</v>
      </c>
      <c r="J417" s="81">
        <f t="shared" ref="J417" si="214">I417/4200*80</f>
        <v>29.61904761904762</v>
      </c>
      <c r="K417" s="76">
        <f t="shared" ref="K417" si="215">IFERROR(G417 - _xlfn.XLOOKUP(A417-30, $A$6:$A$14998,G$6:G$14998,"",-1,2),NA())</f>
        <v>8585</v>
      </c>
      <c r="L417" s="74">
        <v>480</v>
      </c>
      <c r="M417" s="74">
        <v>10</v>
      </c>
    </row>
    <row r="418" spans="1:13" x14ac:dyDescent="0.25">
      <c r="A418" s="77">
        <v>44285.367361111108</v>
      </c>
      <c r="C418" s="74">
        <v>7760</v>
      </c>
      <c r="D418" s="74">
        <v>43090</v>
      </c>
      <c r="E418" s="74">
        <f t="shared" ref="E418:E486" si="216">SUM(C418:D418)</f>
        <v>50850</v>
      </c>
      <c r="F418" s="76">
        <f t="shared" ref="F418" si="217">C418-C417</f>
        <v>-150</v>
      </c>
      <c r="G418" s="76">
        <f>SUMIF(F$6:F418,"&gt;0")</f>
        <v>189460</v>
      </c>
      <c r="H418" s="76">
        <f t="shared" ref="H418" si="218">D418-D417</f>
        <v>0</v>
      </c>
      <c r="I418" s="76">
        <f t="shared" ref="I418" si="219">SUM(F418,H418)</f>
        <v>-150</v>
      </c>
      <c r="J418" s="81">
        <f t="shared" ref="J418" si="220">I418/4200*80</f>
        <v>-2.8571428571428568</v>
      </c>
      <c r="K418" s="76">
        <f t="shared" ref="K418" si="221">IFERROR(G418 - _xlfn.XLOOKUP(A418-30, $A$6:$A$14998,G$6:G$14998,"",-1,2),NA())</f>
        <v>8585</v>
      </c>
    </row>
    <row r="419" spans="1:13" x14ac:dyDescent="0.25">
      <c r="A419" s="77">
        <v>44285.387499999997</v>
      </c>
      <c r="C419" s="74">
        <v>8230</v>
      </c>
      <c r="D419" s="74">
        <v>43090</v>
      </c>
      <c r="E419" s="74">
        <f t="shared" si="216"/>
        <v>51320</v>
      </c>
      <c r="F419" s="76">
        <f t="shared" ref="F419" si="222">C419-C418</f>
        <v>470</v>
      </c>
      <c r="G419" s="76">
        <f>SUMIF(F$6:F419,"&gt;0")</f>
        <v>189930</v>
      </c>
      <c r="H419" s="76">
        <f t="shared" ref="H419" si="223">D419-D418</f>
        <v>0</v>
      </c>
      <c r="I419" s="76">
        <f t="shared" ref="I419" si="224">SUM(F419,H419)</f>
        <v>470</v>
      </c>
      <c r="J419" s="81">
        <f t="shared" ref="J419" si="225">I419/4200*80</f>
        <v>8.9523809523809526</v>
      </c>
      <c r="K419" s="76">
        <f t="shared" ref="K419" si="226">IFERROR(G419 - _xlfn.XLOOKUP(A419-30, $A$6:$A$14998,G$6:G$14998,"",-1,2),NA())</f>
        <v>9055</v>
      </c>
    </row>
    <row r="420" spans="1:13" x14ac:dyDescent="0.25">
      <c r="A420" s="77">
        <v>44285.779861111114</v>
      </c>
      <c r="B420" s="105" t="s">
        <v>452</v>
      </c>
      <c r="C420" s="74">
        <v>7930</v>
      </c>
      <c r="D420" s="74">
        <v>43090</v>
      </c>
      <c r="E420" s="74">
        <f t="shared" si="216"/>
        <v>51020</v>
      </c>
      <c r="F420" s="76">
        <f t="shared" ref="F420" si="227">C420-C419</f>
        <v>-300</v>
      </c>
      <c r="G420" s="76">
        <f>SUMIF(F$6:F420,"&gt;0")</f>
        <v>189930</v>
      </c>
      <c r="H420" s="76">
        <f t="shared" ref="H420" si="228">D420-D419</f>
        <v>0</v>
      </c>
      <c r="I420" s="76">
        <f t="shared" ref="I420" si="229">SUM(F420,H420)</f>
        <v>-300</v>
      </c>
      <c r="J420" s="81">
        <f t="shared" ref="J420" si="230">I420/4200*80</f>
        <v>-5.7142857142857135</v>
      </c>
      <c r="K420" s="76">
        <f t="shared" ref="K420" si="231">IFERROR(G420 - _xlfn.XLOOKUP(A420-30, $A$6:$A$14998,G$6:G$14998,"",-1,2),NA())</f>
        <v>8855</v>
      </c>
    </row>
    <row r="421" spans="1:13" x14ac:dyDescent="0.25">
      <c r="A421" s="77">
        <v>44286.531944444447</v>
      </c>
      <c r="B421" s="105" t="s">
        <v>452</v>
      </c>
      <c r="C421" s="74">
        <v>7360</v>
      </c>
      <c r="D421" s="74">
        <v>43090</v>
      </c>
      <c r="E421" s="74">
        <f t="shared" si="216"/>
        <v>50450</v>
      </c>
      <c r="F421" s="76">
        <f t="shared" ref="F421" si="232">C421-C420</f>
        <v>-570</v>
      </c>
      <c r="G421" s="76">
        <f>SUMIF(F$6:F421,"&gt;0")</f>
        <v>189930</v>
      </c>
      <c r="H421" s="76">
        <f t="shared" ref="H421" si="233">D421-D420</f>
        <v>0</v>
      </c>
      <c r="I421" s="76">
        <f t="shared" ref="I421" si="234">SUM(F421,H421)</f>
        <v>-570</v>
      </c>
      <c r="J421" s="81">
        <f t="shared" ref="J421" si="235">I421/4200*80</f>
        <v>-10.857142857142856</v>
      </c>
      <c r="K421" s="76">
        <f t="shared" ref="K421" si="236">IFERROR(G421 - _xlfn.XLOOKUP(A421-30, $A$6:$A$14998,G$6:G$14998,"",-1,2),NA())</f>
        <v>8805</v>
      </c>
    </row>
    <row r="422" spans="1:13" x14ac:dyDescent="0.25">
      <c r="A422" s="77">
        <v>44286.548611111109</v>
      </c>
      <c r="C422" s="74">
        <v>8525</v>
      </c>
      <c r="D422" s="74">
        <v>43110</v>
      </c>
      <c r="E422" s="74">
        <f t="shared" si="216"/>
        <v>51635</v>
      </c>
      <c r="F422" s="76">
        <f t="shared" ref="F422" si="237">C422-C421</f>
        <v>1165</v>
      </c>
      <c r="G422" s="76">
        <f>SUMIF(F$6:F422,"&gt;0")</f>
        <v>191095</v>
      </c>
      <c r="H422" s="76">
        <f t="shared" ref="H422" si="238">D422-D421</f>
        <v>20</v>
      </c>
      <c r="I422" s="76">
        <f t="shared" ref="I422" si="239">SUM(F422,H422)</f>
        <v>1185</v>
      </c>
      <c r="J422" s="81">
        <f t="shared" ref="J422" si="240">I422/4200*80</f>
        <v>22.571428571428569</v>
      </c>
      <c r="K422" s="76">
        <f t="shared" ref="K422" si="241">IFERROR(G422 - _xlfn.XLOOKUP(A422-30, $A$6:$A$14998,G$6:G$14998,"",-1,2),NA())</f>
        <v>9970</v>
      </c>
    </row>
    <row r="423" spans="1:13" x14ac:dyDescent="0.25">
      <c r="A423" s="77">
        <v>44286.967361111114</v>
      </c>
      <c r="C423" s="74">
        <v>7775</v>
      </c>
      <c r="D423" s="74">
        <v>43110</v>
      </c>
      <c r="E423" s="74">
        <f t="shared" si="216"/>
        <v>50885</v>
      </c>
      <c r="F423" s="76">
        <f t="shared" ref="F423" si="242">C423-C422</f>
        <v>-750</v>
      </c>
      <c r="G423" s="76">
        <f>SUMIF(F$6:F423,"&gt;0")</f>
        <v>191095</v>
      </c>
      <c r="H423" s="76">
        <f t="shared" ref="H423" si="243">D423-D422</f>
        <v>0</v>
      </c>
      <c r="I423" s="76">
        <f t="shared" ref="I423" si="244">SUM(F423,H423)</f>
        <v>-750</v>
      </c>
      <c r="J423" s="81">
        <f t="shared" ref="J423" si="245">I423/4200*80</f>
        <v>-14.285714285714286</v>
      </c>
      <c r="K423" s="76">
        <f t="shared" ref="K423" si="246">IFERROR(G423 - _xlfn.XLOOKUP(A423-30, $A$6:$A$14998,G$6:G$14998,"",-1,2),NA())</f>
        <v>9970</v>
      </c>
    </row>
    <row r="424" spans="1:13" x14ac:dyDescent="0.25">
      <c r="A424" s="77">
        <v>44286.990277777775</v>
      </c>
      <c r="C424" s="74">
        <v>8545</v>
      </c>
      <c r="D424" s="74">
        <v>43110</v>
      </c>
      <c r="E424" s="74">
        <f t="shared" si="216"/>
        <v>51655</v>
      </c>
      <c r="F424" s="76">
        <f t="shared" ref="F424" si="247">C424-C423</f>
        <v>770</v>
      </c>
      <c r="G424" s="76">
        <f>SUMIF(F$6:F424,"&gt;0")</f>
        <v>191865</v>
      </c>
      <c r="H424" s="76">
        <f t="shared" ref="H424" si="248">D424-D423</f>
        <v>0</v>
      </c>
      <c r="I424" s="76">
        <f t="shared" ref="I424" si="249">SUM(F424,H424)</f>
        <v>770</v>
      </c>
      <c r="J424" s="81">
        <f t="shared" ref="J424" si="250">I424/4200*80</f>
        <v>14.666666666666666</v>
      </c>
      <c r="K424" s="76">
        <f t="shared" ref="K424" si="251">IFERROR(G424 - _xlfn.XLOOKUP(A424-30, $A$6:$A$14998,G$6:G$14998,"",-1,2),NA())</f>
        <v>10740</v>
      </c>
    </row>
    <row r="425" spans="1:13" x14ac:dyDescent="0.25">
      <c r="A425" s="77">
        <v>44287.239583333336</v>
      </c>
      <c r="B425" s="105" t="s">
        <v>452</v>
      </c>
      <c r="C425" s="74">
        <v>8095</v>
      </c>
      <c r="D425" s="74">
        <v>43110</v>
      </c>
      <c r="E425" s="74">
        <f t="shared" si="216"/>
        <v>51205</v>
      </c>
      <c r="F425" s="76">
        <f t="shared" ref="F425" si="252">C425-C424</f>
        <v>-450</v>
      </c>
      <c r="G425" s="76">
        <f>SUMIF(F$6:F425,"&gt;0")</f>
        <v>191865</v>
      </c>
      <c r="H425" s="76">
        <f t="shared" ref="H425" si="253">D425-D424</f>
        <v>0</v>
      </c>
      <c r="I425" s="76">
        <f t="shared" ref="I425" si="254">SUM(F425,H425)</f>
        <v>-450</v>
      </c>
      <c r="J425" s="81">
        <f t="shared" ref="J425" si="255">I425/4200*80</f>
        <v>-8.5714285714285712</v>
      </c>
      <c r="K425" s="76">
        <f t="shared" ref="K425" si="256">IFERROR(G425 - _xlfn.XLOOKUP(A425-30, $A$6:$A$14998,G$6:G$14998,"",-1,2),NA())</f>
        <v>10740</v>
      </c>
    </row>
    <row r="426" spans="1:13" x14ac:dyDescent="0.25">
      <c r="A426" s="77">
        <v>44287.259722222225</v>
      </c>
      <c r="C426" s="74">
        <v>8445</v>
      </c>
      <c r="D426" s="74">
        <v>43130</v>
      </c>
      <c r="E426" s="74">
        <f t="shared" si="216"/>
        <v>51575</v>
      </c>
      <c r="F426" s="76">
        <f t="shared" ref="F426" si="257">C426-C425</f>
        <v>350</v>
      </c>
      <c r="G426" s="76">
        <f>SUMIF(F$6:F426,"&gt;0")</f>
        <v>192215</v>
      </c>
      <c r="H426" s="76">
        <f t="shared" ref="H426" si="258">D426-D425</f>
        <v>20</v>
      </c>
      <c r="I426" s="76">
        <f t="shared" ref="I426" si="259">SUM(F426,H426)</f>
        <v>370</v>
      </c>
      <c r="J426" s="81">
        <f t="shared" ref="J426" si="260">I426/4200*80</f>
        <v>7.0476190476190483</v>
      </c>
      <c r="K426" s="76">
        <f t="shared" ref="K426" si="261">IFERROR(G426 - _xlfn.XLOOKUP(A426-30, $A$6:$A$14998,G$6:G$14998,"",-1,2),NA())</f>
        <v>11090</v>
      </c>
    </row>
    <row r="427" spans="1:13" x14ac:dyDescent="0.25">
      <c r="A427" s="77">
        <v>44288.043749999997</v>
      </c>
      <c r="B427" s="105" t="s">
        <v>452</v>
      </c>
      <c r="C427" s="74">
        <v>6585</v>
      </c>
      <c r="D427" s="74">
        <v>43130</v>
      </c>
      <c r="E427" s="74">
        <f t="shared" si="216"/>
        <v>49715</v>
      </c>
      <c r="F427" s="76">
        <f t="shared" ref="F427" si="262">C427-C426</f>
        <v>-1860</v>
      </c>
      <c r="G427" s="76">
        <f>SUMIF(F$6:F427,"&gt;0")</f>
        <v>192215</v>
      </c>
      <c r="H427" s="76">
        <f t="shared" ref="H427" si="263">D427-D426</f>
        <v>0</v>
      </c>
      <c r="I427" s="76">
        <f t="shared" ref="I427" si="264">SUM(F427,H427)</f>
        <v>-1860</v>
      </c>
      <c r="J427" s="81">
        <f t="shared" ref="J427" si="265">I427/4200*80</f>
        <v>-35.428571428571431</v>
      </c>
      <c r="K427" s="76">
        <f t="shared" ref="K427" si="266">IFERROR(G427 - _xlfn.XLOOKUP(A427-30, $A$6:$A$14998,G$6:G$14998,"",-1,2),NA())</f>
        <v>10925</v>
      </c>
    </row>
    <row r="428" spans="1:13" x14ac:dyDescent="0.25">
      <c r="A428" s="77">
        <v>44288.120833333334</v>
      </c>
      <c r="C428" s="74">
        <v>6585</v>
      </c>
      <c r="D428" s="74">
        <v>37100</v>
      </c>
      <c r="E428" s="74">
        <f t="shared" si="216"/>
        <v>43685</v>
      </c>
      <c r="F428" s="76">
        <f t="shared" ref="F428:F429" si="267">C428-C427</f>
        <v>0</v>
      </c>
      <c r="G428" s="76">
        <f>SUMIF(F$6:F428,"&gt;0")</f>
        <v>192215</v>
      </c>
      <c r="H428" s="76">
        <f t="shared" ref="H428:H429" si="268">D428-D427</f>
        <v>-6030</v>
      </c>
      <c r="I428" s="76">
        <f t="shared" ref="I428:I429" si="269">SUM(F428,H428)</f>
        <v>-6030</v>
      </c>
      <c r="J428" s="81">
        <f t="shared" ref="J428:J429" si="270">I428/4200*80</f>
        <v>-114.85714285714286</v>
      </c>
      <c r="K428" s="76">
        <f t="shared" ref="K428:K429" si="271">IFERROR(G428 - _xlfn.XLOOKUP(A428-30, $A$6:$A$14998,G$6:G$14998,"",-1,2),NA())</f>
        <v>10925</v>
      </c>
    </row>
    <row r="429" spans="1:13" x14ac:dyDescent="0.25">
      <c r="A429" s="77">
        <v>44288.162499999999</v>
      </c>
      <c r="C429" s="74">
        <v>6760</v>
      </c>
      <c r="D429" s="74">
        <v>37150</v>
      </c>
      <c r="E429" s="74">
        <f t="shared" si="216"/>
        <v>43910</v>
      </c>
      <c r="F429" s="76">
        <f t="shared" si="267"/>
        <v>175</v>
      </c>
      <c r="G429" s="76">
        <f>SUMIF(F$6:F429,"&gt;0")</f>
        <v>192390</v>
      </c>
      <c r="H429" s="76">
        <f t="shared" si="268"/>
        <v>50</v>
      </c>
      <c r="I429" s="76">
        <f t="shared" si="269"/>
        <v>225</v>
      </c>
      <c r="J429" s="81">
        <f t="shared" si="270"/>
        <v>4.2857142857142856</v>
      </c>
      <c r="K429" s="76">
        <f t="shared" si="271"/>
        <v>11100</v>
      </c>
    </row>
    <row r="430" spans="1:13" x14ac:dyDescent="0.25">
      <c r="A430" s="77">
        <v>44288.37777777778</v>
      </c>
      <c r="B430" s="105" t="s">
        <v>452</v>
      </c>
      <c r="C430" s="74">
        <v>6160</v>
      </c>
      <c r="D430" s="74">
        <v>37150</v>
      </c>
      <c r="E430" s="74">
        <f t="shared" si="216"/>
        <v>43310</v>
      </c>
      <c r="F430" s="76">
        <f t="shared" ref="F430" si="272">C430-C429</f>
        <v>-600</v>
      </c>
      <c r="G430" s="76">
        <f>SUMIF(F$6:F430,"&gt;0")</f>
        <v>192390</v>
      </c>
      <c r="H430" s="76">
        <f t="shared" ref="H430" si="273">D430-D429</f>
        <v>0</v>
      </c>
      <c r="I430" s="76">
        <f t="shared" ref="I430" si="274">SUM(F430,H430)</f>
        <v>-600</v>
      </c>
      <c r="J430" s="81">
        <f t="shared" ref="J430" si="275">I430/4200*80</f>
        <v>-11.428571428571427</v>
      </c>
      <c r="K430" s="76">
        <f t="shared" ref="K430" si="276">IFERROR(G430 - _xlfn.XLOOKUP(A430-30, $A$6:$A$14998,G$6:G$14998,"",-1,2),NA())</f>
        <v>10900</v>
      </c>
    </row>
    <row r="431" spans="1:13" x14ac:dyDescent="0.25">
      <c r="A431" s="77">
        <v>44288.381944444445</v>
      </c>
      <c r="C431" s="74">
        <v>6210</v>
      </c>
      <c r="D431" s="74">
        <v>68935</v>
      </c>
      <c r="E431" s="74">
        <f t="shared" si="216"/>
        <v>75145</v>
      </c>
      <c r="F431" s="76">
        <f t="shared" ref="F431" si="277">C431-C430</f>
        <v>50</v>
      </c>
      <c r="G431" s="76">
        <f>SUMIF(F$6:F431,"&gt;0")</f>
        <v>192440</v>
      </c>
      <c r="H431" s="76">
        <f t="shared" ref="H431" si="278">D431-D430</f>
        <v>31785</v>
      </c>
      <c r="I431" s="76">
        <f t="shared" ref="I431" si="279">SUM(F431,H431)</f>
        <v>31835</v>
      </c>
      <c r="J431" s="81">
        <f t="shared" ref="J431" si="280">I431/4200*80</f>
        <v>606.38095238095241</v>
      </c>
      <c r="K431" s="76">
        <f t="shared" ref="K431" si="281">IFERROR(G431 - _xlfn.XLOOKUP(A431-30, $A$6:$A$14998,G$6:G$14998,"",-1,2),NA())</f>
        <v>10950</v>
      </c>
      <c r="L431" s="74">
        <v>31785</v>
      </c>
      <c r="M431" s="74">
        <v>574</v>
      </c>
    </row>
    <row r="432" spans="1:13" x14ac:dyDescent="0.25">
      <c r="A432" s="77">
        <v>44289.047222222223</v>
      </c>
      <c r="B432" s="105" t="s">
        <v>452</v>
      </c>
      <c r="C432" s="74">
        <v>4830</v>
      </c>
      <c r="D432" s="74">
        <v>68935</v>
      </c>
      <c r="E432" s="74">
        <f t="shared" si="216"/>
        <v>73765</v>
      </c>
      <c r="F432" s="76">
        <f t="shared" ref="F432" si="282">C432-C431</f>
        <v>-1380</v>
      </c>
      <c r="G432" s="76">
        <f>SUMIF(F$6:F432,"&gt;0")</f>
        <v>192440</v>
      </c>
      <c r="H432" s="76">
        <f t="shared" ref="H432" si="283">D432-D431</f>
        <v>0</v>
      </c>
      <c r="I432" s="76">
        <f t="shared" ref="I432" si="284">SUM(F432,H432)</f>
        <v>-1380</v>
      </c>
      <c r="J432" s="81">
        <f t="shared" ref="J432" si="285">I432/4200*80</f>
        <v>-26.285714285714285</v>
      </c>
      <c r="K432" s="76">
        <f t="shared" ref="K432" si="286">IFERROR(G432 - _xlfn.XLOOKUP(A432-30, $A$6:$A$14998,G$6:G$14998,"",-1,2),NA())</f>
        <v>10950</v>
      </c>
    </row>
    <row r="433" spans="1:13" x14ac:dyDescent="0.25">
      <c r="A433" s="77">
        <v>44289.057638888888</v>
      </c>
      <c r="C433" s="74">
        <v>7130</v>
      </c>
      <c r="D433" s="74">
        <v>68955</v>
      </c>
      <c r="E433" s="74">
        <f t="shared" si="216"/>
        <v>76085</v>
      </c>
      <c r="F433" s="76">
        <f t="shared" ref="F433" si="287">C433-C432</f>
        <v>2300</v>
      </c>
      <c r="G433" s="76">
        <f>SUMIF(F$6:F433,"&gt;0")</f>
        <v>194740</v>
      </c>
      <c r="H433" s="76">
        <f t="shared" ref="H433" si="288">D433-D432</f>
        <v>20</v>
      </c>
      <c r="I433" s="76">
        <f t="shared" ref="I433" si="289">SUM(F433,H433)</f>
        <v>2320</v>
      </c>
      <c r="J433" s="81">
        <f t="shared" ref="J433" si="290">I433/4200*80</f>
        <v>44.19047619047619</v>
      </c>
      <c r="K433" s="76">
        <f t="shared" ref="K433" si="291">IFERROR(G433 - _xlfn.XLOOKUP(A433-30, $A$6:$A$14998,G$6:G$14998,"",-1,2),NA())</f>
        <v>13250</v>
      </c>
    </row>
    <row r="434" spans="1:13" x14ac:dyDescent="0.25">
      <c r="A434" s="77">
        <v>44289.20416666667</v>
      </c>
      <c r="C434" s="74">
        <v>6500</v>
      </c>
      <c r="D434" s="74">
        <v>68955</v>
      </c>
      <c r="E434" s="74">
        <f t="shared" si="216"/>
        <v>75455</v>
      </c>
      <c r="F434" s="76">
        <f t="shared" ref="F434" si="292">C434-C433</f>
        <v>-630</v>
      </c>
      <c r="G434" s="76">
        <f>SUMIF(F$6:F434,"&gt;0")</f>
        <v>194740</v>
      </c>
      <c r="H434" s="76">
        <f t="shared" ref="H434" si="293">D434-D433</f>
        <v>0</v>
      </c>
      <c r="I434" s="76">
        <f t="shared" ref="I434" si="294">SUM(F434,H434)</f>
        <v>-630</v>
      </c>
      <c r="J434" s="81">
        <f t="shared" ref="J434" si="295">I434/4200*80</f>
        <v>-12</v>
      </c>
      <c r="K434" s="76">
        <f t="shared" ref="K434" si="296">IFERROR(G434 - _xlfn.XLOOKUP(A434-30, $A$6:$A$14998,G$6:G$14998,"",-1,2),NA())</f>
        <v>13250</v>
      </c>
    </row>
    <row r="435" spans="1:13" x14ac:dyDescent="0.25">
      <c r="A435" s="77">
        <v>44290.125694444447</v>
      </c>
      <c r="B435" s="105" t="s">
        <v>452</v>
      </c>
      <c r="C435" s="74">
        <v>3590</v>
      </c>
      <c r="D435" s="74">
        <v>68955</v>
      </c>
      <c r="E435" s="74">
        <f t="shared" si="216"/>
        <v>72545</v>
      </c>
      <c r="F435" s="76">
        <f t="shared" ref="F435" si="297">C435-C434</f>
        <v>-2910</v>
      </c>
      <c r="G435" s="76">
        <f>SUMIF(F$6:F435,"&gt;0")</f>
        <v>194740</v>
      </c>
      <c r="H435" s="76">
        <f t="shared" ref="H435" si="298">D435-D434</f>
        <v>0</v>
      </c>
      <c r="I435" s="76">
        <f t="shared" ref="I435" si="299">SUM(F435,H435)</f>
        <v>-2910</v>
      </c>
      <c r="J435" s="81">
        <f t="shared" ref="J435" si="300">I435/4200*80</f>
        <v>-55.428571428571431</v>
      </c>
      <c r="K435" s="76">
        <f t="shared" ref="K435" si="301">IFERROR(G435 - _xlfn.XLOOKUP(A435-30, $A$6:$A$14998,G$6:G$14998,"",-1,2),NA())</f>
        <v>13175</v>
      </c>
    </row>
    <row r="436" spans="1:13" x14ac:dyDescent="0.25">
      <c r="A436" s="77">
        <v>44290.151388888888</v>
      </c>
      <c r="C436" s="74">
        <v>5205</v>
      </c>
      <c r="D436" s="74">
        <v>68975</v>
      </c>
      <c r="E436" s="74">
        <f t="shared" si="216"/>
        <v>74180</v>
      </c>
      <c r="F436" s="76">
        <f t="shared" ref="F436" si="302">C436-C435</f>
        <v>1615</v>
      </c>
      <c r="G436" s="76">
        <f>SUMIF(F$6:F436,"&gt;0")</f>
        <v>196355</v>
      </c>
      <c r="H436" s="76">
        <f t="shared" ref="H436" si="303">D436-D435</f>
        <v>20</v>
      </c>
      <c r="I436" s="76">
        <f t="shared" ref="I436" si="304">SUM(F436,H436)</f>
        <v>1635</v>
      </c>
      <c r="J436" s="81">
        <f t="shared" ref="J436" si="305">I436/4200*80</f>
        <v>31.142857142857142</v>
      </c>
      <c r="K436" s="76">
        <f t="shared" ref="K436" si="306">IFERROR(G436 - _xlfn.XLOOKUP(A436-30, $A$6:$A$14998,G$6:G$14998,"",-1,2),NA())</f>
        <v>14790</v>
      </c>
    </row>
    <row r="437" spans="1:13" x14ac:dyDescent="0.25">
      <c r="A437" s="77">
        <v>44291.063888888886</v>
      </c>
      <c r="B437" s="105" t="s">
        <v>459</v>
      </c>
      <c r="C437" s="74">
        <v>2955</v>
      </c>
      <c r="D437" s="74">
        <v>68955</v>
      </c>
      <c r="E437" s="74">
        <f t="shared" si="216"/>
        <v>71910</v>
      </c>
      <c r="F437" s="76">
        <f t="shared" ref="F437" si="307">C437-C436</f>
        <v>-2250</v>
      </c>
      <c r="G437" s="76">
        <f>SUMIF(F$6:F437,"&gt;0")</f>
        <v>196355</v>
      </c>
      <c r="H437" s="76">
        <f t="shared" ref="H437" si="308">D437-D436</f>
        <v>-20</v>
      </c>
      <c r="I437" s="76">
        <f t="shared" ref="I437" si="309">SUM(F437,H437)</f>
        <v>-2270</v>
      </c>
      <c r="J437" s="81">
        <f t="shared" ref="J437" si="310">I437/4200*80</f>
        <v>-43.238095238095234</v>
      </c>
      <c r="K437" s="76">
        <f t="shared" ref="K437" si="311">IFERROR(G437 - _xlfn.XLOOKUP(A437-30, $A$6:$A$14998,G$6:G$14998,"",-1,2),NA())</f>
        <v>14740</v>
      </c>
    </row>
    <row r="438" spans="1:13" x14ac:dyDescent="0.25">
      <c r="A438" s="77">
        <v>44291.071527777778</v>
      </c>
      <c r="C438" s="74">
        <v>3205</v>
      </c>
      <c r="D438" s="74">
        <v>69025</v>
      </c>
      <c r="E438" s="74">
        <f t="shared" si="216"/>
        <v>72230</v>
      </c>
      <c r="F438" s="76">
        <f t="shared" ref="F438" si="312">C438-C437</f>
        <v>250</v>
      </c>
      <c r="G438" s="76">
        <f>SUMIF(F$6:F438,"&gt;0")</f>
        <v>196605</v>
      </c>
      <c r="H438" s="76">
        <f t="shared" ref="H438" si="313">D438-D437</f>
        <v>70</v>
      </c>
      <c r="I438" s="76">
        <f t="shared" ref="I438" si="314">SUM(F438,H438)</f>
        <v>320</v>
      </c>
      <c r="J438" s="81">
        <f t="shared" ref="J438" si="315">I438/4200*80</f>
        <v>6.0952380952380958</v>
      </c>
      <c r="K438" s="76">
        <f t="shared" ref="K438" si="316">IFERROR(G438 - _xlfn.XLOOKUP(A438-30, $A$6:$A$14998,G$6:G$14998,"",-1,2),NA())</f>
        <v>14990</v>
      </c>
    </row>
    <row r="439" spans="1:13" x14ac:dyDescent="0.25">
      <c r="A439" s="77">
        <v>44292.044444444444</v>
      </c>
      <c r="B439" s="105" t="s">
        <v>452</v>
      </c>
      <c r="C439" s="74">
        <v>1045</v>
      </c>
      <c r="D439" s="74">
        <v>69025</v>
      </c>
      <c r="E439" s="74">
        <f t="shared" si="216"/>
        <v>70070</v>
      </c>
      <c r="F439" s="76">
        <f t="shared" ref="F439" si="317">C439-C438</f>
        <v>-2160</v>
      </c>
      <c r="G439" s="76">
        <f>SUMIF(F$6:F439,"&gt;0")</f>
        <v>196605</v>
      </c>
      <c r="H439" s="76">
        <f t="shared" ref="H439" si="318">D439-D438</f>
        <v>0</v>
      </c>
      <c r="I439" s="76">
        <f t="shared" ref="I439" si="319">SUM(F439,H439)</f>
        <v>-2160</v>
      </c>
      <c r="J439" s="81">
        <f t="shared" ref="J439" si="320">I439/4200*80</f>
        <v>-41.142857142857139</v>
      </c>
      <c r="K439" s="76">
        <f t="shared" ref="K439" si="321">IFERROR(G439 - _xlfn.XLOOKUP(A439-30, $A$6:$A$14998,G$6:G$14998,"",-1,2),NA())</f>
        <v>14640</v>
      </c>
    </row>
    <row r="440" spans="1:13" x14ac:dyDescent="0.25">
      <c r="A440" s="77">
        <v>44292.132638888892</v>
      </c>
      <c r="C440" s="74">
        <v>3345</v>
      </c>
      <c r="D440" s="74">
        <v>69045</v>
      </c>
      <c r="E440" s="74">
        <f t="shared" si="216"/>
        <v>72390</v>
      </c>
      <c r="F440" s="76">
        <f t="shared" ref="F440" si="322">C440-C439</f>
        <v>2300</v>
      </c>
      <c r="G440" s="76">
        <f>SUMIF(F$6:F440,"&gt;0")</f>
        <v>198905</v>
      </c>
      <c r="H440" s="76">
        <f t="shared" ref="H440" si="323">D440-D439</f>
        <v>20</v>
      </c>
      <c r="I440" s="76">
        <f t="shared" ref="I440" si="324">SUM(F440,H440)</f>
        <v>2320</v>
      </c>
      <c r="J440" s="81">
        <f t="shared" ref="J440" si="325">I440/4200*80</f>
        <v>44.19047619047619</v>
      </c>
      <c r="K440" s="76">
        <f t="shared" ref="K440" si="326">IFERROR(G440 - _xlfn.XLOOKUP(A440-30, $A$6:$A$14998,G$6:G$14998,"",-1,2),NA())</f>
        <v>16940</v>
      </c>
    </row>
    <row r="441" spans="1:13" x14ac:dyDescent="0.25">
      <c r="A441" s="77">
        <v>44293.052777777775</v>
      </c>
      <c r="B441" s="105" t="s">
        <v>452</v>
      </c>
      <c r="C441" s="74">
        <v>405</v>
      </c>
      <c r="D441" s="74">
        <v>69045</v>
      </c>
      <c r="E441" s="74">
        <f t="shared" si="216"/>
        <v>69450</v>
      </c>
      <c r="F441" s="76">
        <f t="shared" ref="F441" si="327">C441-C440</f>
        <v>-2940</v>
      </c>
      <c r="G441" s="76">
        <f>SUMIF(F$6:F441,"&gt;0")</f>
        <v>198905</v>
      </c>
      <c r="H441" s="76">
        <f t="shared" ref="H441" si="328">D441-D440</f>
        <v>0</v>
      </c>
      <c r="I441" s="76">
        <f t="shared" ref="I441" si="329">SUM(F441,H441)</f>
        <v>-2940</v>
      </c>
      <c r="J441" s="81">
        <f t="shared" ref="J441" si="330">I441/4200*80</f>
        <v>-56</v>
      </c>
      <c r="K441" s="76">
        <f t="shared" ref="K441" si="331">IFERROR(G441 - _xlfn.XLOOKUP(A441-30, $A$6:$A$14998,G$6:G$14998,"",-1,2),NA())</f>
        <v>16590</v>
      </c>
    </row>
    <row r="442" spans="1:13" x14ac:dyDescent="0.25">
      <c r="A442" s="77">
        <v>44293.115972222222</v>
      </c>
      <c r="C442" s="74">
        <v>930</v>
      </c>
      <c r="D442" s="74">
        <v>69065</v>
      </c>
      <c r="E442" s="74">
        <f t="shared" si="216"/>
        <v>69995</v>
      </c>
      <c r="F442" s="76">
        <f t="shared" ref="F442" si="332">C442-C441</f>
        <v>525</v>
      </c>
      <c r="G442" s="76">
        <f>SUMIF(F$6:F442,"&gt;0")</f>
        <v>199430</v>
      </c>
      <c r="H442" s="76">
        <f t="shared" ref="H442" si="333">D442-D441</f>
        <v>20</v>
      </c>
      <c r="I442" s="76">
        <f t="shared" ref="I442" si="334">SUM(F442,H442)</f>
        <v>545</v>
      </c>
      <c r="J442" s="81">
        <f t="shared" ref="J442" si="335">I442/4200*80</f>
        <v>10.380952380952381</v>
      </c>
      <c r="K442" s="76">
        <f t="shared" ref="K442" si="336">IFERROR(G442 - _xlfn.XLOOKUP(A442-30, $A$6:$A$14998,G$6:G$14998,"",-1,2),NA())</f>
        <v>17115</v>
      </c>
    </row>
    <row r="443" spans="1:13" x14ac:dyDescent="0.25">
      <c r="A443" s="77">
        <v>44294.320138888892</v>
      </c>
      <c r="B443" s="105" t="s">
        <v>452</v>
      </c>
      <c r="C443" s="74">
        <v>0</v>
      </c>
      <c r="D443" s="74">
        <v>60995</v>
      </c>
      <c r="E443" s="74">
        <f t="shared" si="216"/>
        <v>60995</v>
      </c>
      <c r="F443" s="76">
        <f t="shared" ref="F443" si="337">C443-C442</f>
        <v>-930</v>
      </c>
      <c r="G443" s="76">
        <f>SUMIF(F$6:F443,"&gt;0")</f>
        <v>199430</v>
      </c>
      <c r="H443" s="76">
        <f t="shared" ref="H443" si="338">D443-D442</f>
        <v>-8070</v>
      </c>
      <c r="I443" s="76">
        <f t="shared" ref="I443" si="339">SUM(F443,H443)</f>
        <v>-9000</v>
      </c>
      <c r="J443" s="81">
        <f t="shared" ref="J443" si="340">I443/4200*80</f>
        <v>-171.42857142857142</v>
      </c>
      <c r="K443" s="76">
        <f t="shared" ref="K443" si="341">IFERROR(G443 - _xlfn.XLOOKUP(A443-30, $A$6:$A$14998,G$6:G$14998,"",-1,2),NA())</f>
        <v>16900</v>
      </c>
    </row>
    <row r="444" spans="1:13" x14ac:dyDescent="0.25">
      <c r="A444" s="77">
        <v>44294.902777777781</v>
      </c>
      <c r="C444" s="74">
        <v>3700</v>
      </c>
      <c r="D444" s="74">
        <v>61045</v>
      </c>
      <c r="E444" s="74">
        <f t="shared" si="216"/>
        <v>64745</v>
      </c>
      <c r="F444" s="76">
        <f t="shared" ref="F444" si="342">C444-C443</f>
        <v>3700</v>
      </c>
      <c r="G444" s="76">
        <f>SUMIF(F$6:F444,"&gt;0")</f>
        <v>203130</v>
      </c>
      <c r="H444" s="76">
        <f t="shared" ref="H444" si="343">D444-D443</f>
        <v>50</v>
      </c>
      <c r="I444" s="76">
        <f t="shared" ref="I444" si="344">SUM(F444,H444)</f>
        <v>3750</v>
      </c>
      <c r="J444" s="81">
        <f t="shared" ref="J444" si="345">I444/4200*80</f>
        <v>71.428571428571431</v>
      </c>
      <c r="K444" s="76">
        <f t="shared" ref="K444" si="346">IFERROR(G444 - _xlfn.XLOOKUP(A444-30, $A$6:$A$14998,G$6:G$14998,"",-1,2),NA())</f>
        <v>20600</v>
      </c>
    </row>
    <row r="445" spans="1:13" x14ac:dyDescent="0.25">
      <c r="A445" s="77">
        <v>44296.038888888892</v>
      </c>
      <c r="C445" s="74">
        <v>10</v>
      </c>
      <c r="D445" s="74">
        <v>57595</v>
      </c>
      <c r="E445" s="74">
        <f t="shared" si="216"/>
        <v>57605</v>
      </c>
      <c r="F445" s="76">
        <f t="shared" ref="F445" si="347">C445-C444</f>
        <v>-3690</v>
      </c>
      <c r="G445" s="76">
        <f>SUMIF(F$6:F445,"&gt;0")</f>
        <v>203130</v>
      </c>
      <c r="H445" s="76">
        <f t="shared" ref="H445" si="348">D445-D444</f>
        <v>-3450</v>
      </c>
      <c r="I445" s="76">
        <f t="shared" ref="I445" si="349">SUM(F445,H445)</f>
        <v>-7140</v>
      </c>
      <c r="J445" s="81">
        <f t="shared" ref="J445" si="350">I445/4200*80</f>
        <v>-136</v>
      </c>
      <c r="K445" s="76">
        <f t="shared" ref="K445" si="351">IFERROR(G445 - _xlfn.XLOOKUP(A445-30, $A$6:$A$14998,G$6:G$14998,"",-1,2),NA())</f>
        <v>20600</v>
      </c>
    </row>
    <row r="446" spans="1:13" x14ac:dyDescent="0.25">
      <c r="A446" s="77">
        <v>44296.064583333333</v>
      </c>
      <c r="C446" s="74">
        <v>385</v>
      </c>
      <c r="D446" s="74">
        <v>57635</v>
      </c>
      <c r="E446" s="74">
        <f t="shared" si="216"/>
        <v>58020</v>
      </c>
      <c r="F446" s="76">
        <f t="shared" ref="F446" si="352">C446-C445</f>
        <v>375</v>
      </c>
      <c r="G446" s="76">
        <f>SUMIF(F$6:F446,"&gt;0")</f>
        <v>203505</v>
      </c>
      <c r="H446" s="76">
        <f t="shared" ref="H446" si="353">D446-D445</f>
        <v>40</v>
      </c>
      <c r="I446" s="76">
        <f t="shared" ref="I446" si="354">SUM(F446,H446)</f>
        <v>415</v>
      </c>
      <c r="J446" s="81">
        <f t="shared" ref="J446" si="355">I446/4200*80</f>
        <v>7.9047619047619042</v>
      </c>
      <c r="K446" s="76">
        <f t="shared" ref="K446" si="356">IFERROR(G446 - _xlfn.XLOOKUP(A446-30, $A$6:$A$14998,G$6:G$14998,"",-1,2),NA())</f>
        <v>20975</v>
      </c>
    </row>
    <row r="447" spans="1:13" x14ac:dyDescent="0.25">
      <c r="A447" s="77">
        <v>44297.570833333331</v>
      </c>
      <c r="B447" s="105" t="s">
        <v>452</v>
      </c>
      <c r="C447" s="74">
        <v>25</v>
      </c>
      <c r="D447" s="74">
        <v>48635</v>
      </c>
      <c r="E447" s="74">
        <f t="shared" si="216"/>
        <v>48660</v>
      </c>
      <c r="F447" s="76">
        <f t="shared" ref="F447" si="357">C447-C446</f>
        <v>-360</v>
      </c>
      <c r="G447" s="76">
        <f>SUMIF(F$6:F447,"&gt;0")</f>
        <v>203505</v>
      </c>
      <c r="H447" s="76">
        <f t="shared" ref="H447" si="358">D447-D446</f>
        <v>-9000</v>
      </c>
      <c r="I447" s="76">
        <f t="shared" ref="I447" si="359">SUM(F447,H447)</f>
        <v>-9360</v>
      </c>
      <c r="J447" s="81">
        <f t="shared" ref="J447" si="360">I447/4200*80</f>
        <v>-178.28571428571428</v>
      </c>
      <c r="K447" s="76">
        <f t="shared" ref="K447" si="361">IFERROR(G447 - _xlfn.XLOOKUP(A447-30, $A$6:$A$14998,G$6:G$14998,"",-1,2),NA())</f>
        <v>19980</v>
      </c>
    </row>
    <row r="448" spans="1:13" x14ac:dyDescent="0.25">
      <c r="A448" s="77">
        <v>44297.584027777775</v>
      </c>
      <c r="B448" s="105" t="s">
        <v>460</v>
      </c>
      <c r="C448" s="74">
        <v>300</v>
      </c>
      <c r="D448" s="74">
        <v>49210</v>
      </c>
      <c r="E448" s="74">
        <f t="shared" si="216"/>
        <v>49510</v>
      </c>
      <c r="F448" s="76">
        <f t="shared" ref="F448" si="362">C448-C447</f>
        <v>275</v>
      </c>
      <c r="G448" s="76">
        <f>SUMIF(F$6:F448,"&gt;0")</f>
        <v>203780</v>
      </c>
      <c r="H448" s="76">
        <f t="shared" ref="H448" si="363">D448-D447</f>
        <v>575</v>
      </c>
      <c r="I448" s="76">
        <f t="shared" ref="I448" si="364">SUM(F448,H448)</f>
        <v>850</v>
      </c>
      <c r="J448" s="81">
        <f t="shared" ref="J448" si="365">I448/4200*80</f>
        <v>16.19047619047619</v>
      </c>
      <c r="K448" s="76">
        <f t="shared" ref="K448" si="366">IFERROR(G448 - _xlfn.XLOOKUP(A448-30, $A$6:$A$14998,G$6:G$14998,"",-1,2),NA())</f>
        <v>20255</v>
      </c>
      <c r="L448" s="74">
        <v>1005</v>
      </c>
      <c r="M448" s="74">
        <v>17</v>
      </c>
    </row>
    <row r="449" spans="1:13" x14ac:dyDescent="0.25">
      <c r="A449" s="77">
        <v>44298.450694444444</v>
      </c>
      <c r="B449" s="105" t="s">
        <v>452</v>
      </c>
      <c r="C449" s="74">
        <v>0</v>
      </c>
      <c r="D449" s="74">
        <v>46000</v>
      </c>
      <c r="E449" s="74">
        <f t="shared" si="216"/>
        <v>46000</v>
      </c>
      <c r="F449" s="76">
        <f t="shared" ref="F449" si="367">C449-C448</f>
        <v>-300</v>
      </c>
      <c r="G449" s="76">
        <f>SUMIF(F$6:F449,"&gt;0")</f>
        <v>203780</v>
      </c>
      <c r="H449" s="76">
        <f t="shared" ref="H449" si="368">D449-D448</f>
        <v>-3210</v>
      </c>
      <c r="I449" s="76">
        <f t="shared" ref="I449" si="369">SUM(F449,H449)</f>
        <v>-3510</v>
      </c>
      <c r="J449" s="81">
        <f t="shared" ref="J449" si="370">I449/4200*80</f>
        <v>-66.857142857142861</v>
      </c>
      <c r="K449" s="76">
        <f t="shared" ref="K449" si="371">IFERROR(G449 - _xlfn.XLOOKUP(A449-30, $A$6:$A$14998,G$6:G$14998,"",-1,2),NA())</f>
        <v>19670</v>
      </c>
    </row>
    <row r="450" spans="1:13" x14ac:dyDescent="0.25">
      <c r="A450" s="77">
        <v>44298.5</v>
      </c>
      <c r="C450" s="74">
        <v>670</v>
      </c>
      <c r="D450" s="74">
        <v>46020</v>
      </c>
      <c r="E450" s="74">
        <f t="shared" si="216"/>
        <v>46690</v>
      </c>
      <c r="F450" s="76">
        <f t="shared" ref="F450" si="372">C450-C449</f>
        <v>670</v>
      </c>
      <c r="G450" s="76">
        <f>SUMIF(F$6:F450,"&gt;0")</f>
        <v>204450</v>
      </c>
      <c r="H450" s="76">
        <f t="shared" ref="H450" si="373">D450-D449</f>
        <v>20</v>
      </c>
      <c r="I450" s="76">
        <f t="shared" ref="I450" si="374">SUM(F450,H450)</f>
        <v>690</v>
      </c>
      <c r="J450" s="81">
        <f t="shared" ref="J450" si="375">I450/4200*80</f>
        <v>13.142857142857142</v>
      </c>
      <c r="K450" s="76">
        <f t="shared" ref="K450" si="376">IFERROR(G450 - _xlfn.XLOOKUP(A450-30, $A$6:$A$14998,G$6:G$14998,"",-1,2),NA())</f>
        <v>20340</v>
      </c>
    </row>
    <row r="451" spans="1:13" x14ac:dyDescent="0.25">
      <c r="A451" s="77">
        <v>44299.320138888892</v>
      </c>
      <c r="B451" s="105" t="s">
        <v>452</v>
      </c>
      <c r="C451" s="74">
        <v>10</v>
      </c>
      <c r="D451" s="74">
        <v>42270</v>
      </c>
      <c r="E451" s="74">
        <f t="shared" si="216"/>
        <v>42280</v>
      </c>
      <c r="F451" s="76">
        <f t="shared" ref="F451" si="377">C451-C450</f>
        <v>-660</v>
      </c>
      <c r="G451" s="76">
        <f>SUMIF(F$6:F451,"&gt;0")</f>
        <v>204450</v>
      </c>
      <c r="H451" s="76">
        <f t="shared" ref="H451" si="378">D451-D450</f>
        <v>-3750</v>
      </c>
      <c r="I451" s="76">
        <f t="shared" ref="I451" si="379">SUM(F451,H451)</f>
        <v>-4410</v>
      </c>
      <c r="J451" s="81">
        <f t="shared" ref="J451" si="380">I451/4200*80</f>
        <v>-84</v>
      </c>
      <c r="K451" s="76">
        <f t="shared" ref="K451" si="381">IFERROR(G451 - _xlfn.XLOOKUP(A451-30, $A$6:$A$14998,G$6:G$14998,"",-1,2),NA())</f>
        <v>20340</v>
      </c>
    </row>
    <row r="452" spans="1:13" x14ac:dyDescent="0.25">
      <c r="A452" s="77">
        <v>44299.34097222222</v>
      </c>
      <c r="C452" s="74">
        <v>305</v>
      </c>
      <c r="D452" s="74">
        <v>42290</v>
      </c>
      <c r="E452" s="74">
        <f t="shared" si="216"/>
        <v>42595</v>
      </c>
      <c r="F452" s="76">
        <f t="shared" ref="F452" si="382">C452-C451</f>
        <v>295</v>
      </c>
      <c r="G452" s="76">
        <f>SUMIF(F$6:F452,"&gt;0")</f>
        <v>204745</v>
      </c>
      <c r="H452" s="76">
        <f t="shared" ref="H452" si="383">D452-D451</f>
        <v>20</v>
      </c>
      <c r="I452" s="76">
        <f t="shared" ref="I452" si="384">SUM(F452,H452)</f>
        <v>315</v>
      </c>
      <c r="J452" s="81">
        <f t="shared" ref="J452" si="385">I452/4200*80</f>
        <v>6</v>
      </c>
      <c r="K452" s="76">
        <f t="shared" ref="K452" si="386">IFERROR(G452 - _xlfn.XLOOKUP(A452-30, $A$6:$A$14998,G$6:G$14998,"",-1,2),NA())</f>
        <v>20635</v>
      </c>
    </row>
    <row r="453" spans="1:13" x14ac:dyDescent="0.25">
      <c r="A453" s="77">
        <v>44300.244444444441</v>
      </c>
      <c r="C453" s="74">
        <v>5</v>
      </c>
      <c r="D453" s="74">
        <v>36890</v>
      </c>
      <c r="E453" s="74">
        <f t="shared" si="216"/>
        <v>36895</v>
      </c>
      <c r="F453" s="76">
        <f t="shared" ref="F453" si="387">C453-C452</f>
        <v>-300</v>
      </c>
      <c r="G453" s="76">
        <f>SUMIF(F$6:F453,"&gt;0")</f>
        <v>204745</v>
      </c>
      <c r="H453" s="76">
        <f t="shared" ref="H453" si="388">D453-D452</f>
        <v>-5400</v>
      </c>
      <c r="I453" s="76">
        <f t="shared" ref="I453" si="389">SUM(F453,H453)</f>
        <v>-5700</v>
      </c>
      <c r="J453" s="81">
        <f t="shared" ref="J453" si="390">I453/4200*80</f>
        <v>-108.57142857142858</v>
      </c>
      <c r="K453" s="76">
        <f t="shared" ref="K453" si="391">IFERROR(G453 - _xlfn.XLOOKUP(A453-30, $A$6:$A$14998,G$6:G$14998,"",-1,2),NA())</f>
        <v>20575</v>
      </c>
    </row>
    <row r="454" spans="1:13" x14ac:dyDescent="0.25">
      <c r="A454" s="77">
        <v>44300.308333333334</v>
      </c>
      <c r="C454" s="74">
        <v>595</v>
      </c>
      <c r="D454" s="74">
        <v>36910</v>
      </c>
      <c r="E454" s="74">
        <f t="shared" si="216"/>
        <v>37505</v>
      </c>
      <c r="F454" s="76">
        <f t="shared" ref="F454" si="392">C454-C453</f>
        <v>590</v>
      </c>
      <c r="G454" s="76">
        <f>SUMIF(F$6:F454,"&gt;0")</f>
        <v>205335</v>
      </c>
      <c r="H454" s="76">
        <f t="shared" ref="H454" si="393">D454-D453</f>
        <v>20</v>
      </c>
      <c r="I454" s="76">
        <f t="shared" ref="I454" si="394">SUM(F454,H454)</f>
        <v>610</v>
      </c>
      <c r="J454" s="81">
        <f t="shared" ref="J454" si="395">I454/4200*80</f>
        <v>11.61904761904762</v>
      </c>
      <c r="K454" s="76">
        <f t="shared" ref="K454" si="396">IFERROR(G454 - _xlfn.XLOOKUP(A454-30, $A$6:$A$14998,G$6:G$14998,"",-1,2),NA())</f>
        <v>21165</v>
      </c>
    </row>
    <row r="455" spans="1:13" x14ac:dyDescent="0.25">
      <c r="A455" s="77">
        <v>44301.044444444444</v>
      </c>
      <c r="B455" s="105" t="s">
        <v>452</v>
      </c>
      <c r="C455" s="74">
        <v>25</v>
      </c>
      <c r="D455" s="74">
        <v>32650</v>
      </c>
      <c r="E455" s="74">
        <f t="shared" si="216"/>
        <v>32675</v>
      </c>
      <c r="F455" s="76">
        <f t="shared" ref="F455" si="397">C455-C454</f>
        <v>-570</v>
      </c>
      <c r="G455" s="76">
        <f>SUMIF(F$6:F455,"&gt;0")</f>
        <v>205335</v>
      </c>
      <c r="H455" s="76">
        <f t="shared" ref="H455" si="398">D455-D454</f>
        <v>-4260</v>
      </c>
      <c r="I455" s="76">
        <f t="shared" ref="I455" si="399">SUM(F455,H455)</f>
        <v>-4830</v>
      </c>
      <c r="J455" s="81">
        <f t="shared" ref="J455" si="400">I455/4200*80</f>
        <v>-92</v>
      </c>
      <c r="K455" s="76">
        <f t="shared" ref="K455" si="401">IFERROR(G455 - _xlfn.XLOOKUP(A455-30, $A$6:$A$14998,G$6:G$14998,"",-1,2),NA())</f>
        <v>21105</v>
      </c>
    </row>
    <row r="456" spans="1:13" x14ac:dyDescent="0.25">
      <c r="A456" s="77">
        <v>44301.17083333333</v>
      </c>
      <c r="B456" s="105" t="s">
        <v>461</v>
      </c>
      <c r="C456" s="74">
        <v>25</v>
      </c>
      <c r="D456" s="74">
        <v>32620</v>
      </c>
      <c r="E456" s="74">
        <f t="shared" si="216"/>
        <v>32645</v>
      </c>
      <c r="F456" s="76">
        <f t="shared" ref="F456" si="402">C456-C455</f>
        <v>0</v>
      </c>
      <c r="G456" s="76">
        <f>SUMIF(F$6:F456,"&gt;0")</f>
        <v>205335</v>
      </c>
      <c r="H456" s="76">
        <f t="shared" ref="H456" si="403">D456-D455</f>
        <v>-30</v>
      </c>
      <c r="I456" s="76">
        <f t="shared" ref="I456" si="404">SUM(F456,H456)</f>
        <v>-30</v>
      </c>
      <c r="J456" s="81">
        <f t="shared" ref="J456" si="405">I456/4200*80</f>
        <v>-0.5714285714285714</v>
      </c>
      <c r="K456" s="76">
        <f t="shared" ref="K456" si="406">IFERROR(G456 - _xlfn.XLOOKUP(A456-30, $A$6:$A$14998,G$6:G$14998,"",-1,2),NA())</f>
        <v>20745</v>
      </c>
    </row>
    <row r="457" spans="1:13" x14ac:dyDescent="0.25">
      <c r="A457" s="77">
        <v>44301.171527777777</v>
      </c>
      <c r="C457" s="74">
        <v>940</v>
      </c>
      <c r="D457" s="74">
        <v>32670</v>
      </c>
      <c r="E457" s="74">
        <f t="shared" si="216"/>
        <v>33610</v>
      </c>
      <c r="F457" s="76">
        <f t="shared" ref="F457" si="407">C457-C456</f>
        <v>915</v>
      </c>
      <c r="G457" s="76">
        <f>SUMIF(F$6:F457,"&gt;0")</f>
        <v>206250</v>
      </c>
      <c r="H457" s="76">
        <f t="shared" ref="H457" si="408">D457-D456</f>
        <v>50</v>
      </c>
      <c r="I457" s="76">
        <f t="shared" ref="I457" si="409">SUM(F457,H457)</f>
        <v>965</v>
      </c>
      <c r="J457" s="81">
        <f t="shared" ref="J457" si="410">I457/4200*80</f>
        <v>18.38095238095238</v>
      </c>
      <c r="K457" s="76">
        <f t="shared" ref="K457" si="411">IFERROR(G457 - _xlfn.XLOOKUP(A457-30, $A$6:$A$14998,G$6:G$14998,"",-1,2),NA())</f>
        <v>21660</v>
      </c>
    </row>
    <row r="458" spans="1:13" x14ac:dyDescent="0.25">
      <c r="A458" s="77">
        <v>44302.367361111108</v>
      </c>
      <c r="B458" s="105" t="s">
        <v>452</v>
      </c>
      <c r="C458" s="74">
        <v>10</v>
      </c>
      <c r="D458" s="74">
        <v>28620</v>
      </c>
      <c r="E458" s="74">
        <f t="shared" si="216"/>
        <v>28630</v>
      </c>
      <c r="F458" s="76">
        <f t="shared" ref="F458" si="412">C458-C457</f>
        <v>-930</v>
      </c>
      <c r="G458" s="76">
        <f>SUMIF(F$6:F458,"&gt;0")</f>
        <v>206250</v>
      </c>
      <c r="H458" s="76">
        <f t="shared" ref="H458" si="413">D458-D457</f>
        <v>-4050</v>
      </c>
      <c r="I458" s="76">
        <f t="shared" ref="I458" si="414">SUM(F458,H458)</f>
        <v>-4980</v>
      </c>
      <c r="J458" s="81">
        <f t="shared" ref="J458" si="415">I458/4200*80</f>
        <v>-94.857142857142861</v>
      </c>
      <c r="K458" s="76">
        <f t="shared" ref="K458" si="416">IFERROR(G458 - _xlfn.XLOOKUP(A458-30, $A$6:$A$14998,G$6:G$14998,"",-1,2),NA())</f>
        <v>21660</v>
      </c>
    </row>
    <row r="459" spans="1:13" x14ac:dyDescent="0.25">
      <c r="A459" s="77">
        <v>44302.394444444442</v>
      </c>
      <c r="C459" s="74">
        <v>480</v>
      </c>
      <c r="D459" s="74">
        <v>28140</v>
      </c>
      <c r="E459" s="74">
        <f t="shared" si="216"/>
        <v>28620</v>
      </c>
      <c r="F459" s="76">
        <f t="shared" ref="F459" si="417">C459-C458</f>
        <v>470</v>
      </c>
      <c r="G459" s="76">
        <f>SUMIF(F$6:F459,"&gt;0")</f>
        <v>206720</v>
      </c>
      <c r="H459" s="76">
        <f t="shared" ref="H459" si="418">D459-D458</f>
        <v>-480</v>
      </c>
      <c r="I459" s="76">
        <f t="shared" ref="I459" si="419">SUM(F459,H459)</f>
        <v>-10</v>
      </c>
      <c r="J459" s="81">
        <f t="shared" ref="J459" si="420">I459/4200*80</f>
        <v>-0.19047619047619049</v>
      </c>
      <c r="K459" s="76">
        <f t="shared" ref="K459" si="421">IFERROR(G459 - _xlfn.XLOOKUP(A459-30, $A$6:$A$14998,G$6:G$14998,"",-1,2),NA())</f>
        <v>22130</v>
      </c>
    </row>
    <row r="460" spans="1:13" x14ac:dyDescent="0.25">
      <c r="A460" s="77">
        <v>44303.520138888889</v>
      </c>
      <c r="B460" s="105" t="s">
        <v>452</v>
      </c>
      <c r="C460" s="74">
        <v>0</v>
      </c>
      <c r="D460" s="74">
        <v>21330</v>
      </c>
      <c r="E460" s="74">
        <f t="shared" si="216"/>
        <v>21330</v>
      </c>
      <c r="F460" s="76">
        <f t="shared" ref="F460" si="422">C460-C459</f>
        <v>-480</v>
      </c>
      <c r="G460" s="76">
        <f>SUMIF(F$6:F460,"&gt;0")</f>
        <v>206720</v>
      </c>
      <c r="H460" s="76">
        <f t="shared" ref="H460" si="423">D460-D459</f>
        <v>-6810</v>
      </c>
      <c r="I460" s="76">
        <f t="shared" ref="I460" si="424">SUM(F460,H460)</f>
        <v>-7290</v>
      </c>
      <c r="J460" s="81">
        <f t="shared" ref="J460" si="425">I460/4200*80</f>
        <v>-138.85714285714286</v>
      </c>
      <c r="K460" s="76">
        <f t="shared" ref="K460" si="426">IFERROR(G460 - _xlfn.XLOOKUP(A460-30, $A$6:$A$14998,G$6:G$14998,"",-1,2),NA())</f>
        <v>21530</v>
      </c>
    </row>
    <row r="461" spans="1:13" x14ac:dyDescent="0.25">
      <c r="A461" s="77">
        <v>44303.540277777778</v>
      </c>
      <c r="B461" s="105" t="s">
        <v>460</v>
      </c>
      <c r="C461" s="74">
        <v>335</v>
      </c>
      <c r="D461" s="74">
        <v>21905</v>
      </c>
      <c r="E461" s="74">
        <f t="shared" si="216"/>
        <v>22240</v>
      </c>
      <c r="F461" s="76">
        <f t="shared" ref="F461" si="427">C461-C460</f>
        <v>335</v>
      </c>
      <c r="G461" s="76">
        <f>SUMIF(F$6:F461,"&gt;0")</f>
        <v>207055</v>
      </c>
      <c r="H461" s="76">
        <f t="shared" ref="H461" si="428">D461-D460</f>
        <v>575</v>
      </c>
      <c r="I461" s="76">
        <f t="shared" ref="I461" si="429">SUM(F461,H461)</f>
        <v>910</v>
      </c>
      <c r="J461" s="81">
        <f t="shared" ref="J461" si="430">I461/4200*80</f>
        <v>17.333333333333336</v>
      </c>
      <c r="K461" s="76">
        <f t="shared" ref="K461" si="431">IFERROR(G461 - _xlfn.XLOOKUP(A461-30, $A$6:$A$14998,G$6:G$14998,"",-1,2),NA())</f>
        <v>21865</v>
      </c>
      <c r="L461" s="74">
        <v>1005</v>
      </c>
      <c r="M461" s="74">
        <v>17</v>
      </c>
    </row>
    <row r="462" spans="1:13" x14ac:dyDescent="0.25">
      <c r="A462" s="77">
        <v>44304.81527777778</v>
      </c>
      <c r="B462" s="105" t="s">
        <v>452</v>
      </c>
      <c r="C462" s="74">
        <v>5</v>
      </c>
      <c r="D462" s="74">
        <v>15185</v>
      </c>
      <c r="E462" s="74">
        <f t="shared" si="216"/>
        <v>15190</v>
      </c>
      <c r="F462" s="76">
        <f t="shared" ref="F462" si="432">C462-C461</f>
        <v>-330</v>
      </c>
      <c r="G462" s="76">
        <f>SUMIF(F$6:F462,"&gt;0")</f>
        <v>207055</v>
      </c>
      <c r="H462" s="76">
        <f t="shared" ref="H462" si="433">D462-D461</f>
        <v>-6720</v>
      </c>
      <c r="I462" s="76">
        <f t="shared" ref="I462" si="434">SUM(F462,H462)</f>
        <v>-7050</v>
      </c>
      <c r="J462" s="81">
        <f t="shared" ref="J462" si="435">I462/4200*80</f>
        <v>-134.28571428571428</v>
      </c>
      <c r="K462" s="76">
        <f t="shared" ref="K462" si="436">IFERROR(G462 - _xlfn.XLOOKUP(A462-30, $A$6:$A$14998,G$6:G$14998,"",-1,2),NA())</f>
        <v>21865</v>
      </c>
    </row>
    <row r="463" spans="1:13" x14ac:dyDescent="0.25">
      <c r="A463" s="77">
        <v>44304.845138888886</v>
      </c>
      <c r="C463" s="74">
        <v>190</v>
      </c>
      <c r="D463" s="74">
        <v>15205</v>
      </c>
      <c r="E463" s="74">
        <f t="shared" si="216"/>
        <v>15395</v>
      </c>
      <c r="F463" s="76">
        <f t="shared" ref="F463" si="437">C463-C462</f>
        <v>185</v>
      </c>
      <c r="G463" s="76">
        <f>SUMIF(F$6:F463,"&gt;0")</f>
        <v>207240</v>
      </c>
      <c r="H463" s="76">
        <f t="shared" ref="H463" si="438">D463-D462</f>
        <v>20</v>
      </c>
      <c r="I463" s="76">
        <f t="shared" ref="I463" si="439">SUM(F463,H463)</f>
        <v>205</v>
      </c>
      <c r="J463" s="81">
        <f t="shared" ref="J463" si="440">I463/4200*80</f>
        <v>3.9047619047619047</v>
      </c>
      <c r="K463" s="76">
        <f t="shared" ref="K463" si="441">IFERROR(G463 - _xlfn.XLOOKUP(A463-30, $A$6:$A$14998,G$6:G$14998,"",-1,2),NA())</f>
        <v>21225</v>
      </c>
    </row>
    <row r="464" spans="1:13" x14ac:dyDescent="0.25">
      <c r="A464" s="77">
        <v>44305.080555555556</v>
      </c>
      <c r="B464" s="105" t="s">
        <v>452</v>
      </c>
      <c r="C464" s="74">
        <v>10</v>
      </c>
      <c r="D464" s="74">
        <v>14155</v>
      </c>
      <c r="E464" s="74">
        <f t="shared" si="216"/>
        <v>14165</v>
      </c>
      <c r="F464" s="76">
        <f t="shared" ref="F464" si="442">C464-C463</f>
        <v>-180</v>
      </c>
      <c r="G464" s="76">
        <f>SUMIF(F$6:F464,"&gt;0")</f>
        <v>207240</v>
      </c>
      <c r="H464" s="76">
        <f t="shared" ref="H464" si="443">D464-D463</f>
        <v>-1050</v>
      </c>
      <c r="I464" s="76">
        <f t="shared" ref="I464" si="444">SUM(F464,H464)</f>
        <v>-1230</v>
      </c>
      <c r="J464" s="81">
        <f t="shared" ref="J464" si="445">I464/4200*80</f>
        <v>-23.428571428571431</v>
      </c>
      <c r="K464" s="76">
        <f t="shared" ref="K464" si="446">IFERROR(G464 - _xlfn.XLOOKUP(A464-30, $A$6:$A$14998,G$6:G$14998,"",-1,2),NA())</f>
        <v>21225</v>
      </c>
    </row>
    <row r="465" spans="1:13" x14ac:dyDescent="0.25">
      <c r="A465" s="77">
        <v>44305.089583333334</v>
      </c>
      <c r="C465" s="74">
        <v>260</v>
      </c>
      <c r="D465" s="74">
        <v>14175</v>
      </c>
      <c r="E465" s="74">
        <f t="shared" si="216"/>
        <v>14435</v>
      </c>
      <c r="F465" s="76">
        <f t="shared" ref="F465" si="447">C465-C464</f>
        <v>250</v>
      </c>
      <c r="G465" s="76">
        <f>SUMIF(F$6:F465,"&gt;0")</f>
        <v>207490</v>
      </c>
      <c r="H465" s="76">
        <f t="shared" ref="H465" si="448">D465-D464</f>
        <v>20</v>
      </c>
      <c r="I465" s="76">
        <f t="shared" ref="I465" si="449">SUM(F465,H465)</f>
        <v>270</v>
      </c>
      <c r="J465" s="81">
        <f t="shared" ref="J465" si="450">I465/4200*80</f>
        <v>5.1428571428571423</v>
      </c>
      <c r="K465" s="76">
        <f t="shared" ref="K465" si="451">IFERROR(G465 - _xlfn.XLOOKUP(A465-30, $A$6:$A$14998,G$6:G$14998,"",-1,2),NA())</f>
        <v>21475</v>
      </c>
    </row>
    <row r="466" spans="1:13" x14ac:dyDescent="0.25">
      <c r="A466" s="77">
        <v>44306.711805555555</v>
      </c>
      <c r="B466" s="105" t="s">
        <v>452</v>
      </c>
      <c r="C466" s="74">
        <v>20</v>
      </c>
      <c r="D466" s="74">
        <v>2985</v>
      </c>
      <c r="E466" s="74">
        <f t="shared" si="216"/>
        <v>3005</v>
      </c>
      <c r="F466" s="76">
        <f t="shared" ref="F466" si="452">C466-C465</f>
        <v>-240</v>
      </c>
      <c r="G466" s="76">
        <f>SUMIF(F$6:F466,"&gt;0")</f>
        <v>207490</v>
      </c>
      <c r="H466" s="76">
        <f t="shared" ref="H466" si="453">D466-D465</f>
        <v>-11190</v>
      </c>
      <c r="I466" s="76">
        <f t="shared" ref="I466" si="454">SUM(F466,H466)</f>
        <v>-11430</v>
      </c>
      <c r="J466" s="81">
        <f t="shared" ref="J466" si="455">I466/4200*80</f>
        <v>-217.71428571428572</v>
      </c>
      <c r="K466" s="76">
        <f t="shared" ref="K466" si="456">IFERROR(G466 - _xlfn.XLOOKUP(A466-30, $A$6:$A$14998,G$6:G$14998,"",-1,2),NA())</f>
        <v>21075</v>
      </c>
    </row>
    <row r="467" spans="1:13" x14ac:dyDescent="0.25">
      <c r="A467" s="77">
        <v>44306.736111111109</v>
      </c>
      <c r="C467" s="74">
        <v>195</v>
      </c>
      <c r="D467" s="74">
        <v>3005</v>
      </c>
      <c r="E467" s="74">
        <f t="shared" si="216"/>
        <v>3200</v>
      </c>
      <c r="F467" s="76">
        <f t="shared" ref="F467" si="457">C467-C466</f>
        <v>175</v>
      </c>
      <c r="G467" s="76">
        <f>SUMIF(F$6:F467,"&gt;0")</f>
        <v>207665</v>
      </c>
      <c r="H467" s="76">
        <f t="shared" ref="H467" si="458">D467-D466</f>
        <v>20</v>
      </c>
      <c r="I467" s="76">
        <f t="shared" ref="I467" si="459">SUM(F467,H467)</f>
        <v>195</v>
      </c>
      <c r="J467" s="81">
        <f t="shared" ref="J467" si="460">I467/4200*80</f>
        <v>3.7142857142857144</v>
      </c>
      <c r="K467" s="76">
        <f t="shared" ref="K467" si="461">IFERROR(G467 - _xlfn.XLOOKUP(A467-30, $A$6:$A$14998,G$6:G$14998,"",-1,2),NA())</f>
        <v>21250</v>
      </c>
    </row>
    <row r="468" spans="1:13" x14ac:dyDescent="0.25">
      <c r="A468" s="77">
        <v>44307.042361111111</v>
      </c>
      <c r="B468" s="105" t="s">
        <v>452</v>
      </c>
      <c r="C468" s="74">
        <v>15</v>
      </c>
      <c r="D468" s="74">
        <v>815</v>
      </c>
      <c r="E468" s="74">
        <f t="shared" si="216"/>
        <v>830</v>
      </c>
      <c r="F468" s="76">
        <f t="shared" ref="F468" si="462">C468-C467</f>
        <v>-180</v>
      </c>
      <c r="G468" s="76">
        <f>SUMIF(F$6:F468,"&gt;0")</f>
        <v>207665</v>
      </c>
      <c r="H468" s="76">
        <f t="shared" ref="H468" si="463">D468-D467</f>
        <v>-2190</v>
      </c>
      <c r="I468" s="76">
        <f t="shared" ref="I468" si="464">SUM(F468,H468)</f>
        <v>-2370</v>
      </c>
      <c r="J468" s="81">
        <f t="shared" ref="J468" si="465">I468/4200*80</f>
        <v>-45.142857142857139</v>
      </c>
      <c r="K468" s="76">
        <f t="shared" ref="K468" si="466">IFERROR(G468 - _xlfn.XLOOKUP(A468-30, $A$6:$A$14998,G$6:G$14998,"",-1,2),NA())</f>
        <v>21250</v>
      </c>
      <c r="L468" s="74">
        <v>8925</v>
      </c>
      <c r="M468" s="74">
        <v>167</v>
      </c>
    </row>
    <row r="469" spans="1:13" x14ac:dyDescent="0.25">
      <c r="A469" s="77">
        <v>44307.044444444444</v>
      </c>
      <c r="C469" s="74">
        <v>15</v>
      </c>
      <c r="D469" s="74">
        <v>9740</v>
      </c>
      <c r="E469" s="74">
        <f t="shared" si="216"/>
        <v>9755</v>
      </c>
      <c r="F469" s="76">
        <f t="shared" ref="F469" si="467">C469-C468</f>
        <v>0</v>
      </c>
      <c r="G469" s="76">
        <f>SUMIF(F$6:F469,"&gt;0")</f>
        <v>207665</v>
      </c>
      <c r="H469" s="76">
        <f t="shared" ref="H469" si="468">D469-D468</f>
        <v>8925</v>
      </c>
      <c r="I469" s="76">
        <f t="shared" ref="I469" si="469">SUM(F469,H469)</f>
        <v>8925</v>
      </c>
      <c r="J469" s="81">
        <f t="shared" ref="J469" si="470">I469/4200*80</f>
        <v>170</v>
      </c>
      <c r="K469" s="76">
        <f t="shared" ref="K469" si="471">IFERROR(G469 - _xlfn.XLOOKUP(A469-30, $A$6:$A$14998,G$6:G$14998,"",-1,2),NA())</f>
        <v>21250</v>
      </c>
    </row>
    <row r="470" spans="1:13" x14ac:dyDescent="0.25">
      <c r="A470" s="77">
        <v>44307.606249999997</v>
      </c>
      <c r="B470" s="105" t="s">
        <v>452</v>
      </c>
      <c r="C470" s="74">
        <v>15</v>
      </c>
      <c r="D470" s="74">
        <v>5840</v>
      </c>
      <c r="E470" s="74">
        <f t="shared" si="216"/>
        <v>5855</v>
      </c>
      <c r="F470" s="76">
        <f t="shared" ref="F470" si="472">C470-C469</f>
        <v>0</v>
      </c>
      <c r="G470" s="76">
        <f>SUMIF(F$6:F470,"&gt;0")</f>
        <v>207665</v>
      </c>
      <c r="H470" s="76">
        <f t="shared" ref="H470" si="473">D470-D469</f>
        <v>-3900</v>
      </c>
      <c r="I470" s="76">
        <f t="shared" ref="I470" si="474">SUM(F470,H470)</f>
        <v>-3900</v>
      </c>
      <c r="J470" s="81">
        <f t="shared" ref="J470" si="475">I470/4200*80</f>
        <v>-74.285714285714292</v>
      </c>
      <c r="K470" s="76">
        <f t="shared" ref="K470" si="476">IFERROR(G470 - _xlfn.XLOOKUP(A470-30, $A$6:$A$14998,G$6:G$14998,"",-1,2),NA())</f>
        <v>20825</v>
      </c>
    </row>
    <row r="471" spans="1:13" x14ac:dyDescent="0.25">
      <c r="A471" s="77">
        <v>44307.613888888889</v>
      </c>
      <c r="C471" s="74">
        <v>265</v>
      </c>
      <c r="D471" s="74">
        <v>5860</v>
      </c>
      <c r="E471" s="74">
        <f t="shared" si="216"/>
        <v>6125</v>
      </c>
      <c r="F471" s="76">
        <f t="shared" ref="F471" si="477">C471-C470</f>
        <v>250</v>
      </c>
      <c r="G471" s="76">
        <f>SUMIF(F$6:F471,"&gt;0")</f>
        <v>207915</v>
      </c>
      <c r="H471" s="76">
        <f t="shared" ref="H471" si="478">D471-D470</f>
        <v>20</v>
      </c>
      <c r="I471" s="76">
        <f t="shared" ref="I471" si="479">SUM(F471,H471)</f>
        <v>270</v>
      </c>
      <c r="J471" s="81">
        <f t="shared" ref="J471" si="480">I471/4200*80</f>
        <v>5.1428571428571423</v>
      </c>
      <c r="K471" s="76">
        <f t="shared" ref="K471" si="481">IFERROR(G471 - _xlfn.XLOOKUP(A471-30, $A$6:$A$14998,G$6:G$14998,"",-1,2),NA())</f>
        <v>21075</v>
      </c>
    </row>
    <row r="472" spans="1:13" x14ac:dyDescent="0.25">
      <c r="A472" s="77">
        <v>44308.229861111111</v>
      </c>
      <c r="B472" s="105" t="s">
        <v>452</v>
      </c>
      <c r="C472" s="74">
        <v>25</v>
      </c>
      <c r="D472" s="74">
        <v>1570</v>
      </c>
      <c r="E472" s="74">
        <f t="shared" si="216"/>
        <v>1595</v>
      </c>
      <c r="F472" s="76">
        <f t="shared" ref="F472" si="482">C472-C471</f>
        <v>-240</v>
      </c>
      <c r="G472" s="76">
        <f>SUMIF(F$6:F472,"&gt;0")</f>
        <v>207915</v>
      </c>
      <c r="H472" s="76">
        <f t="shared" ref="H472" si="483">D472-D471</f>
        <v>-4290</v>
      </c>
      <c r="I472" s="76">
        <f t="shared" ref="I472" si="484">SUM(F472,H472)</f>
        <v>-4530</v>
      </c>
      <c r="J472" s="81">
        <f t="shared" ref="J472" si="485">I472/4200*80</f>
        <v>-86.285714285714278</v>
      </c>
      <c r="K472" s="76">
        <f t="shared" ref="K472" si="486">IFERROR(G472 - _xlfn.XLOOKUP(A472-30, $A$6:$A$14998,G$6:G$14998,"",-1,2),NA())</f>
        <v>21075</v>
      </c>
    </row>
    <row r="473" spans="1:13" x14ac:dyDescent="0.25">
      <c r="A473" s="77">
        <v>44308.231944444444</v>
      </c>
      <c r="C473" s="74">
        <v>25</v>
      </c>
      <c r="D473" s="74">
        <v>9970</v>
      </c>
      <c r="E473" s="74">
        <f t="shared" si="216"/>
        <v>9995</v>
      </c>
      <c r="F473" s="76">
        <f t="shared" ref="F473" si="487">C473-C472</f>
        <v>0</v>
      </c>
      <c r="G473" s="76">
        <f>SUMIF(F$6:F473,"&gt;0")</f>
        <v>207915</v>
      </c>
      <c r="H473" s="76">
        <f t="shared" ref="H473" si="488">D473-D472</f>
        <v>8400</v>
      </c>
      <c r="I473" s="76">
        <f t="shared" ref="I473" si="489">SUM(F473,H473)</f>
        <v>8400</v>
      </c>
      <c r="J473" s="81">
        <f t="shared" ref="J473" si="490">I473/4200*80</f>
        <v>160</v>
      </c>
      <c r="K473" s="76">
        <f t="shared" ref="K473" si="491">IFERROR(G473 - _xlfn.XLOOKUP(A473-30, $A$6:$A$14998,G$6:G$14998,"",-1,2),NA())</f>
        <v>21075</v>
      </c>
      <c r="L473" s="74">
        <v>8400</v>
      </c>
      <c r="M473" s="74">
        <v>160</v>
      </c>
    </row>
    <row r="474" spans="1:13" x14ac:dyDescent="0.25">
      <c r="A474" s="77">
        <v>44308.530555555553</v>
      </c>
      <c r="B474" s="105" t="s">
        <v>452</v>
      </c>
      <c r="C474" s="74">
        <v>25</v>
      </c>
      <c r="D474" s="74">
        <v>7630</v>
      </c>
      <c r="E474" s="74">
        <f t="shared" si="216"/>
        <v>7655</v>
      </c>
      <c r="F474" s="76">
        <f t="shared" ref="F474" si="492">C474-C473</f>
        <v>0</v>
      </c>
      <c r="G474" s="76">
        <f>SUMIF(F$6:F474,"&gt;0")</f>
        <v>207915</v>
      </c>
      <c r="H474" s="76">
        <f t="shared" ref="H474" si="493">D474-D473</f>
        <v>-2340</v>
      </c>
      <c r="I474" s="76">
        <f t="shared" ref="I474" si="494">SUM(F474,H474)</f>
        <v>-2340</v>
      </c>
      <c r="J474" s="81">
        <f t="shared" ref="J474" si="495">I474/4200*80</f>
        <v>-44.571428571428569</v>
      </c>
      <c r="K474" s="76">
        <f t="shared" ref="K474" si="496">IFERROR(G474 - _xlfn.XLOOKUP(A474-30, $A$6:$A$14998,G$6:G$14998,"",-1,2),NA())</f>
        <v>21000</v>
      </c>
    </row>
    <row r="475" spans="1:13" x14ac:dyDescent="0.25">
      <c r="A475" s="77">
        <v>44308.572222222225</v>
      </c>
      <c r="B475" s="105" t="s">
        <v>462</v>
      </c>
      <c r="C475" s="74">
        <v>725</v>
      </c>
      <c r="D475" s="74">
        <v>7650</v>
      </c>
      <c r="E475" s="74">
        <f t="shared" si="216"/>
        <v>8375</v>
      </c>
      <c r="F475" s="76">
        <f t="shared" ref="F475" si="497">C475-C474</f>
        <v>700</v>
      </c>
      <c r="G475" s="76">
        <f>SUMIF(F$6:F475,"&gt;0")</f>
        <v>208615</v>
      </c>
      <c r="H475" s="76">
        <f t="shared" ref="H475" si="498">D475-D474</f>
        <v>20</v>
      </c>
      <c r="I475" s="76">
        <f t="shared" ref="I475" si="499">SUM(F475,H475)</f>
        <v>720</v>
      </c>
      <c r="J475" s="81">
        <f t="shared" ref="J475" si="500">I475/4200*80</f>
        <v>13.714285714285715</v>
      </c>
      <c r="K475" s="76">
        <f t="shared" ref="K475" si="501">IFERROR(G475 - _xlfn.XLOOKUP(A475-30, $A$6:$A$14998,G$6:G$14998,"",-1,2),NA())</f>
        <v>21700</v>
      </c>
    </row>
    <row r="476" spans="1:13" x14ac:dyDescent="0.25">
      <c r="A476" s="77">
        <v>44309.434027777781</v>
      </c>
      <c r="B476" s="105" t="s">
        <v>452</v>
      </c>
      <c r="C476" s="74">
        <v>5</v>
      </c>
      <c r="D476" s="74">
        <v>1110</v>
      </c>
      <c r="E476" s="74">
        <f t="shared" si="216"/>
        <v>1115</v>
      </c>
      <c r="F476" s="76">
        <f t="shared" ref="F476" si="502">C476-C475</f>
        <v>-720</v>
      </c>
      <c r="G476" s="76">
        <f>SUMIF(F$6:F476,"&gt;0")</f>
        <v>208615</v>
      </c>
      <c r="H476" s="76">
        <f t="shared" ref="H476" si="503">D476-D475</f>
        <v>-6540</v>
      </c>
      <c r="I476" s="76">
        <f t="shared" ref="I476" si="504">SUM(F476,H476)</f>
        <v>-7260</v>
      </c>
      <c r="J476" s="81">
        <f t="shared" ref="J476" si="505">I476/4200*80</f>
        <v>-138.28571428571428</v>
      </c>
      <c r="K476" s="76">
        <f t="shared" ref="K476" si="506">IFERROR(G476 - _xlfn.XLOOKUP(A476-30, $A$6:$A$14998,G$6:G$14998,"",-1,2),NA())</f>
        <v>21425</v>
      </c>
    </row>
    <row r="477" spans="1:13" x14ac:dyDescent="0.25">
      <c r="A477" s="77">
        <v>44309.434027777781</v>
      </c>
      <c r="C477" s="74">
        <v>5</v>
      </c>
      <c r="D477" s="74">
        <v>9990</v>
      </c>
      <c r="E477" s="74">
        <f t="shared" si="216"/>
        <v>9995</v>
      </c>
      <c r="F477" s="76">
        <f t="shared" ref="F477" si="507">C477-C476</f>
        <v>0</v>
      </c>
      <c r="G477" s="76">
        <f>SUMIF(F$6:F477,"&gt;0")</f>
        <v>208615</v>
      </c>
      <c r="H477" s="76">
        <f t="shared" ref="H477" si="508">D477-D476</f>
        <v>8880</v>
      </c>
      <c r="I477" s="76">
        <f t="shared" ref="I477" si="509">SUM(F477,H477)</f>
        <v>8880</v>
      </c>
      <c r="J477" s="81">
        <f t="shared" ref="J477" si="510">I477/4200*80</f>
        <v>169.14285714285714</v>
      </c>
      <c r="K477" s="76">
        <f t="shared" ref="K477" si="511">IFERROR(G477 - _xlfn.XLOOKUP(A477-30, $A$6:$A$14998,G$6:G$14998,"",-1,2),NA())</f>
        <v>21425</v>
      </c>
      <c r="L477" s="74">
        <f>D477-D476</f>
        <v>8880</v>
      </c>
      <c r="M477" s="74">
        <v>170</v>
      </c>
    </row>
    <row r="478" spans="1:13" x14ac:dyDescent="0.25">
      <c r="A478" s="77">
        <v>44310.176388888889</v>
      </c>
      <c r="B478" s="105" t="s">
        <v>452</v>
      </c>
      <c r="C478" s="74">
        <v>80</v>
      </c>
      <c r="D478" s="74">
        <v>3120</v>
      </c>
      <c r="E478" s="74">
        <f t="shared" si="216"/>
        <v>3200</v>
      </c>
      <c r="F478" s="76">
        <f t="shared" ref="F478" si="512">C478-C477</f>
        <v>75</v>
      </c>
      <c r="G478" s="76">
        <f>SUMIF(F$6:F478,"&gt;0")</f>
        <v>208690</v>
      </c>
      <c r="H478" s="76">
        <f t="shared" ref="H478" si="513">D478-D477</f>
        <v>-6870</v>
      </c>
      <c r="I478" s="76">
        <f t="shared" ref="I478" si="514">SUM(F478,H478)</f>
        <v>-6795</v>
      </c>
      <c r="J478" s="81">
        <f t="shared" ref="J478" si="515">I478/4200*80</f>
        <v>-129.42857142857144</v>
      </c>
      <c r="K478" s="76">
        <f t="shared" ref="K478" si="516">IFERROR(G478 - _xlfn.XLOOKUP(A478-30, $A$6:$A$14998,G$6:G$14998,"",-1,2),NA())</f>
        <v>21500</v>
      </c>
    </row>
    <row r="479" spans="1:13" x14ac:dyDescent="0.25">
      <c r="A479" s="77">
        <v>44310.190972222219</v>
      </c>
      <c r="C479" s="74">
        <v>380</v>
      </c>
      <c r="D479" s="74">
        <v>3240</v>
      </c>
      <c r="E479" s="74">
        <f t="shared" si="216"/>
        <v>3620</v>
      </c>
      <c r="F479" s="76">
        <f t="shared" ref="F479" si="517">C479-C478</f>
        <v>300</v>
      </c>
      <c r="G479" s="76">
        <f>SUMIF(F$6:F479,"&gt;0")</f>
        <v>208990</v>
      </c>
      <c r="H479" s="76">
        <f t="shared" ref="H479" si="518">D479-D478</f>
        <v>120</v>
      </c>
      <c r="I479" s="76">
        <f t="shared" ref="I479" si="519">SUM(F479,H479)</f>
        <v>420</v>
      </c>
      <c r="J479" s="81">
        <f t="shared" ref="J479" si="520">I479/4200*80</f>
        <v>8</v>
      </c>
      <c r="K479" s="76">
        <f t="shared" ref="K479" si="521">IFERROR(G479 - _xlfn.XLOOKUP(A479-30, $A$6:$A$14998,G$6:G$14998,"",-1,2),NA())</f>
        <v>21800</v>
      </c>
    </row>
    <row r="480" spans="1:13" x14ac:dyDescent="0.25">
      <c r="A480" s="77">
        <v>44310.190972222219</v>
      </c>
      <c r="C480" s="74">
        <v>380</v>
      </c>
      <c r="D480" s="74">
        <v>11640</v>
      </c>
      <c r="E480" s="74">
        <f t="shared" si="216"/>
        <v>12020</v>
      </c>
      <c r="F480" s="76">
        <f t="shared" ref="F480" si="522">C480-C479</f>
        <v>0</v>
      </c>
      <c r="G480" s="76">
        <f>SUMIF(F$6:F480,"&gt;0")</f>
        <v>208990</v>
      </c>
      <c r="H480" s="76">
        <f t="shared" ref="H480" si="523">D480-D479</f>
        <v>8400</v>
      </c>
      <c r="I480" s="76">
        <f t="shared" ref="I480" si="524">SUM(F480,H480)</f>
        <v>8400</v>
      </c>
      <c r="J480" s="81">
        <f t="shared" ref="J480" si="525">I480/4200*80</f>
        <v>160</v>
      </c>
      <c r="K480" s="76">
        <f t="shared" ref="K480" si="526">IFERROR(G480 - _xlfn.XLOOKUP(A480-30, $A$6:$A$14998,G$6:G$14998,"",-1,2),NA())</f>
        <v>21800</v>
      </c>
      <c r="L480" s="74">
        <v>8400</v>
      </c>
      <c r="M480" s="74">
        <v>160</v>
      </c>
    </row>
    <row r="481" spans="1:13" x14ac:dyDescent="0.25">
      <c r="A481" s="77">
        <v>44311.665972222225</v>
      </c>
      <c r="B481" s="105" t="s">
        <v>452</v>
      </c>
      <c r="C481" s="74">
        <v>20</v>
      </c>
      <c r="D481" s="74">
        <v>0</v>
      </c>
      <c r="E481" s="74">
        <f t="shared" si="216"/>
        <v>20</v>
      </c>
      <c r="F481" s="76">
        <f t="shared" ref="F481:F482" si="527">C481-C480</f>
        <v>-360</v>
      </c>
      <c r="G481" s="76">
        <f>SUMIF(F$6:F481,"&gt;0")</f>
        <v>208990</v>
      </c>
      <c r="H481" s="76">
        <f t="shared" ref="H481:H482" si="528">D481-D480</f>
        <v>-11640</v>
      </c>
      <c r="I481" s="76">
        <f t="shared" ref="I481:I482" si="529">SUM(F481,H481)</f>
        <v>-12000</v>
      </c>
      <c r="J481" s="81">
        <f t="shared" ref="J481:J482" si="530">I481/4200*80</f>
        <v>-228.57142857142858</v>
      </c>
      <c r="K481" s="76">
        <f t="shared" ref="K481:K482" si="531">IFERROR(G481 - _xlfn.XLOOKUP(A481-30, $A$6:$A$14998,G$6:G$14998,"",-1,2),NA())</f>
        <v>21635</v>
      </c>
    </row>
    <row r="482" spans="1:13" x14ac:dyDescent="0.25">
      <c r="A482" s="77">
        <v>44311.666666666664</v>
      </c>
      <c r="C482" s="74">
        <v>20</v>
      </c>
      <c r="D482" s="74">
        <v>12600</v>
      </c>
      <c r="E482" s="74">
        <f t="shared" si="216"/>
        <v>12620</v>
      </c>
      <c r="F482" s="76">
        <f t="shared" si="527"/>
        <v>0</v>
      </c>
      <c r="G482" s="76">
        <f>SUMIF(F$6:F482,"&gt;0")</f>
        <v>208990</v>
      </c>
      <c r="H482" s="76">
        <f t="shared" si="528"/>
        <v>12600</v>
      </c>
      <c r="I482" s="76">
        <f t="shared" si="529"/>
        <v>12600</v>
      </c>
      <c r="J482" s="81">
        <f t="shared" si="530"/>
        <v>240</v>
      </c>
      <c r="K482" s="76">
        <f t="shared" si="531"/>
        <v>21635</v>
      </c>
      <c r="L482" s="74">
        <v>12600</v>
      </c>
      <c r="M482" s="74">
        <v>240</v>
      </c>
    </row>
    <row r="483" spans="1:13" x14ac:dyDescent="0.25">
      <c r="A483" s="77">
        <v>44311.756944444445</v>
      </c>
      <c r="B483" s="105" t="s">
        <v>452</v>
      </c>
      <c r="C483" s="74">
        <v>20</v>
      </c>
      <c r="D483" s="74">
        <v>11700</v>
      </c>
      <c r="E483" s="74">
        <f t="shared" si="216"/>
        <v>11720</v>
      </c>
      <c r="F483" s="76">
        <f t="shared" ref="F483" si="532">C483-C482</f>
        <v>0</v>
      </c>
      <c r="G483" s="76">
        <f>SUMIF(F$6:F483,"&gt;0")</f>
        <v>208990</v>
      </c>
      <c r="H483" s="76">
        <f t="shared" ref="H483" si="533">D483-D482</f>
        <v>-900</v>
      </c>
      <c r="I483" s="76">
        <f t="shared" ref="I483" si="534">SUM(F483,H483)</f>
        <v>-900</v>
      </c>
      <c r="J483" s="81">
        <f t="shared" ref="J483" si="535">I483/4200*80</f>
        <v>-17.142857142857142</v>
      </c>
      <c r="K483" s="76">
        <f t="shared" ref="K483" si="536">IFERROR(G483 - _xlfn.XLOOKUP(A483-30, $A$6:$A$14998,G$6:G$14998,"",-1,2),NA())</f>
        <v>21635</v>
      </c>
    </row>
    <row r="484" spans="1:13" x14ac:dyDescent="0.25">
      <c r="A484" s="77">
        <v>44311.769444444442</v>
      </c>
      <c r="C484" s="74">
        <v>495</v>
      </c>
      <c r="D484" s="74">
        <v>11720</v>
      </c>
      <c r="E484" s="74">
        <f t="shared" si="216"/>
        <v>12215</v>
      </c>
      <c r="F484" s="76">
        <f t="shared" ref="F484" si="537">C484-C483</f>
        <v>475</v>
      </c>
      <c r="G484" s="76">
        <f>SUMIF(F$6:F484,"&gt;0")</f>
        <v>209465</v>
      </c>
      <c r="H484" s="76">
        <f t="shared" ref="H484" si="538">D484-D483</f>
        <v>20</v>
      </c>
      <c r="I484" s="76">
        <f t="shared" ref="I484" si="539">SUM(F484,H484)</f>
        <v>495</v>
      </c>
      <c r="J484" s="81">
        <f t="shared" ref="J484" si="540">I484/4200*80</f>
        <v>9.4285714285714288</v>
      </c>
      <c r="K484" s="76">
        <f t="shared" ref="K484" si="541">IFERROR(G484 - _xlfn.XLOOKUP(A484-30, $A$6:$A$14998,G$6:G$14998,"",-1,2),NA())</f>
        <v>22110</v>
      </c>
    </row>
    <row r="485" spans="1:13" x14ac:dyDescent="0.25">
      <c r="A485" s="77">
        <v>44312.938194444447</v>
      </c>
      <c r="B485" s="105" t="s">
        <v>452</v>
      </c>
      <c r="C485" s="74">
        <v>255</v>
      </c>
      <c r="D485" s="74">
        <v>1880</v>
      </c>
      <c r="E485" s="74">
        <f t="shared" si="216"/>
        <v>2135</v>
      </c>
      <c r="F485" s="76">
        <f t="shared" ref="F485" si="542">C485-C484</f>
        <v>-240</v>
      </c>
      <c r="G485" s="76">
        <f>SUMIF(F$6:F485,"&gt;0")</f>
        <v>209465</v>
      </c>
      <c r="H485" s="76">
        <f t="shared" ref="H485" si="543">D485-D484</f>
        <v>-9840</v>
      </c>
      <c r="I485" s="76">
        <f t="shared" ref="I485" si="544">SUM(F485,H485)</f>
        <v>-10080</v>
      </c>
      <c r="J485" s="81">
        <f t="shared" ref="J485" si="545">I485/4200*80</f>
        <v>-192</v>
      </c>
      <c r="K485" s="76">
        <f t="shared" ref="K485" si="546">IFERROR(G485 - _xlfn.XLOOKUP(A485-30, $A$6:$A$14998,G$6:G$14998,"",-1,2),NA())</f>
        <v>21335</v>
      </c>
    </row>
    <row r="486" spans="1:13" x14ac:dyDescent="0.25">
      <c r="A486" s="77">
        <v>44312.954861111109</v>
      </c>
      <c r="C486" s="74">
        <v>1920</v>
      </c>
      <c r="D486" s="74">
        <v>10825</v>
      </c>
      <c r="E486" s="74">
        <f t="shared" si="216"/>
        <v>12745</v>
      </c>
      <c r="F486" s="76">
        <f t="shared" ref="F486" si="547">C486-C485</f>
        <v>1665</v>
      </c>
      <c r="G486" s="76">
        <f>SUMIF(F$6:F486,"&gt;0")</f>
        <v>211130</v>
      </c>
      <c r="H486" s="76">
        <f t="shared" ref="H486" si="548">D486-D485</f>
        <v>8945</v>
      </c>
      <c r="I486" s="76">
        <f t="shared" ref="I486" si="549">SUM(F486,H486)</f>
        <v>10610</v>
      </c>
      <c r="J486" s="81">
        <f t="shared" ref="J486" si="550">I486/4200*80</f>
        <v>202.09523809523807</v>
      </c>
      <c r="K486" s="76">
        <f t="shared" ref="K486" si="551">IFERROR(G486 - _xlfn.XLOOKUP(A486-30, $A$6:$A$14998,G$6:G$14998,"",-1,2),NA())</f>
        <v>23000</v>
      </c>
      <c r="L486" s="74">
        <v>8925</v>
      </c>
      <c r="M486" s="74">
        <v>167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O230"/>
  <sheetViews>
    <sheetView workbookViewId="0">
      <pane ySplit="1" topLeftCell="A208" activePane="bottomLeft" state="frozen"/>
      <selection pane="bottomLeft" activeCell="N231" sqref="N231"/>
    </sheetView>
  </sheetViews>
  <sheetFormatPr defaultRowHeight="15" x14ac:dyDescent="0.25"/>
  <cols>
    <col min="1" max="1" width="15.85546875" style="77" customWidth="1"/>
    <col min="2" max="2" width="26.28515625" style="21" customWidth="1"/>
    <col min="3" max="4" width="9.140625" style="74"/>
    <col min="5" max="5" width="9.140625" style="432"/>
    <col min="6" max="6" width="9.140625" style="150"/>
    <col min="7" max="8" width="9.140625" style="76"/>
    <col min="9" max="9" width="9.140625" style="76" customWidth="1"/>
    <col min="10" max="10" width="9.5703125" style="76" hidden="1" customWidth="1"/>
    <col min="11" max="11" width="9.140625" style="76" customWidth="1"/>
    <col min="12" max="12" width="9.28515625" style="76" hidden="1" customWidth="1"/>
    <col min="13" max="13" width="9.140625" style="76"/>
    <col min="14" max="14" width="9.140625" style="74"/>
    <col min="15" max="15" width="9.140625" style="76"/>
    <col min="16" max="16384" width="9.140625" style="74"/>
  </cols>
  <sheetData>
    <row r="1" spans="1:15" s="21" customFormat="1" ht="15" customHeight="1" x14ac:dyDescent="0.25">
      <c r="A1" s="149" t="s">
        <v>191</v>
      </c>
      <c r="B1" s="146" t="s">
        <v>83</v>
      </c>
      <c r="C1" s="146" t="s">
        <v>192</v>
      </c>
      <c r="D1" s="146" t="s">
        <v>193</v>
      </c>
      <c r="E1" s="18" t="s">
        <v>379</v>
      </c>
      <c r="F1" s="151" t="s">
        <v>124</v>
      </c>
      <c r="G1" s="147" t="s">
        <v>194</v>
      </c>
      <c r="H1" s="147" t="s">
        <v>195</v>
      </c>
      <c r="I1" s="147" t="s">
        <v>196</v>
      </c>
      <c r="J1" s="326" t="s">
        <v>293</v>
      </c>
      <c r="K1" s="326" t="s">
        <v>292</v>
      </c>
      <c r="L1" s="430" t="s">
        <v>382</v>
      </c>
      <c r="M1" s="430" t="s">
        <v>381</v>
      </c>
      <c r="N1" s="146" t="s">
        <v>10</v>
      </c>
      <c r="O1" s="148" t="s">
        <v>197</v>
      </c>
    </row>
    <row r="2" spans="1:15" x14ac:dyDescent="0.25">
      <c r="A2" s="77">
        <v>44092.113194444442</v>
      </c>
      <c r="B2" s="21" t="s">
        <v>81</v>
      </c>
      <c r="C2" s="74">
        <v>7</v>
      </c>
      <c r="D2" s="74">
        <v>0</v>
      </c>
      <c r="E2" s="432" t="e">
        <f>NA()</f>
        <v>#N/A</v>
      </c>
      <c r="F2" s="150">
        <f t="shared" ref="F2:F65" si="0">C2+D2*10+_xlfn.IFNA(E2,0)</f>
        <v>7</v>
      </c>
      <c r="G2" s="76">
        <v>0</v>
      </c>
      <c r="H2" s="76">
        <v>0</v>
      </c>
      <c r="I2" s="76">
        <v>0</v>
      </c>
      <c r="J2" s="76">
        <f>SUMIF(I$2:I2,"&gt;0")</f>
        <v>0</v>
      </c>
      <c r="K2" s="76" t="e">
        <f t="shared" ref="K2:K32" si="1">_xlfn.SINGLE(IFERROR(J2 - _xlfn.XLOOKUP(A2-30, $A$2:$A$14999,J$2:J$14999,"",-1,2),NA()))</f>
        <v>#N/A</v>
      </c>
      <c r="L2" s="76" t="e">
        <f>NA()</f>
        <v>#N/A</v>
      </c>
      <c r="M2" s="76" t="e">
        <f>IFERROR(L2 - _xlfn.XLOOKUP(A2-30, $A$2:$A$14999,L$2:L$14999,"",-1,2),NA())</f>
        <v>#N/A</v>
      </c>
      <c r="N2" s="74">
        <f t="shared" ref="N2:N15" si="2">F2*120</f>
        <v>840</v>
      </c>
      <c r="O2" s="76">
        <v>0</v>
      </c>
    </row>
    <row r="3" spans="1:15" x14ac:dyDescent="0.25">
      <c r="A3" s="77">
        <v>44092.487500000003</v>
      </c>
      <c r="C3" s="74">
        <v>8</v>
      </c>
      <c r="D3" s="74">
        <v>0</v>
      </c>
      <c r="E3" s="432" t="e">
        <f>NA()</f>
        <v>#N/A</v>
      </c>
      <c r="F3" s="150">
        <f t="shared" si="0"/>
        <v>8</v>
      </c>
      <c r="G3" s="76">
        <f>C3-C2</f>
        <v>1</v>
      </c>
      <c r="H3" s="76">
        <f>D3-D2</f>
        <v>0</v>
      </c>
      <c r="I3" s="76">
        <f>F3-F2</f>
        <v>1</v>
      </c>
      <c r="J3" s="76">
        <f>SUMIF(I$2:I3,"&gt;0")</f>
        <v>1</v>
      </c>
      <c r="K3" s="76" t="e">
        <f t="shared" si="1"/>
        <v>#N/A</v>
      </c>
      <c r="L3" s="76" t="e">
        <f>NA()</f>
        <v>#N/A</v>
      </c>
      <c r="M3" s="76" t="e">
        <f t="shared" ref="M3:M66" si="3">_xlfn.SINGLE(IFERROR(L3 - _xlfn.XLOOKUP(A3-30, $A$2:$A$14999,L$2:L$14999,"",-1,2),NA()))</f>
        <v>#N/A</v>
      </c>
      <c r="N3" s="74">
        <f t="shared" si="2"/>
        <v>960</v>
      </c>
      <c r="O3" s="76">
        <f t="shared" ref="O3:O20" si="4">N3-N2</f>
        <v>120</v>
      </c>
    </row>
    <row r="4" spans="1:15" x14ac:dyDescent="0.25">
      <c r="A4" s="77">
        <v>44093.272916666669</v>
      </c>
      <c r="C4" s="74">
        <v>9</v>
      </c>
      <c r="D4" s="74">
        <v>0</v>
      </c>
      <c r="E4" s="432" t="e">
        <f>NA()</f>
        <v>#N/A</v>
      </c>
      <c r="F4" s="150">
        <f t="shared" si="0"/>
        <v>9</v>
      </c>
      <c r="G4" s="76">
        <f>C4-C3</f>
        <v>1</v>
      </c>
      <c r="H4" s="76">
        <f>D4-D3</f>
        <v>0</v>
      </c>
      <c r="I4" s="76">
        <f>F4-F3</f>
        <v>1</v>
      </c>
      <c r="J4" s="76">
        <f>SUMIF(I$2:I4,"&gt;0")</f>
        <v>2</v>
      </c>
      <c r="K4" s="76" t="e">
        <f t="shared" si="1"/>
        <v>#N/A</v>
      </c>
      <c r="L4" s="76" t="e">
        <f>NA()</f>
        <v>#N/A</v>
      </c>
      <c r="M4" s="76" t="e">
        <f t="shared" si="3"/>
        <v>#N/A</v>
      </c>
      <c r="N4" s="74">
        <f t="shared" si="2"/>
        <v>1080</v>
      </c>
      <c r="O4" s="76">
        <f t="shared" si="4"/>
        <v>120</v>
      </c>
    </row>
    <row r="5" spans="1:15" x14ac:dyDescent="0.25">
      <c r="A5" s="77">
        <v>44094.209027777775</v>
      </c>
      <c r="C5" s="74">
        <v>10</v>
      </c>
      <c r="D5" s="74">
        <v>0</v>
      </c>
      <c r="E5" s="432" t="e">
        <f>NA()</f>
        <v>#N/A</v>
      </c>
      <c r="F5" s="150">
        <f t="shared" si="0"/>
        <v>10</v>
      </c>
      <c r="G5" s="76">
        <f t="shared" ref="G5:G22" si="5">C5-C4</f>
        <v>1</v>
      </c>
      <c r="H5" s="76">
        <f t="shared" ref="H5:H22" si="6">D5-D4</f>
        <v>0</v>
      </c>
      <c r="I5" s="76">
        <f t="shared" ref="I5:I22" si="7">F5-F4</f>
        <v>1</v>
      </c>
      <c r="J5" s="76">
        <f>SUMIF(I$2:I5,"&gt;0")</f>
        <v>3</v>
      </c>
      <c r="K5" s="76" t="e">
        <f t="shared" si="1"/>
        <v>#N/A</v>
      </c>
      <c r="L5" s="76" t="e">
        <f>NA()</f>
        <v>#N/A</v>
      </c>
      <c r="M5" s="76" t="e">
        <f t="shared" si="3"/>
        <v>#N/A</v>
      </c>
      <c r="N5" s="74">
        <f t="shared" si="2"/>
        <v>1200</v>
      </c>
      <c r="O5" s="76">
        <f t="shared" si="4"/>
        <v>120</v>
      </c>
    </row>
    <row r="6" spans="1:15" x14ac:dyDescent="0.25">
      <c r="A6" s="77">
        <v>44095.466666666667</v>
      </c>
      <c r="B6" s="21" t="s">
        <v>198</v>
      </c>
      <c r="C6" s="74">
        <v>22</v>
      </c>
      <c r="D6" s="74">
        <v>1</v>
      </c>
      <c r="E6" s="432" t="e">
        <f>NA()</f>
        <v>#N/A</v>
      </c>
      <c r="F6" s="150">
        <f t="shared" si="0"/>
        <v>32</v>
      </c>
      <c r="G6" s="76">
        <f t="shared" si="5"/>
        <v>12</v>
      </c>
      <c r="H6" s="76">
        <f t="shared" si="6"/>
        <v>1</v>
      </c>
      <c r="I6" s="76">
        <f t="shared" si="7"/>
        <v>22</v>
      </c>
      <c r="J6" s="76">
        <f>SUMIF(I$2:I6,"&gt;0")</f>
        <v>25</v>
      </c>
      <c r="K6" s="76" t="e">
        <f t="shared" si="1"/>
        <v>#N/A</v>
      </c>
      <c r="L6" s="76" t="e">
        <f>NA()</f>
        <v>#N/A</v>
      </c>
      <c r="M6" s="76" t="e">
        <f t="shared" si="3"/>
        <v>#N/A</v>
      </c>
      <c r="N6" s="74">
        <f t="shared" si="2"/>
        <v>3840</v>
      </c>
      <c r="O6" s="76">
        <f t="shared" si="4"/>
        <v>2640</v>
      </c>
    </row>
    <row r="7" spans="1:15" x14ac:dyDescent="0.25">
      <c r="A7" s="77">
        <v>44096.39166666667</v>
      </c>
      <c r="C7" s="74">
        <v>28</v>
      </c>
      <c r="D7" s="74">
        <v>1</v>
      </c>
      <c r="E7" s="432" t="e">
        <f>NA()</f>
        <v>#N/A</v>
      </c>
      <c r="F7" s="150">
        <f t="shared" si="0"/>
        <v>38</v>
      </c>
      <c r="G7" s="76">
        <f t="shared" si="5"/>
        <v>6</v>
      </c>
      <c r="H7" s="76">
        <f t="shared" si="6"/>
        <v>0</v>
      </c>
      <c r="I7" s="76">
        <f t="shared" si="7"/>
        <v>6</v>
      </c>
      <c r="J7" s="76">
        <f>SUMIF(I$2:I7,"&gt;0")</f>
        <v>31</v>
      </c>
      <c r="K7" s="76" t="e">
        <f t="shared" si="1"/>
        <v>#N/A</v>
      </c>
      <c r="L7" s="76" t="e">
        <f>NA()</f>
        <v>#N/A</v>
      </c>
      <c r="M7" s="76" t="e">
        <f t="shared" si="3"/>
        <v>#N/A</v>
      </c>
      <c r="N7" s="74">
        <f t="shared" si="2"/>
        <v>4560</v>
      </c>
      <c r="O7" s="76">
        <f t="shared" si="4"/>
        <v>720</v>
      </c>
    </row>
    <row r="8" spans="1:15" x14ac:dyDescent="0.25">
      <c r="A8" s="77">
        <v>44097.388888888891</v>
      </c>
      <c r="C8" s="74">
        <v>31</v>
      </c>
      <c r="D8" s="74">
        <v>1</v>
      </c>
      <c r="E8" s="432" t="e">
        <f>NA()</f>
        <v>#N/A</v>
      </c>
      <c r="F8" s="150">
        <f t="shared" si="0"/>
        <v>41</v>
      </c>
      <c r="G8" s="76">
        <f t="shared" si="5"/>
        <v>3</v>
      </c>
      <c r="H8" s="76">
        <f t="shared" si="6"/>
        <v>0</v>
      </c>
      <c r="I8" s="76">
        <f t="shared" si="7"/>
        <v>3</v>
      </c>
      <c r="J8" s="76">
        <f>SUMIF(I$2:I8,"&gt;0")</f>
        <v>34</v>
      </c>
      <c r="K8" s="76" t="e">
        <f t="shared" si="1"/>
        <v>#N/A</v>
      </c>
      <c r="L8" s="76" t="e">
        <f>NA()</f>
        <v>#N/A</v>
      </c>
      <c r="M8" s="76" t="e">
        <f t="shared" si="3"/>
        <v>#N/A</v>
      </c>
      <c r="N8" s="74">
        <f t="shared" si="2"/>
        <v>4920</v>
      </c>
      <c r="O8" s="76">
        <f t="shared" si="4"/>
        <v>360</v>
      </c>
    </row>
    <row r="9" spans="1:15" x14ac:dyDescent="0.25">
      <c r="A9" s="77">
        <v>44098.446527777778</v>
      </c>
      <c r="C9" s="74">
        <v>34</v>
      </c>
      <c r="D9" s="74">
        <v>1</v>
      </c>
      <c r="E9" s="432" t="e">
        <f>NA()</f>
        <v>#N/A</v>
      </c>
      <c r="F9" s="150">
        <f t="shared" si="0"/>
        <v>44</v>
      </c>
      <c r="G9" s="76">
        <f t="shared" si="5"/>
        <v>3</v>
      </c>
      <c r="H9" s="76">
        <f t="shared" si="6"/>
        <v>0</v>
      </c>
      <c r="I9" s="76">
        <f t="shared" si="7"/>
        <v>3</v>
      </c>
      <c r="J9" s="76">
        <f>SUMIF(I$2:I9,"&gt;0")</f>
        <v>37</v>
      </c>
      <c r="K9" s="76" t="e">
        <f t="shared" si="1"/>
        <v>#N/A</v>
      </c>
      <c r="L9" s="76" t="e">
        <f>NA()</f>
        <v>#N/A</v>
      </c>
      <c r="M9" s="76" t="e">
        <f t="shared" si="3"/>
        <v>#N/A</v>
      </c>
      <c r="N9" s="74">
        <f t="shared" si="2"/>
        <v>5280</v>
      </c>
      <c r="O9" s="76">
        <f t="shared" si="4"/>
        <v>360</v>
      </c>
    </row>
    <row r="10" spans="1:15" x14ac:dyDescent="0.25">
      <c r="A10" s="77">
        <v>44099.100694444445</v>
      </c>
      <c r="C10" s="74">
        <v>38</v>
      </c>
      <c r="D10" s="74">
        <v>2</v>
      </c>
      <c r="E10" s="432" t="e">
        <f>NA()</f>
        <v>#N/A</v>
      </c>
      <c r="F10" s="150">
        <f t="shared" si="0"/>
        <v>58</v>
      </c>
      <c r="G10" s="76">
        <f t="shared" si="5"/>
        <v>4</v>
      </c>
      <c r="H10" s="76">
        <f t="shared" si="6"/>
        <v>1</v>
      </c>
      <c r="I10" s="76">
        <f t="shared" si="7"/>
        <v>14</v>
      </c>
      <c r="J10" s="76">
        <f>SUMIF(I$2:I10,"&gt;0")</f>
        <v>51</v>
      </c>
      <c r="K10" s="76" t="e">
        <f t="shared" si="1"/>
        <v>#N/A</v>
      </c>
      <c r="L10" s="76" t="e">
        <f>NA()</f>
        <v>#N/A</v>
      </c>
      <c r="M10" s="76" t="e">
        <f t="shared" si="3"/>
        <v>#N/A</v>
      </c>
      <c r="N10" s="74">
        <f t="shared" si="2"/>
        <v>6960</v>
      </c>
      <c r="O10" s="76">
        <f t="shared" si="4"/>
        <v>1680</v>
      </c>
    </row>
    <row r="11" spans="1:15" x14ac:dyDescent="0.25">
      <c r="A11" s="77">
        <v>44100.588194444441</v>
      </c>
      <c r="C11" s="74">
        <v>43</v>
      </c>
      <c r="D11" s="74">
        <v>3</v>
      </c>
      <c r="E11" s="432" t="e">
        <f>NA()</f>
        <v>#N/A</v>
      </c>
      <c r="F11" s="150">
        <f t="shared" si="0"/>
        <v>73</v>
      </c>
      <c r="G11" s="76">
        <f t="shared" si="5"/>
        <v>5</v>
      </c>
      <c r="H11" s="76">
        <f t="shared" si="6"/>
        <v>1</v>
      </c>
      <c r="I11" s="76">
        <f t="shared" si="7"/>
        <v>15</v>
      </c>
      <c r="J11" s="76">
        <f>SUMIF(I$2:I11,"&gt;0")</f>
        <v>66</v>
      </c>
      <c r="K11" s="76" t="e">
        <f t="shared" si="1"/>
        <v>#N/A</v>
      </c>
      <c r="L11" s="76" t="e">
        <f>NA()</f>
        <v>#N/A</v>
      </c>
      <c r="M11" s="76" t="e">
        <f t="shared" si="3"/>
        <v>#N/A</v>
      </c>
      <c r="N11" s="74">
        <f t="shared" si="2"/>
        <v>8760</v>
      </c>
      <c r="O11" s="76">
        <f t="shared" si="4"/>
        <v>1800</v>
      </c>
    </row>
    <row r="12" spans="1:15" x14ac:dyDescent="0.25">
      <c r="A12" s="77">
        <v>44101.048611111109</v>
      </c>
      <c r="C12" s="74">
        <v>44</v>
      </c>
      <c r="D12" s="74">
        <v>3</v>
      </c>
      <c r="E12" s="432" t="e">
        <f>NA()</f>
        <v>#N/A</v>
      </c>
      <c r="F12" s="150">
        <f t="shared" si="0"/>
        <v>74</v>
      </c>
      <c r="G12" s="76">
        <f t="shared" si="5"/>
        <v>1</v>
      </c>
      <c r="H12" s="76">
        <f t="shared" si="6"/>
        <v>0</v>
      </c>
      <c r="I12" s="76">
        <f t="shared" si="7"/>
        <v>1</v>
      </c>
      <c r="J12" s="76">
        <f>SUMIF(I$2:I12,"&gt;0")</f>
        <v>67</v>
      </c>
      <c r="K12" s="76" t="e">
        <f t="shared" si="1"/>
        <v>#N/A</v>
      </c>
      <c r="L12" s="76" t="e">
        <f>NA()</f>
        <v>#N/A</v>
      </c>
      <c r="M12" s="76" t="e">
        <f t="shared" si="3"/>
        <v>#N/A</v>
      </c>
      <c r="N12" s="74">
        <f t="shared" si="2"/>
        <v>8880</v>
      </c>
      <c r="O12" s="76">
        <f t="shared" si="4"/>
        <v>120</v>
      </c>
    </row>
    <row r="13" spans="1:15" x14ac:dyDescent="0.25">
      <c r="A13" s="77">
        <v>44102.477777777778</v>
      </c>
      <c r="C13" s="74">
        <v>48</v>
      </c>
      <c r="D13" s="74">
        <v>3</v>
      </c>
      <c r="E13" s="432" t="e">
        <f>NA()</f>
        <v>#N/A</v>
      </c>
      <c r="F13" s="150">
        <f t="shared" si="0"/>
        <v>78</v>
      </c>
      <c r="G13" s="76">
        <f t="shared" si="5"/>
        <v>4</v>
      </c>
      <c r="H13" s="76">
        <f t="shared" si="6"/>
        <v>0</v>
      </c>
      <c r="I13" s="76">
        <f t="shared" si="7"/>
        <v>4</v>
      </c>
      <c r="J13" s="76">
        <f>SUMIF(I$2:I13,"&gt;0")</f>
        <v>71</v>
      </c>
      <c r="K13" s="76" t="e">
        <f t="shared" si="1"/>
        <v>#N/A</v>
      </c>
      <c r="L13" s="76" t="e">
        <f>NA()</f>
        <v>#N/A</v>
      </c>
      <c r="M13" s="76" t="e">
        <f t="shared" si="3"/>
        <v>#N/A</v>
      </c>
      <c r="N13" s="74">
        <f t="shared" si="2"/>
        <v>9360</v>
      </c>
      <c r="O13" s="76">
        <f t="shared" si="4"/>
        <v>480</v>
      </c>
    </row>
    <row r="14" spans="1:15" x14ac:dyDescent="0.25">
      <c r="A14" s="77">
        <v>44103.055555555555</v>
      </c>
      <c r="C14" s="74">
        <v>49</v>
      </c>
      <c r="D14" s="74">
        <v>3</v>
      </c>
      <c r="E14" s="432" t="e">
        <f>NA()</f>
        <v>#N/A</v>
      </c>
      <c r="F14" s="150">
        <f t="shared" si="0"/>
        <v>79</v>
      </c>
      <c r="G14" s="76">
        <f t="shared" si="5"/>
        <v>1</v>
      </c>
      <c r="H14" s="76">
        <f t="shared" si="6"/>
        <v>0</v>
      </c>
      <c r="I14" s="76">
        <f t="shared" si="7"/>
        <v>1</v>
      </c>
      <c r="J14" s="76">
        <f>SUMIF(I$2:I14,"&gt;0")</f>
        <v>72</v>
      </c>
      <c r="K14" s="76" t="e">
        <f t="shared" si="1"/>
        <v>#N/A</v>
      </c>
      <c r="L14" s="76" t="e">
        <f>NA()</f>
        <v>#N/A</v>
      </c>
      <c r="M14" s="76" t="e">
        <f t="shared" si="3"/>
        <v>#N/A</v>
      </c>
      <c r="N14" s="74">
        <f t="shared" si="2"/>
        <v>9480</v>
      </c>
      <c r="O14" s="76">
        <f t="shared" si="4"/>
        <v>120</v>
      </c>
    </row>
    <row r="15" spans="1:15" x14ac:dyDescent="0.25">
      <c r="A15" s="77">
        <v>44105.106249999997</v>
      </c>
      <c r="B15" s="21" t="s">
        <v>265</v>
      </c>
      <c r="C15" s="74">
        <v>0</v>
      </c>
      <c r="D15" s="74">
        <v>0</v>
      </c>
      <c r="E15" s="432" t="e">
        <f>NA()</f>
        <v>#N/A</v>
      </c>
      <c r="F15" s="150">
        <f t="shared" si="0"/>
        <v>0</v>
      </c>
      <c r="G15" s="76">
        <f t="shared" si="5"/>
        <v>-49</v>
      </c>
      <c r="H15" s="76">
        <f t="shared" si="6"/>
        <v>-3</v>
      </c>
      <c r="I15" s="76">
        <f t="shared" si="7"/>
        <v>-79</v>
      </c>
      <c r="J15" s="76">
        <f>SUMIF(I$2:I15,"&gt;0")</f>
        <v>72</v>
      </c>
      <c r="K15" s="76" t="e">
        <f t="shared" si="1"/>
        <v>#N/A</v>
      </c>
      <c r="L15" s="76" t="e">
        <f>NA()</f>
        <v>#N/A</v>
      </c>
      <c r="M15" s="76" t="e">
        <f t="shared" si="3"/>
        <v>#N/A</v>
      </c>
      <c r="N15" s="74">
        <f t="shared" si="2"/>
        <v>0</v>
      </c>
      <c r="O15" s="76">
        <f t="shared" si="4"/>
        <v>-9480</v>
      </c>
    </row>
    <row r="16" spans="1:15" x14ac:dyDescent="0.25">
      <c r="A16" s="77">
        <v>44105.106249999997</v>
      </c>
      <c r="C16" s="74">
        <v>9</v>
      </c>
      <c r="D16" s="74">
        <v>1</v>
      </c>
      <c r="E16" s="432" t="e">
        <f>NA()</f>
        <v>#N/A</v>
      </c>
      <c r="F16" s="150">
        <f t="shared" si="0"/>
        <v>19</v>
      </c>
      <c r="G16" s="76">
        <f t="shared" si="5"/>
        <v>9</v>
      </c>
      <c r="H16" s="76">
        <f t="shared" si="6"/>
        <v>1</v>
      </c>
      <c r="I16" s="76">
        <f t="shared" si="7"/>
        <v>19</v>
      </c>
      <c r="J16" s="76">
        <f>SUMIF(I$2:I16,"&gt;0")</f>
        <v>91</v>
      </c>
      <c r="K16" s="76" t="e">
        <f t="shared" si="1"/>
        <v>#N/A</v>
      </c>
      <c r="L16" s="76" t="e">
        <f>NA()</f>
        <v>#N/A</v>
      </c>
      <c r="M16" s="76" t="e">
        <f t="shared" si="3"/>
        <v>#N/A</v>
      </c>
      <c r="N16" s="74">
        <f t="shared" ref="N16:N23" si="8">F16*120</f>
        <v>2280</v>
      </c>
      <c r="O16" s="76">
        <f t="shared" si="4"/>
        <v>2280</v>
      </c>
    </row>
    <row r="17" spans="1:15" x14ac:dyDescent="0.25">
      <c r="A17" s="77">
        <v>44106.066666666666</v>
      </c>
      <c r="B17" s="21" t="s">
        <v>267</v>
      </c>
      <c r="C17" s="74">
        <v>29</v>
      </c>
      <c r="D17" s="74">
        <v>1</v>
      </c>
      <c r="E17" s="432" t="e">
        <f>NA()</f>
        <v>#N/A</v>
      </c>
      <c r="F17" s="150">
        <f t="shared" si="0"/>
        <v>39</v>
      </c>
      <c r="G17" s="76">
        <f t="shared" si="5"/>
        <v>20</v>
      </c>
      <c r="H17" s="76">
        <f t="shared" si="6"/>
        <v>0</v>
      </c>
      <c r="I17" s="76">
        <f t="shared" si="7"/>
        <v>20</v>
      </c>
      <c r="J17" s="76">
        <f>SUMIF(I$2:I17,"&gt;0")</f>
        <v>111</v>
      </c>
      <c r="K17" s="76" t="e">
        <f t="shared" si="1"/>
        <v>#N/A</v>
      </c>
      <c r="L17" s="76" t="e">
        <f>NA()</f>
        <v>#N/A</v>
      </c>
      <c r="M17" s="76" t="e">
        <f t="shared" si="3"/>
        <v>#N/A</v>
      </c>
      <c r="N17" s="74">
        <f t="shared" si="8"/>
        <v>4680</v>
      </c>
      <c r="O17" s="76">
        <f t="shared" si="4"/>
        <v>2400</v>
      </c>
    </row>
    <row r="18" spans="1:15" x14ac:dyDescent="0.25">
      <c r="A18" s="77">
        <v>44107.056944444441</v>
      </c>
      <c r="C18" s="74">
        <v>34</v>
      </c>
      <c r="D18" s="74">
        <v>1</v>
      </c>
      <c r="E18" s="432" t="e">
        <f>NA()</f>
        <v>#N/A</v>
      </c>
      <c r="F18" s="150">
        <f t="shared" si="0"/>
        <v>44</v>
      </c>
      <c r="G18" s="76">
        <f t="shared" si="5"/>
        <v>5</v>
      </c>
      <c r="H18" s="76">
        <f t="shared" si="6"/>
        <v>0</v>
      </c>
      <c r="I18" s="76">
        <f t="shared" si="7"/>
        <v>5</v>
      </c>
      <c r="J18" s="76">
        <f>SUMIF(I$2:I18,"&gt;0")</f>
        <v>116</v>
      </c>
      <c r="K18" s="76" t="e">
        <f t="shared" si="1"/>
        <v>#N/A</v>
      </c>
      <c r="L18" s="76" t="e">
        <f>NA()</f>
        <v>#N/A</v>
      </c>
      <c r="M18" s="76" t="e">
        <f t="shared" si="3"/>
        <v>#N/A</v>
      </c>
      <c r="N18" s="74">
        <f t="shared" si="8"/>
        <v>5280</v>
      </c>
      <c r="O18" s="76">
        <f t="shared" si="4"/>
        <v>600</v>
      </c>
    </row>
    <row r="19" spans="1:15" x14ac:dyDescent="0.25">
      <c r="A19" s="77">
        <v>44108.432638888888</v>
      </c>
      <c r="C19" s="74">
        <v>37</v>
      </c>
      <c r="D19" s="74">
        <v>1</v>
      </c>
      <c r="E19" s="432" t="e">
        <f>NA()</f>
        <v>#N/A</v>
      </c>
      <c r="F19" s="150">
        <f t="shared" si="0"/>
        <v>47</v>
      </c>
      <c r="G19" s="76">
        <f t="shared" si="5"/>
        <v>3</v>
      </c>
      <c r="H19" s="76">
        <f t="shared" si="6"/>
        <v>0</v>
      </c>
      <c r="I19" s="76">
        <f t="shared" si="7"/>
        <v>3</v>
      </c>
      <c r="J19" s="76">
        <f>SUMIF(I$2:I19,"&gt;0")</f>
        <v>119</v>
      </c>
      <c r="K19" s="76" t="e">
        <f t="shared" si="1"/>
        <v>#N/A</v>
      </c>
      <c r="L19" s="76" t="e">
        <f>NA()</f>
        <v>#N/A</v>
      </c>
      <c r="M19" s="76" t="e">
        <f t="shared" si="3"/>
        <v>#N/A</v>
      </c>
      <c r="N19" s="74">
        <f t="shared" si="8"/>
        <v>5640</v>
      </c>
      <c r="O19" s="76">
        <f t="shared" si="4"/>
        <v>360</v>
      </c>
    </row>
    <row r="20" spans="1:15" x14ac:dyDescent="0.25">
      <c r="A20" s="77">
        <v>44109.045138888891</v>
      </c>
      <c r="B20" s="21" t="s">
        <v>268</v>
      </c>
      <c r="C20" s="74">
        <v>1</v>
      </c>
      <c r="D20" s="74">
        <v>0</v>
      </c>
      <c r="E20" s="432" t="e">
        <f>NA()</f>
        <v>#N/A</v>
      </c>
      <c r="F20" s="150">
        <f t="shared" si="0"/>
        <v>1</v>
      </c>
      <c r="G20" s="76">
        <f t="shared" si="5"/>
        <v>-36</v>
      </c>
      <c r="H20" s="76">
        <f t="shared" si="6"/>
        <v>-1</v>
      </c>
      <c r="I20" s="76">
        <f t="shared" si="7"/>
        <v>-46</v>
      </c>
      <c r="J20" s="76">
        <f>SUMIF(I$2:I20,"&gt;0")</f>
        <v>119</v>
      </c>
      <c r="K20" s="76" t="e">
        <f t="shared" si="1"/>
        <v>#N/A</v>
      </c>
      <c r="L20" s="76" t="e">
        <f>NA()</f>
        <v>#N/A</v>
      </c>
      <c r="M20" s="76" t="e">
        <f t="shared" si="3"/>
        <v>#N/A</v>
      </c>
      <c r="N20" s="74">
        <f t="shared" si="8"/>
        <v>120</v>
      </c>
      <c r="O20" s="76">
        <f t="shared" si="4"/>
        <v>-5520</v>
      </c>
    </row>
    <row r="21" spans="1:15" x14ac:dyDescent="0.25">
      <c r="A21" s="77">
        <v>44110.083333333336</v>
      </c>
      <c r="C21" s="74">
        <v>2</v>
      </c>
      <c r="D21" s="74">
        <v>0</v>
      </c>
      <c r="E21" s="432" t="e">
        <f>NA()</f>
        <v>#N/A</v>
      </c>
      <c r="F21" s="150">
        <f t="shared" si="0"/>
        <v>2</v>
      </c>
      <c r="G21" s="76">
        <f t="shared" si="5"/>
        <v>1</v>
      </c>
      <c r="H21" s="76">
        <f t="shared" si="6"/>
        <v>0</v>
      </c>
      <c r="I21" s="76">
        <f t="shared" si="7"/>
        <v>1</v>
      </c>
      <c r="J21" s="76">
        <f>SUMIF(I$2:I21,"&gt;0")</f>
        <v>120</v>
      </c>
      <c r="K21" s="76" t="e">
        <f t="shared" si="1"/>
        <v>#N/A</v>
      </c>
      <c r="L21" s="76" t="e">
        <f>NA()</f>
        <v>#N/A</v>
      </c>
      <c r="M21" s="76" t="e">
        <f t="shared" si="3"/>
        <v>#N/A</v>
      </c>
      <c r="N21" s="74">
        <f t="shared" si="8"/>
        <v>240</v>
      </c>
      <c r="O21" s="76">
        <f t="shared" ref="O21:O29" si="9">N21-N20</f>
        <v>120</v>
      </c>
    </row>
    <row r="22" spans="1:15" x14ac:dyDescent="0.25">
      <c r="A22" s="77">
        <v>44111.107638888891</v>
      </c>
      <c r="C22" s="74">
        <v>3</v>
      </c>
      <c r="D22" s="74">
        <v>0</v>
      </c>
      <c r="E22" s="432" t="e">
        <f>NA()</f>
        <v>#N/A</v>
      </c>
      <c r="F22" s="150">
        <f t="shared" si="0"/>
        <v>3</v>
      </c>
      <c r="G22" s="76">
        <f t="shared" si="5"/>
        <v>1</v>
      </c>
      <c r="H22" s="76">
        <f t="shared" si="6"/>
        <v>0</v>
      </c>
      <c r="I22" s="76">
        <f t="shared" si="7"/>
        <v>1</v>
      </c>
      <c r="J22" s="76">
        <f>SUMIF(I$2:I22,"&gt;0")</f>
        <v>121</v>
      </c>
      <c r="K22" s="76" t="e">
        <f t="shared" si="1"/>
        <v>#N/A</v>
      </c>
      <c r="L22" s="76" t="e">
        <f>NA()</f>
        <v>#N/A</v>
      </c>
      <c r="M22" s="76" t="e">
        <f t="shared" si="3"/>
        <v>#N/A</v>
      </c>
      <c r="N22" s="74">
        <f t="shared" si="8"/>
        <v>360</v>
      </c>
      <c r="O22" s="76">
        <f t="shared" si="9"/>
        <v>120</v>
      </c>
    </row>
    <row r="23" spans="1:15" x14ac:dyDescent="0.25">
      <c r="A23" s="77">
        <v>44112.307638888888</v>
      </c>
      <c r="C23" s="74">
        <v>4</v>
      </c>
      <c r="D23" s="74">
        <v>0</v>
      </c>
      <c r="E23" s="432" t="e">
        <f>NA()</f>
        <v>#N/A</v>
      </c>
      <c r="F23" s="150">
        <f t="shared" si="0"/>
        <v>4</v>
      </c>
      <c r="G23" s="76">
        <f t="shared" ref="G23:G54" si="10">C23-C22</f>
        <v>1</v>
      </c>
      <c r="H23" s="76">
        <f t="shared" ref="H23:H54" si="11">D23-D22</f>
        <v>0</v>
      </c>
      <c r="I23" s="76">
        <f t="shared" ref="I23:I54" si="12">F23-F22</f>
        <v>1</v>
      </c>
      <c r="J23" s="76">
        <f>SUMIF(I$2:I23,"&gt;0")</f>
        <v>122</v>
      </c>
      <c r="K23" s="76" t="e">
        <f t="shared" si="1"/>
        <v>#N/A</v>
      </c>
      <c r="L23" s="76" t="e">
        <f>NA()</f>
        <v>#N/A</v>
      </c>
      <c r="M23" s="76" t="e">
        <f t="shared" si="3"/>
        <v>#N/A</v>
      </c>
      <c r="N23" s="74">
        <f t="shared" si="8"/>
        <v>480</v>
      </c>
      <c r="O23" s="76">
        <f t="shared" si="9"/>
        <v>120</v>
      </c>
    </row>
    <row r="24" spans="1:15" x14ac:dyDescent="0.25">
      <c r="A24" s="77">
        <v>44113.241666666669</v>
      </c>
      <c r="C24" s="74">
        <v>5</v>
      </c>
      <c r="D24" s="74">
        <v>0</v>
      </c>
      <c r="E24" s="432" t="e">
        <f>NA()</f>
        <v>#N/A</v>
      </c>
      <c r="F24" s="150">
        <f t="shared" si="0"/>
        <v>5</v>
      </c>
      <c r="G24" s="76">
        <f t="shared" si="10"/>
        <v>1</v>
      </c>
      <c r="H24" s="76">
        <f t="shared" si="11"/>
        <v>0</v>
      </c>
      <c r="I24" s="76">
        <f t="shared" si="12"/>
        <v>1</v>
      </c>
      <c r="J24" s="76">
        <f>SUMIF(I$2:I24,"&gt;0")</f>
        <v>123</v>
      </c>
      <c r="K24" s="76" t="e">
        <f t="shared" si="1"/>
        <v>#N/A</v>
      </c>
      <c r="L24" s="76" t="e">
        <f>NA()</f>
        <v>#N/A</v>
      </c>
      <c r="M24" s="76" t="e">
        <f t="shared" si="3"/>
        <v>#N/A</v>
      </c>
      <c r="N24" s="74">
        <f t="shared" ref="N24:N29" si="13">F24*120</f>
        <v>600</v>
      </c>
      <c r="O24" s="76">
        <f t="shared" si="9"/>
        <v>120</v>
      </c>
    </row>
    <row r="25" spans="1:15" x14ac:dyDescent="0.25">
      <c r="A25" s="77">
        <v>44114.061805555553</v>
      </c>
      <c r="C25" s="74">
        <v>6</v>
      </c>
      <c r="D25" s="74">
        <v>0</v>
      </c>
      <c r="E25" s="432" t="e">
        <f>NA()</f>
        <v>#N/A</v>
      </c>
      <c r="F25" s="150">
        <f t="shared" si="0"/>
        <v>6</v>
      </c>
      <c r="G25" s="76">
        <f t="shared" si="10"/>
        <v>1</v>
      </c>
      <c r="H25" s="76">
        <f t="shared" si="11"/>
        <v>0</v>
      </c>
      <c r="I25" s="76">
        <f t="shared" si="12"/>
        <v>1</v>
      </c>
      <c r="J25" s="76">
        <f>SUMIF(I$2:I25,"&gt;0")</f>
        <v>124</v>
      </c>
      <c r="K25" s="76" t="e">
        <f t="shared" si="1"/>
        <v>#N/A</v>
      </c>
      <c r="L25" s="76" t="e">
        <f>NA()</f>
        <v>#N/A</v>
      </c>
      <c r="M25" s="76" t="e">
        <f t="shared" si="3"/>
        <v>#N/A</v>
      </c>
      <c r="N25" s="74">
        <f t="shared" si="13"/>
        <v>720</v>
      </c>
      <c r="O25" s="76">
        <f t="shared" si="9"/>
        <v>120</v>
      </c>
    </row>
    <row r="26" spans="1:15" x14ac:dyDescent="0.25">
      <c r="A26" s="77">
        <v>44116.091666666667</v>
      </c>
      <c r="C26" s="74">
        <v>8</v>
      </c>
      <c r="D26" s="74">
        <v>0</v>
      </c>
      <c r="E26" s="432" t="e">
        <f>NA()</f>
        <v>#N/A</v>
      </c>
      <c r="F26" s="150">
        <f t="shared" si="0"/>
        <v>8</v>
      </c>
      <c r="G26" s="76">
        <f t="shared" si="10"/>
        <v>2</v>
      </c>
      <c r="H26" s="76">
        <f t="shared" si="11"/>
        <v>0</v>
      </c>
      <c r="I26" s="76">
        <f t="shared" si="12"/>
        <v>2</v>
      </c>
      <c r="J26" s="76">
        <f>SUMIF(I$2:I26,"&gt;0")</f>
        <v>126</v>
      </c>
      <c r="K26" s="76" t="e">
        <f t="shared" si="1"/>
        <v>#N/A</v>
      </c>
      <c r="L26" s="76" t="e">
        <f>NA()</f>
        <v>#N/A</v>
      </c>
      <c r="M26" s="76" t="e">
        <f t="shared" si="3"/>
        <v>#N/A</v>
      </c>
      <c r="N26" s="74">
        <f t="shared" si="13"/>
        <v>960</v>
      </c>
      <c r="O26" s="76">
        <f t="shared" si="9"/>
        <v>240</v>
      </c>
    </row>
    <row r="27" spans="1:15" x14ac:dyDescent="0.25">
      <c r="A27" s="77">
        <v>44119.147222222222</v>
      </c>
      <c r="C27" s="74">
        <v>12</v>
      </c>
      <c r="D27" s="74">
        <v>0</v>
      </c>
      <c r="E27" s="432" t="e">
        <f>NA()</f>
        <v>#N/A</v>
      </c>
      <c r="F27" s="150">
        <f t="shared" si="0"/>
        <v>12</v>
      </c>
      <c r="G27" s="76">
        <f t="shared" si="10"/>
        <v>4</v>
      </c>
      <c r="H27" s="76">
        <f t="shared" si="11"/>
        <v>0</v>
      </c>
      <c r="I27" s="76">
        <f t="shared" si="12"/>
        <v>4</v>
      </c>
      <c r="J27" s="76">
        <f>SUMIF(I$2:I27,"&gt;0")</f>
        <v>130</v>
      </c>
      <c r="K27" s="76" t="e">
        <f t="shared" si="1"/>
        <v>#N/A</v>
      </c>
      <c r="L27" s="76" t="e">
        <f>NA()</f>
        <v>#N/A</v>
      </c>
      <c r="M27" s="76" t="e">
        <f t="shared" si="3"/>
        <v>#N/A</v>
      </c>
      <c r="N27" s="74">
        <f t="shared" si="13"/>
        <v>1440</v>
      </c>
      <c r="O27" s="76">
        <f t="shared" si="9"/>
        <v>480</v>
      </c>
    </row>
    <row r="28" spans="1:15" x14ac:dyDescent="0.25">
      <c r="A28" s="77">
        <v>44120.176388888889</v>
      </c>
      <c r="C28" s="74">
        <v>0</v>
      </c>
      <c r="D28" s="74">
        <v>0</v>
      </c>
      <c r="E28" s="432" t="e">
        <f>NA()</f>
        <v>#N/A</v>
      </c>
      <c r="F28" s="150">
        <f t="shared" si="0"/>
        <v>0</v>
      </c>
      <c r="G28" s="76">
        <f t="shared" si="10"/>
        <v>-12</v>
      </c>
      <c r="H28" s="76">
        <f t="shared" si="11"/>
        <v>0</v>
      </c>
      <c r="I28" s="76">
        <f t="shared" si="12"/>
        <v>-12</v>
      </c>
      <c r="J28" s="76">
        <f>SUMIF(I$2:I28,"&gt;0")</f>
        <v>130</v>
      </c>
      <c r="K28" s="76" t="e">
        <f t="shared" si="1"/>
        <v>#N/A</v>
      </c>
      <c r="L28" s="76" t="e">
        <f>NA()</f>
        <v>#N/A</v>
      </c>
      <c r="M28" s="76" t="e">
        <f t="shared" si="3"/>
        <v>#N/A</v>
      </c>
      <c r="N28" s="74">
        <f t="shared" si="13"/>
        <v>0</v>
      </c>
      <c r="O28" s="76">
        <f t="shared" si="9"/>
        <v>-1440</v>
      </c>
    </row>
    <row r="29" spans="1:15" x14ac:dyDescent="0.25">
      <c r="A29" s="77">
        <v>44120.205555555556</v>
      </c>
      <c r="C29" s="74">
        <v>1</v>
      </c>
      <c r="D29" s="74">
        <v>0</v>
      </c>
      <c r="E29" s="432" t="e">
        <f>NA()</f>
        <v>#N/A</v>
      </c>
      <c r="F29" s="150">
        <f t="shared" si="0"/>
        <v>1</v>
      </c>
      <c r="G29" s="76">
        <f t="shared" si="10"/>
        <v>1</v>
      </c>
      <c r="H29" s="76">
        <f t="shared" si="11"/>
        <v>0</v>
      </c>
      <c r="I29" s="76">
        <f t="shared" si="12"/>
        <v>1</v>
      </c>
      <c r="J29" s="76">
        <f>SUMIF(I$2:I29,"&gt;0")</f>
        <v>131</v>
      </c>
      <c r="K29" s="76" t="e">
        <f t="shared" si="1"/>
        <v>#N/A</v>
      </c>
      <c r="L29" s="76" t="e">
        <f>NA()</f>
        <v>#N/A</v>
      </c>
      <c r="M29" s="76" t="e">
        <f t="shared" si="3"/>
        <v>#N/A</v>
      </c>
      <c r="N29" s="74">
        <f t="shared" si="13"/>
        <v>120</v>
      </c>
      <c r="O29" s="76">
        <f t="shared" si="9"/>
        <v>120</v>
      </c>
    </row>
    <row r="30" spans="1:15" x14ac:dyDescent="0.25">
      <c r="A30" s="77">
        <v>44121.52847222222</v>
      </c>
      <c r="C30" s="74">
        <v>1</v>
      </c>
      <c r="D30" s="74">
        <v>0</v>
      </c>
      <c r="E30" s="432" t="e">
        <f>NA()</f>
        <v>#N/A</v>
      </c>
      <c r="F30" s="150">
        <f t="shared" si="0"/>
        <v>1</v>
      </c>
      <c r="G30" s="76">
        <f t="shared" si="10"/>
        <v>0</v>
      </c>
      <c r="H30" s="76">
        <f t="shared" si="11"/>
        <v>0</v>
      </c>
      <c r="I30" s="76">
        <f t="shared" si="12"/>
        <v>0</v>
      </c>
      <c r="J30" s="76">
        <f>SUMIF(I$2:I30,"&gt;0")</f>
        <v>131</v>
      </c>
      <c r="K30" s="76" t="e">
        <f t="shared" si="1"/>
        <v>#N/A</v>
      </c>
      <c r="L30" s="76" t="e">
        <f>NA()</f>
        <v>#N/A</v>
      </c>
      <c r="M30" s="76" t="e">
        <f t="shared" si="3"/>
        <v>#N/A</v>
      </c>
      <c r="N30" s="74">
        <f t="shared" ref="N30:N35" si="14">F30*120</f>
        <v>120</v>
      </c>
      <c r="O30" s="76">
        <f t="shared" ref="O30:O35" si="15">N30-N29</f>
        <v>0</v>
      </c>
    </row>
    <row r="31" spans="1:15" x14ac:dyDescent="0.25">
      <c r="A31" s="77">
        <v>44121.974305555559</v>
      </c>
      <c r="C31" s="74">
        <v>2</v>
      </c>
      <c r="D31" s="74">
        <v>0</v>
      </c>
      <c r="E31" s="432" t="e">
        <f>NA()</f>
        <v>#N/A</v>
      </c>
      <c r="F31" s="150">
        <f t="shared" si="0"/>
        <v>2</v>
      </c>
      <c r="G31" s="76">
        <f t="shared" si="10"/>
        <v>1</v>
      </c>
      <c r="H31" s="76">
        <f t="shared" si="11"/>
        <v>0</v>
      </c>
      <c r="I31" s="76">
        <f t="shared" si="12"/>
        <v>1</v>
      </c>
      <c r="J31" s="76">
        <f>SUMIF(I$2:I31,"&gt;0")</f>
        <v>132</v>
      </c>
      <c r="K31" s="76" t="e">
        <f t="shared" si="1"/>
        <v>#N/A</v>
      </c>
      <c r="L31" s="76" t="e">
        <f>NA()</f>
        <v>#N/A</v>
      </c>
      <c r="M31" s="76" t="e">
        <f t="shared" si="3"/>
        <v>#N/A</v>
      </c>
      <c r="N31" s="74">
        <f t="shared" si="14"/>
        <v>240</v>
      </c>
      <c r="O31" s="76">
        <f t="shared" si="15"/>
        <v>120</v>
      </c>
    </row>
    <row r="32" spans="1:15" x14ac:dyDescent="0.25">
      <c r="A32" s="77">
        <v>44122.168055555558</v>
      </c>
      <c r="C32" s="74">
        <v>3</v>
      </c>
      <c r="D32" s="74">
        <v>0</v>
      </c>
      <c r="E32" s="432" t="e">
        <f>NA()</f>
        <v>#N/A</v>
      </c>
      <c r="F32" s="150">
        <f t="shared" si="0"/>
        <v>3</v>
      </c>
      <c r="G32" s="76">
        <f t="shared" si="10"/>
        <v>1</v>
      </c>
      <c r="H32" s="76">
        <f t="shared" si="11"/>
        <v>0</v>
      </c>
      <c r="I32" s="76">
        <f t="shared" si="12"/>
        <v>1</v>
      </c>
      <c r="J32" s="76">
        <f>SUMIF(I$2:I32,"&gt;0")</f>
        <v>133</v>
      </c>
      <c r="K32" s="76">
        <f t="shared" si="1"/>
        <v>133</v>
      </c>
      <c r="L32" s="76" t="e">
        <f>NA()</f>
        <v>#N/A</v>
      </c>
      <c r="M32" s="76" t="e">
        <f t="shared" si="3"/>
        <v>#N/A</v>
      </c>
      <c r="N32" s="74">
        <f t="shared" si="14"/>
        <v>360</v>
      </c>
      <c r="O32" s="76">
        <f t="shared" si="15"/>
        <v>120</v>
      </c>
    </row>
    <row r="33" spans="1:15" x14ac:dyDescent="0.25">
      <c r="A33" s="77">
        <v>44123.045138888891</v>
      </c>
      <c r="C33" s="74">
        <v>3</v>
      </c>
      <c r="D33" s="74">
        <v>0</v>
      </c>
      <c r="E33" s="432" t="e">
        <f>NA()</f>
        <v>#N/A</v>
      </c>
      <c r="F33" s="150">
        <f t="shared" si="0"/>
        <v>3</v>
      </c>
      <c r="G33" s="76">
        <f t="shared" si="10"/>
        <v>0</v>
      </c>
      <c r="H33" s="76">
        <f t="shared" si="11"/>
        <v>0</v>
      </c>
      <c r="I33" s="76">
        <f t="shared" si="12"/>
        <v>0</v>
      </c>
      <c r="J33" s="76">
        <f>SUMIF(I$2:I33,"&gt;0")</f>
        <v>133</v>
      </c>
      <c r="K33" s="76">
        <f t="shared" ref="K33:K38" si="16">_xlfn.SINGLE(IFERROR(J33 - _xlfn.XLOOKUP(A33-30, $A$2:$A$14999,J$2:J$14999,"",-1,2),NA()))</f>
        <v>132</v>
      </c>
      <c r="L33" s="76" t="e">
        <f>NA()</f>
        <v>#N/A</v>
      </c>
      <c r="M33" s="76" t="e">
        <f t="shared" si="3"/>
        <v>#N/A</v>
      </c>
      <c r="N33" s="74">
        <f t="shared" si="14"/>
        <v>360</v>
      </c>
      <c r="O33" s="76">
        <f t="shared" si="15"/>
        <v>0</v>
      </c>
    </row>
    <row r="34" spans="1:15" x14ac:dyDescent="0.25">
      <c r="A34" s="77">
        <v>44123.165277777778</v>
      </c>
      <c r="C34" s="74">
        <v>13</v>
      </c>
      <c r="D34" s="74">
        <v>0</v>
      </c>
      <c r="E34" s="432" t="e">
        <f>NA()</f>
        <v>#N/A</v>
      </c>
      <c r="F34" s="150">
        <f t="shared" si="0"/>
        <v>13</v>
      </c>
      <c r="G34" s="76">
        <f t="shared" si="10"/>
        <v>10</v>
      </c>
      <c r="H34" s="76">
        <f t="shared" si="11"/>
        <v>0</v>
      </c>
      <c r="I34" s="76">
        <f t="shared" si="12"/>
        <v>10</v>
      </c>
      <c r="J34" s="76">
        <f>SUMIF(I$2:I34,"&gt;0")</f>
        <v>143</v>
      </c>
      <c r="K34" s="76">
        <f t="shared" si="16"/>
        <v>142</v>
      </c>
      <c r="L34" s="76" t="e">
        <f>NA()</f>
        <v>#N/A</v>
      </c>
      <c r="M34" s="76" t="e">
        <f t="shared" si="3"/>
        <v>#N/A</v>
      </c>
      <c r="N34" s="74">
        <f t="shared" si="14"/>
        <v>1560</v>
      </c>
      <c r="O34" s="76">
        <f t="shared" si="15"/>
        <v>1200</v>
      </c>
    </row>
    <row r="35" spans="1:15" x14ac:dyDescent="0.25">
      <c r="A35" s="77">
        <v>44124.158333333333</v>
      </c>
      <c r="C35" s="74">
        <v>13</v>
      </c>
      <c r="D35" s="74">
        <v>0</v>
      </c>
      <c r="E35" s="432" t="e">
        <f>NA()</f>
        <v>#N/A</v>
      </c>
      <c r="F35" s="150">
        <f t="shared" si="0"/>
        <v>13</v>
      </c>
      <c r="G35" s="76">
        <f t="shared" si="10"/>
        <v>0</v>
      </c>
      <c r="H35" s="76">
        <f t="shared" si="11"/>
        <v>0</v>
      </c>
      <c r="I35" s="76">
        <f t="shared" si="12"/>
        <v>0</v>
      </c>
      <c r="J35" s="76">
        <f>SUMIF(I$2:I35,"&gt;0")</f>
        <v>143</v>
      </c>
      <c r="K35" s="76">
        <f t="shared" si="16"/>
        <v>141</v>
      </c>
      <c r="L35" s="76" t="e">
        <f>NA()</f>
        <v>#N/A</v>
      </c>
      <c r="M35" s="76" t="e">
        <f t="shared" si="3"/>
        <v>#N/A</v>
      </c>
      <c r="N35" s="74">
        <f t="shared" si="14"/>
        <v>1560</v>
      </c>
      <c r="O35" s="76">
        <f t="shared" si="15"/>
        <v>0</v>
      </c>
    </row>
    <row r="36" spans="1:15" x14ac:dyDescent="0.25">
      <c r="A36" s="77">
        <v>44125.623611111114</v>
      </c>
      <c r="C36" s="74">
        <v>13</v>
      </c>
      <c r="D36" s="74">
        <v>0</v>
      </c>
      <c r="E36" s="432" t="e">
        <f>NA()</f>
        <v>#N/A</v>
      </c>
      <c r="F36" s="150">
        <f t="shared" si="0"/>
        <v>13</v>
      </c>
      <c r="G36" s="76">
        <f t="shared" si="10"/>
        <v>0</v>
      </c>
      <c r="H36" s="76">
        <f t="shared" si="11"/>
        <v>0</v>
      </c>
      <c r="I36" s="76">
        <f t="shared" si="12"/>
        <v>0</v>
      </c>
      <c r="J36" s="76">
        <f>SUMIF(I$2:I36,"&gt;0")</f>
        <v>143</v>
      </c>
      <c r="K36" s="76">
        <f t="shared" si="16"/>
        <v>118</v>
      </c>
      <c r="L36" s="76" t="e">
        <f>NA()</f>
        <v>#N/A</v>
      </c>
      <c r="M36" s="76" t="e">
        <f t="shared" si="3"/>
        <v>#N/A</v>
      </c>
      <c r="N36" s="74">
        <f t="shared" ref="N36:N67" si="17">F36*120</f>
        <v>1560</v>
      </c>
      <c r="O36" s="76">
        <f t="shared" ref="O36:O67" si="18">N36-N35</f>
        <v>0</v>
      </c>
    </row>
    <row r="37" spans="1:15" x14ac:dyDescent="0.25">
      <c r="A37" s="77">
        <v>44126.085416666669</v>
      </c>
      <c r="C37" s="74">
        <v>13</v>
      </c>
      <c r="D37" s="74">
        <v>1</v>
      </c>
      <c r="E37" s="432" t="e">
        <f>NA()</f>
        <v>#N/A</v>
      </c>
      <c r="F37" s="150">
        <f t="shared" si="0"/>
        <v>23</v>
      </c>
      <c r="G37" s="76">
        <f t="shared" si="10"/>
        <v>0</v>
      </c>
      <c r="H37" s="76">
        <f t="shared" si="11"/>
        <v>1</v>
      </c>
      <c r="I37" s="76">
        <f t="shared" si="12"/>
        <v>10</v>
      </c>
      <c r="J37" s="76">
        <f>SUMIF(I$2:I37,"&gt;0")</f>
        <v>153</v>
      </c>
      <c r="K37" s="76">
        <f t="shared" si="16"/>
        <v>128</v>
      </c>
      <c r="L37" s="76" t="e">
        <f>NA()</f>
        <v>#N/A</v>
      </c>
      <c r="M37" s="76" t="e">
        <f t="shared" si="3"/>
        <v>#N/A</v>
      </c>
      <c r="N37" s="74">
        <f t="shared" si="17"/>
        <v>2760</v>
      </c>
      <c r="O37" s="76">
        <f t="shared" si="18"/>
        <v>1200</v>
      </c>
    </row>
    <row r="38" spans="1:15" x14ac:dyDescent="0.25">
      <c r="A38" s="77">
        <v>44127.375694444447</v>
      </c>
      <c r="C38" s="74">
        <v>13</v>
      </c>
      <c r="D38" s="74">
        <v>1</v>
      </c>
      <c r="E38" s="432" t="e">
        <f>NA()</f>
        <v>#N/A</v>
      </c>
      <c r="F38" s="150">
        <f t="shared" si="0"/>
        <v>23</v>
      </c>
      <c r="G38" s="76">
        <f t="shared" si="10"/>
        <v>0</v>
      </c>
      <c r="H38" s="76">
        <f t="shared" si="11"/>
        <v>0</v>
      </c>
      <c r="I38" s="76">
        <f t="shared" si="12"/>
        <v>0</v>
      </c>
      <c r="J38" s="76">
        <f>SUMIF(I$2:I38,"&gt;0")</f>
        <v>153</v>
      </c>
      <c r="K38" s="76">
        <f t="shared" si="16"/>
        <v>122</v>
      </c>
      <c r="L38" s="76" t="e">
        <f>NA()</f>
        <v>#N/A</v>
      </c>
      <c r="M38" s="76" t="e">
        <f t="shared" si="3"/>
        <v>#N/A</v>
      </c>
      <c r="N38" s="74">
        <f t="shared" si="17"/>
        <v>2760</v>
      </c>
      <c r="O38" s="76">
        <f t="shared" si="18"/>
        <v>0</v>
      </c>
    </row>
    <row r="39" spans="1:15" x14ac:dyDescent="0.25">
      <c r="A39" s="77">
        <v>44128.201388888891</v>
      </c>
      <c r="C39" s="74">
        <v>14</v>
      </c>
      <c r="D39" s="74">
        <v>1</v>
      </c>
      <c r="E39" s="432" t="e">
        <f>NA()</f>
        <v>#N/A</v>
      </c>
      <c r="F39" s="150">
        <f t="shared" si="0"/>
        <v>24</v>
      </c>
      <c r="G39" s="76">
        <f t="shared" si="10"/>
        <v>1</v>
      </c>
      <c r="H39" s="76">
        <f t="shared" si="11"/>
        <v>0</v>
      </c>
      <c r="I39" s="76">
        <f t="shared" si="12"/>
        <v>1</v>
      </c>
      <c r="J39" s="76">
        <f>SUMIF(I$2:I39,"&gt;0")</f>
        <v>154</v>
      </c>
      <c r="K39" s="76">
        <f t="shared" ref="K39:K70" si="19">IFERROR(J39 - _xlfn.XLOOKUP(A39-30, $A$2:$A$14999,J$2:J$14999,"",-1,2),NA())</f>
        <v>120</v>
      </c>
      <c r="L39" s="76" t="e">
        <f>NA()</f>
        <v>#N/A</v>
      </c>
      <c r="M39" s="76" t="e">
        <f t="shared" si="3"/>
        <v>#N/A</v>
      </c>
      <c r="N39" s="74">
        <f t="shared" si="17"/>
        <v>2880</v>
      </c>
      <c r="O39" s="76">
        <f t="shared" si="18"/>
        <v>120</v>
      </c>
    </row>
    <row r="40" spans="1:15" x14ac:dyDescent="0.25">
      <c r="A40" s="77">
        <v>44130.044444444444</v>
      </c>
      <c r="C40" s="74">
        <v>14</v>
      </c>
      <c r="D40" s="74">
        <v>1</v>
      </c>
      <c r="E40" s="432" t="e">
        <f>NA()</f>
        <v>#N/A</v>
      </c>
      <c r="F40" s="150">
        <f t="shared" si="0"/>
        <v>24</v>
      </c>
      <c r="G40" s="76">
        <f t="shared" si="10"/>
        <v>0</v>
      </c>
      <c r="H40" s="76">
        <f t="shared" si="11"/>
        <v>0</v>
      </c>
      <c r="I40" s="76">
        <f t="shared" si="12"/>
        <v>0</v>
      </c>
      <c r="J40" s="76">
        <f>SUMIF(I$2:I40,"&gt;0")</f>
        <v>154</v>
      </c>
      <c r="K40" s="76">
        <f t="shared" si="19"/>
        <v>103</v>
      </c>
      <c r="L40" s="76" t="e">
        <f>NA()</f>
        <v>#N/A</v>
      </c>
      <c r="M40" s="76" t="e">
        <f t="shared" si="3"/>
        <v>#N/A</v>
      </c>
      <c r="N40" s="74">
        <f t="shared" si="17"/>
        <v>2880</v>
      </c>
      <c r="O40" s="76">
        <f t="shared" si="18"/>
        <v>0</v>
      </c>
    </row>
    <row r="41" spans="1:15" x14ac:dyDescent="0.25">
      <c r="A41" s="77">
        <v>44131.328472222223</v>
      </c>
      <c r="B41" s="21" t="s">
        <v>135</v>
      </c>
      <c r="C41" s="74">
        <v>16</v>
      </c>
      <c r="D41" s="74">
        <v>3</v>
      </c>
      <c r="E41" s="432" t="e">
        <f>NA()</f>
        <v>#N/A</v>
      </c>
      <c r="F41" s="150">
        <f t="shared" si="0"/>
        <v>46</v>
      </c>
      <c r="G41" s="76">
        <f t="shared" si="10"/>
        <v>2</v>
      </c>
      <c r="H41" s="76">
        <f t="shared" si="11"/>
        <v>2</v>
      </c>
      <c r="I41" s="76">
        <f t="shared" si="12"/>
        <v>22</v>
      </c>
      <c r="J41" s="76">
        <f>SUMIF(I$2:I41,"&gt;0")</f>
        <v>176</v>
      </c>
      <c r="K41" s="76">
        <f t="shared" si="19"/>
        <v>109</v>
      </c>
      <c r="L41" s="76" t="e">
        <f>NA()</f>
        <v>#N/A</v>
      </c>
      <c r="M41" s="76" t="e">
        <f t="shared" si="3"/>
        <v>#N/A</v>
      </c>
      <c r="N41" s="74">
        <f t="shared" si="17"/>
        <v>5520</v>
      </c>
      <c r="O41" s="76">
        <f t="shared" si="18"/>
        <v>2640</v>
      </c>
    </row>
    <row r="42" spans="1:15" x14ac:dyDescent="0.25">
      <c r="A42" s="77">
        <v>44132.470833333333</v>
      </c>
      <c r="C42" s="74">
        <v>19</v>
      </c>
      <c r="D42" s="74">
        <v>3</v>
      </c>
      <c r="E42" s="432" t="e">
        <f>NA()</f>
        <v>#N/A</v>
      </c>
      <c r="F42" s="150">
        <f t="shared" si="0"/>
        <v>49</v>
      </c>
      <c r="G42" s="76">
        <f t="shared" si="10"/>
        <v>3</v>
      </c>
      <c r="H42" s="76">
        <f t="shared" si="11"/>
        <v>0</v>
      </c>
      <c r="I42" s="76">
        <f t="shared" si="12"/>
        <v>3</v>
      </c>
      <c r="J42" s="76">
        <f>SUMIF(I$2:I42,"&gt;0")</f>
        <v>179</v>
      </c>
      <c r="K42" s="76">
        <f t="shared" si="19"/>
        <v>112</v>
      </c>
      <c r="L42" s="76" t="e">
        <f>NA()</f>
        <v>#N/A</v>
      </c>
      <c r="M42" s="76" t="e">
        <f t="shared" si="3"/>
        <v>#N/A</v>
      </c>
      <c r="N42" s="74">
        <f t="shared" si="17"/>
        <v>5880</v>
      </c>
      <c r="O42" s="76">
        <f t="shared" si="18"/>
        <v>360</v>
      </c>
    </row>
    <row r="43" spans="1:15" x14ac:dyDescent="0.25">
      <c r="A43" s="77">
        <v>44134.043055555558</v>
      </c>
      <c r="C43" s="74">
        <v>24</v>
      </c>
      <c r="D43" s="74">
        <v>4</v>
      </c>
      <c r="E43" s="432" t="e">
        <f>NA()</f>
        <v>#N/A</v>
      </c>
      <c r="F43" s="150">
        <f t="shared" si="0"/>
        <v>64</v>
      </c>
      <c r="G43" s="76">
        <f t="shared" si="10"/>
        <v>5</v>
      </c>
      <c r="H43" s="76">
        <f t="shared" si="11"/>
        <v>1</v>
      </c>
      <c r="I43" s="76">
        <f t="shared" si="12"/>
        <v>15</v>
      </c>
      <c r="J43" s="76">
        <f>SUMIF(I$2:I43,"&gt;0")</f>
        <v>194</v>
      </c>
      <c r="K43" s="76">
        <f t="shared" si="19"/>
        <v>122</v>
      </c>
      <c r="L43" s="76" t="e">
        <f>NA()</f>
        <v>#N/A</v>
      </c>
      <c r="M43" s="76" t="e">
        <f t="shared" si="3"/>
        <v>#N/A</v>
      </c>
      <c r="N43" s="74">
        <f t="shared" si="17"/>
        <v>7680</v>
      </c>
      <c r="O43" s="76">
        <f t="shared" si="18"/>
        <v>1800</v>
      </c>
    </row>
    <row r="44" spans="1:15" x14ac:dyDescent="0.25">
      <c r="A44" s="77">
        <v>44134.056250000001</v>
      </c>
      <c r="B44" s="21" t="s">
        <v>304</v>
      </c>
      <c r="C44" s="74">
        <v>0</v>
      </c>
      <c r="D44" s="74">
        <v>0</v>
      </c>
      <c r="E44" s="432" t="e">
        <f>NA()</f>
        <v>#N/A</v>
      </c>
      <c r="F44" s="150">
        <f t="shared" si="0"/>
        <v>0</v>
      </c>
      <c r="G44" s="76">
        <f t="shared" si="10"/>
        <v>-24</v>
      </c>
      <c r="H44" s="76">
        <f t="shared" si="11"/>
        <v>-4</v>
      </c>
      <c r="I44" s="76">
        <f t="shared" si="12"/>
        <v>-64</v>
      </c>
      <c r="J44" s="76">
        <f>SUMIF(I$2:I44,"&gt;0")</f>
        <v>194</v>
      </c>
      <c r="K44" s="76">
        <f t="shared" si="19"/>
        <v>122</v>
      </c>
      <c r="L44" s="76" t="e">
        <f>NA()</f>
        <v>#N/A</v>
      </c>
      <c r="M44" s="76" t="e">
        <f t="shared" si="3"/>
        <v>#N/A</v>
      </c>
      <c r="N44" s="74">
        <f t="shared" si="17"/>
        <v>0</v>
      </c>
      <c r="O44" s="76">
        <f t="shared" si="18"/>
        <v>-7680</v>
      </c>
    </row>
    <row r="45" spans="1:15" x14ac:dyDescent="0.25">
      <c r="A45" s="77">
        <v>44135.375</v>
      </c>
      <c r="C45" s="74">
        <v>0</v>
      </c>
      <c r="D45" s="74">
        <v>0</v>
      </c>
      <c r="E45" s="432" t="e">
        <f>NA()</f>
        <v>#N/A</v>
      </c>
      <c r="F45" s="150">
        <f t="shared" si="0"/>
        <v>0</v>
      </c>
      <c r="G45" s="76">
        <f t="shared" si="10"/>
        <v>0</v>
      </c>
      <c r="H45" s="76">
        <f t="shared" si="11"/>
        <v>0</v>
      </c>
      <c r="I45" s="76">
        <f t="shared" si="12"/>
        <v>0</v>
      </c>
      <c r="J45" s="76">
        <f>SUMIF(I$2:I45,"&gt;0")</f>
        <v>194</v>
      </c>
      <c r="K45" s="76">
        <f t="shared" si="19"/>
        <v>103</v>
      </c>
      <c r="L45" s="76" t="e">
        <f>NA()</f>
        <v>#N/A</v>
      </c>
      <c r="M45" s="76" t="e">
        <f t="shared" si="3"/>
        <v>#N/A</v>
      </c>
      <c r="N45" s="74">
        <f t="shared" si="17"/>
        <v>0</v>
      </c>
      <c r="O45" s="76">
        <f t="shared" si="18"/>
        <v>0</v>
      </c>
    </row>
    <row r="46" spans="1:15" x14ac:dyDescent="0.25">
      <c r="A46" s="77">
        <v>44136.131944444445</v>
      </c>
      <c r="C46" s="74">
        <v>0</v>
      </c>
      <c r="D46" s="74">
        <v>0</v>
      </c>
      <c r="E46" s="432" t="e">
        <f>NA()</f>
        <v>#N/A</v>
      </c>
      <c r="F46" s="150">
        <f t="shared" si="0"/>
        <v>0</v>
      </c>
      <c r="G46" s="76">
        <f t="shared" si="10"/>
        <v>0</v>
      </c>
      <c r="H46" s="76">
        <f t="shared" si="11"/>
        <v>0</v>
      </c>
      <c r="I46" s="76">
        <f t="shared" si="12"/>
        <v>0</v>
      </c>
      <c r="J46" s="76">
        <f>SUMIF(I$2:I46,"&gt;0")</f>
        <v>194</v>
      </c>
      <c r="K46" s="76">
        <f t="shared" si="19"/>
        <v>83</v>
      </c>
      <c r="L46" s="76" t="e">
        <f>NA()</f>
        <v>#N/A</v>
      </c>
      <c r="M46" s="76" t="e">
        <f t="shared" si="3"/>
        <v>#N/A</v>
      </c>
      <c r="N46" s="74">
        <f t="shared" si="17"/>
        <v>0</v>
      </c>
      <c r="O46" s="76">
        <f t="shared" si="18"/>
        <v>0</v>
      </c>
    </row>
    <row r="47" spans="1:15" x14ac:dyDescent="0.25">
      <c r="A47" s="77">
        <v>44137.363888888889</v>
      </c>
      <c r="C47" s="74">
        <v>0</v>
      </c>
      <c r="D47" s="74">
        <v>0</v>
      </c>
      <c r="E47" s="432" t="e">
        <f>NA()</f>
        <v>#N/A</v>
      </c>
      <c r="F47" s="150">
        <f t="shared" si="0"/>
        <v>0</v>
      </c>
      <c r="G47" s="76">
        <f t="shared" si="10"/>
        <v>0</v>
      </c>
      <c r="H47" s="76">
        <f t="shared" si="11"/>
        <v>0</v>
      </c>
      <c r="I47" s="76">
        <f t="shared" si="12"/>
        <v>0</v>
      </c>
      <c r="J47" s="76">
        <f>SUMIF(I$2:I47,"&gt;0")</f>
        <v>194</v>
      </c>
      <c r="K47" s="76">
        <f t="shared" si="19"/>
        <v>78</v>
      </c>
      <c r="L47" s="76" t="e">
        <f>NA()</f>
        <v>#N/A</v>
      </c>
      <c r="M47" s="76" t="e">
        <f t="shared" si="3"/>
        <v>#N/A</v>
      </c>
      <c r="N47" s="74">
        <f t="shared" si="17"/>
        <v>0</v>
      </c>
      <c r="O47" s="76">
        <f t="shared" si="18"/>
        <v>0</v>
      </c>
    </row>
    <row r="48" spans="1:15" x14ac:dyDescent="0.25">
      <c r="A48" s="77">
        <v>44138.12222222222</v>
      </c>
      <c r="C48" s="74">
        <v>1</v>
      </c>
      <c r="D48" s="74">
        <v>0</v>
      </c>
      <c r="E48" s="432" t="e">
        <f>NA()</f>
        <v>#N/A</v>
      </c>
      <c r="F48" s="150">
        <f t="shared" si="0"/>
        <v>1</v>
      </c>
      <c r="G48" s="76">
        <f t="shared" si="10"/>
        <v>1</v>
      </c>
      <c r="H48" s="76">
        <f t="shared" si="11"/>
        <v>0</v>
      </c>
      <c r="I48" s="76">
        <f t="shared" si="12"/>
        <v>1</v>
      </c>
      <c r="J48" s="76">
        <f>SUMIF(I$2:I48,"&gt;0")</f>
        <v>195</v>
      </c>
      <c r="K48" s="76">
        <f t="shared" si="19"/>
        <v>79</v>
      </c>
      <c r="L48" s="76" t="e">
        <f>NA()</f>
        <v>#N/A</v>
      </c>
      <c r="M48" s="76" t="e">
        <f t="shared" si="3"/>
        <v>#N/A</v>
      </c>
      <c r="N48" s="74">
        <f t="shared" si="17"/>
        <v>120</v>
      </c>
      <c r="O48" s="76">
        <f t="shared" si="18"/>
        <v>120</v>
      </c>
    </row>
    <row r="49" spans="1:15" x14ac:dyDescent="0.25">
      <c r="A49" s="77">
        <v>44139.001388888886</v>
      </c>
      <c r="C49" s="74">
        <v>1</v>
      </c>
      <c r="D49" s="74">
        <v>0</v>
      </c>
      <c r="E49" s="432" t="e">
        <f>NA()</f>
        <v>#N/A</v>
      </c>
      <c r="F49" s="150">
        <f t="shared" si="0"/>
        <v>1</v>
      </c>
      <c r="G49" s="76">
        <f t="shared" si="10"/>
        <v>0</v>
      </c>
      <c r="H49" s="76">
        <f t="shared" si="11"/>
        <v>0</v>
      </c>
      <c r="I49" s="76">
        <f t="shared" si="12"/>
        <v>0</v>
      </c>
      <c r="J49" s="76">
        <f>SUMIF(I$2:I49,"&gt;0")</f>
        <v>195</v>
      </c>
      <c r="K49" s="76">
        <f t="shared" si="19"/>
        <v>76</v>
      </c>
      <c r="L49" s="76" t="e">
        <f>NA()</f>
        <v>#N/A</v>
      </c>
      <c r="M49" s="76" t="e">
        <f t="shared" si="3"/>
        <v>#N/A</v>
      </c>
      <c r="N49" s="74">
        <f t="shared" si="17"/>
        <v>120</v>
      </c>
      <c r="O49" s="76">
        <f t="shared" si="18"/>
        <v>0</v>
      </c>
    </row>
    <row r="50" spans="1:15" x14ac:dyDescent="0.25">
      <c r="A50" s="77">
        <v>44140.142361111109</v>
      </c>
      <c r="C50" s="74">
        <v>1</v>
      </c>
      <c r="D50" s="74">
        <v>0</v>
      </c>
      <c r="E50" s="432" t="e">
        <f>NA()</f>
        <v>#N/A</v>
      </c>
      <c r="F50" s="150">
        <f t="shared" si="0"/>
        <v>1</v>
      </c>
      <c r="G50" s="76">
        <f t="shared" si="10"/>
        <v>0</v>
      </c>
      <c r="H50" s="76">
        <f t="shared" si="11"/>
        <v>0</v>
      </c>
      <c r="I50" s="76">
        <f t="shared" si="12"/>
        <v>0</v>
      </c>
      <c r="J50" s="76">
        <f>SUMIF(I$2:I50,"&gt;0")</f>
        <v>195</v>
      </c>
      <c r="K50" s="76">
        <f t="shared" si="19"/>
        <v>75</v>
      </c>
      <c r="L50" s="76" t="e">
        <f>NA()</f>
        <v>#N/A</v>
      </c>
      <c r="M50" s="76" t="e">
        <f t="shared" si="3"/>
        <v>#N/A</v>
      </c>
      <c r="N50" s="74">
        <f t="shared" si="17"/>
        <v>120</v>
      </c>
      <c r="O50" s="76">
        <f t="shared" si="18"/>
        <v>0</v>
      </c>
    </row>
    <row r="51" spans="1:15" ht="13.5" customHeight="1" x14ac:dyDescent="0.25">
      <c r="A51" s="77">
        <v>44141.668055555558</v>
      </c>
      <c r="C51" s="74">
        <v>1</v>
      </c>
      <c r="D51" s="74">
        <v>0</v>
      </c>
      <c r="E51" s="432" t="e">
        <f>NA()</f>
        <v>#N/A</v>
      </c>
      <c r="F51" s="150">
        <f t="shared" si="0"/>
        <v>1</v>
      </c>
      <c r="G51" s="76">
        <f t="shared" si="10"/>
        <v>0</v>
      </c>
      <c r="H51" s="76">
        <f t="shared" si="11"/>
        <v>0</v>
      </c>
      <c r="I51" s="76">
        <f t="shared" si="12"/>
        <v>0</v>
      </c>
      <c r="J51" s="76">
        <f>SUMIF(I$2:I51,"&gt;0")</f>
        <v>195</v>
      </c>
      <c r="K51" s="76">
        <f t="shared" si="19"/>
        <v>74</v>
      </c>
      <c r="L51" s="76" t="e">
        <f>NA()</f>
        <v>#N/A</v>
      </c>
      <c r="M51" s="76" t="e">
        <f t="shared" si="3"/>
        <v>#N/A</v>
      </c>
      <c r="N51" s="74">
        <f t="shared" si="17"/>
        <v>120</v>
      </c>
      <c r="O51" s="76">
        <f t="shared" si="18"/>
        <v>0</v>
      </c>
    </row>
    <row r="52" spans="1:15" x14ac:dyDescent="0.25">
      <c r="A52" s="77">
        <v>44142.020138888889</v>
      </c>
      <c r="C52" s="74">
        <v>1</v>
      </c>
      <c r="D52" s="74">
        <v>0</v>
      </c>
      <c r="E52" s="432" t="e">
        <f>NA()</f>
        <v>#N/A</v>
      </c>
      <c r="F52" s="150">
        <f t="shared" si="0"/>
        <v>1</v>
      </c>
      <c r="G52" s="76">
        <f t="shared" si="10"/>
        <v>0</v>
      </c>
      <c r="H52" s="76">
        <f t="shared" si="11"/>
        <v>0</v>
      </c>
      <c r="I52" s="76">
        <f t="shared" si="12"/>
        <v>0</v>
      </c>
      <c r="J52" s="76">
        <f>SUMIF(I$2:I52,"&gt;0")</f>
        <v>195</v>
      </c>
      <c r="K52" s="76">
        <f t="shared" si="19"/>
        <v>74</v>
      </c>
      <c r="L52" s="76" t="e">
        <f>NA()</f>
        <v>#N/A</v>
      </c>
      <c r="M52" s="76" t="e">
        <f t="shared" si="3"/>
        <v>#N/A</v>
      </c>
      <c r="N52" s="74">
        <f t="shared" si="17"/>
        <v>120</v>
      </c>
      <c r="O52" s="76">
        <f t="shared" si="18"/>
        <v>0</v>
      </c>
    </row>
    <row r="53" spans="1:15" x14ac:dyDescent="0.25">
      <c r="A53" s="77">
        <v>44143.212500000001</v>
      </c>
      <c r="C53" s="74">
        <v>1</v>
      </c>
      <c r="D53" s="74">
        <v>0</v>
      </c>
      <c r="E53" s="432" t="e">
        <f>NA()</f>
        <v>#N/A</v>
      </c>
      <c r="F53" s="150">
        <f t="shared" si="0"/>
        <v>1</v>
      </c>
      <c r="G53" s="76">
        <f t="shared" si="10"/>
        <v>0</v>
      </c>
      <c r="H53" s="76">
        <f t="shared" si="11"/>
        <v>0</v>
      </c>
      <c r="I53" s="76">
        <f t="shared" si="12"/>
        <v>0</v>
      </c>
      <c r="J53" s="76">
        <f>SUMIF(I$2:I53,"&gt;0")</f>
        <v>195</v>
      </c>
      <c r="K53" s="76">
        <f t="shared" si="19"/>
        <v>73</v>
      </c>
      <c r="L53" s="76" t="e">
        <f>NA()</f>
        <v>#N/A</v>
      </c>
      <c r="M53" s="76" t="e">
        <f t="shared" si="3"/>
        <v>#N/A</v>
      </c>
      <c r="N53" s="74">
        <f t="shared" si="17"/>
        <v>120</v>
      </c>
      <c r="O53" s="76">
        <f t="shared" si="18"/>
        <v>0</v>
      </c>
    </row>
    <row r="54" spans="1:15" x14ac:dyDescent="0.25">
      <c r="A54" s="77">
        <v>44144.271527777775</v>
      </c>
      <c r="C54" s="74">
        <v>2</v>
      </c>
      <c r="D54" s="74">
        <v>0</v>
      </c>
      <c r="E54" s="432" t="e">
        <f>NA()</f>
        <v>#N/A</v>
      </c>
      <c r="F54" s="150">
        <f t="shared" si="0"/>
        <v>2</v>
      </c>
      <c r="G54" s="76">
        <f t="shared" si="10"/>
        <v>1</v>
      </c>
      <c r="H54" s="76">
        <f t="shared" si="11"/>
        <v>0</v>
      </c>
      <c r="I54" s="76">
        <f t="shared" si="12"/>
        <v>1</v>
      </c>
      <c r="J54" s="76">
        <f>SUMIF(I$2:I54,"&gt;0")</f>
        <v>196</v>
      </c>
      <c r="K54" s="76">
        <f t="shared" si="19"/>
        <v>72</v>
      </c>
      <c r="L54" s="76" t="e">
        <f>NA()</f>
        <v>#N/A</v>
      </c>
      <c r="M54" s="76" t="e">
        <f t="shared" si="3"/>
        <v>#N/A</v>
      </c>
      <c r="N54" s="74">
        <f t="shared" si="17"/>
        <v>240</v>
      </c>
      <c r="O54" s="76">
        <f t="shared" si="18"/>
        <v>120</v>
      </c>
    </row>
    <row r="55" spans="1:15" x14ac:dyDescent="0.25">
      <c r="A55" s="77">
        <v>44145.065972222219</v>
      </c>
      <c r="C55" s="74">
        <v>3</v>
      </c>
      <c r="D55" s="74">
        <v>0</v>
      </c>
      <c r="E55" s="432" t="e">
        <f>NA()</f>
        <v>#N/A</v>
      </c>
      <c r="F55" s="150">
        <f t="shared" si="0"/>
        <v>3</v>
      </c>
      <c r="G55" s="76">
        <f t="shared" ref="G55:G86" si="20">C55-C54</f>
        <v>1</v>
      </c>
      <c r="H55" s="76">
        <f t="shared" ref="H55:H86" si="21">D55-D54</f>
        <v>0</v>
      </c>
      <c r="I55" s="76">
        <f t="shared" ref="I55:I86" si="22">F55-F54</f>
        <v>1</v>
      </c>
      <c r="J55" s="76">
        <f>SUMIF(I$2:I55,"&gt;0")</f>
        <v>197</v>
      </c>
      <c r="K55" s="76">
        <f t="shared" si="19"/>
        <v>73</v>
      </c>
      <c r="L55" s="76" t="e">
        <f>NA()</f>
        <v>#N/A</v>
      </c>
      <c r="M55" s="76" t="e">
        <f t="shared" si="3"/>
        <v>#N/A</v>
      </c>
      <c r="N55" s="74">
        <f t="shared" si="17"/>
        <v>360</v>
      </c>
      <c r="O55" s="76">
        <f t="shared" si="18"/>
        <v>120</v>
      </c>
    </row>
    <row r="56" spans="1:15" x14ac:dyDescent="0.25">
      <c r="A56" s="77">
        <v>44146.801388888889</v>
      </c>
      <c r="C56" s="74">
        <v>4</v>
      </c>
      <c r="D56" s="74">
        <v>0</v>
      </c>
      <c r="E56" s="432" t="e">
        <f>NA()</f>
        <v>#N/A</v>
      </c>
      <c r="F56" s="150">
        <f t="shared" si="0"/>
        <v>4</v>
      </c>
      <c r="G56" s="76">
        <f t="shared" si="20"/>
        <v>1</v>
      </c>
      <c r="H56" s="76">
        <f t="shared" si="21"/>
        <v>0</v>
      </c>
      <c r="I56" s="76">
        <f t="shared" si="22"/>
        <v>1</v>
      </c>
      <c r="J56" s="76">
        <f>SUMIF(I$2:I56,"&gt;0")</f>
        <v>198</v>
      </c>
      <c r="K56" s="76">
        <f t="shared" si="19"/>
        <v>72</v>
      </c>
      <c r="L56" s="76" t="e">
        <f>NA()</f>
        <v>#N/A</v>
      </c>
      <c r="M56" s="76" t="e">
        <f t="shared" si="3"/>
        <v>#N/A</v>
      </c>
      <c r="N56" s="74">
        <f t="shared" si="17"/>
        <v>480</v>
      </c>
      <c r="O56" s="76">
        <f t="shared" si="18"/>
        <v>120</v>
      </c>
    </row>
    <row r="57" spans="1:15" x14ac:dyDescent="0.25">
      <c r="A57" s="77">
        <v>44149.261111111111</v>
      </c>
      <c r="B57" s="105"/>
      <c r="C57" s="74">
        <v>7</v>
      </c>
      <c r="D57" s="74">
        <v>0</v>
      </c>
      <c r="E57" s="432" t="e">
        <f>NA()</f>
        <v>#N/A</v>
      </c>
      <c r="F57" s="150">
        <f t="shared" si="0"/>
        <v>7</v>
      </c>
      <c r="G57" s="76">
        <f t="shared" si="20"/>
        <v>3</v>
      </c>
      <c r="H57" s="76">
        <f t="shared" si="21"/>
        <v>0</v>
      </c>
      <c r="I57" s="76">
        <f t="shared" si="22"/>
        <v>3</v>
      </c>
      <c r="J57" s="76">
        <f>SUMIF(I$2:I57,"&gt;0")</f>
        <v>201</v>
      </c>
      <c r="K57" s="76">
        <f t="shared" si="19"/>
        <v>71</v>
      </c>
      <c r="L57" s="76" t="e">
        <f>NA()</f>
        <v>#N/A</v>
      </c>
      <c r="M57" s="76" t="e">
        <f t="shared" si="3"/>
        <v>#N/A</v>
      </c>
      <c r="N57" s="74">
        <f t="shared" si="17"/>
        <v>840</v>
      </c>
      <c r="O57" s="76">
        <f t="shared" si="18"/>
        <v>360</v>
      </c>
    </row>
    <row r="58" spans="1:15" x14ac:dyDescent="0.25">
      <c r="A58" s="77">
        <v>44149.62222222222</v>
      </c>
      <c r="C58" s="74">
        <v>8</v>
      </c>
      <c r="D58" s="74">
        <v>0</v>
      </c>
      <c r="E58" s="432" t="e">
        <f>NA()</f>
        <v>#N/A</v>
      </c>
      <c r="F58" s="150">
        <f t="shared" si="0"/>
        <v>8</v>
      </c>
      <c r="G58" s="76">
        <f t="shared" si="20"/>
        <v>1</v>
      </c>
      <c r="H58" s="76">
        <f t="shared" si="21"/>
        <v>0</v>
      </c>
      <c r="I58" s="76">
        <f t="shared" si="22"/>
        <v>1</v>
      </c>
      <c r="J58" s="76">
        <f>SUMIF(I$2:I58,"&gt;0")</f>
        <v>202</v>
      </c>
      <c r="K58" s="76">
        <f t="shared" si="19"/>
        <v>72</v>
      </c>
      <c r="L58" s="76" t="e">
        <f>NA()</f>
        <v>#N/A</v>
      </c>
      <c r="M58" s="76" t="e">
        <f t="shared" si="3"/>
        <v>#N/A</v>
      </c>
      <c r="N58" s="74">
        <f t="shared" si="17"/>
        <v>960</v>
      </c>
      <c r="O58" s="76">
        <f t="shared" si="18"/>
        <v>120</v>
      </c>
    </row>
    <row r="59" spans="1:15" x14ac:dyDescent="0.25">
      <c r="A59" s="77">
        <v>44150.203472222223</v>
      </c>
      <c r="C59" s="74">
        <v>9</v>
      </c>
      <c r="D59" s="74">
        <v>0</v>
      </c>
      <c r="E59" s="432" t="e">
        <f>NA()</f>
        <v>#N/A</v>
      </c>
      <c r="F59" s="150">
        <f t="shared" si="0"/>
        <v>9</v>
      </c>
      <c r="G59" s="76">
        <f t="shared" si="20"/>
        <v>1</v>
      </c>
      <c r="H59" s="76">
        <f t="shared" si="21"/>
        <v>0</v>
      </c>
      <c r="I59" s="76">
        <f t="shared" si="22"/>
        <v>1</v>
      </c>
      <c r="J59" s="76">
        <f>SUMIF(I$2:I59,"&gt;0")</f>
        <v>203</v>
      </c>
      <c r="K59" s="76">
        <f t="shared" si="19"/>
        <v>73</v>
      </c>
      <c r="L59" s="76" t="e">
        <f>NA()</f>
        <v>#N/A</v>
      </c>
      <c r="M59" s="76" t="e">
        <f t="shared" si="3"/>
        <v>#N/A</v>
      </c>
      <c r="N59" s="74">
        <f t="shared" si="17"/>
        <v>1080</v>
      </c>
      <c r="O59" s="76">
        <f t="shared" si="18"/>
        <v>120</v>
      </c>
    </row>
    <row r="60" spans="1:15" x14ac:dyDescent="0.25">
      <c r="A60" s="77">
        <v>44151.444444444445</v>
      </c>
      <c r="C60" s="74">
        <v>9</v>
      </c>
      <c r="D60" s="74">
        <v>1</v>
      </c>
      <c r="E60" s="432" t="e">
        <f>NA()</f>
        <v>#N/A</v>
      </c>
      <c r="F60" s="150">
        <f t="shared" si="0"/>
        <v>19</v>
      </c>
      <c r="G60" s="76">
        <f t="shared" si="20"/>
        <v>0</v>
      </c>
      <c r="H60" s="76">
        <f t="shared" si="21"/>
        <v>1</v>
      </c>
      <c r="I60" s="76">
        <f t="shared" si="22"/>
        <v>10</v>
      </c>
      <c r="J60" s="76">
        <f>SUMIF(I$2:I60,"&gt;0")</f>
        <v>213</v>
      </c>
      <c r="K60" s="76">
        <f t="shared" si="19"/>
        <v>82</v>
      </c>
      <c r="L60" s="76" t="e">
        <f>NA()</f>
        <v>#N/A</v>
      </c>
      <c r="M60" s="76" t="e">
        <f t="shared" si="3"/>
        <v>#N/A</v>
      </c>
      <c r="N60" s="74">
        <f t="shared" si="17"/>
        <v>2280</v>
      </c>
      <c r="O60" s="76">
        <f t="shared" si="18"/>
        <v>1200</v>
      </c>
    </row>
    <row r="61" spans="1:15" x14ac:dyDescent="0.25">
      <c r="A61" s="77">
        <v>44152.21597222222</v>
      </c>
      <c r="C61" s="74">
        <v>16</v>
      </c>
      <c r="D61" s="74">
        <v>1</v>
      </c>
      <c r="E61" s="432" t="e">
        <f>NA()</f>
        <v>#N/A</v>
      </c>
      <c r="F61" s="150">
        <f t="shared" si="0"/>
        <v>26</v>
      </c>
      <c r="G61" s="76">
        <f t="shared" si="20"/>
        <v>7</v>
      </c>
      <c r="H61" s="76">
        <f t="shared" si="21"/>
        <v>0</v>
      </c>
      <c r="I61" s="76">
        <f t="shared" si="22"/>
        <v>7</v>
      </c>
      <c r="J61" s="76">
        <f>SUMIF(I$2:I61,"&gt;0")</f>
        <v>220</v>
      </c>
      <c r="K61" s="76">
        <f t="shared" si="19"/>
        <v>87</v>
      </c>
      <c r="L61" s="76" t="e">
        <f>NA()</f>
        <v>#N/A</v>
      </c>
      <c r="M61" s="76" t="e">
        <f t="shared" si="3"/>
        <v>#N/A</v>
      </c>
      <c r="N61" s="74">
        <f t="shared" si="17"/>
        <v>3120</v>
      </c>
      <c r="O61" s="76">
        <f t="shared" si="18"/>
        <v>840</v>
      </c>
    </row>
    <row r="62" spans="1:15" x14ac:dyDescent="0.25">
      <c r="A62" s="77">
        <v>44154.629861111112</v>
      </c>
      <c r="C62" s="74">
        <v>19</v>
      </c>
      <c r="D62" s="74">
        <v>1</v>
      </c>
      <c r="E62" s="432" t="e">
        <f>NA()</f>
        <v>#N/A</v>
      </c>
      <c r="F62" s="150">
        <f t="shared" si="0"/>
        <v>29</v>
      </c>
      <c r="G62" s="76">
        <f t="shared" si="20"/>
        <v>3</v>
      </c>
      <c r="H62" s="76">
        <f t="shared" si="21"/>
        <v>0</v>
      </c>
      <c r="I62" s="76">
        <f t="shared" si="22"/>
        <v>3</v>
      </c>
      <c r="J62" s="76">
        <f>SUMIF(I$2:I62,"&gt;0")</f>
        <v>223</v>
      </c>
      <c r="K62" s="76">
        <f t="shared" si="19"/>
        <v>80</v>
      </c>
      <c r="L62" s="76" t="e">
        <f>NA()</f>
        <v>#N/A</v>
      </c>
      <c r="M62" s="76" t="e">
        <f t="shared" si="3"/>
        <v>#N/A</v>
      </c>
      <c r="N62" s="74">
        <f t="shared" si="17"/>
        <v>3480</v>
      </c>
      <c r="O62" s="76">
        <f t="shared" si="18"/>
        <v>360</v>
      </c>
    </row>
    <row r="63" spans="1:15" x14ac:dyDescent="0.25">
      <c r="A63" s="77">
        <v>44155.32916666667</v>
      </c>
      <c r="C63" s="74">
        <v>19</v>
      </c>
      <c r="D63" s="74">
        <v>1</v>
      </c>
      <c r="E63" s="432" t="e">
        <f>NA()</f>
        <v>#N/A</v>
      </c>
      <c r="F63" s="150">
        <f t="shared" si="0"/>
        <v>29</v>
      </c>
      <c r="G63" s="76">
        <f t="shared" si="20"/>
        <v>0</v>
      </c>
      <c r="H63" s="76">
        <f t="shared" si="21"/>
        <v>0</v>
      </c>
      <c r="I63" s="76">
        <f t="shared" si="22"/>
        <v>0</v>
      </c>
      <c r="J63" s="76">
        <f>SUMIF(I$2:I63,"&gt;0")</f>
        <v>223</v>
      </c>
      <c r="K63" s="76">
        <f t="shared" si="19"/>
        <v>80</v>
      </c>
      <c r="L63" s="76" t="e">
        <f>NA()</f>
        <v>#N/A</v>
      </c>
      <c r="M63" s="76" t="e">
        <f t="shared" si="3"/>
        <v>#N/A</v>
      </c>
      <c r="N63" s="74">
        <f t="shared" si="17"/>
        <v>3480</v>
      </c>
      <c r="O63" s="76">
        <f t="shared" si="18"/>
        <v>0</v>
      </c>
    </row>
    <row r="64" spans="1:15" x14ac:dyDescent="0.25">
      <c r="A64" s="77">
        <v>44156.618750000001</v>
      </c>
      <c r="C64" s="74">
        <v>19</v>
      </c>
      <c r="D64" s="74">
        <v>1</v>
      </c>
      <c r="E64" s="432" t="e">
        <f>NA()</f>
        <v>#N/A</v>
      </c>
      <c r="F64" s="150">
        <f t="shared" si="0"/>
        <v>29</v>
      </c>
      <c r="G64" s="76">
        <f t="shared" si="20"/>
        <v>0</v>
      </c>
      <c r="H64" s="76">
        <f t="shared" si="21"/>
        <v>0</v>
      </c>
      <c r="I64" s="76">
        <f t="shared" si="22"/>
        <v>0</v>
      </c>
      <c r="J64" s="76">
        <f>SUMIF(I$2:I64,"&gt;0")</f>
        <v>223</v>
      </c>
      <c r="K64" s="76">
        <f t="shared" si="19"/>
        <v>70</v>
      </c>
      <c r="L64" s="76" t="e">
        <f>NA()</f>
        <v>#N/A</v>
      </c>
      <c r="M64" s="76" t="e">
        <f t="shared" si="3"/>
        <v>#N/A</v>
      </c>
      <c r="N64" s="74">
        <f t="shared" si="17"/>
        <v>3480</v>
      </c>
      <c r="O64" s="76">
        <f t="shared" si="18"/>
        <v>0</v>
      </c>
    </row>
    <row r="65" spans="1:15" x14ac:dyDescent="0.25">
      <c r="A65" s="77">
        <v>44157.438888888886</v>
      </c>
      <c r="C65" s="74">
        <v>19</v>
      </c>
      <c r="D65" s="74">
        <v>1</v>
      </c>
      <c r="E65" s="432" t="e">
        <f>NA()</f>
        <v>#N/A</v>
      </c>
      <c r="F65" s="150">
        <f t="shared" si="0"/>
        <v>29</v>
      </c>
      <c r="G65" s="76">
        <f t="shared" si="20"/>
        <v>0</v>
      </c>
      <c r="H65" s="76">
        <f t="shared" si="21"/>
        <v>0</v>
      </c>
      <c r="I65" s="76">
        <f t="shared" si="22"/>
        <v>0</v>
      </c>
      <c r="J65" s="76">
        <f>SUMIF(I$2:I65,"&gt;0")</f>
        <v>223</v>
      </c>
      <c r="K65" s="76">
        <f t="shared" si="19"/>
        <v>70</v>
      </c>
      <c r="L65" s="76" t="e">
        <f>NA()</f>
        <v>#N/A</v>
      </c>
      <c r="M65" s="76" t="e">
        <f t="shared" si="3"/>
        <v>#N/A</v>
      </c>
      <c r="N65" s="74">
        <f t="shared" si="17"/>
        <v>3480</v>
      </c>
      <c r="O65" s="76">
        <f t="shared" si="18"/>
        <v>0</v>
      </c>
    </row>
    <row r="66" spans="1:15" x14ac:dyDescent="0.25">
      <c r="A66" s="77">
        <v>44158.166666666664</v>
      </c>
      <c r="C66" s="74">
        <v>20</v>
      </c>
      <c r="D66" s="74">
        <v>1</v>
      </c>
      <c r="E66" s="432" t="e">
        <f>NA()</f>
        <v>#N/A</v>
      </c>
      <c r="F66" s="150">
        <f t="shared" ref="F66:F128" si="23">C66+D66*10+_xlfn.IFNA(E66,0)</f>
        <v>30</v>
      </c>
      <c r="G66" s="76">
        <f t="shared" si="20"/>
        <v>1</v>
      </c>
      <c r="H66" s="76">
        <f t="shared" si="21"/>
        <v>0</v>
      </c>
      <c r="I66" s="76">
        <f t="shared" si="22"/>
        <v>1</v>
      </c>
      <c r="J66" s="76">
        <f>SUMIF(I$2:I66,"&gt;0")</f>
        <v>224</v>
      </c>
      <c r="K66" s="76">
        <f t="shared" si="19"/>
        <v>71</v>
      </c>
      <c r="L66" s="76" t="e">
        <f>NA()</f>
        <v>#N/A</v>
      </c>
      <c r="M66" s="76" t="e">
        <f t="shared" si="3"/>
        <v>#N/A</v>
      </c>
      <c r="N66" s="74">
        <f t="shared" si="17"/>
        <v>3600</v>
      </c>
      <c r="O66" s="76">
        <f t="shared" si="18"/>
        <v>120</v>
      </c>
    </row>
    <row r="67" spans="1:15" x14ac:dyDescent="0.25">
      <c r="A67" s="77">
        <v>44159.003472222219</v>
      </c>
      <c r="C67" s="74">
        <v>20</v>
      </c>
      <c r="D67" s="74">
        <v>1</v>
      </c>
      <c r="E67" s="432" t="e">
        <f>NA()</f>
        <v>#N/A</v>
      </c>
      <c r="F67" s="150">
        <f t="shared" si="23"/>
        <v>30</v>
      </c>
      <c r="G67" s="76">
        <f t="shared" si="20"/>
        <v>0</v>
      </c>
      <c r="H67" s="76">
        <f t="shared" si="21"/>
        <v>0</v>
      </c>
      <c r="I67" s="76">
        <f t="shared" si="22"/>
        <v>0</v>
      </c>
      <c r="J67" s="76">
        <f>SUMIF(I$2:I67,"&gt;0")</f>
        <v>224</v>
      </c>
      <c r="K67" s="76">
        <f t="shared" si="19"/>
        <v>70</v>
      </c>
      <c r="L67" s="76" t="e">
        <f>NA()</f>
        <v>#N/A</v>
      </c>
      <c r="M67" s="76" t="e">
        <f t="shared" ref="M67:M129" si="24">_xlfn.SINGLE(IFERROR(L67 - _xlfn.XLOOKUP(A67-30, $A$2:$A$14999,L$2:L$14999,"",-1,2),NA()))</f>
        <v>#N/A</v>
      </c>
      <c r="N67" s="74">
        <f t="shared" si="17"/>
        <v>3600</v>
      </c>
      <c r="O67" s="76">
        <f t="shared" si="18"/>
        <v>0</v>
      </c>
    </row>
    <row r="68" spans="1:15" x14ac:dyDescent="0.25">
      <c r="A68" s="77">
        <v>44160.904166666667</v>
      </c>
      <c r="C68" s="74">
        <v>20</v>
      </c>
      <c r="D68" s="74">
        <v>1</v>
      </c>
      <c r="E68" s="432" t="e">
        <f>NA()</f>
        <v>#N/A</v>
      </c>
      <c r="F68" s="150">
        <f t="shared" si="23"/>
        <v>30</v>
      </c>
      <c r="G68" s="76">
        <f t="shared" si="20"/>
        <v>0</v>
      </c>
      <c r="H68" s="76">
        <f t="shared" si="21"/>
        <v>0</v>
      </c>
      <c r="I68" s="76">
        <f t="shared" si="22"/>
        <v>0</v>
      </c>
      <c r="J68" s="76">
        <f>SUMIF(I$2:I68,"&gt;0")</f>
        <v>224</v>
      </c>
      <c r="K68" s="76">
        <f t="shared" si="19"/>
        <v>70</v>
      </c>
      <c r="L68" s="76" t="e">
        <f>NA()</f>
        <v>#N/A</v>
      </c>
      <c r="M68" s="76" t="e">
        <f t="shared" si="24"/>
        <v>#N/A</v>
      </c>
      <c r="N68" s="74">
        <f t="shared" ref="N68:N99" si="25">F68*120</f>
        <v>3600</v>
      </c>
      <c r="O68" s="76">
        <f t="shared" ref="O68:O99" si="26">N68-N67</f>
        <v>0</v>
      </c>
    </row>
    <row r="69" spans="1:15" x14ac:dyDescent="0.25">
      <c r="A69" s="77">
        <v>44161.140277777777</v>
      </c>
      <c r="C69" s="74">
        <v>20</v>
      </c>
      <c r="D69" s="74">
        <v>1</v>
      </c>
      <c r="E69" s="432" t="e">
        <f>NA()</f>
        <v>#N/A</v>
      </c>
      <c r="F69" s="150">
        <f t="shared" si="23"/>
        <v>30</v>
      </c>
      <c r="G69" s="76">
        <f t="shared" si="20"/>
        <v>0</v>
      </c>
      <c r="H69" s="76">
        <f t="shared" si="21"/>
        <v>0</v>
      </c>
      <c r="I69" s="76">
        <f t="shared" si="22"/>
        <v>0</v>
      </c>
      <c r="J69" s="76">
        <f>SUMIF(I$2:I69,"&gt;0")</f>
        <v>224</v>
      </c>
      <c r="K69" s="76">
        <f t="shared" si="19"/>
        <v>70</v>
      </c>
      <c r="L69" s="76" t="e">
        <f>NA()</f>
        <v>#N/A</v>
      </c>
      <c r="M69" s="76" t="e">
        <f t="shared" si="24"/>
        <v>#N/A</v>
      </c>
      <c r="N69" s="74">
        <f t="shared" si="25"/>
        <v>3600</v>
      </c>
      <c r="O69" s="76">
        <f t="shared" si="26"/>
        <v>0</v>
      </c>
    </row>
    <row r="70" spans="1:15" x14ac:dyDescent="0.25">
      <c r="A70" s="77">
        <v>44161.900694444441</v>
      </c>
      <c r="B70" s="21" t="s">
        <v>314</v>
      </c>
      <c r="C70" s="74">
        <v>20</v>
      </c>
      <c r="D70" s="74">
        <v>2</v>
      </c>
      <c r="E70" s="432" t="e">
        <f>NA()</f>
        <v>#N/A</v>
      </c>
      <c r="F70" s="150">
        <f t="shared" si="23"/>
        <v>40</v>
      </c>
      <c r="G70" s="76">
        <f t="shared" si="20"/>
        <v>0</v>
      </c>
      <c r="H70" s="76">
        <f t="shared" si="21"/>
        <v>1</v>
      </c>
      <c r="I70" s="76">
        <f t="shared" si="22"/>
        <v>10</v>
      </c>
      <c r="J70" s="76">
        <f>SUMIF(I$2:I70,"&gt;0")</f>
        <v>234</v>
      </c>
      <c r="K70" s="76">
        <f t="shared" si="19"/>
        <v>58</v>
      </c>
      <c r="L70" s="76" t="e">
        <f>NA()</f>
        <v>#N/A</v>
      </c>
      <c r="M70" s="76" t="e">
        <f t="shared" si="24"/>
        <v>#N/A</v>
      </c>
      <c r="N70" s="74">
        <f t="shared" si="25"/>
        <v>4800</v>
      </c>
      <c r="O70" s="76">
        <f t="shared" si="26"/>
        <v>1200</v>
      </c>
    </row>
    <row r="71" spans="1:15" x14ac:dyDescent="0.25">
      <c r="A71" s="77">
        <v>44162.552777777775</v>
      </c>
      <c r="B71" s="21" t="s">
        <v>316</v>
      </c>
      <c r="C71" s="74">
        <v>0</v>
      </c>
      <c r="D71" s="74">
        <v>0</v>
      </c>
      <c r="E71" s="432" t="e">
        <f>NA()</f>
        <v>#N/A</v>
      </c>
      <c r="F71" s="150">
        <f t="shared" si="23"/>
        <v>0</v>
      </c>
      <c r="G71" s="76">
        <f t="shared" si="20"/>
        <v>-20</v>
      </c>
      <c r="H71" s="76">
        <f t="shared" si="21"/>
        <v>-2</v>
      </c>
      <c r="I71" s="76">
        <f t="shared" si="22"/>
        <v>-40</v>
      </c>
      <c r="J71" s="76">
        <f>SUMIF(I$2:I71,"&gt;0")</f>
        <v>234</v>
      </c>
      <c r="K71" s="76">
        <f t="shared" ref="K71:K102" si="27">IFERROR(J71 - _xlfn.XLOOKUP(A71-30, $A$2:$A$14999,J$2:J$14999,"",-1,2),NA())</f>
        <v>55</v>
      </c>
      <c r="L71" s="76" t="e">
        <f>NA()</f>
        <v>#N/A</v>
      </c>
      <c r="M71" s="76" t="e">
        <f t="shared" si="24"/>
        <v>#N/A</v>
      </c>
      <c r="N71" s="74">
        <f t="shared" si="25"/>
        <v>0</v>
      </c>
      <c r="O71" s="76">
        <f t="shared" si="26"/>
        <v>-4800</v>
      </c>
    </row>
    <row r="72" spans="1:15" x14ac:dyDescent="0.25">
      <c r="A72" s="77">
        <v>44163.303472222222</v>
      </c>
      <c r="B72" s="21" t="s">
        <v>317</v>
      </c>
      <c r="C72" s="74">
        <v>5</v>
      </c>
      <c r="D72" s="74">
        <v>0</v>
      </c>
      <c r="E72" s="432" t="e">
        <f>NA()</f>
        <v>#N/A</v>
      </c>
      <c r="F72" s="150">
        <f t="shared" si="23"/>
        <v>5</v>
      </c>
      <c r="G72" s="76">
        <f t="shared" si="20"/>
        <v>5</v>
      </c>
      <c r="H72" s="76">
        <f t="shared" si="21"/>
        <v>0</v>
      </c>
      <c r="I72" s="76">
        <f t="shared" si="22"/>
        <v>5</v>
      </c>
      <c r="J72" s="76">
        <f>SUMIF(I$2:I72,"&gt;0")</f>
        <v>239</v>
      </c>
      <c r="K72" s="76">
        <f t="shared" si="27"/>
        <v>60</v>
      </c>
      <c r="L72" s="76" t="e">
        <f>NA()</f>
        <v>#N/A</v>
      </c>
      <c r="M72" s="76" t="e">
        <f t="shared" si="24"/>
        <v>#N/A</v>
      </c>
      <c r="N72" s="74">
        <f t="shared" si="25"/>
        <v>600</v>
      </c>
      <c r="O72" s="76">
        <f t="shared" si="26"/>
        <v>600</v>
      </c>
    </row>
    <row r="73" spans="1:15" x14ac:dyDescent="0.25">
      <c r="A73" s="77">
        <v>44164.107638888891</v>
      </c>
      <c r="C73" s="74">
        <v>5</v>
      </c>
      <c r="D73" s="74">
        <v>0</v>
      </c>
      <c r="E73" s="432" t="e">
        <f>NA()</f>
        <v>#N/A</v>
      </c>
      <c r="F73" s="150">
        <f t="shared" si="23"/>
        <v>5</v>
      </c>
      <c r="G73" s="76">
        <f t="shared" si="20"/>
        <v>0</v>
      </c>
      <c r="H73" s="76">
        <f t="shared" si="21"/>
        <v>0</v>
      </c>
      <c r="I73" s="76">
        <f t="shared" si="22"/>
        <v>0</v>
      </c>
      <c r="J73" s="76">
        <f>SUMIF(I$2:I73,"&gt;0")</f>
        <v>239</v>
      </c>
      <c r="K73" s="76">
        <f t="shared" si="27"/>
        <v>45</v>
      </c>
      <c r="L73" s="76" t="e">
        <f>NA()</f>
        <v>#N/A</v>
      </c>
      <c r="M73" s="76" t="e">
        <f t="shared" si="24"/>
        <v>#N/A</v>
      </c>
      <c r="N73" s="74">
        <f t="shared" si="25"/>
        <v>600</v>
      </c>
      <c r="O73" s="76">
        <f t="shared" si="26"/>
        <v>0</v>
      </c>
    </row>
    <row r="74" spans="1:15" x14ac:dyDescent="0.25">
      <c r="A74" s="77">
        <v>44165.041666666664</v>
      </c>
      <c r="B74" s="21" t="s">
        <v>331</v>
      </c>
      <c r="C74" s="74">
        <v>0</v>
      </c>
      <c r="D74" s="74">
        <v>0</v>
      </c>
      <c r="E74" s="432" t="e">
        <f>NA()</f>
        <v>#N/A</v>
      </c>
      <c r="F74" s="150">
        <f t="shared" si="23"/>
        <v>0</v>
      </c>
      <c r="G74" s="76">
        <f t="shared" si="20"/>
        <v>-5</v>
      </c>
      <c r="H74" s="76">
        <f t="shared" si="21"/>
        <v>0</v>
      </c>
      <c r="I74" s="76">
        <f t="shared" si="22"/>
        <v>-5</v>
      </c>
      <c r="J74" s="76">
        <f>SUMIF(I$2:I74,"&gt;0")</f>
        <v>239</v>
      </c>
      <c r="K74" s="76">
        <f t="shared" si="27"/>
        <v>45</v>
      </c>
      <c r="L74" s="76" t="e">
        <f>NA()</f>
        <v>#N/A</v>
      </c>
      <c r="M74" s="76" t="e">
        <f t="shared" si="24"/>
        <v>#N/A</v>
      </c>
      <c r="N74" s="74">
        <f t="shared" si="25"/>
        <v>0</v>
      </c>
      <c r="O74" s="76">
        <f t="shared" si="26"/>
        <v>-600</v>
      </c>
    </row>
    <row r="75" spans="1:15" x14ac:dyDescent="0.25">
      <c r="A75" s="77">
        <v>44165.736805555556</v>
      </c>
      <c r="C75" s="74">
        <v>7</v>
      </c>
      <c r="D75" s="74">
        <v>1</v>
      </c>
      <c r="E75" s="432" t="e">
        <f>NA()</f>
        <v>#N/A</v>
      </c>
      <c r="F75" s="150">
        <f t="shared" si="23"/>
        <v>17</v>
      </c>
      <c r="G75" s="76">
        <f t="shared" si="20"/>
        <v>7</v>
      </c>
      <c r="H75" s="76">
        <f t="shared" si="21"/>
        <v>1</v>
      </c>
      <c r="I75" s="76">
        <f t="shared" si="22"/>
        <v>17</v>
      </c>
      <c r="J75" s="76">
        <f>SUMIF(I$2:I75,"&gt;0")</f>
        <v>256</v>
      </c>
      <c r="K75" s="76">
        <f t="shared" si="27"/>
        <v>62</v>
      </c>
      <c r="L75" s="76" t="e">
        <f>NA()</f>
        <v>#N/A</v>
      </c>
      <c r="M75" s="76" t="e">
        <f t="shared" si="24"/>
        <v>#N/A</v>
      </c>
      <c r="N75" s="74">
        <f t="shared" si="25"/>
        <v>2040</v>
      </c>
      <c r="O75" s="76">
        <f t="shared" si="26"/>
        <v>2040</v>
      </c>
    </row>
    <row r="76" spans="1:15" x14ac:dyDescent="0.25">
      <c r="A76" s="77">
        <v>44166.293749999997</v>
      </c>
      <c r="C76" s="74">
        <v>7</v>
      </c>
      <c r="D76" s="74">
        <v>2</v>
      </c>
      <c r="E76" s="432" t="e">
        <f>NA()</f>
        <v>#N/A</v>
      </c>
      <c r="F76" s="150">
        <f t="shared" si="23"/>
        <v>27</v>
      </c>
      <c r="G76" s="76">
        <f t="shared" si="20"/>
        <v>0</v>
      </c>
      <c r="H76" s="76">
        <f t="shared" si="21"/>
        <v>1</v>
      </c>
      <c r="I76" s="76">
        <f t="shared" si="22"/>
        <v>10</v>
      </c>
      <c r="J76" s="76">
        <f>SUMIF(I$2:I76,"&gt;0")</f>
        <v>266</v>
      </c>
      <c r="K76" s="76">
        <f t="shared" si="27"/>
        <v>72</v>
      </c>
      <c r="L76" s="76" t="e">
        <f>NA()</f>
        <v>#N/A</v>
      </c>
      <c r="M76" s="76" t="e">
        <f t="shared" si="24"/>
        <v>#N/A</v>
      </c>
      <c r="N76" s="74">
        <f t="shared" si="25"/>
        <v>3240</v>
      </c>
      <c r="O76" s="76">
        <f t="shared" si="26"/>
        <v>1200</v>
      </c>
    </row>
    <row r="77" spans="1:15" x14ac:dyDescent="0.25">
      <c r="A77" s="77">
        <v>44167.293749999997</v>
      </c>
      <c r="C77" s="74">
        <v>7</v>
      </c>
      <c r="D77" s="74">
        <v>2</v>
      </c>
      <c r="E77" s="432" t="e">
        <f>NA()</f>
        <v>#N/A</v>
      </c>
      <c r="F77" s="150">
        <f t="shared" si="23"/>
        <v>27</v>
      </c>
      <c r="G77" s="76">
        <f t="shared" si="20"/>
        <v>0</v>
      </c>
      <c r="H77" s="76">
        <f t="shared" si="21"/>
        <v>0</v>
      </c>
      <c r="I77" s="76">
        <f t="shared" si="22"/>
        <v>0</v>
      </c>
      <c r="J77" s="76">
        <f>SUMIF(I$2:I77,"&gt;0")</f>
        <v>266</v>
      </c>
      <c r="K77" s="76">
        <f t="shared" si="27"/>
        <v>72</v>
      </c>
      <c r="L77" s="76" t="e">
        <f>NA()</f>
        <v>#N/A</v>
      </c>
      <c r="M77" s="76" t="e">
        <f t="shared" si="24"/>
        <v>#N/A</v>
      </c>
      <c r="N77" s="74">
        <f t="shared" si="25"/>
        <v>3240</v>
      </c>
      <c r="O77" s="76">
        <f t="shared" si="26"/>
        <v>0</v>
      </c>
    </row>
    <row r="78" spans="1:15" x14ac:dyDescent="0.25">
      <c r="A78" s="77">
        <v>44168.175694444442</v>
      </c>
      <c r="B78" s="21" t="s">
        <v>317</v>
      </c>
      <c r="C78" s="74">
        <v>16</v>
      </c>
      <c r="D78" s="74">
        <v>2</v>
      </c>
      <c r="E78" s="432" t="e">
        <f>NA()</f>
        <v>#N/A</v>
      </c>
      <c r="F78" s="150">
        <f t="shared" si="23"/>
        <v>36</v>
      </c>
      <c r="G78" s="76">
        <f t="shared" si="20"/>
        <v>9</v>
      </c>
      <c r="H78" s="76">
        <f t="shared" si="21"/>
        <v>0</v>
      </c>
      <c r="I78" s="76">
        <f t="shared" si="22"/>
        <v>9</v>
      </c>
      <c r="J78" s="76">
        <f>SUMIF(I$2:I78,"&gt;0")</f>
        <v>275</v>
      </c>
      <c r="K78" s="76">
        <f t="shared" si="27"/>
        <v>80</v>
      </c>
      <c r="L78" s="76" t="e">
        <f>NA()</f>
        <v>#N/A</v>
      </c>
      <c r="M78" s="76" t="e">
        <f t="shared" si="24"/>
        <v>#N/A</v>
      </c>
      <c r="N78" s="74">
        <f t="shared" si="25"/>
        <v>4320</v>
      </c>
      <c r="O78" s="76">
        <f t="shared" si="26"/>
        <v>1080</v>
      </c>
    </row>
    <row r="79" spans="1:15" x14ac:dyDescent="0.25">
      <c r="A79" s="77">
        <v>44169.175694444442</v>
      </c>
      <c r="C79" s="74">
        <v>16</v>
      </c>
      <c r="D79" s="74">
        <v>2</v>
      </c>
      <c r="E79" s="432" t="e">
        <f>NA()</f>
        <v>#N/A</v>
      </c>
      <c r="F79" s="150">
        <f t="shared" si="23"/>
        <v>36</v>
      </c>
      <c r="G79" s="76">
        <f t="shared" si="20"/>
        <v>0</v>
      </c>
      <c r="H79" s="76">
        <f t="shared" si="21"/>
        <v>0</v>
      </c>
      <c r="I79" s="76">
        <f t="shared" si="22"/>
        <v>0</v>
      </c>
      <c r="J79" s="76">
        <f>SUMIF(I$2:I79,"&gt;0")</f>
        <v>275</v>
      </c>
      <c r="K79" s="76">
        <f t="shared" si="27"/>
        <v>80</v>
      </c>
      <c r="L79" s="76" t="e">
        <f>NA()</f>
        <v>#N/A</v>
      </c>
      <c r="M79" s="76" t="e">
        <f t="shared" si="24"/>
        <v>#N/A</v>
      </c>
      <c r="N79" s="74">
        <f t="shared" si="25"/>
        <v>4320</v>
      </c>
      <c r="O79" s="76">
        <f t="shared" si="26"/>
        <v>0</v>
      </c>
    </row>
    <row r="80" spans="1:15" x14ac:dyDescent="0.25">
      <c r="A80" s="77">
        <v>44170.036111111112</v>
      </c>
      <c r="B80" s="21" t="s">
        <v>309</v>
      </c>
      <c r="C80" s="74">
        <v>16</v>
      </c>
      <c r="D80" s="74">
        <v>2</v>
      </c>
      <c r="E80" s="432" t="e">
        <f>NA()</f>
        <v>#N/A</v>
      </c>
      <c r="F80" s="150">
        <f t="shared" si="23"/>
        <v>36</v>
      </c>
      <c r="G80" s="76">
        <f t="shared" si="20"/>
        <v>0</v>
      </c>
      <c r="H80" s="76">
        <f t="shared" si="21"/>
        <v>0</v>
      </c>
      <c r="I80" s="76">
        <f t="shared" si="22"/>
        <v>0</v>
      </c>
      <c r="J80" s="76">
        <f>SUMIF(I$2:I80,"&gt;0")</f>
        <v>275</v>
      </c>
      <c r="K80" s="76">
        <f t="shared" si="27"/>
        <v>80</v>
      </c>
      <c r="L80" s="76" t="e">
        <f>NA()</f>
        <v>#N/A</v>
      </c>
      <c r="M80" s="76" t="e">
        <f t="shared" si="24"/>
        <v>#N/A</v>
      </c>
      <c r="N80" s="74">
        <f t="shared" si="25"/>
        <v>4320</v>
      </c>
      <c r="O80" s="76">
        <f t="shared" si="26"/>
        <v>0</v>
      </c>
    </row>
    <row r="81" spans="1:15" x14ac:dyDescent="0.25">
      <c r="A81" s="77">
        <v>44171.594444444447</v>
      </c>
      <c r="C81" s="74">
        <v>16</v>
      </c>
      <c r="D81" s="74">
        <v>2</v>
      </c>
      <c r="E81" s="432" t="e">
        <f>NA()</f>
        <v>#N/A</v>
      </c>
      <c r="F81" s="150">
        <f t="shared" si="23"/>
        <v>36</v>
      </c>
      <c r="G81" s="76">
        <f t="shared" si="20"/>
        <v>0</v>
      </c>
      <c r="H81" s="76">
        <f t="shared" si="21"/>
        <v>0</v>
      </c>
      <c r="I81" s="76">
        <f t="shared" si="22"/>
        <v>0</v>
      </c>
      <c r="J81" s="76">
        <f>SUMIF(I$2:I81,"&gt;0")</f>
        <v>275</v>
      </c>
      <c r="K81" s="76">
        <f t="shared" si="27"/>
        <v>80</v>
      </c>
      <c r="L81" s="76" t="e">
        <f>NA()</f>
        <v>#N/A</v>
      </c>
      <c r="M81" s="76" t="e">
        <f t="shared" si="24"/>
        <v>#N/A</v>
      </c>
      <c r="N81" s="74">
        <f t="shared" si="25"/>
        <v>4320</v>
      </c>
      <c r="O81" s="76">
        <f t="shared" si="26"/>
        <v>0</v>
      </c>
    </row>
    <row r="82" spans="1:15" x14ac:dyDescent="0.25">
      <c r="A82" s="77">
        <v>44172.018055555556</v>
      </c>
      <c r="C82" s="74">
        <v>16</v>
      </c>
      <c r="D82" s="74">
        <v>2</v>
      </c>
      <c r="E82" s="432" t="e">
        <f>NA()</f>
        <v>#N/A</v>
      </c>
      <c r="F82" s="150">
        <f t="shared" si="23"/>
        <v>36</v>
      </c>
      <c r="G82" s="76">
        <f t="shared" si="20"/>
        <v>0</v>
      </c>
      <c r="H82" s="76">
        <f t="shared" si="21"/>
        <v>0</v>
      </c>
      <c r="I82" s="76">
        <f t="shared" si="22"/>
        <v>0</v>
      </c>
      <c r="J82" s="76">
        <f>SUMIF(I$2:I82,"&gt;0")</f>
        <v>275</v>
      </c>
      <c r="K82" s="76">
        <f t="shared" si="27"/>
        <v>80</v>
      </c>
      <c r="L82" s="76" t="e">
        <f>NA()</f>
        <v>#N/A</v>
      </c>
      <c r="M82" s="76" t="e">
        <f t="shared" si="24"/>
        <v>#N/A</v>
      </c>
      <c r="N82" s="74">
        <f t="shared" si="25"/>
        <v>4320</v>
      </c>
      <c r="O82" s="76">
        <f t="shared" si="26"/>
        <v>0</v>
      </c>
    </row>
    <row r="83" spans="1:15" x14ac:dyDescent="0.25">
      <c r="A83" s="77">
        <v>44173.915972222225</v>
      </c>
      <c r="C83" s="74">
        <v>16</v>
      </c>
      <c r="D83" s="74">
        <v>2</v>
      </c>
      <c r="E83" s="432" t="e">
        <f>NA()</f>
        <v>#N/A</v>
      </c>
      <c r="F83" s="150">
        <f t="shared" si="23"/>
        <v>36</v>
      </c>
      <c r="G83" s="76">
        <f t="shared" si="20"/>
        <v>0</v>
      </c>
      <c r="H83" s="76">
        <f t="shared" si="21"/>
        <v>0</v>
      </c>
      <c r="I83" s="76">
        <f t="shared" si="22"/>
        <v>0</v>
      </c>
      <c r="J83" s="76">
        <f>SUMIF(I$2:I83,"&gt;0")</f>
        <v>275</v>
      </c>
      <c r="K83" s="76">
        <f t="shared" si="27"/>
        <v>80</v>
      </c>
      <c r="L83" s="76" t="e">
        <f>NA()</f>
        <v>#N/A</v>
      </c>
      <c r="M83" s="76" t="e">
        <f t="shared" si="24"/>
        <v>#N/A</v>
      </c>
      <c r="N83" s="74">
        <f t="shared" si="25"/>
        <v>4320</v>
      </c>
      <c r="O83" s="76">
        <f t="shared" si="26"/>
        <v>0</v>
      </c>
    </row>
    <row r="84" spans="1:15" x14ac:dyDescent="0.25">
      <c r="A84" s="77">
        <v>44174.231944444444</v>
      </c>
      <c r="C84" s="74">
        <v>16</v>
      </c>
      <c r="D84" s="74">
        <v>2</v>
      </c>
      <c r="E84" s="432" t="e">
        <f>NA()</f>
        <v>#N/A</v>
      </c>
      <c r="F84" s="150">
        <f t="shared" si="23"/>
        <v>36</v>
      </c>
      <c r="G84" s="76">
        <f t="shared" si="20"/>
        <v>0</v>
      </c>
      <c r="H84" s="76">
        <f t="shared" si="21"/>
        <v>0</v>
      </c>
      <c r="I84" s="76">
        <f t="shared" si="22"/>
        <v>0</v>
      </c>
      <c r="J84" s="76">
        <f>SUMIF(I$2:I84,"&gt;0")</f>
        <v>275</v>
      </c>
      <c r="K84" s="76">
        <f t="shared" si="27"/>
        <v>80</v>
      </c>
      <c r="L84" s="76" t="e">
        <f>NA()</f>
        <v>#N/A</v>
      </c>
      <c r="M84" s="76" t="e">
        <f t="shared" si="24"/>
        <v>#N/A</v>
      </c>
      <c r="N84" s="74">
        <f t="shared" si="25"/>
        <v>4320</v>
      </c>
      <c r="O84" s="76">
        <f t="shared" si="26"/>
        <v>0</v>
      </c>
    </row>
    <row r="85" spans="1:15" x14ac:dyDescent="0.25">
      <c r="A85" s="77">
        <v>44175.32708333333</v>
      </c>
      <c r="C85" s="74">
        <v>16</v>
      </c>
      <c r="D85" s="74">
        <v>2</v>
      </c>
      <c r="E85" s="432" t="e">
        <f>NA()</f>
        <v>#N/A</v>
      </c>
      <c r="F85" s="150">
        <f t="shared" si="23"/>
        <v>36</v>
      </c>
      <c r="G85" s="76">
        <f t="shared" si="20"/>
        <v>0</v>
      </c>
      <c r="H85" s="76">
        <f t="shared" si="21"/>
        <v>0</v>
      </c>
      <c r="I85" s="76">
        <f t="shared" si="22"/>
        <v>0</v>
      </c>
      <c r="J85" s="76">
        <f>SUMIF(I$2:I85,"&gt;0")</f>
        <v>275</v>
      </c>
      <c r="K85" s="76">
        <f t="shared" si="27"/>
        <v>78</v>
      </c>
      <c r="L85" s="76" t="e">
        <f>NA()</f>
        <v>#N/A</v>
      </c>
      <c r="M85" s="76" t="e">
        <f t="shared" si="24"/>
        <v>#N/A</v>
      </c>
      <c r="N85" s="74">
        <f t="shared" si="25"/>
        <v>4320</v>
      </c>
      <c r="O85" s="76">
        <f t="shared" si="26"/>
        <v>0</v>
      </c>
    </row>
    <row r="86" spans="1:15" x14ac:dyDescent="0.25">
      <c r="A86" s="77">
        <v>44176.415972222225</v>
      </c>
      <c r="C86" s="74">
        <v>16</v>
      </c>
      <c r="D86" s="74">
        <v>2</v>
      </c>
      <c r="E86" s="432" t="e">
        <f>NA()</f>
        <v>#N/A</v>
      </c>
      <c r="F86" s="150">
        <f t="shared" si="23"/>
        <v>36</v>
      </c>
      <c r="G86" s="76">
        <f t="shared" si="20"/>
        <v>0</v>
      </c>
      <c r="H86" s="76">
        <f t="shared" si="21"/>
        <v>0</v>
      </c>
      <c r="I86" s="76">
        <f t="shared" si="22"/>
        <v>0</v>
      </c>
      <c r="J86" s="76">
        <f>SUMIF(I$2:I86,"&gt;0")</f>
        <v>275</v>
      </c>
      <c r="K86" s="76">
        <f t="shared" si="27"/>
        <v>78</v>
      </c>
      <c r="L86" s="76" t="e">
        <f>NA()</f>
        <v>#N/A</v>
      </c>
      <c r="M86" s="76" t="e">
        <f t="shared" si="24"/>
        <v>#N/A</v>
      </c>
      <c r="N86" s="74">
        <f t="shared" si="25"/>
        <v>4320</v>
      </c>
      <c r="O86" s="76">
        <f t="shared" si="26"/>
        <v>0</v>
      </c>
    </row>
    <row r="87" spans="1:15" x14ac:dyDescent="0.25">
      <c r="A87" s="77">
        <v>44177.791666666664</v>
      </c>
      <c r="C87" s="74">
        <v>16</v>
      </c>
      <c r="D87" s="74">
        <v>2</v>
      </c>
      <c r="E87" s="432" t="e">
        <f>NA()</f>
        <v>#N/A</v>
      </c>
      <c r="F87" s="150">
        <f t="shared" si="23"/>
        <v>36</v>
      </c>
      <c r="G87" s="76">
        <f t="shared" ref="G87:G118" si="28">C87-C86</f>
        <v>0</v>
      </c>
      <c r="H87" s="76">
        <f t="shared" ref="H87:H118" si="29">D87-D86</f>
        <v>0</v>
      </c>
      <c r="I87" s="76">
        <f t="shared" ref="I87:I118" si="30">F87-F86</f>
        <v>0</v>
      </c>
      <c r="J87" s="76">
        <f>SUMIF(I$2:I87,"&gt;0")</f>
        <v>275</v>
      </c>
      <c r="K87" s="76">
        <f t="shared" si="27"/>
        <v>77</v>
      </c>
      <c r="L87" s="76" t="e">
        <f>NA()</f>
        <v>#N/A</v>
      </c>
      <c r="M87" s="76" t="e">
        <f t="shared" si="24"/>
        <v>#N/A</v>
      </c>
      <c r="N87" s="74">
        <f t="shared" si="25"/>
        <v>4320</v>
      </c>
      <c r="O87" s="76">
        <f t="shared" si="26"/>
        <v>0</v>
      </c>
    </row>
    <row r="88" spans="1:15" x14ac:dyDescent="0.25">
      <c r="A88" s="77">
        <v>44178.615277777775</v>
      </c>
      <c r="C88" s="74">
        <v>16</v>
      </c>
      <c r="D88" s="74">
        <v>2</v>
      </c>
      <c r="E88" s="432" t="e">
        <f>NA()</f>
        <v>#N/A</v>
      </c>
      <c r="F88" s="150">
        <f t="shared" si="23"/>
        <v>36</v>
      </c>
      <c r="G88" s="76">
        <f t="shared" si="28"/>
        <v>0</v>
      </c>
      <c r="H88" s="76">
        <f t="shared" si="29"/>
        <v>0</v>
      </c>
      <c r="I88" s="76">
        <f t="shared" si="30"/>
        <v>0</v>
      </c>
      <c r="J88" s="76">
        <f>SUMIF(I$2:I88,"&gt;0")</f>
        <v>275</v>
      </c>
      <c r="K88" s="76">
        <f t="shared" si="27"/>
        <v>77</v>
      </c>
      <c r="L88" s="76" t="e">
        <f>NA()</f>
        <v>#N/A</v>
      </c>
      <c r="M88" s="76" t="e">
        <f t="shared" si="24"/>
        <v>#N/A</v>
      </c>
      <c r="N88" s="74">
        <f t="shared" si="25"/>
        <v>4320</v>
      </c>
      <c r="O88" s="76">
        <f t="shared" si="26"/>
        <v>0</v>
      </c>
    </row>
    <row r="89" spans="1:15" x14ac:dyDescent="0.25">
      <c r="A89" s="77">
        <v>44179.063888888886</v>
      </c>
      <c r="C89" s="74">
        <v>17</v>
      </c>
      <c r="D89" s="74">
        <v>2</v>
      </c>
      <c r="E89" s="432" t="e">
        <f>NA()</f>
        <v>#N/A</v>
      </c>
      <c r="F89" s="150">
        <f t="shared" si="23"/>
        <v>37</v>
      </c>
      <c r="G89" s="76">
        <f t="shared" si="28"/>
        <v>1</v>
      </c>
      <c r="H89" s="76">
        <f t="shared" si="29"/>
        <v>0</v>
      </c>
      <c r="I89" s="76">
        <f t="shared" si="30"/>
        <v>1</v>
      </c>
      <c r="J89" s="76">
        <f>SUMIF(I$2:I89,"&gt;0")</f>
        <v>276</v>
      </c>
      <c r="K89" s="76">
        <f t="shared" si="27"/>
        <v>78</v>
      </c>
      <c r="L89" s="76" t="e">
        <f>NA()</f>
        <v>#N/A</v>
      </c>
      <c r="M89" s="76" t="e">
        <f t="shared" si="24"/>
        <v>#N/A</v>
      </c>
      <c r="N89" s="74">
        <f t="shared" si="25"/>
        <v>4440</v>
      </c>
      <c r="O89" s="76">
        <f t="shared" si="26"/>
        <v>120</v>
      </c>
    </row>
    <row r="90" spans="1:15" x14ac:dyDescent="0.25">
      <c r="A90" s="77">
        <v>44180.186805555553</v>
      </c>
      <c r="B90" s="21" t="s">
        <v>349</v>
      </c>
      <c r="C90" s="74">
        <v>0</v>
      </c>
      <c r="D90" s="74">
        <v>0</v>
      </c>
      <c r="E90" s="432" t="e">
        <f>NA()</f>
        <v>#N/A</v>
      </c>
      <c r="F90" s="150">
        <f t="shared" si="23"/>
        <v>0</v>
      </c>
      <c r="G90" s="76">
        <f t="shared" si="28"/>
        <v>-17</v>
      </c>
      <c r="H90" s="76">
        <f t="shared" si="29"/>
        <v>-2</v>
      </c>
      <c r="I90" s="76">
        <f t="shared" si="30"/>
        <v>-37</v>
      </c>
      <c r="J90" s="76">
        <f>SUMIF(I$2:I90,"&gt;0")</f>
        <v>276</v>
      </c>
      <c r="K90" s="76">
        <f t="shared" si="27"/>
        <v>74</v>
      </c>
      <c r="L90" s="76" t="e">
        <f>NA()</f>
        <v>#N/A</v>
      </c>
      <c r="M90" s="76" t="e">
        <f t="shared" si="24"/>
        <v>#N/A</v>
      </c>
      <c r="N90" s="74">
        <f t="shared" si="25"/>
        <v>0</v>
      </c>
      <c r="O90" s="76">
        <f t="shared" si="26"/>
        <v>-4440</v>
      </c>
    </row>
    <row r="91" spans="1:15" x14ac:dyDescent="0.25">
      <c r="A91" s="77">
        <v>44181.272916666669</v>
      </c>
      <c r="C91" s="74">
        <v>2</v>
      </c>
      <c r="D91" s="74">
        <v>0</v>
      </c>
      <c r="E91" s="432" t="e">
        <f>NA()</f>
        <v>#N/A</v>
      </c>
      <c r="F91" s="150">
        <f t="shared" si="23"/>
        <v>2</v>
      </c>
      <c r="G91" s="76">
        <f t="shared" si="28"/>
        <v>2</v>
      </c>
      <c r="H91" s="76">
        <f t="shared" si="29"/>
        <v>0</v>
      </c>
      <c r="I91" s="76">
        <f t="shared" si="30"/>
        <v>2</v>
      </c>
      <c r="J91" s="76">
        <f>SUMIF(I$2:I91,"&gt;0")</f>
        <v>278</v>
      </c>
      <c r="K91" s="76">
        <f t="shared" si="27"/>
        <v>75</v>
      </c>
      <c r="L91" s="76" t="e">
        <f>NA()</f>
        <v>#N/A</v>
      </c>
      <c r="M91" s="76" t="e">
        <f t="shared" si="24"/>
        <v>#N/A</v>
      </c>
      <c r="N91" s="74">
        <f t="shared" si="25"/>
        <v>240</v>
      </c>
      <c r="O91" s="76">
        <f t="shared" si="26"/>
        <v>240</v>
      </c>
    </row>
    <row r="92" spans="1:15" x14ac:dyDescent="0.25">
      <c r="A92" s="77">
        <v>44182.364583333336</v>
      </c>
      <c r="C92" s="74">
        <v>3</v>
      </c>
      <c r="D92" s="74">
        <v>0</v>
      </c>
      <c r="E92" s="432" t="e">
        <f>NA()</f>
        <v>#N/A</v>
      </c>
      <c r="F92" s="150">
        <f t="shared" si="23"/>
        <v>3</v>
      </c>
      <c r="G92" s="76">
        <f t="shared" si="28"/>
        <v>1</v>
      </c>
      <c r="H92" s="76">
        <f t="shared" si="29"/>
        <v>0</v>
      </c>
      <c r="I92" s="76">
        <f t="shared" si="30"/>
        <v>1</v>
      </c>
      <c r="J92" s="76">
        <f>SUMIF(I$2:I92,"&gt;0")</f>
        <v>279</v>
      </c>
      <c r="K92" s="76">
        <f t="shared" si="27"/>
        <v>59</v>
      </c>
      <c r="L92" s="76" t="e">
        <f>NA()</f>
        <v>#N/A</v>
      </c>
      <c r="M92" s="76" t="e">
        <f t="shared" si="24"/>
        <v>#N/A</v>
      </c>
      <c r="N92" s="74">
        <f t="shared" si="25"/>
        <v>360</v>
      </c>
      <c r="O92" s="76">
        <f t="shared" si="26"/>
        <v>120</v>
      </c>
    </row>
    <row r="93" spans="1:15" x14ac:dyDescent="0.25">
      <c r="A93" s="77">
        <v>44183.550694444442</v>
      </c>
      <c r="C93" s="74">
        <v>4</v>
      </c>
      <c r="D93" s="74">
        <v>0</v>
      </c>
      <c r="E93" s="432" t="e">
        <f>NA()</f>
        <v>#N/A</v>
      </c>
      <c r="F93" s="150">
        <f t="shared" si="23"/>
        <v>4</v>
      </c>
      <c r="G93" s="76">
        <f t="shared" si="28"/>
        <v>1</v>
      </c>
      <c r="H93" s="76">
        <f t="shared" si="29"/>
        <v>0</v>
      </c>
      <c r="I93" s="76">
        <f t="shared" si="30"/>
        <v>1</v>
      </c>
      <c r="J93" s="76">
        <f>SUMIF(I$2:I93,"&gt;0")</f>
        <v>280</v>
      </c>
      <c r="K93" s="76">
        <f t="shared" si="27"/>
        <v>60</v>
      </c>
      <c r="L93" s="76" t="e">
        <f>NA()</f>
        <v>#N/A</v>
      </c>
      <c r="M93" s="76" t="e">
        <f t="shared" si="24"/>
        <v>#N/A</v>
      </c>
      <c r="N93" s="74">
        <f t="shared" si="25"/>
        <v>480</v>
      </c>
      <c r="O93" s="76">
        <f t="shared" si="26"/>
        <v>120</v>
      </c>
    </row>
    <row r="94" spans="1:15" x14ac:dyDescent="0.25">
      <c r="A94" s="77">
        <v>44184.211111111108</v>
      </c>
      <c r="C94" s="74">
        <v>5</v>
      </c>
      <c r="D94" s="74">
        <v>0</v>
      </c>
      <c r="E94" s="432" t="e">
        <f>NA()</f>
        <v>#N/A</v>
      </c>
      <c r="F94" s="150">
        <f t="shared" si="23"/>
        <v>5</v>
      </c>
      <c r="G94" s="76">
        <f t="shared" si="28"/>
        <v>1</v>
      </c>
      <c r="H94" s="76">
        <f t="shared" si="29"/>
        <v>0</v>
      </c>
      <c r="I94" s="76">
        <f t="shared" si="30"/>
        <v>1</v>
      </c>
      <c r="J94" s="76">
        <f>SUMIF(I$2:I94,"&gt;0")</f>
        <v>281</v>
      </c>
      <c r="K94" s="76">
        <f t="shared" si="27"/>
        <v>61</v>
      </c>
      <c r="L94" s="76" t="e">
        <f>NA()</f>
        <v>#N/A</v>
      </c>
      <c r="M94" s="76" t="e">
        <f t="shared" si="24"/>
        <v>#N/A</v>
      </c>
      <c r="N94" s="74">
        <f t="shared" si="25"/>
        <v>600</v>
      </c>
      <c r="O94" s="76">
        <f t="shared" si="26"/>
        <v>120</v>
      </c>
    </row>
    <row r="95" spans="1:15" x14ac:dyDescent="0.25">
      <c r="A95" s="77">
        <v>44185.538194444445</v>
      </c>
      <c r="C95" s="74">
        <v>6</v>
      </c>
      <c r="D95" s="74">
        <v>0</v>
      </c>
      <c r="E95" s="432" t="e">
        <f>NA()</f>
        <v>#N/A</v>
      </c>
      <c r="F95" s="150">
        <f t="shared" si="23"/>
        <v>6</v>
      </c>
      <c r="G95" s="76">
        <f t="shared" si="28"/>
        <v>1</v>
      </c>
      <c r="H95" s="76">
        <f t="shared" si="29"/>
        <v>0</v>
      </c>
      <c r="I95" s="76">
        <f t="shared" si="30"/>
        <v>1</v>
      </c>
      <c r="J95" s="76">
        <f>SUMIF(I$2:I95,"&gt;0")</f>
        <v>282</v>
      </c>
      <c r="K95" s="76">
        <f t="shared" si="27"/>
        <v>59</v>
      </c>
      <c r="L95" s="76" t="e">
        <f>NA()</f>
        <v>#N/A</v>
      </c>
      <c r="M95" s="76" t="e">
        <f t="shared" si="24"/>
        <v>#N/A</v>
      </c>
      <c r="N95" s="74">
        <f t="shared" si="25"/>
        <v>720</v>
      </c>
      <c r="O95" s="76">
        <f t="shared" si="26"/>
        <v>120</v>
      </c>
    </row>
    <row r="96" spans="1:15" x14ac:dyDescent="0.25">
      <c r="A96" s="77">
        <v>44186.543055555558</v>
      </c>
      <c r="C96" s="74">
        <v>12</v>
      </c>
      <c r="D96" s="74">
        <v>0</v>
      </c>
      <c r="E96" s="432" t="e">
        <f>NA()</f>
        <v>#N/A</v>
      </c>
      <c r="F96" s="150">
        <f t="shared" si="23"/>
        <v>12</v>
      </c>
      <c r="G96" s="76">
        <f t="shared" si="28"/>
        <v>6</v>
      </c>
      <c r="H96" s="76">
        <f t="shared" si="29"/>
        <v>0</v>
      </c>
      <c r="I96" s="76">
        <f t="shared" si="30"/>
        <v>6</v>
      </c>
      <c r="J96" s="76">
        <f>SUMIF(I$2:I96,"&gt;0")</f>
        <v>288</v>
      </c>
      <c r="K96" s="76">
        <f t="shared" si="27"/>
        <v>65</v>
      </c>
      <c r="L96" s="76" t="e">
        <f>NA()</f>
        <v>#N/A</v>
      </c>
      <c r="M96" s="76" t="e">
        <f t="shared" si="24"/>
        <v>#N/A</v>
      </c>
      <c r="N96" s="74">
        <f t="shared" si="25"/>
        <v>1440</v>
      </c>
      <c r="O96" s="76">
        <f t="shared" si="26"/>
        <v>720</v>
      </c>
    </row>
    <row r="97" spans="1:15" x14ac:dyDescent="0.25">
      <c r="A97" s="77">
        <v>44187.379861111112</v>
      </c>
      <c r="C97" s="74">
        <v>13</v>
      </c>
      <c r="D97" s="74">
        <v>1</v>
      </c>
      <c r="E97" s="432" t="e">
        <f>NA()</f>
        <v>#N/A</v>
      </c>
      <c r="F97" s="150">
        <f t="shared" si="23"/>
        <v>23</v>
      </c>
      <c r="G97" s="76">
        <f t="shared" si="28"/>
        <v>1</v>
      </c>
      <c r="H97" s="76">
        <f t="shared" si="29"/>
        <v>1</v>
      </c>
      <c r="I97" s="76">
        <f t="shared" si="30"/>
        <v>11</v>
      </c>
      <c r="J97" s="76">
        <f>SUMIF(I$2:I97,"&gt;0")</f>
        <v>299</v>
      </c>
      <c r="K97" s="76">
        <f t="shared" si="27"/>
        <v>76</v>
      </c>
      <c r="L97" s="76">
        <f>SUMIF(E$2:E97,"&gt;0")</f>
        <v>0</v>
      </c>
      <c r="M97" s="76" t="e">
        <f t="shared" si="24"/>
        <v>#N/A</v>
      </c>
      <c r="N97" s="74">
        <f t="shared" si="25"/>
        <v>2760</v>
      </c>
      <c r="O97" s="76">
        <f t="shared" si="26"/>
        <v>1320</v>
      </c>
    </row>
    <row r="98" spans="1:15" x14ac:dyDescent="0.25">
      <c r="A98" s="77">
        <v>44188.379861111112</v>
      </c>
      <c r="C98" s="74">
        <v>14</v>
      </c>
      <c r="D98" s="74">
        <v>1</v>
      </c>
      <c r="E98" s="432" t="e">
        <f>NA()</f>
        <v>#N/A</v>
      </c>
      <c r="F98" s="150">
        <f t="shared" si="23"/>
        <v>24</v>
      </c>
      <c r="G98" s="76">
        <f t="shared" si="28"/>
        <v>1</v>
      </c>
      <c r="H98" s="76">
        <f t="shared" si="29"/>
        <v>0</v>
      </c>
      <c r="I98" s="76">
        <f t="shared" si="30"/>
        <v>1</v>
      </c>
      <c r="J98" s="76">
        <f>SUMIF(I$2:I98,"&gt;0")</f>
        <v>300</v>
      </c>
      <c r="K98" s="76">
        <f t="shared" si="27"/>
        <v>76</v>
      </c>
      <c r="L98" s="76">
        <f>SUMIF(E$2:E98,"&gt;0")</f>
        <v>0</v>
      </c>
      <c r="M98" s="76" t="e">
        <f t="shared" si="24"/>
        <v>#N/A</v>
      </c>
      <c r="N98" s="74">
        <f t="shared" si="25"/>
        <v>2880</v>
      </c>
      <c r="O98" s="76">
        <f t="shared" si="26"/>
        <v>120</v>
      </c>
    </row>
    <row r="99" spans="1:15" x14ac:dyDescent="0.25">
      <c r="A99" s="77">
        <v>44189.761111111111</v>
      </c>
      <c r="B99" s="21" t="s">
        <v>314</v>
      </c>
      <c r="C99" s="74">
        <v>16</v>
      </c>
      <c r="D99" s="74">
        <v>2</v>
      </c>
      <c r="E99" s="432" t="e">
        <f>NA()</f>
        <v>#N/A</v>
      </c>
      <c r="F99" s="150">
        <f t="shared" si="23"/>
        <v>36</v>
      </c>
      <c r="G99" s="76">
        <f t="shared" si="28"/>
        <v>2</v>
      </c>
      <c r="H99" s="76">
        <f t="shared" si="29"/>
        <v>1</v>
      </c>
      <c r="I99" s="76">
        <f t="shared" si="30"/>
        <v>12</v>
      </c>
      <c r="J99" s="76">
        <f>SUMIF(I$2:I99,"&gt;0")</f>
        <v>312</v>
      </c>
      <c r="K99" s="76">
        <f t="shared" si="27"/>
        <v>88</v>
      </c>
      <c r="L99" s="76">
        <f>SUMIF(E$2:E99,"&gt;0")</f>
        <v>0</v>
      </c>
      <c r="M99" s="76" t="e">
        <f t="shared" si="24"/>
        <v>#N/A</v>
      </c>
      <c r="N99" s="74">
        <f t="shared" si="25"/>
        <v>4320</v>
      </c>
      <c r="O99" s="76">
        <f t="shared" si="26"/>
        <v>1440</v>
      </c>
    </row>
    <row r="100" spans="1:15" x14ac:dyDescent="0.25">
      <c r="A100" s="77">
        <v>44190.749305555553</v>
      </c>
      <c r="C100" s="74">
        <v>16</v>
      </c>
      <c r="D100" s="74">
        <v>2</v>
      </c>
      <c r="E100" s="432" t="e">
        <f>NA()</f>
        <v>#N/A</v>
      </c>
      <c r="F100" s="150">
        <f t="shared" si="23"/>
        <v>36</v>
      </c>
      <c r="G100" s="76">
        <f t="shared" si="28"/>
        <v>0</v>
      </c>
      <c r="H100" s="76">
        <f t="shared" si="29"/>
        <v>0</v>
      </c>
      <c r="I100" s="76">
        <f t="shared" si="30"/>
        <v>0</v>
      </c>
      <c r="J100" s="76">
        <f>SUMIF(I$2:I100,"&gt;0")</f>
        <v>312</v>
      </c>
      <c r="K100" s="76">
        <f t="shared" si="27"/>
        <v>88</v>
      </c>
      <c r="L100" s="76">
        <f>SUMIF(E$2:E100,"&gt;0")</f>
        <v>0</v>
      </c>
      <c r="M100" s="76" t="e">
        <f t="shared" si="24"/>
        <v>#N/A</v>
      </c>
      <c r="N100" s="74">
        <f t="shared" ref="N100:N131" si="31">F100*120</f>
        <v>4320</v>
      </c>
      <c r="O100" s="76">
        <f t="shared" ref="O100:O131" si="32">N100-N99</f>
        <v>0</v>
      </c>
    </row>
    <row r="101" spans="1:15" x14ac:dyDescent="0.25">
      <c r="A101" s="77">
        <v>44191.968055555553</v>
      </c>
      <c r="C101" s="74">
        <v>16</v>
      </c>
      <c r="D101" s="74">
        <v>2</v>
      </c>
      <c r="E101" s="432" t="e">
        <f>NA()</f>
        <v>#N/A</v>
      </c>
      <c r="F101" s="150">
        <f t="shared" si="23"/>
        <v>36</v>
      </c>
      <c r="G101" s="76">
        <f t="shared" si="28"/>
        <v>0</v>
      </c>
      <c r="H101" s="76">
        <f t="shared" si="29"/>
        <v>0</v>
      </c>
      <c r="I101" s="76">
        <f t="shared" si="30"/>
        <v>0</v>
      </c>
      <c r="J101" s="76">
        <f>SUMIF(I$2:I101,"&gt;0")</f>
        <v>312</v>
      </c>
      <c r="K101" s="76">
        <f t="shared" si="27"/>
        <v>78</v>
      </c>
      <c r="L101" s="76">
        <f>SUMIF(E$2:E101,"&gt;0")</f>
        <v>0</v>
      </c>
      <c r="M101" s="76" t="e">
        <f t="shared" si="24"/>
        <v>#N/A</v>
      </c>
      <c r="N101" s="74">
        <f t="shared" si="31"/>
        <v>4320</v>
      </c>
      <c r="O101" s="76">
        <f t="shared" si="32"/>
        <v>0</v>
      </c>
    </row>
    <row r="102" spans="1:15" x14ac:dyDescent="0.25">
      <c r="A102" s="77">
        <v>44192.60833333333</v>
      </c>
      <c r="C102" s="74">
        <v>16</v>
      </c>
      <c r="D102" s="74">
        <v>2</v>
      </c>
      <c r="E102" s="432" t="e">
        <f>NA()</f>
        <v>#N/A</v>
      </c>
      <c r="F102" s="150">
        <f t="shared" si="23"/>
        <v>36</v>
      </c>
      <c r="G102" s="76">
        <f t="shared" si="28"/>
        <v>0</v>
      </c>
      <c r="H102" s="76">
        <f t="shared" si="29"/>
        <v>0</v>
      </c>
      <c r="I102" s="76">
        <f t="shared" si="30"/>
        <v>0</v>
      </c>
      <c r="J102" s="76">
        <f>SUMIF(I$2:I102,"&gt;0")</f>
        <v>312</v>
      </c>
      <c r="K102" s="76">
        <f t="shared" si="27"/>
        <v>78</v>
      </c>
      <c r="L102" s="76">
        <f>SUMIF(E$2:E102,"&gt;0")</f>
        <v>0</v>
      </c>
      <c r="M102" s="76" t="e">
        <f t="shared" si="24"/>
        <v>#N/A</v>
      </c>
      <c r="N102" s="74">
        <f t="shared" si="31"/>
        <v>4320</v>
      </c>
      <c r="O102" s="76">
        <f t="shared" si="32"/>
        <v>0</v>
      </c>
    </row>
    <row r="103" spans="1:15" x14ac:dyDescent="0.25">
      <c r="A103" s="77">
        <v>44193.425694444442</v>
      </c>
      <c r="B103" s="21" t="s">
        <v>352</v>
      </c>
      <c r="C103" s="74">
        <v>0</v>
      </c>
      <c r="D103" s="74">
        <v>0</v>
      </c>
      <c r="E103" s="432" t="e">
        <f>NA()</f>
        <v>#N/A</v>
      </c>
      <c r="F103" s="150">
        <f t="shared" si="23"/>
        <v>0</v>
      </c>
      <c r="G103" s="76">
        <f t="shared" si="28"/>
        <v>-16</v>
      </c>
      <c r="H103" s="76">
        <f t="shared" si="29"/>
        <v>-2</v>
      </c>
      <c r="I103" s="76">
        <f t="shared" si="30"/>
        <v>-36</v>
      </c>
      <c r="J103" s="76">
        <f>SUMIF(I$2:I103,"&gt;0")</f>
        <v>312</v>
      </c>
      <c r="K103" s="76">
        <f t="shared" ref="K103:K134" si="33">IFERROR(J103 - _xlfn.XLOOKUP(A103-30, $A$2:$A$14999,J$2:J$14999,"",-1,2),NA())</f>
        <v>73</v>
      </c>
      <c r="L103" s="76">
        <f>SUMIF(E$2:E103,"&gt;0")</f>
        <v>0</v>
      </c>
      <c r="M103" s="76" t="e">
        <f t="shared" si="24"/>
        <v>#N/A</v>
      </c>
      <c r="N103" s="74">
        <f t="shared" si="31"/>
        <v>0</v>
      </c>
      <c r="O103" s="76">
        <f t="shared" si="32"/>
        <v>-4320</v>
      </c>
    </row>
    <row r="104" spans="1:15" x14ac:dyDescent="0.25">
      <c r="A104" s="77">
        <v>44194.430555555555</v>
      </c>
      <c r="C104" s="74">
        <v>5</v>
      </c>
      <c r="D104" s="74">
        <v>0</v>
      </c>
      <c r="E104" s="432" t="e">
        <f>NA()</f>
        <v>#N/A</v>
      </c>
      <c r="F104" s="150">
        <f t="shared" si="23"/>
        <v>5</v>
      </c>
      <c r="G104" s="76">
        <f t="shared" si="28"/>
        <v>5</v>
      </c>
      <c r="H104" s="76">
        <f t="shared" si="29"/>
        <v>0</v>
      </c>
      <c r="I104" s="76">
        <f t="shared" si="30"/>
        <v>5</v>
      </c>
      <c r="J104" s="76">
        <f>SUMIF(I$2:I104,"&gt;0")</f>
        <v>317</v>
      </c>
      <c r="K104" s="76">
        <f t="shared" si="33"/>
        <v>78</v>
      </c>
      <c r="L104" s="76">
        <f>SUMIF(E$2:E104,"&gt;0")</f>
        <v>0</v>
      </c>
      <c r="M104" s="76" t="e">
        <f t="shared" si="24"/>
        <v>#N/A</v>
      </c>
      <c r="N104" s="74">
        <f t="shared" si="31"/>
        <v>600</v>
      </c>
      <c r="O104" s="76">
        <f t="shared" si="32"/>
        <v>600</v>
      </c>
    </row>
    <row r="105" spans="1:15" x14ac:dyDescent="0.25">
      <c r="A105" s="77">
        <v>44196.004166666666</v>
      </c>
      <c r="C105" s="74">
        <v>5</v>
      </c>
      <c r="D105" s="74">
        <v>0</v>
      </c>
      <c r="E105" s="432" t="e">
        <f>NA()</f>
        <v>#N/A</v>
      </c>
      <c r="F105" s="150">
        <f t="shared" si="23"/>
        <v>5</v>
      </c>
      <c r="G105" s="76">
        <f t="shared" si="28"/>
        <v>0</v>
      </c>
      <c r="H105" s="76">
        <f t="shared" si="29"/>
        <v>0</v>
      </c>
      <c r="I105" s="76">
        <f t="shared" si="30"/>
        <v>0</v>
      </c>
      <c r="J105" s="76">
        <f>SUMIF(I$2:I105,"&gt;0")</f>
        <v>317</v>
      </c>
      <c r="K105" s="76">
        <f t="shared" si="33"/>
        <v>61</v>
      </c>
      <c r="L105" s="76">
        <f>SUMIF(E$2:E105,"&gt;0")</f>
        <v>0</v>
      </c>
      <c r="M105" s="76" t="e">
        <f t="shared" si="24"/>
        <v>#N/A</v>
      </c>
      <c r="N105" s="74">
        <f t="shared" si="31"/>
        <v>600</v>
      </c>
      <c r="O105" s="76">
        <f t="shared" si="32"/>
        <v>0</v>
      </c>
    </row>
    <row r="106" spans="1:15" x14ac:dyDescent="0.25">
      <c r="A106" s="77">
        <v>44196.076388888891</v>
      </c>
      <c r="B106" s="21" t="s">
        <v>355</v>
      </c>
      <c r="C106" s="74">
        <v>0</v>
      </c>
      <c r="D106" s="74">
        <v>0</v>
      </c>
      <c r="E106" s="432" t="e">
        <f>NA()</f>
        <v>#N/A</v>
      </c>
      <c r="F106" s="150">
        <f t="shared" si="23"/>
        <v>0</v>
      </c>
      <c r="G106" s="76">
        <f t="shared" si="28"/>
        <v>-5</v>
      </c>
      <c r="H106" s="76">
        <f t="shared" si="29"/>
        <v>0</v>
      </c>
      <c r="I106" s="76">
        <f t="shared" si="30"/>
        <v>-5</v>
      </c>
      <c r="J106" s="76">
        <f>SUMIF(I$2:I106,"&gt;0")</f>
        <v>317</v>
      </c>
      <c r="K106" s="76">
        <f t="shared" si="33"/>
        <v>61</v>
      </c>
      <c r="L106" s="76">
        <f>SUMIF(E$2:E106,"&gt;0")</f>
        <v>0</v>
      </c>
      <c r="M106" s="76" t="e">
        <f t="shared" si="24"/>
        <v>#N/A</v>
      </c>
      <c r="N106" s="74">
        <f t="shared" si="31"/>
        <v>0</v>
      </c>
      <c r="O106" s="76">
        <f t="shared" si="32"/>
        <v>-600</v>
      </c>
    </row>
    <row r="107" spans="1:15" x14ac:dyDescent="0.25">
      <c r="A107" s="77">
        <v>44196.243750000001</v>
      </c>
      <c r="C107" s="74">
        <v>2</v>
      </c>
      <c r="D107" s="74">
        <v>1</v>
      </c>
      <c r="E107" s="432" t="e">
        <f>NA()</f>
        <v>#N/A</v>
      </c>
      <c r="F107" s="150">
        <f t="shared" si="23"/>
        <v>12</v>
      </c>
      <c r="G107" s="76">
        <f t="shared" si="28"/>
        <v>2</v>
      </c>
      <c r="H107" s="76">
        <f t="shared" si="29"/>
        <v>1</v>
      </c>
      <c r="I107" s="76">
        <f t="shared" si="30"/>
        <v>12</v>
      </c>
      <c r="J107" s="76">
        <f>SUMIF(I$2:I107,"&gt;0")</f>
        <v>329</v>
      </c>
      <c r="K107" s="76">
        <f t="shared" si="33"/>
        <v>73</v>
      </c>
      <c r="L107" s="76">
        <f>SUMIF(E$2:E107,"&gt;0")</f>
        <v>0</v>
      </c>
      <c r="M107" s="76" t="e">
        <f t="shared" si="24"/>
        <v>#N/A</v>
      </c>
      <c r="N107" s="74">
        <f t="shared" si="31"/>
        <v>1440</v>
      </c>
      <c r="O107" s="76">
        <f t="shared" si="32"/>
        <v>1440</v>
      </c>
    </row>
    <row r="108" spans="1:15" x14ac:dyDescent="0.25">
      <c r="A108" s="77">
        <v>44197.063194444447</v>
      </c>
      <c r="B108" s="21" t="s">
        <v>267</v>
      </c>
      <c r="C108" s="74">
        <v>48</v>
      </c>
      <c r="D108" s="74">
        <v>1</v>
      </c>
      <c r="E108" s="432" t="e">
        <f>NA()</f>
        <v>#N/A</v>
      </c>
      <c r="F108" s="150">
        <f t="shared" si="23"/>
        <v>58</v>
      </c>
      <c r="G108" s="76">
        <f t="shared" si="28"/>
        <v>46</v>
      </c>
      <c r="H108" s="76">
        <f t="shared" si="29"/>
        <v>0</v>
      </c>
      <c r="I108" s="76">
        <f t="shared" si="30"/>
        <v>46</v>
      </c>
      <c r="J108" s="76">
        <f>SUMIF(I$2:I108,"&gt;0")</f>
        <v>375</v>
      </c>
      <c r="K108" s="76">
        <f t="shared" si="33"/>
        <v>109</v>
      </c>
      <c r="L108" s="76">
        <f>SUMIF(E$2:E108,"&gt;0")</f>
        <v>0</v>
      </c>
      <c r="M108" s="76" t="e">
        <f t="shared" si="24"/>
        <v>#N/A</v>
      </c>
      <c r="N108" s="74">
        <f t="shared" si="31"/>
        <v>6960</v>
      </c>
      <c r="O108" s="76">
        <f t="shared" si="32"/>
        <v>5520</v>
      </c>
    </row>
    <row r="109" spans="1:15" x14ac:dyDescent="0.25">
      <c r="A109" s="77">
        <v>44199.209722222222</v>
      </c>
      <c r="C109" s="74">
        <v>49</v>
      </c>
      <c r="D109" s="74">
        <v>1</v>
      </c>
      <c r="E109" s="432" t="e">
        <f>NA()</f>
        <v>#N/A</v>
      </c>
      <c r="F109" s="150">
        <f t="shared" si="23"/>
        <v>59</v>
      </c>
      <c r="G109" s="76">
        <f t="shared" si="28"/>
        <v>1</v>
      </c>
      <c r="H109" s="76">
        <f t="shared" si="29"/>
        <v>0</v>
      </c>
      <c r="I109" s="76">
        <f t="shared" si="30"/>
        <v>1</v>
      </c>
      <c r="J109" s="76">
        <f>SUMIF(I$2:I109,"&gt;0")</f>
        <v>376</v>
      </c>
      <c r="K109" s="76">
        <f t="shared" si="33"/>
        <v>101</v>
      </c>
      <c r="L109" s="76">
        <f>SUMIF(E$2:E109,"&gt;0")</f>
        <v>0</v>
      </c>
      <c r="M109" s="76" t="e">
        <f t="shared" si="24"/>
        <v>#N/A</v>
      </c>
      <c r="N109" s="74">
        <f t="shared" si="31"/>
        <v>7080</v>
      </c>
      <c r="O109" s="76">
        <f t="shared" si="32"/>
        <v>120</v>
      </c>
    </row>
    <row r="110" spans="1:15" x14ac:dyDescent="0.25">
      <c r="A110" s="77">
        <v>44200.944444444445</v>
      </c>
      <c r="C110" s="74">
        <v>49</v>
      </c>
      <c r="D110" s="74">
        <v>2</v>
      </c>
      <c r="E110" s="432" t="e">
        <f>NA()</f>
        <v>#N/A</v>
      </c>
      <c r="F110" s="150">
        <f t="shared" si="23"/>
        <v>69</v>
      </c>
      <c r="G110" s="76">
        <f t="shared" si="28"/>
        <v>0</v>
      </c>
      <c r="H110" s="76">
        <f t="shared" si="29"/>
        <v>1</v>
      </c>
      <c r="I110" s="76">
        <f t="shared" si="30"/>
        <v>10</v>
      </c>
      <c r="J110" s="76">
        <f>SUMIF(I$2:I110,"&gt;0")</f>
        <v>386</v>
      </c>
      <c r="K110" s="76">
        <f t="shared" si="33"/>
        <v>111</v>
      </c>
      <c r="L110" s="76">
        <f>SUMIF(E$2:E110,"&gt;0")</f>
        <v>0</v>
      </c>
      <c r="M110" s="76" t="e">
        <f t="shared" si="24"/>
        <v>#N/A</v>
      </c>
      <c r="N110" s="74">
        <f t="shared" si="31"/>
        <v>8280</v>
      </c>
      <c r="O110" s="76">
        <f t="shared" si="32"/>
        <v>1200</v>
      </c>
    </row>
    <row r="111" spans="1:15" x14ac:dyDescent="0.25">
      <c r="A111" s="77">
        <v>44201.058333333334</v>
      </c>
      <c r="C111" s="74">
        <v>49</v>
      </c>
      <c r="D111" s="74">
        <v>2</v>
      </c>
      <c r="E111" s="432" t="e">
        <f>NA()</f>
        <v>#N/A</v>
      </c>
      <c r="F111" s="150">
        <f t="shared" si="23"/>
        <v>69</v>
      </c>
      <c r="G111" s="76">
        <f t="shared" si="28"/>
        <v>0</v>
      </c>
      <c r="H111" s="76">
        <f t="shared" si="29"/>
        <v>0</v>
      </c>
      <c r="I111" s="76">
        <f t="shared" si="30"/>
        <v>0</v>
      </c>
      <c r="J111" s="76">
        <f>SUMIF(I$2:I111,"&gt;0")</f>
        <v>386</v>
      </c>
      <c r="K111" s="76">
        <f t="shared" si="33"/>
        <v>111</v>
      </c>
      <c r="L111" s="76">
        <f>SUMIF(E$2:E111,"&gt;0")</f>
        <v>0</v>
      </c>
      <c r="M111" s="76" t="e">
        <f t="shared" si="24"/>
        <v>#N/A</v>
      </c>
      <c r="N111" s="74">
        <f t="shared" si="31"/>
        <v>8280</v>
      </c>
      <c r="O111" s="76">
        <f t="shared" si="32"/>
        <v>0</v>
      </c>
    </row>
    <row r="112" spans="1:15" x14ac:dyDescent="0.25">
      <c r="A112" s="77">
        <v>44201.974999999999</v>
      </c>
      <c r="C112" s="74">
        <v>49</v>
      </c>
      <c r="D112" s="74">
        <v>2</v>
      </c>
      <c r="E112" s="432" t="e">
        <f>NA()</f>
        <v>#N/A</v>
      </c>
      <c r="F112" s="150">
        <f t="shared" si="23"/>
        <v>69</v>
      </c>
      <c r="G112" s="76">
        <f t="shared" si="28"/>
        <v>0</v>
      </c>
      <c r="H112" s="76">
        <f t="shared" si="29"/>
        <v>0</v>
      </c>
      <c r="I112" s="76">
        <f t="shared" si="30"/>
        <v>0</v>
      </c>
      <c r="J112" s="76">
        <f>SUMIF(I$2:I112,"&gt;0")</f>
        <v>386</v>
      </c>
      <c r="K112" s="76">
        <f t="shared" si="33"/>
        <v>111</v>
      </c>
      <c r="L112" s="76">
        <f>SUMIF(E$2:E112,"&gt;0")</f>
        <v>0</v>
      </c>
      <c r="M112" s="76" t="e">
        <f t="shared" si="24"/>
        <v>#N/A</v>
      </c>
      <c r="N112" s="74">
        <f t="shared" si="31"/>
        <v>8280</v>
      </c>
      <c r="O112" s="76">
        <f t="shared" si="32"/>
        <v>0</v>
      </c>
    </row>
    <row r="113" spans="1:15" x14ac:dyDescent="0.25">
      <c r="A113" s="77">
        <v>44202.13958333333</v>
      </c>
      <c r="C113" s="74">
        <v>49</v>
      </c>
      <c r="D113" s="74">
        <v>2</v>
      </c>
      <c r="E113" s="432" t="e">
        <f>NA()</f>
        <v>#N/A</v>
      </c>
      <c r="F113" s="150">
        <f t="shared" si="23"/>
        <v>69</v>
      </c>
      <c r="G113" s="76">
        <f t="shared" si="28"/>
        <v>0</v>
      </c>
      <c r="H113" s="76">
        <f t="shared" si="29"/>
        <v>0</v>
      </c>
      <c r="I113" s="76">
        <f t="shared" si="30"/>
        <v>0</v>
      </c>
      <c r="J113" s="76">
        <f>SUMIF(I$2:I113,"&gt;0")</f>
        <v>386</v>
      </c>
      <c r="K113" s="76">
        <f t="shared" si="33"/>
        <v>111</v>
      </c>
      <c r="L113" s="76">
        <f>SUMIF(E$2:E113,"&gt;0")</f>
        <v>0</v>
      </c>
      <c r="M113" s="76" t="e">
        <f t="shared" si="24"/>
        <v>#N/A</v>
      </c>
      <c r="N113" s="74">
        <f t="shared" si="31"/>
        <v>8280</v>
      </c>
      <c r="O113" s="76">
        <f t="shared" si="32"/>
        <v>0</v>
      </c>
    </row>
    <row r="114" spans="1:15" x14ac:dyDescent="0.25">
      <c r="A114" s="77">
        <v>44203.304166666669</v>
      </c>
      <c r="B114" s="21" t="s">
        <v>353</v>
      </c>
      <c r="C114" s="74">
        <v>0</v>
      </c>
      <c r="D114" s="74">
        <v>0</v>
      </c>
      <c r="E114" s="432" t="e">
        <f>NA()</f>
        <v>#N/A</v>
      </c>
      <c r="F114" s="150">
        <f t="shared" si="23"/>
        <v>0</v>
      </c>
      <c r="G114" s="76">
        <f t="shared" si="28"/>
        <v>-49</v>
      </c>
      <c r="H114" s="76">
        <f t="shared" si="29"/>
        <v>-2</v>
      </c>
      <c r="I114" s="76">
        <f t="shared" si="30"/>
        <v>-69</v>
      </c>
      <c r="J114" s="76">
        <f>SUMIF(I$2:I114,"&gt;0")</f>
        <v>386</v>
      </c>
      <c r="K114" s="76">
        <f t="shared" si="33"/>
        <v>111</v>
      </c>
      <c r="L114" s="76">
        <f>SUMIF(E$2:E114,"&gt;0")</f>
        <v>0</v>
      </c>
      <c r="M114" s="76" t="e">
        <f t="shared" si="24"/>
        <v>#N/A</v>
      </c>
      <c r="N114" s="74">
        <f t="shared" si="31"/>
        <v>0</v>
      </c>
      <c r="O114" s="76">
        <f t="shared" si="32"/>
        <v>-8280</v>
      </c>
    </row>
    <row r="115" spans="1:15" x14ac:dyDescent="0.25">
      <c r="A115" s="77">
        <v>44204.022916666669</v>
      </c>
      <c r="C115" s="74">
        <v>0</v>
      </c>
      <c r="D115" s="74">
        <v>0</v>
      </c>
      <c r="E115" s="432" t="e">
        <f>NA()</f>
        <v>#N/A</v>
      </c>
      <c r="F115" s="150">
        <f t="shared" si="23"/>
        <v>0</v>
      </c>
      <c r="G115" s="76">
        <f t="shared" si="28"/>
        <v>0</v>
      </c>
      <c r="H115" s="76">
        <f t="shared" si="29"/>
        <v>0</v>
      </c>
      <c r="I115" s="76">
        <f t="shared" si="30"/>
        <v>0</v>
      </c>
      <c r="J115" s="76">
        <f>SUMIF(I$2:I115,"&gt;0")</f>
        <v>386</v>
      </c>
      <c r="K115" s="76">
        <f t="shared" si="33"/>
        <v>111</v>
      </c>
      <c r="L115" s="76">
        <f>SUMIF(E$2:E115,"&gt;0")</f>
        <v>0</v>
      </c>
      <c r="M115" s="76" t="e">
        <f t="shared" si="24"/>
        <v>#N/A</v>
      </c>
      <c r="N115" s="74">
        <f t="shared" si="31"/>
        <v>0</v>
      </c>
      <c r="O115" s="76">
        <f t="shared" si="32"/>
        <v>0</v>
      </c>
    </row>
    <row r="116" spans="1:15" x14ac:dyDescent="0.25">
      <c r="A116" s="77">
        <v>44205.164583333331</v>
      </c>
      <c r="C116" s="74">
        <v>0</v>
      </c>
      <c r="D116" s="74">
        <v>0</v>
      </c>
      <c r="E116" s="432" t="e">
        <f>NA()</f>
        <v>#N/A</v>
      </c>
      <c r="F116" s="150">
        <f t="shared" si="23"/>
        <v>0</v>
      </c>
      <c r="G116" s="76">
        <f t="shared" si="28"/>
        <v>0</v>
      </c>
      <c r="H116" s="76">
        <f t="shared" si="29"/>
        <v>0</v>
      </c>
      <c r="I116" s="76">
        <f t="shared" si="30"/>
        <v>0</v>
      </c>
      <c r="J116" s="76">
        <f>SUMIF(I$2:I116,"&gt;0")</f>
        <v>386</v>
      </c>
      <c r="K116" s="76">
        <f t="shared" si="33"/>
        <v>111</v>
      </c>
      <c r="L116" s="76">
        <f>SUMIF(E$2:E116,"&gt;0")</f>
        <v>0</v>
      </c>
      <c r="M116" s="76" t="e">
        <f t="shared" si="24"/>
        <v>#N/A</v>
      </c>
      <c r="N116" s="74">
        <f t="shared" si="31"/>
        <v>0</v>
      </c>
      <c r="O116" s="76">
        <f t="shared" si="32"/>
        <v>0</v>
      </c>
    </row>
    <row r="117" spans="1:15" x14ac:dyDescent="0.25">
      <c r="A117" s="77">
        <v>44206.253472222219</v>
      </c>
      <c r="C117" s="74">
        <v>0</v>
      </c>
      <c r="D117" s="74">
        <v>0</v>
      </c>
      <c r="E117" s="432" t="e">
        <f>NA()</f>
        <v>#N/A</v>
      </c>
      <c r="F117" s="150">
        <f t="shared" si="23"/>
        <v>0</v>
      </c>
      <c r="G117" s="76">
        <f t="shared" si="28"/>
        <v>0</v>
      </c>
      <c r="H117" s="76">
        <f t="shared" si="29"/>
        <v>0</v>
      </c>
      <c r="I117" s="76">
        <f t="shared" si="30"/>
        <v>0</v>
      </c>
      <c r="J117" s="76">
        <f>SUMIF(I$2:I117,"&gt;0")</f>
        <v>386</v>
      </c>
      <c r="K117" s="76">
        <f t="shared" si="33"/>
        <v>111</v>
      </c>
      <c r="L117" s="76">
        <f>SUMIF(E$2:E117,"&gt;0")</f>
        <v>0</v>
      </c>
      <c r="M117" s="76" t="e">
        <f t="shared" si="24"/>
        <v>#N/A</v>
      </c>
      <c r="N117" s="74">
        <f t="shared" si="31"/>
        <v>0</v>
      </c>
      <c r="O117" s="76">
        <f t="shared" si="32"/>
        <v>0</v>
      </c>
    </row>
    <row r="118" spans="1:15" x14ac:dyDescent="0.25">
      <c r="A118" s="77">
        <v>44207.609027777777</v>
      </c>
      <c r="C118" s="74">
        <v>0</v>
      </c>
      <c r="D118" s="74">
        <v>0</v>
      </c>
      <c r="E118" s="432" t="e">
        <f>NA()</f>
        <v>#N/A</v>
      </c>
      <c r="F118" s="150">
        <f t="shared" si="23"/>
        <v>0</v>
      </c>
      <c r="G118" s="76">
        <f t="shared" si="28"/>
        <v>0</v>
      </c>
      <c r="H118" s="76">
        <f t="shared" si="29"/>
        <v>0</v>
      </c>
      <c r="I118" s="76">
        <f t="shared" si="30"/>
        <v>0</v>
      </c>
      <c r="J118" s="76">
        <f>SUMIF(I$2:I118,"&gt;0")</f>
        <v>386</v>
      </c>
      <c r="K118" s="76">
        <f t="shared" si="33"/>
        <v>111</v>
      </c>
      <c r="L118" s="76">
        <f>SUMIF(E$2:E118,"&gt;0")</f>
        <v>0</v>
      </c>
      <c r="M118" s="76" t="e">
        <f t="shared" si="24"/>
        <v>#N/A</v>
      </c>
      <c r="N118" s="74">
        <f t="shared" si="31"/>
        <v>0</v>
      </c>
      <c r="O118" s="76">
        <f t="shared" si="32"/>
        <v>0</v>
      </c>
    </row>
    <row r="119" spans="1:15" x14ac:dyDescent="0.25">
      <c r="A119" s="77">
        <v>44208.904861111114</v>
      </c>
      <c r="C119" s="74">
        <v>0</v>
      </c>
      <c r="D119" s="74">
        <v>0</v>
      </c>
      <c r="E119" s="432" t="e">
        <f>NA()</f>
        <v>#N/A</v>
      </c>
      <c r="F119" s="150">
        <f t="shared" si="23"/>
        <v>0</v>
      </c>
      <c r="G119" s="76">
        <f t="shared" ref="G119:G150" si="34">C119-C118</f>
        <v>0</v>
      </c>
      <c r="H119" s="76">
        <f t="shared" ref="H119:H150" si="35">D119-D118</f>
        <v>0</v>
      </c>
      <c r="I119" s="76">
        <f t="shared" ref="I119:I150" si="36">F119-F118</f>
        <v>0</v>
      </c>
      <c r="J119" s="76">
        <f>SUMIF(I$2:I119,"&gt;0")</f>
        <v>386</v>
      </c>
      <c r="K119" s="76">
        <f t="shared" si="33"/>
        <v>111</v>
      </c>
      <c r="L119" s="76">
        <f>SUMIF(E$2:E119,"&gt;0")</f>
        <v>0</v>
      </c>
      <c r="M119" s="76" t="e">
        <f t="shared" si="24"/>
        <v>#N/A</v>
      </c>
      <c r="N119" s="74">
        <f t="shared" si="31"/>
        <v>0</v>
      </c>
      <c r="O119" s="76">
        <f t="shared" si="32"/>
        <v>0</v>
      </c>
    </row>
    <row r="120" spans="1:15" x14ac:dyDescent="0.25">
      <c r="A120" s="77">
        <v>44209.324999999997</v>
      </c>
      <c r="C120" s="74">
        <v>1</v>
      </c>
      <c r="D120" s="74">
        <v>0</v>
      </c>
      <c r="E120" s="432" t="e">
        <f>NA()</f>
        <v>#N/A</v>
      </c>
      <c r="F120" s="150">
        <f t="shared" si="23"/>
        <v>1</v>
      </c>
      <c r="G120" s="76">
        <f t="shared" si="34"/>
        <v>1</v>
      </c>
      <c r="H120" s="76">
        <f t="shared" si="35"/>
        <v>0</v>
      </c>
      <c r="I120" s="76">
        <f t="shared" si="36"/>
        <v>1</v>
      </c>
      <c r="J120" s="76">
        <f>SUMIF(I$2:I120,"&gt;0")</f>
        <v>387</v>
      </c>
      <c r="K120" s="76">
        <f t="shared" si="33"/>
        <v>111</v>
      </c>
      <c r="L120" s="76">
        <f>SUMIF(E$2:E120,"&gt;0")</f>
        <v>0</v>
      </c>
      <c r="M120" s="76" t="e">
        <f t="shared" si="24"/>
        <v>#N/A</v>
      </c>
      <c r="N120" s="74">
        <f t="shared" si="31"/>
        <v>120</v>
      </c>
      <c r="O120" s="76">
        <f t="shared" si="32"/>
        <v>120</v>
      </c>
    </row>
    <row r="121" spans="1:15" x14ac:dyDescent="0.25">
      <c r="A121" s="77">
        <v>44210.00277777778</v>
      </c>
      <c r="C121" s="74">
        <v>1</v>
      </c>
      <c r="D121" s="74">
        <v>0</v>
      </c>
      <c r="E121" s="432" t="e">
        <f>NA()</f>
        <v>#N/A</v>
      </c>
      <c r="F121" s="150">
        <f t="shared" si="23"/>
        <v>1</v>
      </c>
      <c r="G121" s="76">
        <f t="shared" si="34"/>
        <v>0</v>
      </c>
      <c r="H121" s="76">
        <f t="shared" si="35"/>
        <v>0</v>
      </c>
      <c r="I121" s="76">
        <f t="shared" si="36"/>
        <v>0</v>
      </c>
      <c r="J121" s="76">
        <f>SUMIF(I$2:I121,"&gt;0")</f>
        <v>387</v>
      </c>
      <c r="K121" s="76">
        <f t="shared" si="33"/>
        <v>111</v>
      </c>
      <c r="L121" s="76">
        <f>SUMIF(E$2:E121,"&gt;0")</f>
        <v>0</v>
      </c>
      <c r="M121" s="76" t="e">
        <f t="shared" si="24"/>
        <v>#N/A</v>
      </c>
      <c r="N121" s="74">
        <f t="shared" si="31"/>
        <v>120</v>
      </c>
      <c r="O121" s="76">
        <f t="shared" si="32"/>
        <v>0</v>
      </c>
    </row>
    <row r="122" spans="1:15" x14ac:dyDescent="0.25">
      <c r="A122" s="77">
        <v>44210.10833333333</v>
      </c>
      <c r="B122" s="21" t="s">
        <v>365</v>
      </c>
      <c r="C122" s="74">
        <v>0</v>
      </c>
      <c r="D122" s="74">
        <v>0</v>
      </c>
      <c r="E122" s="432" t="e">
        <f>NA()</f>
        <v>#N/A</v>
      </c>
      <c r="F122" s="150">
        <f t="shared" si="23"/>
        <v>0</v>
      </c>
      <c r="G122" s="76">
        <f t="shared" si="34"/>
        <v>-1</v>
      </c>
      <c r="H122" s="76">
        <f t="shared" si="35"/>
        <v>0</v>
      </c>
      <c r="I122" s="76">
        <f t="shared" si="36"/>
        <v>-1</v>
      </c>
      <c r="J122" s="76">
        <f>SUMIF(I$2:I122,"&gt;0")</f>
        <v>387</v>
      </c>
      <c r="K122" s="76">
        <f t="shared" si="33"/>
        <v>111</v>
      </c>
      <c r="L122" s="76">
        <f>SUMIF(E$2:E122,"&gt;0")</f>
        <v>0</v>
      </c>
      <c r="M122" s="76" t="e">
        <f t="shared" si="24"/>
        <v>#N/A</v>
      </c>
      <c r="N122" s="74">
        <f t="shared" si="31"/>
        <v>0</v>
      </c>
      <c r="O122" s="76">
        <f t="shared" si="32"/>
        <v>-120</v>
      </c>
    </row>
    <row r="123" spans="1:15" x14ac:dyDescent="0.25">
      <c r="A123" s="77">
        <v>44211.111111111109</v>
      </c>
      <c r="C123" s="74">
        <v>3</v>
      </c>
      <c r="D123" s="74">
        <v>0</v>
      </c>
      <c r="E123" s="432" t="e">
        <f>NA()</f>
        <v>#N/A</v>
      </c>
      <c r="F123" s="150">
        <f t="shared" si="23"/>
        <v>3</v>
      </c>
      <c r="G123" s="76">
        <f t="shared" si="34"/>
        <v>3</v>
      </c>
      <c r="H123" s="76">
        <f t="shared" si="35"/>
        <v>0</v>
      </c>
      <c r="I123" s="76">
        <f t="shared" si="36"/>
        <v>3</v>
      </c>
      <c r="J123" s="76">
        <f>SUMIF(I$2:I123,"&gt;0")</f>
        <v>390</v>
      </c>
      <c r="K123" s="76">
        <f t="shared" si="33"/>
        <v>114</v>
      </c>
      <c r="L123" s="76">
        <f>SUMIF(E$2:E123,"&gt;0")</f>
        <v>0</v>
      </c>
      <c r="M123" s="76" t="e">
        <f t="shared" si="24"/>
        <v>#N/A</v>
      </c>
      <c r="N123" s="74">
        <f t="shared" si="31"/>
        <v>360</v>
      </c>
      <c r="O123" s="76">
        <f t="shared" si="32"/>
        <v>360</v>
      </c>
    </row>
    <row r="124" spans="1:15" x14ac:dyDescent="0.25">
      <c r="A124" s="77">
        <v>44212.012499999997</v>
      </c>
      <c r="C124" s="74">
        <v>4</v>
      </c>
      <c r="D124" s="74">
        <v>0</v>
      </c>
      <c r="E124" s="432" t="e">
        <f>NA()</f>
        <v>#N/A</v>
      </c>
      <c r="F124" s="150">
        <f t="shared" si="23"/>
        <v>4</v>
      </c>
      <c r="G124" s="76">
        <f t="shared" si="34"/>
        <v>1</v>
      </c>
      <c r="H124" s="76">
        <f t="shared" si="35"/>
        <v>0</v>
      </c>
      <c r="I124" s="76">
        <f t="shared" si="36"/>
        <v>1</v>
      </c>
      <c r="J124" s="76">
        <f>SUMIF(I$2:I124,"&gt;0")</f>
        <v>391</v>
      </c>
      <c r="K124" s="76">
        <f t="shared" si="33"/>
        <v>113</v>
      </c>
      <c r="L124" s="76">
        <f>SUMIF(E$2:E124,"&gt;0")</f>
        <v>0</v>
      </c>
      <c r="M124" s="76" t="e">
        <f t="shared" si="24"/>
        <v>#N/A</v>
      </c>
      <c r="N124" s="74">
        <f t="shared" si="31"/>
        <v>480</v>
      </c>
      <c r="O124" s="76">
        <f t="shared" si="32"/>
        <v>120</v>
      </c>
    </row>
    <row r="125" spans="1:15" x14ac:dyDescent="0.25">
      <c r="A125" s="77">
        <v>44213.215277777781</v>
      </c>
      <c r="C125" s="74">
        <v>5</v>
      </c>
      <c r="D125" s="74">
        <v>0</v>
      </c>
      <c r="E125" s="432" t="e">
        <f>NA()</f>
        <v>#N/A</v>
      </c>
      <c r="F125" s="150">
        <f t="shared" si="23"/>
        <v>5</v>
      </c>
      <c r="G125" s="76">
        <f t="shared" si="34"/>
        <v>1</v>
      </c>
      <c r="H125" s="76">
        <f t="shared" si="35"/>
        <v>0</v>
      </c>
      <c r="I125" s="76">
        <f t="shared" si="36"/>
        <v>1</v>
      </c>
      <c r="J125" s="76">
        <f>SUMIF(I$2:I125,"&gt;0")</f>
        <v>392</v>
      </c>
      <c r="K125" s="76">
        <f t="shared" si="33"/>
        <v>113</v>
      </c>
      <c r="L125" s="76">
        <f>SUMIF(E$2:E125,"&gt;0")</f>
        <v>0</v>
      </c>
      <c r="M125" s="76" t="e">
        <f t="shared" si="24"/>
        <v>#N/A</v>
      </c>
      <c r="N125" s="74">
        <f t="shared" si="31"/>
        <v>600</v>
      </c>
      <c r="O125" s="76">
        <f t="shared" si="32"/>
        <v>120</v>
      </c>
    </row>
    <row r="126" spans="1:15" x14ac:dyDescent="0.25">
      <c r="A126" s="77">
        <v>44214.208333333336</v>
      </c>
      <c r="C126" s="74">
        <v>6</v>
      </c>
      <c r="D126" s="74">
        <v>0</v>
      </c>
      <c r="E126" s="432" t="e">
        <f>NA()</f>
        <v>#N/A</v>
      </c>
      <c r="F126" s="150">
        <f t="shared" si="23"/>
        <v>6</v>
      </c>
      <c r="G126" s="76">
        <f t="shared" si="34"/>
        <v>1</v>
      </c>
      <c r="H126" s="76">
        <f t="shared" si="35"/>
        <v>0</v>
      </c>
      <c r="I126" s="76">
        <f t="shared" si="36"/>
        <v>1</v>
      </c>
      <c r="J126" s="76">
        <f>SUMIF(I$2:I126,"&gt;0")</f>
        <v>393</v>
      </c>
      <c r="K126" s="76">
        <f t="shared" si="33"/>
        <v>113</v>
      </c>
      <c r="L126" s="76">
        <f>SUMIF(E$2:E126,"&gt;0")</f>
        <v>0</v>
      </c>
      <c r="M126" s="76" t="e">
        <f t="shared" si="24"/>
        <v>#N/A</v>
      </c>
      <c r="N126" s="74">
        <f t="shared" si="31"/>
        <v>720</v>
      </c>
      <c r="O126" s="76">
        <f t="shared" si="32"/>
        <v>120</v>
      </c>
    </row>
    <row r="127" spans="1:15" x14ac:dyDescent="0.25">
      <c r="A127" s="77">
        <v>44215.931250000001</v>
      </c>
      <c r="C127" s="74">
        <v>7</v>
      </c>
      <c r="D127" s="74">
        <v>0</v>
      </c>
      <c r="E127" s="432" t="e">
        <f>NA()</f>
        <v>#N/A</v>
      </c>
      <c r="F127" s="150">
        <f t="shared" si="23"/>
        <v>7</v>
      </c>
      <c r="G127" s="76">
        <f t="shared" si="34"/>
        <v>1</v>
      </c>
      <c r="H127" s="76">
        <f t="shared" si="35"/>
        <v>0</v>
      </c>
      <c r="I127" s="76">
        <f t="shared" si="36"/>
        <v>1</v>
      </c>
      <c r="J127" s="76">
        <f>SUMIF(I$2:I127,"&gt;0")</f>
        <v>394</v>
      </c>
      <c r="K127" s="76">
        <f t="shared" si="33"/>
        <v>112</v>
      </c>
      <c r="L127" s="76">
        <f>SUMIF(E$2:E127,"&gt;0")</f>
        <v>0</v>
      </c>
      <c r="M127" s="76" t="e">
        <f t="shared" si="24"/>
        <v>#N/A</v>
      </c>
      <c r="N127" s="74">
        <f t="shared" si="31"/>
        <v>840</v>
      </c>
      <c r="O127" s="76">
        <f t="shared" si="32"/>
        <v>120</v>
      </c>
    </row>
    <row r="128" spans="1:15" x14ac:dyDescent="0.25">
      <c r="A128" s="77">
        <v>44216.05</v>
      </c>
      <c r="C128" s="74">
        <v>8</v>
      </c>
      <c r="D128" s="74">
        <v>0</v>
      </c>
      <c r="E128" s="432" t="e">
        <f>NA()</f>
        <v>#N/A</v>
      </c>
      <c r="F128" s="150">
        <f t="shared" si="23"/>
        <v>8</v>
      </c>
      <c r="G128" s="76">
        <f t="shared" si="34"/>
        <v>1</v>
      </c>
      <c r="H128" s="76">
        <f t="shared" si="35"/>
        <v>0</v>
      </c>
      <c r="I128" s="76">
        <f t="shared" si="36"/>
        <v>1</v>
      </c>
      <c r="J128" s="76">
        <f>SUMIF(I$2:I128,"&gt;0")</f>
        <v>395</v>
      </c>
      <c r="K128" s="76">
        <f t="shared" si="33"/>
        <v>113</v>
      </c>
      <c r="L128" s="76">
        <f>SUMIF(E$2:E128,"&gt;0")</f>
        <v>0</v>
      </c>
      <c r="M128" s="76" t="e">
        <f t="shared" si="24"/>
        <v>#N/A</v>
      </c>
      <c r="N128" s="74">
        <f t="shared" si="31"/>
        <v>960</v>
      </c>
      <c r="O128" s="76">
        <f t="shared" si="32"/>
        <v>120</v>
      </c>
    </row>
    <row r="129" spans="1:15" x14ac:dyDescent="0.25">
      <c r="A129" s="77">
        <v>44217.148611111108</v>
      </c>
      <c r="C129" s="74">
        <v>10</v>
      </c>
      <c r="D129" s="74">
        <v>1</v>
      </c>
      <c r="E129" s="432" t="e">
        <f>NA()</f>
        <v>#N/A</v>
      </c>
      <c r="F129" s="150">
        <f t="shared" ref="F129:F134" si="37">C129+D129*10+_xlfn.IFNA(E129,0)</f>
        <v>20</v>
      </c>
      <c r="G129" s="76">
        <f t="shared" si="34"/>
        <v>2</v>
      </c>
      <c r="H129" s="76">
        <f t="shared" si="35"/>
        <v>1</v>
      </c>
      <c r="I129" s="76">
        <f t="shared" si="36"/>
        <v>12</v>
      </c>
      <c r="J129" s="76">
        <f>SUMIF(I$2:I129,"&gt;0")</f>
        <v>407</v>
      </c>
      <c r="K129" s="76">
        <f t="shared" si="33"/>
        <v>119</v>
      </c>
      <c r="L129" s="76">
        <f>SUMIF(E$2:E129,"&gt;0")</f>
        <v>0</v>
      </c>
      <c r="M129" s="76" t="e">
        <f t="shared" si="24"/>
        <v>#N/A</v>
      </c>
      <c r="N129" s="74">
        <f t="shared" si="31"/>
        <v>2400</v>
      </c>
      <c r="O129" s="76">
        <f t="shared" si="32"/>
        <v>1440</v>
      </c>
    </row>
    <row r="130" spans="1:15" x14ac:dyDescent="0.25">
      <c r="A130" s="77">
        <v>44218.186805555553</v>
      </c>
      <c r="C130" s="74">
        <v>15</v>
      </c>
      <c r="D130" s="74">
        <v>1</v>
      </c>
      <c r="E130" s="432">
        <v>0</v>
      </c>
      <c r="F130" s="150">
        <f t="shared" si="37"/>
        <v>25</v>
      </c>
      <c r="G130" s="76">
        <f t="shared" si="34"/>
        <v>5</v>
      </c>
      <c r="H130" s="76">
        <f t="shared" si="35"/>
        <v>0</v>
      </c>
      <c r="I130" s="76">
        <f t="shared" si="36"/>
        <v>5</v>
      </c>
      <c r="J130" s="76">
        <f>SUMIF(I$2:I130,"&gt;0")</f>
        <v>412</v>
      </c>
      <c r="K130" s="76">
        <f t="shared" si="33"/>
        <v>113</v>
      </c>
      <c r="L130" s="76">
        <f>SUMIF(E$2:E130,"&gt;0")</f>
        <v>0</v>
      </c>
      <c r="M130" s="76">
        <f t="shared" ref="M130:M161" si="38">IFERROR(L130 - _xlfn.XLOOKUP(A130-30, $A$2:$A$14999,L$2:L$14999,"",-1,2),NA())</f>
        <v>0</v>
      </c>
      <c r="N130" s="74">
        <f t="shared" si="31"/>
        <v>3000</v>
      </c>
      <c r="O130" s="76">
        <f t="shared" si="32"/>
        <v>600</v>
      </c>
    </row>
    <row r="131" spans="1:15" x14ac:dyDescent="0.25">
      <c r="A131" s="77">
        <v>44219.36041666667</v>
      </c>
      <c r="C131" s="74">
        <v>16</v>
      </c>
      <c r="D131" s="74">
        <v>1</v>
      </c>
      <c r="E131" s="432">
        <v>0</v>
      </c>
      <c r="F131" s="150">
        <f t="shared" si="37"/>
        <v>26</v>
      </c>
      <c r="G131" s="76">
        <f t="shared" si="34"/>
        <v>1</v>
      </c>
      <c r="H131" s="76">
        <f t="shared" si="35"/>
        <v>0</v>
      </c>
      <c r="I131" s="76">
        <f t="shared" si="36"/>
        <v>1</v>
      </c>
      <c r="J131" s="76">
        <f>SUMIF(I$2:I131,"&gt;0")</f>
        <v>413</v>
      </c>
      <c r="K131" s="76">
        <f t="shared" si="33"/>
        <v>113</v>
      </c>
      <c r="L131" s="76">
        <f>SUMIF(E$2:E131,"&gt;0")</f>
        <v>0</v>
      </c>
      <c r="M131" s="76">
        <f t="shared" si="38"/>
        <v>0</v>
      </c>
      <c r="N131" s="74">
        <f t="shared" si="31"/>
        <v>3120</v>
      </c>
      <c r="O131" s="76">
        <f t="shared" si="32"/>
        <v>120</v>
      </c>
    </row>
    <row r="132" spans="1:15" x14ac:dyDescent="0.25">
      <c r="A132" s="77">
        <v>44220.511805555558</v>
      </c>
      <c r="C132" s="74">
        <v>16</v>
      </c>
      <c r="D132" s="74">
        <v>1</v>
      </c>
      <c r="E132" s="432">
        <v>0</v>
      </c>
      <c r="F132" s="150">
        <f t="shared" si="37"/>
        <v>26</v>
      </c>
      <c r="G132" s="76">
        <f t="shared" si="34"/>
        <v>0</v>
      </c>
      <c r="H132" s="76">
        <f t="shared" si="35"/>
        <v>0</v>
      </c>
      <c r="I132" s="76">
        <f t="shared" si="36"/>
        <v>0</v>
      </c>
      <c r="J132" s="76">
        <f>SUMIF(I$2:I132,"&gt;0")</f>
        <v>413</v>
      </c>
      <c r="K132" s="76">
        <f t="shared" si="33"/>
        <v>101</v>
      </c>
      <c r="L132" s="76">
        <f>SUMIF(E$2:E132,"&gt;0")</f>
        <v>0</v>
      </c>
      <c r="M132" s="76">
        <f t="shared" si="38"/>
        <v>0</v>
      </c>
      <c r="N132" s="74">
        <f t="shared" ref="N132:N163" si="39">F132*120</f>
        <v>3120</v>
      </c>
      <c r="O132" s="76">
        <f t="shared" ref="O132:O163" si="40">N132-N131</f>
        <v>0</v>
      </c>
    </row>
    <row r="133" spans="1:15" x14ac:dyDescent="0.25">
      <c r="A133" s="77">
        <v>44221.51666666667</v>
      </c>
      <c r="C133" s="74">
        <v>19</v>
      </c>
      <c r="D133" s="74">
        <v>1</v>
      </c>
      <c r="E133" s="432">
        <v>0</v>
      </c>
      <c r="F133" s="150">
        <f t="shared" si="37"/>
        <v>29</v>
      </c>
      <c r="G133" s="76">
        <f t="shared" si="34"/>
        <v>3</v>
      </c>
      <c r="H133" s="76">
        <f t="shared" si="35"/>
        <v>0</v>
      </c>
      <c r="I133" s="76">
        <f t="shared" si="36"/>
        <v>3</v>
      </c>
      <c r="J133" s="76">
        <f>SUMIF(I$2:I133,"&gt;0")</f>
        <v>416</v>
      </c>
      <c r="K133" s="76">
        <f t="shared" si="33"/>
        <v>104</v>
      </c>
      <c r="L133" s="76">
        <f>SUMIF(E$2:E133,"&gt;0")</f>
        <v>0</v>
      </c>
      <c r="M133" s="76">
        <f t="shared" si="38"/>
        <v>0</v>
      </c>
      <c r="N133" s="74">
        <f t="shared" si="39"/>
        <v>3480</v>
      </c>
      <c r="O133" s="76">
        <f t="shared" si="40"/>
        <v>360</v>
      </c>
    </row>
    <row r="134" spans="1:15" x14ac:dyDescent="0.25">
      <c r="A134" s="77">
        <v>44222.856249999997</v>
      </c>
      <c r="C134" s="74">
        <v>19</v>
      </c>
      <c r="D134" s="74">
        <v>1</v>
      </c>
      <c r="E134" s="432">
        <v>0</v>
      </c>
      <c r="F134" s="150">
        <f t="shared" si="37"/>
        <v>29</v>
      </c>
      <c r="G134" s="76">
        <f t="shared" si="34"/>
        <v>0</v>
      </c>
      <c r="H134" s="76">
        <f t="shared" si="35"/>
        <v>0</v>
      </c>
      <c r="I134" s="76">
        <f t="shared" si="36"/>
        <v>0</v>
      </c>
      <c r="J134" s="76">
        <f>SUMIF(I$2:I134,"&gt;0")</f>
        <v>416</v>
      </c>
      <c r="K134" s="76">
        <f t="shared" si="33"/>
        <v>104</v>
      </c>
      <c r="L134" s="76">
        <f>SUMIF(E$2:E134,"&gt;0")</f>
        <v>0</v>
      </c>
      <c r="M134" s="76">
        <f t="shared" si="38"/>
        <v>0</v>
      </c>
      <c r="N134" s="74">
        <f t="shared" si="39"/>
        <v>3480</v>
      </c>
      <c r="O134" s="76">
        <f t="shared" si="40"/>
        <v>0</v>
      </c>
    </row>
    <row r="135" spans="1:15" x14ac:dyDescent="0.25">
      <c r="A135" s="77">
        <v>44223.9</v>
      </c>
      <c r="B135" s="21" t="s">
        <v>384</v>
      </c>
      <c r="C135" s="74">
        <v>0</v>
      </c>
      <c r="D135" s="74">
        <v>0</v>
      </c>
      <c r="E135" s="432">
        <v>0</v>
      </c>
      <c r="F135" s="150">
        <f t="shared" ref="F135:F141" si="41">C135+D135*10+_xlfn.IFNA(E135,0)</f>
        <v>0</v>
      </c>
      <c r="G135" s="76">
        <f t="shared" si="34"/>
        <v>-19</v>
      </c>
      <c r="H135" s="76">
        <f t="shared" si="35"/>
        <v>-1</v>
      </c>
      <c r="I135" s="76">
        <f t="shared" si="36"/>
        <v>-29</v>
      </c>
      <c r="J135" s="76">
        <f>SUMIF(I$2:I135,"&gt;0")</f>
        <v>416</v>
      </c>
      <c r="K135" s="76">
        <f t="shared" ref="K135:K166" si="42">IFERROR(J135 - _xlfn.XLOOKUP(A135-30, $A$2:$A$14999,J$2:J$14999,"",-1,2),NA())</f>
        <v>104</v>
      </c>
      <c r="L135" s="76">
        <f>SUMIF(E$2:E135,"&gt;0")</f>
        <v>0</v>
      </c>
      <c r="M135" s="76">
        <f t="shared" si="38"/>
        <v>0</v>
      </c>
      <c r="N135" s="74">
        <f t="shared" si="39"/>
        <v>0</v>
      </c>
      <c r="O135" s="76">
        <f t="shared" si="40"/>
        <v>-3480</v>
      </c>
    </row>
    <row r="136" spans="1:15" x14ac:dyDescent="0.25">
      <c r="A136" s="77">
        <v>44224.683333333334</v>
      </c>
      <c r="C136" s="74">
        <v>0</v>
      </c>
      <c r="D136" s="74">
        <v>0</v>
      </c>
      <c r="E136" s="432">
        <v>0</v>
      </c>
      <c r="F136" s="150">
        <f t="shared" si="41"/>
        <v>0</v>
      </c>
      <c r="G136" s="76">
        <f t="shared" si="34"/>
        <v>0</v>
      </c>
      <c r="H136" s="76">
        <f t="shared" si="35"/>
        <v>0</v>
      </c>
      <c r="I136" s="76">
        <f t="shared" si="36"/>
        <v>0</v>
      </c>
      <c r="J136" s="76">
        <f>SUMIF(I$2:I136,"&gt;0")</f>
        <v>416</v>
      </c>
      <c r="K136" s="76">
        <f t="shared" si="42"/>
        <v>99</v>
      </c>
      <c r="L136" s="76">
        <f>SUMIF(E$2:E136,"&gt;0")</f>
        <v>0</v>
      </c>
      <c r="M136" s="76">
        <f t="shared" si="38"/>
        <v>0</v>
      </c>
      <c r="N136" s="74">
        <f t="shared" si="39"/>
        <v>0</v>
      </c>
      <c r="O136" s="76">
        <f t="shared" si="40"/>
        <v>0</v>
      </c>
    </row>
    <row r="137" spans="1:15" x14ac:dyDescent="0.25">
      <c r="A137" s="77">
        <v>44225.340277777781</v>
      </c>
      <c r="C137" s="74">
        <v>3</v>
      </c>
      <c r="D137" s="74">
        <v>0</v>
      </c>
      <c r="E137" s="432">
        <v>0</v>
      </c>
      <c r="F137" s="150">
        <f t="shared" si="41"/>
        <v>3</v>
      </c>
      <c r="G137" s="76">
        <f t="shared" si="34"/>
        <v>3</v>
      </c>
      <c r="H137" s="76">
        <f t="shared" si="35"/>
        <v>0</v>
      </c>
      <c r="I137" s="76">
        <f t="shared" si="36"/>
        <v>3</v>
      </c>
      <c r="J137" s="76">
        <f>SUMIF(I$2:I137,"&gt;0")</f>
        <v>419</v>
      </c>
      <c r="K137" s="76">
        <f t="shared" si="42"/>
        <v>102</v>
      </c>
      <c r="L137" s="76">
        <f>SUMIF(E$2:E137,"&gt;0")</f>
        <v>0</v>
      </c>
      <c r="M137" s="76">
        <f t="shared" si="38"/>
        <v>0</v>
      </c>
      <c r="N137" s="74">
        <f t="shared" si="39"/>
        <v>360</v>
      </c>
      <c r="O137" s="76">
        <f t="shared" si="40"/>
        <v>360</v>
      </c>
    </row>
    <row r="138" spans="1:15" x14ac:dyDescent="0.25">
      <c r="A138" s="77">
        <v>44226.59097222222</v>
      </c>
      <c r="C138" s="74">
        <v>3</v>
      </c>
      <c r="D138" s="74">
        <v>0</v>
      </c>
      <c r="E138" s="432">
        <v>0</v>
      </c>
      <c r="F138" s="150">
        <f t="shared" si="41"/>
        <v>3</v>
      </c>
      <c r="G138" s="76">
        <f t="shared" si="34"/>
        <v>0</v>
      </c>
      <c r="H138" s="76">
        <f t="shared" si="35"/>
        <v>0</v>
      </c>
      <c r="I138" s="76">
        <f t="shared" si="36"/>
        <v>0</v>
      </c>
      <c r="J138" s="76">
        <f>SUMIF(I$2:I138,"&gt;0")</f>
        <v>419</v>
      </c>
      <c r="K138" s="76">
        <f t="shared" si="42"/>
        <v>90</v>
      </c>
      <c r="L138" s="76">
        <f>SUMIF(E$2:E138,"&gt;0")</f>
        <v>0</v>
      </c>
      <c r="M138" s="76">
        <f t="shared" si="38"/>
        <v>0</v>
      </c>
      <c r="N138" s="74">
        <f t="shared" si="39"/>
        <v>360</v>
      </c>
      <c r="O138" s="76">
        <f t="shared" si="40"/>
        <v>0</v>
      </c>
    </row>
    <row r="139" spans="1:15" x14ac:dyDescent="0.25">
      <c r="A139" s="77">
        <v>44227.008333333331</v>
      </c>
      <c r="B139" s="105" t="s">
        <v>386</v>
      </c>
      <c r="C139" s="74">
        <v>0</v>
      </c>
      <c r="D139" s="74">
        <v>0</v>
      </c>
      <c r="E139" s="432">
        <v>10</v>
      </c>
      <c r="F139" s="150">
        <f t="shared" si="41"/>
        <v>10</v>
      </c>
      <c r="G139" s="76">
        <f t="shared" si="34"/>
        <v>-3</v>
      </c>
      <c r="H139" s="76">
        <f t="shared" si="35"/>
        <v>0</v>
      </c>
      <c r="I139" s="76">
        <f t="shared" si="36"/>
        <v>7</v>
      </c>
      <c r="J139" s="76">
        <f>SUMIF(I$2:I139,"&gt;0")</f>
        <v>426</v>
      </c>
      <c r="K139" s="76">
        <f t="shared" si="42"/>
        <v>97</v>
      </c>
      <c r="L139" s="76">
        <f>SUMIF(E$2:E139,"&gt;0")</f>
        <v>10</v>
      </c>
      <c r="M139" s="76">
        <f t="shared" si="38"/>
        <v>10</v>
      </c>
      <c r="N139" s="74">
        <f t="shared" si="39"/>
        <v>1200</v>
      </c>
      <c r="O139" s="76">
        <f t="shared" si="40"/>
        <v>840</v>
      </c>
    </row>
    <row r="140" spans="1:15" x14ac:dyDescent="0.25">
      <c r="A140" s="77">
        <v>44227.566666666666</v>
      </c>
      <c r="B140" s="105" t="s">
        <v>388</v>
      </c>
      <c r="C140" s="74">
        <v>5</v>
      </c>
      <c r="D140" s="74">
        <v>1</v>
      </c>
      <c r="E140" s="432">
        <v>0</v>
      </c>
      <c r="F140" s="150">
        <f t="shared" si="41"/>
        <v>15</v>
      </c>
      <c r="G140" s="76">
        <f t="shared" si="34"/>
        <v>5</v>
      </c>
      <c r="H140" s="76">
        <f t="shared" si="35"/>
        <v>1</v>
      </c>
      <c r="I140" s="76">
        <f t="shared" si="36"/>
        <v>5</v>
      </c>
      <c r="J140" s="76">
        <f>SUMIF(I$2:I140,"&gt;0")</f>
        <v>431</v>
      </c>
      <c r="K140" s="76">
        <f t="shared" si="42"/>
        <v>56</v>
      </c>
      <c r="L140" s="76">
        <f>SUMIF(E$2:E140,"&gt;0")</f>
        <v>10</v>
      </c>
      <c r="M140" s="76">
        <f t="shared" si="38"/>
        <v>10</v>
      </c>
      <c r="N140" s="74">
        <f t="shared" si="39"/>
        <v>1800</v>
      </c>
      <c r="O140" s="76">
        <f t="shared" si="40"/>
        <v>600</v>
      </c>
    </row>
    <row r="141" spans="1:15" x14ac:dyDescent="0.25">
      <c r="A141" s="77">
        <v>44228.779166666667</v>
      </c>
      <c r="C141" s="74">
        <v>12</v>
      </c>
      <c r="D141" s="74">
        <v>1</v>
      </c>
      <c r="E141" s="432">
        <v>10</v>
      </c>
      <c r="F141" s="150">
        <f t="shared" si="41"/>
        <v>32</v>
      </c>
      <c r="G141" s="76">
        <f t="shared" si="34"/>
        <v>7</v>
      </c>
      <c r="H141" s="76">
        <f t="shared" si="35"/>
        <v>0</v>
      </c>
      <c r="I141" s="76">
        <f t="shared" si="36"/>
        <v>17</v>
      </c>
      <c r="J141" s="76">
        <f>SUMIF(I$2:I141,"&gt;0")</f>
        <v>448</v>
      </c>
      <c r="K141" s="76">
        <f t="shared" si="42"/>
        <v>73</v>
      </c>
      <c r="L141" s="76">
        <f>SUMIF(E$2:E141,"&gt;0")</f>
        <v>20</v>
      </c>
      <c r="M141" s="76">
        <f t="shared" si="38"/>
        <v>20</v>
      </c>
      <c r="N141" s="74">
        <f t="shared" si="39"/>
        <v>3840</v>
      </c>
      <c r="O141" s="76">
        <f t="shared" si="40"/>
        <v>2040</v>
      </c>
    </row>
    <row r="142" spans="1:15" x14ac:dyDescent="0.25">
      <c r="A142" s="77">
        <v>44229.037499999999</v>
      </c>
      <c r="C142" s="74">
        <v>12</v>
      </c>
      <c r="D142" s="74">
        <v>1</v>
      </c>
      <c r="E142" s="432">
        <v>10</v>
      </c>
      <c r="F142" s="150">
        <f t="shared" ref="F142:F149" si="43">C142+D142*10+_xlfn.IFNA(E142,0)</f>
        <v>32</v>
      </c>
      <c r="G142" s="76">
        <f t="shared" si="34"/>
        <v>0</v>
      </c>
      <c r="H142" s="76">
        <f t="shared" si="35"/>
        <v>0</v>
      </c>
      <c r="I142" s="76">
        <f t="shared" si="36"/>
        <v>0</v>
      </c>
      <c r="J142" s="76">
        <f>SUMIF(I$2:I142,"&gt;0")</f>
        <v>448</v>
      </c>
      <c r="K142" s="76">
        <f t="shared" si="42"/>
        <v>73</v>
      </c>
      <c r="L142" s="76">
        <f>SUMIF(E$2:E142,"&gt;0")</f>
        <v>30</v>
      </c>
      <c r="M142" s="76">
        <f t="shared" si="38"/>
        <v>30</v>
      </c>
      <c r="N142" s="74">
        <f t="shared" si="39"/>
        <v>3840</v>
      </c>
      <c r="O142" s="76">
        <f t="shared" si="40"/>
        <v>0</v>
      </c>
    </row>
    <row r="143" spans="1:15" x14ac:dyDescent="0.25">
      <c r="A143" s="77">
        <v>44229.04583333333</v>
      </c>
      <c r="C143" s="74">
        <v>14</v>
      </c>
      <c r="D143" s="74">
        <v>1</v>
      </c>
      <c r="E143" s="432">
        <v>0</v>
      </c>
      <c r="F143" s="150">
        <f t="shared" si="43"/>
        <v>24</v>
      </c>
      <c r="G143" s="76">
        <f t="shared" si="34"/>
        <v>2</v>
      </c>
      <c r="H143" s="76">
        <f t="shared" si="35"/>
        <v>0</v>
      </c>
      <c r="I143" s="76">
        <f t="shared" si="36"/>
        <v>-8</v>
      </c>
      <c r="J143" s="76">
        <f>SUMIF(I$2:I143,"&gt;0")</f>
        <v>448</v>
      </c>
      <c r="K143" s="76">
        <f t="shared" si="42"/>
        <v>73</v>
      </c>
      <c r="L143" s="76">
        <f>SUMIF(E$2:E143,"&gt;0")</f>
        <v>30</v>
      </c>
      <c r="M143" s="76">
        <f t="shared" si="38"/>
        <v>30</v>
      </c>
      <c r="N143" s="74">
        <f t="shared" si="39"/>
        <v>2880</v>
      </c>
      <c r="O143" s="76">
        <f t="shared" si="40"/>
        <v>-960</v>
      </c>
    </row>
    <row r="144" spans="1:15" x14ac:dyDescent="0.25">
      <c r="A144" s="77">
        <v>44230.195833333331</v>
      </c>
      <c r="C144" s="74">
        <v>15</v>
      </c>
      <c r="D144" s="74">
        <v>1</v>
      </c>
      <c r="E144" s="432">
        <v>10</v>
      </c>
      <c r="F144" s="150">
        <f t="shared" si="43"/>
        <v>35</v>
      </c>
      <c r="G144" s="76">
        <f t="shared" si="34"/>
        <v>1</v>
      </c>
      <c r="H144" s="76">
        <f t="shared" si="35"/>
        <v>0</v>
      </c>
      <c r="I144" s="76">
        <f t="shared" si="36"/>
        <v>11</v>
      </c>
      <c r="J144" s="76">
        <f>SUMIF(I$2:I144,"&gt;0")</f>
        <v>459</v>
      </c>
      <c r="K144" s="76">
        <f t="shared" si="42"/>
        <v>83</v>
      </c>
      <c r="L144" s="76">
        <f>SUMIF(E$2:E144,"&gt;0")</f>
        <v>40</v>
      </c>
      <c r="M144" s="76">
        <f t="shared" si="38"/>
        <v>40</v>
      </c>
      <c r="N144" s="74">
        <f t="shared" si="39"/>
        <v>4200</v>
      </c>
      <c r="O144" s="76">
        <f t="shared" si="40"/>
        <v>1320</v>
      </c>
    </row>
    <row r="145" spans="1:15" x14ac:dyDescent="0.25">
      <c r="A145" s="77">
        <v>44231.020138888889</v>
      </c>
      <c r="C145" s="74">
        <v>16</v>
      </c>
      <c r="D145" s="74">
        <v>1</v>
      </c>
      <c r="E145" s="432">
        <v>10</v>
      </c>
      <c r="F145" s="150">
        <f t="shared" si="43"/>
        <v>36</v>
      </c>
      <c r="G145" s="76">
        <f t="shared" si="34"/>
        <v>1</v>
      </c>
      <c r="H145" s="76">
        <f t="shared" si="35"/>
        <v>0</v>
      </c>
      <c r="I145" s="76">
        <f t="shared" si="36"/>
        <v>1</v>
      </c>
      <c r="J145" s="76">
        <f>SUMIF(I$2:I145,"&gt;0")</f>
        <v>460</v>
      </c>
      <c r="K145" s="76">
        <f t="shared" si="42"/>
        <v>74</v>
      </c>
      <c r="L145" s="76">
        <f>SUMIF(E$2:E145,"&gt;0")</f>
        <v>50</v>
      </c>
      <c r="M145" s="76">
        <f t="shared" si="38"/>
        <v>50</v>
      </c>
      <c r="N145" s="74">
        <f t="shared" si="39"/>
        <v>4320</v>
      </c>
      <c r="O145" s="76">
        <f t="shared" si="40"/>
        <v>120</v>
      </c>
    </row>
    <row r="146" spans="1:15" x14ac:dyDescent="0.25">
      <c r="A146" s="77">
        <v>44232.084722222222</v>
      </c>
      <c r="C146" s="74">
        <v>17</v>
      </c>
      <c r="D146" s="74">
        <v>1</v>
      </c>
      <c r="E146" s="432">
        <v>10</v>
      </c>
      <c r="F146" s="150">
        <f t="shared" si="43"/>
        <v>37</v>
      </c>
      <c r="G146" s="76">
        <f t="shared" si="34"/>
        <v>1</v>
      </c>
      <c r="H146" s="76">
        <f t="shared" si="35"/>
        <v>0</v>
      </c>
      <c r="I146" s="76">
        <f t="shared" si="36"/>
        <v>1</v>
      </c>
      <c r="J146" s="76">
        <f>SUMIF(I$2:I146,"&gt;0")</f>
        <v>461</v>
      </c>
      <c r="K146" s="76">
        <f t="shared" si="42"/>
        <v>75</v>
      </c>
      <c r="L146" s="76">
        <f>SUMIF(E$2:E146,"&gt;0")</f>
        <v>60</v>
      </c>
      <c r="M146" s="76">
        <f t="shared" si="38"/>
        <v>60</v>
      </c>
      <c r="N146" s="74">
        <f t="shared" si="39"/>
        <v>4440</v>
      </c>
      <c r="O146" s="76">
        <f t="shared" si="40"/>
        <v>120</v>
      </c>
    </row>
    <row r="147" spans="1:15" x14ac:dyDescent="0.25">
      <c r="A147" s="77">
        <v>44233.002083333333</v>
      </c>
      <c r="C147" s="74">
        <v>17</v>
      </c>
      <c r="D147" s="74">
        <v>1</v>
      </c>
      <c r="E147" s="432">
        <v>10</v>
      </c>
      <c r="F147" s="150">
        <f t="shared" si="43"/>
        <v>37</v>
      </c>
      <c r="G147" s="76">
        <f t="shared" si="34"/>
        <v>0</v>
      </c>
      <c r="H147" s="76">
        <f t="shared" si="35"/>
        <v>0</v>
      </c>
      <c r="I147" s="76">
        <f t="shared" si="36"/>
        <v>0</v>
      </c>
      <c r="J147" s="76">
        <f>SUMIF(I$2:I147,"&gt;0")</f>
        <v>461</v>
      </c>
      <c r="K147" s="76">
        <f t="shared" si="42"/>
        <v>75</v>
      </c>
      <c r="L147" s="76">
        <f>SUMIF(E$2:E147,"&gt;0")</f>
        <v>70</v>
      </c>
      <c r="M147" s="76">
        <f t="shared" si="38"/>
        <v>70</v>
      </c>
      <c r="N147" s="74">
        <f t="shared" si="39"/>
        <v>4440</v>
      </c>
      <c r="O147" s="76">
        <f t="shared" si="40"/>
        <v>0</v>
      </c>
    </row>
    <row r="148" spans="1:15" x14ac:dyDescent="0.25">
      <c r="A148" s="77">
        <v>44233.005555555559</v>
      </c>
      <c r="C148" s="74">
        <v>0</v>
      </c>
      <c r="D148" s="74">
        <v>1</v>
      </c>
      <c r="E148" s="432">
        <v>0</v>
      </c>
      <c r="F148" s="150">
        <f t="shared" si="43"/>
        <v>10</v>
      </c>
      <c r="G148" s="76">
        <f t="shared" si="34"/>
        <v>-17</v>
      </c>
      <c r="H148" s="76">
        <f t="shared" si="35"/>
        <v>0</v>
      </c>
      <c r="I148" s="76">
        <f t="shared" si="36"/>
        <v>-27</v>
      </c>
      <c r="J148" s="76">
        <f>SUMIF(I$2:I148,"&gt;0")</f>
        <v>461</v>
      </c>
      <c r="K148" s="76">
        <f t="shared" si="42"/>
        <v>75</v>
      </c>
      <c r="L148" s="76">
        <f>SUMIF(E$2:E148,"&gt;0")</f>
        <v>70</v>
      </c>
      <c r="M148" s="76">
        <f t="shared" si="38"/>
        <v>70</v>
      </c>
      <c r="N148" s="74">
        <f t="shared" si="39"/>
        <v>1200</v>
      </c>
      <c r="O148" s="76">
        <f t="shared" si="40"/>
        <v>-3240</v>
      </c>
    </row>
    <row r="149" spans="1:15" x14ac:dyDescent="0.25">
      <c r="A149" s="77">
        <v>44233.186111111114</v>
      </c>
      <c r="C149" s="74">
        <v>1</v>
      </c>
      <c r="D149" s="74">
        <v>1</v>
      </c>
      <c r="E149" s="432">
        <v>0</v>
      </c>
      <c r="F149" s="150">
        <f t="shared" si="43"/>
        <v>11</v>
      </c>
      <c r="G149" s="76">
        <f t="shared" si="34"/>
        <v>1</v>
      </c>
      <c r="H149" s="76">
        <f t="shared" si="35"/>
        <v>0</v>
      </c>
      <c r="I149" s="76">
        <f t="shared" si="36"/>
        <v>1</v>
      </c>
      <c r="J149" s="76">
        <f>SUMIF(I$2:I149,"&gt;0")</f>
        <v>462</v>
      </c>
      <c r="K149" s="76">
        <f t="shared" si="42"/>
        <v>76</v>
      </c>
      <c r="L149" s="76">
        <f>SUMIF(E$2:E149,"&gt;0")</f>
        <v>70</v>
      </c>
      <c r="M149" s="76">
        <f t="shared" si="38"/>
        <v>70</v>
      </c>
      <c r="N149" s="74">
        <f t="shared" si="39"/>
        <v>1320</v>
      </c>
      <c r="O149" s="76">
        <f t="shared" si="40"/>
        <v>120</v>
      </c>
    </row>
    <row r="150" spans="1:15" x14ac:dyDescent="0.25">
      <c r="A150" s="77">
        <v>44234.268055555556</v>
      </c>
      <c r="C150" s="74">
        <v>2</v>
      </c>
      <c r="D150" s="74">
        <v>1</v>
      </c>
      <c r="E150" s="432">
        <v>0</v>
      </c>
      <c r="F150" s="150">
        <f t="shared" ref="F150:F183" si="44">C150+D150*10+_xlfn.IFNA(E150,0)</f>
        <v>12</v>
      </c>
      <c r="G150" s="76">
        <f t="shared" si="34"/>
        <v>1</v>
      </c>
      <c r="H150" s="76">
        <f t="shared" si="35"/>
        <v>0</v>
      </c>
      <c r="I150" s="76">
        <f t="shared" si="36"/>
        <v>1</v>
      </c>
      <c r="J150" s="76">
        <f>SUMIF(I$2:I150,"&gt;0")</f>
        <v>463</v>
      </c>
      <c r="K150" s="76">
        <f t="shared" si="42"/>
        <v>77</v>
      </c>
      <c r="L150" s="76">
        <f>SUMIF(E$2:E150,"&gt;0")</f>
        <v>70</v>
      </c>
      <c r="M150" s="76">
        <f t="shared" si="38"/>
        <v>70</v>
      </c>
      <c r="N150" s="74">
        <f t="shared" si="39"/>
        <v>1440</v>
      </c>
      <c r="O150" s="76">
        <f t="shared" si="40"/>
        <v>120</v>
      </c>
    </row>
    <row r="151" spans="1:15" x14ac:dyDescent="0.25">
      <c r="A151" s="77">
        <v>44235.793749999997</v>
      </c>
      <c r="C151" s="74">
        <v>3</v>
      </c>
      <c r="D151" s="74">
        <v>1</v>
      </c>
      <c r="E151" s="432">
        <v>0</v>
      </c>
      <c r="F151" s="150">
        <f t="shared" si="44"/>
        <v>13</v>
      </c>
      <c r="G151" s="76">
        <f t="shared" ref="G151:G183" si="45">C151-C150</f>
        <v>1</v>
      </c>
      <c r="H151" s="76">
        <f t="shared" ref="H151:H183" si="46">D151-D150</f>
        <v>0</v>
      </c>
      <c r="I151" s="76">
        <f t="shared" ref="I151:I183" si="47">F151-F150</f>
        <v>1</v>
      </c>
      <c r="J151" s="76">
        <f>SUMIF(I$2:I151,"&gt;0")</f>
        <v>464</v>
      </c>
      <c r="K151" s="76">
        <f t="shared" si="42"/>
        <v>78</v>
      </c>
      <c r="L151" s="76">
        <f>SUMIF(E$2:E151,"&gt;0")</f>
        <v>70</v>
      </c>
      <c r="M151" s="76">
        <f t="shared" si="38"/>
        <v>70</v>
      </c>
      <c r="N151" s="74">
        <f t="shared" si="39"/>
        <v>1560</v>
      </c>
      <c r="O151" s="76">
        <f t="shared" si="40"/>
        <v>120</v>
      </c>
    </row>
    <row r="152" spans="1:15" x14ac:dyDescent="0.25">
      <c r="A152" s="77">
        <v>44236.84375</v>
      </c>
      <c r="C152" s="74">
        <v>4</v>
      </c>
      <c r="D152" s="74">
        <v>2</v>
      </c>
      <c r="E152" s="432">
        <v>0</v>
      </c>
      <c r="F152" s="150">
        <f t="shared" si="44"/>
        <v>24</v>
      </c>
      <c r="G152" s="76">
        <f t="shared" si="45"/>
        <v>1</v>
      </c>
      <c r="H152" s="76">
        <f t="shared" si="46"/>
        <v>1</v>
      </c>
      <c r="I152" s="76">
        <f t="shared" si="47"/>
        <v>11</v>
      </c>
      <c r="J152" s="76">
        <f>SUMIF(I$2:I152,"&gt;0")</f>
        <v>475</v>
      </c>
      <c r="K152" s="76">
        <f t="shared" si="42"/>
        <v>89</v>
      </c>
      <c r="L152" s="76">
        <f>SUMIF(E$2:E152,"&gt;0")</f>
        <v>70</v>
      </c>
      <c r="M152" s="76">
        <f t="shared" si="38"/>
        <v>70</v>
      </c>
      <c r="N152" s="74">
        <f t="shared" si="39"/>
        <v>2880</v>
      </c>
      <c r="O152" s="76">
        <f t="shared" si="40"/>
        <v>1320</v>
      </c>
    </row>
    <row r="153" spans="1:15" x14ac:dyDescent="0.25">
      <c r="A153" s="77">
        <v>44237.717361111114</v>
      </c>
      <c r="C153" s="74">
        <v>5</v>
      </c>
      <c r="D153" s="74">
        <v>2</v>
      </c>
      <c r="E153" s="432">
        <v>0</v>
      </c>
      <c r="F153" s="150">
        <f t="shared" si="44"/>
        <v>25</v>
      </c>
      <c r="G153" s="76">
        <f t="shared" si="45"/>
        <v>1</v>
      </c>
      <c r="H153" s="76">
        <f t="shared" si="46"/>
        <v>0</v>
      </c>
      <c r="I153" s="76">
        <f t="shared" si="47"/>
        <v>1</v>
      </c>
      <c r="J153" s="76">
        <f>SUMIF(I$2:I153,"&gt;0")</f>
        <v>476</v>
      </c>
      <c r="K153" s="76">
        <f t="shared" si="42"/>
        <v>90</v>
      </c>
      <c r="L153" s="76">
        <f>SUMIF(E$2:E153,"&gt;0")</f>
        <v>70</v>
      </c>
      <c r="M153" s="76">
        <f t="shared" si="38"/>
        <v>70</v>
      </c>
      <c r="N153" s="74">
        <f t="shared" si="39"/>
        <v>3000</v>
      </c>
      <c r="O153" s="76">
        <f t="shared" si="40"/>
        <v>120</v>
      </c>
    </row>
    <row r="154" spans="1:15" x14ac:dyDescent="0.25">
      <c r="A154" s="77">
        <v>44238.354166666664</v>
      </c>
      <c r="C154" s="74">
        <v>6</v>
      </c>
      <c r="D154" s="74">
        <v>2</v>
      </c>
      <c r="E154" s="432">
        <v>0</v>
      </c>
      <c r="F154" s="150">
        <f t="shared" si="44"/>
        <v>26</v>
      </c>
      <c r="G154" s="76">
        <f t="shared" si="45"/>
        <v>1</v>
      </c>
      <c r="H154" s="76">
        <f t="shared" si="46"/>
        <v>0</v>
      </c>
      <c r="I154" s="76">
        <f t="shared" si="47"/>
        <v>1</v>
      </c>
      <c r="J154" s="76">
        <f>SUMIF(I$2:I154,"&gt;0")</f>
        <v>477</v>
      </c>
      <c r="K154" s="76">
        <f t="shared" si="42"/>
        <v>91</v>
      </c>
      <c r="L154" s="76">
        <f>SUMIF(E$2:E154,"&gt;0")</f>
        <v>70</v>
      </c>
      <c r="M154" s="76">
        <f t="shared" si="38"/>
        <v>70</v>
      </c>
      <c r="N154" s="74">
        <f t="shared" si="39"/>
        <v>3120</v>
      </c>
      <c r="O154" s="76">
        <f t="shared" si="40"/>
        <v>120</v>
      </c>
    </row>
    <row r="155" spans="1:15" x14ac:dyDescent="0.25">
      <c r="A155" s="77">
        <v>44239.011805555558</v>
      </c>
      <c r="B155" s="21" t="s">
        <v>398</v>
      </c>
      <c r="C155" s="74">
        <v>0</v>
      </c>
      <c r="D155" s="74">
        <v>0</v>
      </c>
      <c r="E155" s="432">
        <v>0</v>
      </c>
      <c r="F155" s="150">
        <f t="shared" si="44"/>
        <v>0</v>
      </c>
      <c r="G155" s="76">
        <f t="shared" si="45"/>
        <v>-6</v>
      </c>
      <c r="H155" s="76">
        <f t="shared" si="46"/>
        <v>-2</v>
      </c>
      <c r="I155" s="76">
        <f t="shared" si="47"/>
        <v>-26</v>
      </c>
      <c r="J155" s="76">
        <f>SUMIF(I$2:I155,"&gt;0")</f>
        <v>477</v>
      </c>
      <c r="K155" s="76">
        <f t="shared" si="42"/>
        <v>91</v>
      </c>
      <c r="L155" s="76">
        <f>SUMIF(E$2:E155,"&gt;0")</f>
        <v>70</v>
      </c>
      <c r="M155" s="76">
        <f t="shared" si="38"/>
        <v>70</v>
      </c>
      <c r="N155" s="74">
        <f t="shared" si="39"/>
        <v>0</v>
      </c>
      <c r="O155" s="76">
        <f t="shared" si="40"/>
        <v>-3120</v>
      </c>
    </row>
    <row r="156" spans="1:15" x14ac:dyDescent="0.25">
      <c r="A156" s="77">
        <v>44239.591666666667</v>
      </c>
      <c r="C156" s="74">
        <v>2</v>
      </c>
      <c r="D156" s="74">
        <v>0</v>
      </c>
      <c r="E156" s="432">
        <v>0</v>
      </c>
      <c r="F156" s="150">
        <f t="shared" si="44"/>
        <v>2</v>
      </c>
      <c r="G156" s="76">
        <f t="shared" si="45"/>
        <v>2</v>
      </c>
      <c r="H156" s="76">
        <f t="shared" si="46"/>
        <v>0</v>
      </c>
      <c r="I156" s="76">
        <f t="shared" si="47"/>
        <v>2</v>
      </c>
      <c r="J156" s="76">
        <f>SUMIF(I$2:I156,"&gt;0")</f>
        <v>479</v>
      </c>
      <c r="K156" s="76">
        <f t="shared" si="42"/>
        <v>92</v>
      </c>
      <c r="L156" s="76">
        <f>SUMIF(E$2:E156,"&gt;0")</f>
        <v>70</v>
      </c>
      <c r="M156" s="76">
        <f t="shared" si="38"/>
        <v>70</v>
      </c>
      <c r="N156" s="74">
        <f t="shared" si="39"/>
        <v>240</v>
      </c>
      <c r="O156" s="76">
        <f t="shared" si="40"/>
        <v>240</v>
      </c>
    </row>
    <row r="157" spans="1:15" x14ac:dyDescent="0.25">
      <c r="A157" s="77">
        <v>44240.034722222219</v>
      </c>
      <c r="C157" s="74">
        <v>3</v>
      </c>
      <c r="D157" s="74">
        <v>0</v>
      </c>
      <c r="E157" s="432">
        <v>0</v>
      </c>
      <c r="F157" s="150">
        <f t="shared" si="44"/>
        <v>3</v>
      </c>
      <c r="G157" s="76">
        <f t="shared" si="45"/>
        <v>1</v>
      </c>
      <c r="H157" s="76">
        <f t="shared" si="46"/>
        <v>0</v>
      </c>
      <c r="I157" s="76">
        <f t="shared" si="47"/>
        <v>1</v>
      </c>
      <c r="J157" s="76">
        <f>SUMIF(I$2:I157,"&gt;0")</f>
        <v>480</v>
      </c>
      <c r="K157" s="76">
        <f t="shared" si="42"/>
        <v>93</v>
      </c>
      <c r="L157" s="76">
        <f>SUMIF(E$2:E157,"&gt;0")</f>
        <v>70</v>
      </c>
      <c r="M157" s="76">
        <f t="shared" si="38"/>
        <v>70</v>
      </c>
      <c r="N157" s="74">
        <f t="shared" si="39"/>
        <v>360</v>
      </c>
      <c r="O157" s="76">
        <f t="shared" si="40"/>
        <v>120</v>
      </c>
    </row>
    <row r="158" spans="1:15" x14ac:dyDescent="0.25">
      <c r="A158" s="77">
        <v>44241.740277777775</v>
      </c>
      <c r="C158" s="74">
        <v>4</v>
      </c>
      <c r="D158" s="74">
        <v>0</v>
      </c>
      <c r="E158" s="432">
        <v>0</v>
      </c>
      <c r="F158" s="150">
        <f t="shared" si="44"/>
        <v>4</v>
      </c>
      <c r="G158" s="76">
        <f t="shared" si="45"/>
        <v>1</v>
      </c>
      <c r="H158" s="76">
        <f t="shared" si="46"/>
        <v>0</v>
      </c>
      <c r="I158" s="76">
        <f t="shared" si="47"/>
        <v>1</v>
      </c>
      <c r="J158" s="76">
        <f>SUMIF(I$2:I158,"&gt;0")</f>
        <v>481</v>
      </c>
      <c r="K158" s="76">
        <f t="shared" si="42"/>
        <v>91</v>
      </c>
      <c r="L158" s="76">
        <f>SUMIF(E$2:E158,"&gt;0")</f>
        <v>70</v>
      </c>
      <c r="M158" s="76">
        <f t="shared" si="38"/>
        <v>70</v>
      </c>
      <c r="N158" s="74">
        <f t="shared" si="39"/>
        <v>480</v>
      </c>
      <c r="O158" s="76">
        <f t="shared" si="40"/>
        <v>120</v>
      </c>
    </row>
    <row r="159" spans="1:15" x14ac:dyDescent="0.25">
      <c r="A159" s="77">
        <v>44243.201388888891</v>
      </c>
      <c r="C159" s="74">
        <v>7</v>
      </c>
      <c r="D159" s="74">
        <v>1</v>
      </c>
      <c r="E159" s="432">
        <v>0</v>
      </c>
      <c r="F159" s="150">
        <f t="shared" si="44"/>
        <v>17</v>
      </c>
      <c r="G159" s="76">
        <f t="shared" si="45"/>
        <v>3</v>
      </c>
      <c r="H159" s="76">
        <f t="shared" si="46"/>
        <v>1</v>
      </c>
      <c r="I159" s="76">
        <f t="shared" si="47"/>
        <v>13</v>
      </c>
      <c r="J159" s="76">
        <f>SUMIF(I$2:I159,"&gt;0")</f>
        <v>494</v>
      </c>
      <c r="K159" s="76">
        <f t="shared" si="42"/>
        <v>103</v>
      </c>
      <c r="L159" s="76">
        <f>SUMIF(E$2:E159,"&gt;0")</f>
        <v>70</v>
      </c>
      <c r="M159" s="76">
        <f t="shared" si="38"/>
        <v>70</v>
      </c>
      <c r="N159" s="74">
        <f t="shared" si="39"/>
        <v>2040</v>
      </c>
      <c r="O159" s="76">
        <f t="shared" si="40"/>
        <v>1560</v>
      </c>
    </row>
    <row r="160" spans="1:15" x14ac:dyDescent="0.25">
      <c r="A160" s="77">
        <v>44244.09375</v>
      </c>
      <c r="C160" s="74">
        <v>13</v>
      </c>
      <c r="D160" s="74">
        <v>1</v>
      </c>
      <c r="E160" s="432">
        <v>0</v>
      </c>
      <c r="F160" s="150">
        <f t="shared" si="44"/>
        <v>23</v>
      </c>
      <c r="G160" s="76">
        <f t="shared" si="45"/>
        <v>6</v>
      </c>
      <c r="H160" s="76">
        <f t="shared" si="46"/>
        <v>0</v>
      </c>
      <c r="I160" s="76">
        <f t="shared" si="47"/>
        <v>6</v>
      </c>
      <c r="J160" s="76">
        <f>SUMIF(I$2:I160,"&gt;0")</f>
        <v>500</v>
      </c>
      <c r="K160" s="76">
        <f t="shared" si="42"/>
        <v>108</v>
      </c>
      <c r="L160" s="76">
        <f>SUMIF(E$2:E160,"&gt;0")</f>
        <v>70</v>
      </c>
      <c r="M160" s="76">
        <f t="shared" si="38"/>
        <v>70</v>
      </c>
      <c r="N160" s="74">
        <f t="shared" si="39"/>
        <v>2760</v>
      </c>
      <c r="O160" s="76">
        <f t="shared" si="40"/>
        <v>720</v>
      </c>
    </row>
    <row r="161" spans="1:15" x14ac:dyDescent="0.25">
      <c r="A161" s="77">
        <v>44245.220138888886</v>
      </c>
      <c r="C161" s="74">
        <v>14</v>
      </c>
      <c r="D161" s="74">
        <v>1</v>
      </c>
      <c r="E161" s="432">
        <v>0</v>
      </c>
      <c r="F161" s="150">
        <f t="shared" si="44"/>
        <v>24</v>
      </c>
      <c r="G161" s="76">
        <f t="shared" si="45"/>
        <v>1</v>
      </c>
      <c r="H161" s="76">
        <f t="shared" si="46"/>
        <v>0</v>
      </c>
      <c r="I161" s="76">
        <f t="shared" si="47"/>
        <v>1</v>
      </c>
      <c r="J161" s="76">
        <f>SUMIF(I$2:I161,"&gt;0")</f>
        <v>501</v>
      </c>
      <c r="K161" s="76">
        <f t="shared" si="42"/>
        <v>108</v>
      </c>
      <c r="L161" s="76">
        <f>SUMIF(E$2:E161,"&gt;0")</f>
        <v>70</v>
      </c>
      <c r="M161" s="76">
        <f t="shared" si="38"/>
        <v>70</v>
      </c>
      <c r="N161" s="74">
        <f t="shared" si="39"/>
        <v>2880</v>
      </c>
      <c r="O161" s="76">
        <f t="shared" si="40"/>
        <v>120</v>
      </c>
    </row>
    <row r="162" spans="1:15" x14ac:dyDescent="0.25">
      <c r="A162" s="77">
        <v>44246.790972222225</v>
      </c>
      <c r="C162" s="74">
        <v>14</v>
      </c>
      <c r="D162" s="74">
        <v>1</v>
      </c>
      <c r="E162" s="432">
        <v>0</v>
      </c>
      <c r="F162" s="150">
        <f t="shared" si="44"/>
        <v>24</v>
      </c>
      <c r="G162" s="76">
        <f t="shared" si="45"/>
        <v>0</v>
      </c>
      <c r="H162" s="76">
        <f t="shared" si="46"/>
        <v>0</v>
      </c>
      <c r="I162" s="76">
        <f t="shared" si="47"/>
        <v>0</v>
      </c>
      <c r="J162" s="76">
        <f>SUMIF(I$2:I162,"&gt;0")</f>
        <v>501</v>
      </c>
      <c r="K162" s="76">
        <f t="shared" si="42"/>
        <v>106</v>
      </c>
      <c r="L162" s="76">
        <f>SUMIF(E$2:E162,"&gt;0")</f>
        <v>70</v>
      </c>
      <c r="M162" s="76">
        <f t="shared" ref="M162:M183" si="48">IFERROR(L162 - _xlfn.XLOOKUP(A162-30, $A$2:$A$14999,L$2:L$14999,"",-1,2),NA())</f>
        <v>70</v>
      </c>
      <c r="N162" s="74">
        <f t="shared" si="39"/>
        <v>2880</v>
      </c>
      <c r="O162" s="76">
        <f t="shared" si="40"/>
        <v>0</v>
      </c>
    </row>
    <row r="163" spans="1:15" x14ac:dyDescent="0.25">
      <c r="A163" s="77">
        <v>44248.70416666667</v>
      </c>
      <c r="C163" s="74">
        <v>17</v>
      </c>
      <c r="D163" s="74">
        <v>1</v>
      </c>
      <c r="E163" s="432">
        <v>0</v>
      </c>
      <c r="F163" s="150">
        <f t="shared" si="44"/>
        <v>27</v>
      </c>
      <c r="G163" s="76">
        <f t="shared" si="45"/>
        <v>3</v>
      </c>
      <c r="H163" s="76">
        <f t="shared" si="46"/>
        <v>0</v>
      </c>
      <c r="I163" s="76">
        <f t="shared" si="47"/>
        <v>3</v>
      </c>
      <c r="J163" s="76">
        <f>SUMIF(I$2:I163,"&gt;0")</f>
        <v>504</v>
      </c>
      <c r="K163" s="76">
        <f t="shared" si="42"/>
        <v>92</v>
      </c>
      <c r="L163" s="76">
        <f>SUMIF(E$2:E163,"&gt;0")</f>
        <v>70</v>
      </c>
      <c r="M163" s="76">
        <f t="shared" si="48"/>
        <v>70</v>
      </c>
      <c r="N163" s="74">
        <f t="shared" si="39"/>
        <v>3240</v>
      </c>
      <c r="O163" s="76">
        <f t="shared" si="40"/>
        <v>360</v>
      </c>
    </row>
    <row r="164" spans="1:15" x14ac:dyDescent="0.25">
      <c r="A164" s="77">
        <v>44249.054166666669</v>
      </c>
      <c r="C164" s="74">
        <v>18</v>
      </c>
      <c r="D164" s="74">
        <v>1</v>
      </c>
      <c r="E164" s="432">
        <v>0</v>
      </c>
      <c r="F164" s="150">
        <f t="shared" si="44"/>
        <v>28</v>
      </c>
      <c r="G164" s="76">
        <f t="shared" si="45"/>
        <v>1</v>
      </c>
      <c r="H164" s="76">
        <f t="shared" si="46"/>
        <v>0</v>
      </c>
      <c r="I164" s="76">
        <f t="shared" si="47"/>
        <v>1</v>
      </c>
      <c r="J164" s="76">
        <f>SUMIF(I$2:I164,"&gt;0")</f>
        <v>505</v>
      </c>
      <c r="K164" s="76">
        <f t="shared" si="42"/>
        <v>93</v>
      </c>
      <c r="L164" s="76">
        <f>SUMIF(E$2:E164,"&gt;0")</f>
        <v>70</v>
      </c>
      <c r="M164" s="76">
        <f t="shared" si="48"/>
        <v>70</v>
      </c>
      <c r="N164" s="74">
        <f t="shared" ref="N164:N183" si="49">F164*120</f>
        <v>3360</v>
      </c>
      <c r="O164" s="76">
        <f t="shared" ref="O164:O183" si="50">N164-N163</f>
        <v>120</v>
      </c>
    </row>
    <row r="165" spans="1:15" x14ac:dyDescent="0.25">
      <c r="A165" s="77">
        <v>44250.185416666667</v>
      </c>
      <c r="C165" s="74">
        <v>18</v>
      </c>
      <c r="D165" s="74">
        <v>1</v>
      </c>
      <c r="E165" s="432">
        <v>0</v>
      </c>
      <c r="F165" s="150">
        <f t="shared" si="44"/>
        <v>28</v>
      </c>
      <c r="G165" s="76">
        <f t="shared" si="45"/>
        <v>0</v>
      </c>
      <c r="H165" s="76">
        <f t="shared" si="46"/>
        <v>0</v>
      </c>
      <c r="I165" s="76">
        <f t="shared" si="47"/>
        <v>0</v>
      </c>
      <c r="J165" s="76">
        <f>SUMIF(I$2:I165,"&gt;0")</f>
        <v>505</v>
      </c>
      <c r="K165" s="76">
        <f t="shared" si="42"/>
        <v>92</v>
      </c>
      <c r="L165" s="76">
        <f>SUMIF(E$2:E165,"&gt;0")</f>
        <v>70</v>
      </c>
      <c r="M165" s="76">
        <f t="shared" si="48"/>
        <v>70</v>
      </c>
      <c r="N165" s="74">
        <f t="shared" si="49"/>
        <v>3360</v>
      </c>
      <c r="O165" s="76">
        <f t="shared" si="50"/>
        <v>0</v>
      </c>
    </row>
    <row r="166" spans="1:15" x14ac:dyDescent="0.25">
      <c r="A166" s="77">
        <v>44251.03125</v>
      </c>
      <c r="C166" s="74">
        <v>18</v>
      </c>
      <c r="D166" s="74">
        <v>1</v>
      </c>
      <c r="E166" s="432">
        <v>0</v>
      </c>
      <c r="F166" s="150">
        <f t="shared" si="44"/>
        <v>28</v>
      </c>
      <c r="G166" s="76">
        <f t="shared" si="45"/>
        <v>0</v>
      </c>
      <c r="H166" s="76">
        <f t="shared" si="46"/>
        <v>0</v>
      </c>
      <c r="I166" s="76">
        <f t="shared" si="47"/>
        <v>0</v>
      </c>
      <c r="J166" s="76">
        <f>SUMIF(I$2:I166,"&gt;0")</f>
        <v>505</v>
      </c>
      <c r="K166" s="76">
        <f t="shared" si="42"/>
        <v>92</v>
      </c>
      <c r="L166" s="76">
        <f>SUMIF(E$2:E166,"&gt;0")</f>
        <v>70</v>
      </c>
      <c r="M166" s="76">
        <f t="shared" si="48"/>
        <v>70</v>
      </c>
      <c r="N166" s="74">
        <f t="shared" si="49"/>
        <v>3360</v>
      </c>
      <c r="O166" s="76">
        <f t="shared" si="50"/>
        <v>0</v>
      </c>
    </row>
    <row r="167" spans="1:15" x14ac:dyDescent="0.25">
      <c r="A167" s="77">
        <v>44252.364583333336</v>
      </c>
      <c r="C167" s="74">
        <v>18</v>
      </c>
      <c r="D167" s="74">
        <v>1</v>
      </c>
      <c r="E167" s="432">
        <v>0</v>
      </c>
      <c r="F167" s="150">
        <f t="shared" si="44"/>
        <v>28</v>
      </c>
      <c r="G167" s="76">
        <f t="shared" si="45"/>
        <v>0</v>
      </c>
      <c r="H167" s="76">
        <f t="shared" si="46"/>
        <v>0</v>
      </c>
      <c r="I167" s="76">
        <f t="shared" si="47"/>
        <v>0</v>
      </c>
      <c r="J167" s="76">
        <f>SUMIF(I$2:I167,"&gt;0")</f>
        <v>505</v>
      </c>
      <c r="K167" s="76">
        <f t="shared" ref="K167:K183" si="51">IFERROR(J167 - _xlfn.XLOOKUP(A167-30, $A$2:$A$14999,J$2:J$14999,"",-1,2),NA())</f>
        <v>89</v>
      </c>
      <c r="L167" s="76">
        <f>SUMIF(E$2:E167,"&gt;0")</f>
        <v>70</v>
      </c>
      <c r="M167" s="76">
        <f t="shared" si="48"/>
        <v>70</v>
      </c>
      <c r="N167" s="74">
        <f t="shared" si="49"/>
        <v>3360</v>
      </c>
      <c r="O167" s="76">
        <f t="shared" si="50"/>
        <v>0</v>
      </c>
    </row>
    <row r="168" spans="1:15" x14ac:dyDescent="0.25">
      <c r="A168" s="77">
        <v>44253.041666666664</v>
      </c>
      <c r="B168" s="21" t="s">
        <v>405</v>
      </c>
      <c r="C168" s="74">
        <v>0</v>
      </c>
      <c r="D168" s="74">
        <v>0</v>
      </c>
      <c r="E168" s="432">
        <v>0</v>
      </c>
      <c r="F168" s="150">
        <f t="shared" si="44"/>
        <v>0</v>
      </c>
      <c r="G168" s="76">
        <f t="shared" si="45"/>
        <v>-18</v>
      </c>
      <c r="H168" s="76">
        <f t="shared" si="46"/>
        <v>-1</v>
      </c>
      <c r="I168" s="76">
        <f t="shared" si="47"/>
        <v>-28</v>
      </c>
      <c r="J168" s="76">
        <f>SUMIF(I$2:I168,"&gt;0")</f>
        <v>505</v>
      </c>
      <c r="K168" s="76">
        <f t="shared" si="51"/>
        <v>89</v>
      </c>
      <c r="L168" s="76">
        <f>SUMIF(E$2:E168,"&gt;0")</f>
        <v>70</v>
      </c>
      <c r="M168" s="76">
        <f t="shared" si="48"/>
        <v>70</v>
      </c>
      <c r="N168" s="74">
        <f t="shared" si="49"/>
        <v>0</v>
      </c>
      <c r="O168" s="76">
        <f t="shared" si="50"/>
        <v>-3360</v>
      </c>
    </row>
    <row r="169" spans="1:15" x14ac:dyDescent="0.25">
      <c r="A169" s="77">
        <v>44253.29791666667</v>
      </c>
      <c r="B169" s="21" t="s">
        <v>330</v>
      </c>
      <c r="C169" s="74">
        <v>5</v>
      </c>
      <c r="D169" s="74">
        <v>1</v>
      </c>
      <c r="E169" s="432">
        <v>0</v>
      </c>
      <c r="F169" s="150">
        <f t="shared" si="44"/>
        <v>15</v>
      </c>
      <c r="G169" s="76">
        <f t="shared" si="45"/>
        <v>5</v>
      </c>
      <c r="H169" s="76">
        <f t="shared" si="46"/>
        <v>1</v>
      </c>
      <c r="I169" s="76">
        <f t="shared" si="47"/>
        <v>15</v>
      </c>
      <c r="J169" s="76">
        <f>SUMIF(I$2:I169,"&gt;0")</f>
        <v>520</v>
      </c>
      <c r="K169" s="76">
        <f t="shared" si="51"/>
        <v>104</v>
      </c>
      <c r="L169" s="76">
        <f>SUMIF(E$2:E169,"&gt;0")</f>
        <v>70</v>
      </c>
      <c r="M169" s="76">
        <f t="shared" si="48"/>
        <v>70</v>
      </c>
      <c r="N169" s="74">
        <f t="shared" si="49"/>
        <v>1800</v>
      </c>
      <c r="O169" s="76">
        <f t="shared" si="50"/>
        <v>1800</v>
      </c>
    </row>
    <row r="170" spans="1:15" x14ac:dyDescent="0.25">
      <c r="A170" s="77">
        <v>44254.092361111114</v>
      </c>
      <c r="C170" s="74">
        <v>10</v>
      </c>
      <c r="D170" s="74">
        <v>1</v>
      </c>
      <c r="E170" s="432">
        <v>0</v>
      </c>
      <c r="F170" s="150">
        <f t="shared" si="44"/>
        <v>20</v>
      </c>
      <c r="G170" s="76">
        <f t="shared" si="45"/>
        <v>5</v>
      </c>
      <c r="H170" s="76">
        <f t="shared" si="46"/>
        <v>0</v>
      </c>
      <c r="I170" s="76">
        <f t="shared" si="47"/>
        <v>5</v>
      </c>
      <c r="J170" s="76">
        <f>SUMIF(I$2:I170,"&gt;0")</f>
        <v>525</v>
      </c>
      <c r="K170" s="76">
        <f t="shared" si="51"/>
        <v>109</v>
      </c>
      <c r="L170" s="76">
        <f>SUMIF(E$2:E170,"&gt;0")</f>
        <v>70</v>
      </c>
      <c r="M170" s="76">
        <f t="shared" si="48"/>
        <v>70</v>
      </c>
      <c r="N170" s="74">
        <f t="shared" si="49"/>
        <v>2400</v>
      </c>
      <c r="O170" s="76">
        <f t="shared" si="50"/>
        <v>600</v>
      </c>
    </row>
    <row r="171" spans="1:15" x14ac:dyDescent="0.25">
      <c r="A171" s="77">
        <v>44255.448611111111</v>
      </c>
      <c r="C171" s="74">
        <v>10</v>
      </c>
      <c r="D171" s="74">
        <v>2</v>
      </c>
      <c r="E171" s="432">
        <v>0</v>
      </c>
      <c r="F171" s="150">
        <f t="shared" si="44"/>
        <v>30</v>
      </c>
      <c r="G171" s="76">
        <f t="shared" si="45"/>
        <v>0</v>
      </c>
      <c r="H171" s="76">
        <f t="shared" si="46"/>
        <v>1</v>
      </c>
      <c r="I171" s="76">
        <f t="shared" si="47"/>
        <v>10</v>
      </c>
      <c r="J171" s="76">
        <f>SUMIF(I$2:I171,"&gt;0")</f>
        <v>535</v>
      </c>
      <c r="K171" s="76">
        <f t="shared" si="51"/>
        <v>116</v>
      </c>
      <c r="L171" s="76">
        <f>SUMIF(E$2:E171,"&gt;0")</f>
        <v>70</v>
      </c>
      <c r="M171" s="76">
        <f t="shared" si="48"/>
        <v>70</v>
      </c>
      <c r="N171" s="74">
        <f t="shared" si="49"/>
        <v>3600</v>
      </c>
      <c r="O171" s="76">
        <f t="shared" si="50"/>
        <v>1200</v>
      </c>
    </row>
    <row r="172" spans="1:15" x14ac:dyDescent="0.25">
      <c r="A172" s="77">
        <v>44256.033333333333</v>
      </c>
      <c r="C172" s="74">
        <v>15</v>
      </c>
      <c r="D172" s="74">
        <v>2</v>
      </c>
      <c r="E172" s="432">
        <v>0</v>
      </c>
      <c r="F172" s="150">
        <f t="shared" si="44"/>
        <v>35</v>
      </c>
      <c r="G172" s="76">
        <f t="shared" si="45"/>
        <v>5</v>
      </c>
      <c r="H172" s="76">
        <f t="shared" si="46"/>
        <v>0</v>
      </c>
      <c r="I172" s="76">
        <f t="shared" si="47"/>
        <v>5</v>
      </c>
      <c r="J172" s="76">
        <f>SUMIF(I$2:I172,"&gt;0")</f>
        <v>540</v>
      </c>
      <c r="K172" s="76">
        <f t="shared" si="51"/>
        <v>121</v>
      </c>
      <c r="L172" s="76">
        <f>SUMIF(E$2:E172,"&gt;0")</f>
        <v>70</v>
      </c>
      <c r="M172" s="76">
        <f t="shared" si="48"/>
        <v>70</v>
      </c>
      <c r="N172" s="74">
        <f t="shared" si="49"/>
        <v>4200</v>
      </c>
      <c r="O172" s="76">
        <f t="shared" si="50"/>
        <v>600</v>
      </c>
    </row>
    <row r="173" spans="1:15" x14ac:dyDescent="0.25">
      <c r="A173" s="77">
        <v>44257.306944444441</v>
      </c>
      <c r="C173" s="74">
        <v>15</v>
      </c>
      <c r="D173" s="74">
        <v>2</v>
      </c>
      <c r="E173" s="432">
        <v>0</v>
      </c>
      <c r="F173" s="150">
        <f t="shared" si="44"/>
        <v>35</v>
      </c>
      <c r="G173" s="76">
        <f t="shared" si="45"/>
        <v>0</v>
      </c>
      <c r="H173" s="76">
        <f t="shared" si="46"/>
        <v>0</v>
      </c>
      <c r="I173" s="76">
        <f t="shared" si="47"/>
        <v>0</v>
      </c>
      <c r="J173" s="76">
        <f>SUMIF(I$2:I173,"&gt;0")</f>
        <v>540</v>
      </c>
      <c r="K173" s="76">
        <f t="shared" si="51"/>
        <v>114</v>
      </c>
      <c r="L173" s="76">
        <f>SUMIF(E$2:E173,"&gt;0")</f>
        <v>70</v>
      </c>
      <c r="M173" s="76">
        <f t="shared" si="48"/>
        <v>60</v>
      </c>
      <c r="N173" s="74">
        <f t="shared" si="49"/>
        <v>4200</v>
      </c>
      <c r="O173" s="76">
        <f t="shared" si="50"/>
        <v>0</v>
      </c>
    </row>
    <row r="174" spans="1:15" x14ac:dyDescent="0.25">
      <c r="A174" s="77">
        <v>44257.997916666667</v>
      </c>
      <c r="C174" s="74">
        <v>15</v>
      </c>
      <c r="D174" s="74">
        <v>2</v>
      </c>
      <c r="E174" s="432">
        <v>0</v>
      </c>
      <c r="F174" s="150">
        <f t="shared" si="44"/>
        <v>35</v>
      </c>
      <c r="G174" s="76">
        <f t="shared" si="45"/>
        <v>0</v>
      </c>
      <c r="H174" s="76">
        <f t="shared" si="46"/>
        <v>0</v>
      </c>
      <c r="I174" s="76">
        <f t="shared" si="47"/>
        <v>0</v>
      </c>
      <c r="J174" s="76">
        <f>SUMIF(I$2:I174,"&gt;0")</f>
        <v>540</v>
      </c>
      <c r="K174" s="76">
        <f t="shared" si="51"/>
        <v>109</v>
      </c>
      <c r="L174" s="76">
        <f>SUMIF(E$2:E174,"&gt;0")</f>
        <v>70</v>
      </c>
      <c r="M174" s="76">
        <f t="shared" si="48"/>
        <v>60</v>
      </c>
      <c r="N174" s="74">
        <f t="shared" si="49"/>
        <v>4200</v>
      </c>
      <c r="O174" s="76">
        <f t="shared" si="50"/>
        <v>0</v>
      </c>
    </row>
    <row r="175" spans="1:15" x14ac:dyDescent="0.25">
      <c r="A175" s="77">
        <v>44258.081944444442</v>
      </c>
      <c r="B175" s="105" t="s">
        <v>407</v>
      </c>
      <c r="C175" s="74">
        <v>0</v>
      </c>
      <c r="D175" s="74">
        <v>0</v>
      </c>
      <c r="E175" s="432">
        <v>0</v>
      </c>
      <c r="F175" s="150">
        <f t="shared" si="44"/>
        <v>0</v>
      </c>
      <c r="G175" s="76">
        <f t="shared" si="45"/>
        <v>-15</v>
      </c>
      <c r="H175" s="76">
        <f t="shared" si="46"/>
        <v>-2</v>
      </c>
      <c r="I175" s="76">
        <f t="shared" si="47"/>
        <v>-35</v>
      </c>
      <c r="J175" s="76">
        <f>SUMIF(I$2:I175,"&gt;0")</f>
        <v>540</v>
      </c>
      <c r="K175" s="76">
        <f t="shared" si="51"/>
        <v>109</v>
      </c>
      <c r="L175" s="76">
        <f>SUMIF(E$2:E175,"&gt;0")</f>
        <v>70</v>
      </c>
      <c r="M175" s="76">
        <f t="shared" si="48"/>
        <v>60</v>
      </c>
      <c r="N175" s="74">
        <f t="shared" si="49"/>
        <v>0</v>
      </c>
      <c r="O175" s="76">
        <f t="shared" si="50"/>
        <v>-4200</v>
      </c>
    </row>
    <row r="176" spans="1:15" x14ac:dyDescent="0.25">
      <c r="A176" s="77">
        <v>44259.277777777781</v>
      </c>
      <c r="C176" s="74">
        <v>1</v>
      </c>
      <c r="D176" s="74">
        <v>0</v>
      </c>
      <c r="E176" s="432">
        <v>0</v>
      </c>
      <c r="F176" s="150">
        <f t="shared" si="44"/>
        <v>1</v>
      </c>
      <c r="G176" s="76">
        <f t="shared" si="45"/>
        <v>1</v>
      </c>
      <c r="H176" s="76">
        <f t="shared" si="46"/>
        <v>0</v>
      </c>
      <c r="I176" s="76">
        <f t="shared" si="47"/>
        <v>1</v>
      </c>
      <c r="J176" s="76">
        <f>SUMIF(I$2:I176,"&gt;0")</f>
        <v>541</v>
      </c>
      <c r="K176" s="76">
        <f t="shared" si="51"/>
        <v>93</v>
      </c>
      <c r="L176" s="76">
        <f>SUMIF(E$2:E176,"&gt;0")</f>
        <v>70</v>
      </c>
      <c r="M176" s="76">
        <f t="shared" si="48"/>
        <v>40</v>
      </c>
      <c r="N176" s="74">
        <f t="shared" si="49"/>
        <v>120</v>
      </c>
      <c r="O176" s="76">
        <f t="shared" si="50"/>
        <v>120</v>
      </c>
    </row>
    <row r="177" spans="1:15" x14ac:dyDescent="0.25">
      <c r="A177" s="77">
        <v>44260.643055555556</v>
      </c>
      <c r="C177" s="74">
        <v>1</v>
      </c>
      <c r="D177" s="74">
        <v>0</v>
      </c>
      <c r="E177" s="432">
        <v>0</v>
      </c>
      <c r="F177" s="150">
        <f t="shared" si="44"/>
        <v>1</v>
      </c>
      <c r="G177" s="76">
        <f t="shared" si="45"/>
        <v>0</v>
      </c>
      <c r="H177" s="76">
        <f t="shared" si="46"/>
        <v>0</v>
      </c>
      <c r="I177" s="76">
        <f t="shared" si="47"/>
        <v>0</v>
      </c>
      <c r="J177" s="76">
        <f>SUMIF(I$2:I177,"&gt;0")</f>
        <v>541</v>
      </c>
      <c r="K177" s="76">
        <f t="shared" si="51"/>
        <v>82</v>
      </c>
      <c r="L177" s="76">
        <f>SUMIF(E$2:E177,"&gt;0")</f>
        <v>70</v>
      </c>
      <c r="M177" s="76">
        <f t="shared" si="48"/>
        <v>30</v>
      </c>
      <c r="N177" s="74">
        <f t="shared" si="49"/>
        <v>120</v>
      </c>
      <c r="O177" s="76">
        <f t="shared" si="50"/>
        <v>0</v>
      </c>
    </row>
    <row r="178" spans="1:15" x14ac:dyDescent="0.25">
      <c r="A178" s="77">
        <v>44261.15902777778</v>
      </c>
      <c r="C178" s="74">
        <v>1</v>
      </c>
      <c r="D178" s="74">
        <v>0</v>
      </c>
      <c r="E178" s="432">
        <v>0</v>
      </c>
      <c r="F178" s="150">
        <f t="shared" si="44"/>
        <v>1</v>
      </c>
      <c r="G178" s="76">
        <f t="shared" si="45"/>
        <v>0</v>
      </c>
      <c r="H178" s="76">
        <f t="shared" si="46"/>
        <v>0</v>
      </c>
      <c r="I178" s="76">
        <f t="shared" si="47"/>
        <v>0</v>
      </c>
      <c r="J178" s="76">
        <f>SUMIF(I$2:I178,"&gt;0")</f>
        <v>541</v>
      </c>
      <c r="K178" s="76">
        <f t="shared" si="51"/>
        <v>81</v>
      </c>
      <c r="L178" s="76">
        <f>SUMIF(E$2:E178,"&gt;0")</f>
        <v>70</v>
      </c>
      <c r="M178" s="76">
        <f t="shared" si="48"/>
        <v>20</v>
      </c>
      <c r="N178" s="74">
        <f t="shared" si="49"/>
        <v>120</v>
      </c>
      <c r="O178" s="76">
        <f t="shared" si="50"/>
        <v>0</v>
      </c>
    </row>
    <row r="179" spans="1:15" x14ac:dyDescent="0.25">
      <c r="A179" s="77">
        <v>44262.569444444445</v>
      </c>
      <c r="C179" s="74">
        <v>1</v>
      </c>
      <c r="D179" s="74">
        <v>0</v>
      </c>
      <c r="E179" s="432">
        <v>0</v>
      </c>
      <c r="F179" s="150">
        <f t="shared" si="44"/>
        <v>1</v>
      </c>
      <c r="G179" s="76">
        <f t="shared" si="45"/>
        <v>0</v>
      </c>
      <c r="H179" s="76">
        <f t="shared" si="46"/>
        <v>0</v>
      </c>
      <c r="I179" s="76">
        <f t="shared" si="47"/>
        <v>0</v>
      </c>
      <c r="J179" s="76">
        <f>SUMIF(I$2:I179,"&gt;0")</f>
        <v>541</v>
      </c>
      <c r="K179" s="76">
        <f t="shared" si="51"/>
        <v>80</v>
      </c>
      <c r="L179" s="76">
        <f>SUMIF(E$2:E179,"&gt;0")</f>
        <v>70</v>
      </c>
      <c r="M179" s="76">
        <f t="shared" si="48"/>
        <v>10</v>
      </c>
      <c r="N179" s="74">
        <f t="shared" si="49"/>
        <v>120</v>
      </c>
      <c r="O179" s="76">
        <f t="shared" si="50"/>
        <v>0</v>
      </c>
    </row>
    <row r="180" spans="1:15" x14ac:dyDescent="0.25">
      <c r="A180" s="77">
        <v>44263.269444444442</v>
      </c>
      <c r="C180" s="74">
        <v>1</v>
      </c>
      <c r="D180" s="74">
        <v>0</v>
      </c>
      <c r="E180" s="432">
        <v>0</v>
      </c>
      <c r="F180" s="150">
        <f t="shared" si="44"/>
        <v>1</v>
      </c>
      <c r="G180" s="76">
        <f t="shared" si="45"/>
        <v>0</v>
      </c>
      <c r="H180" s="76">
        <f t="shared" si="46"/>
        <v>0</v>
      </c>
      <c r="I180" s="76">
        <f t="shared" si="47"/>
        <v>0</v>
      </c>
      <c r="J180" s="76">
        <f>SUMIF(I$2:I180,"&gt;0")</f>
        <v>541</v>
      </c>
      <c r="K180" s="76">
        <f t="shared" si="51"/>
        <v>79</v>
      </c>
      <c r="L180" s="76">
        <f>SUMIF(E$2:E180,"&gt;0")</f>
        <v>70</v>
      </c>
      <c r="M180" s="76">
        <f t="shared" si="48"/>
        <v>0</v>
      </c>
      <c r="N180" s="74">
        <f t="shared" si="49"/>
        <v>120</v>
      </c>
      <c r="O180" s="76">
        <f t="shared" si="50"/>
        <v>0</v>
      </c>
    </row>
    <row r="181" spans="1:15" x14ac:dyDescent="0.25">
      <c r="A181" s="77">
        <v>44264.313888888886</v>
      </c>
      <c r="C181" s="74">
        <v>1</v>
      </c>
      <c r="D181" s="74">
        <v>0</v>
      </c>
      <c r="E181" s="432">
        <v>0</v>
      </c>
      <c r="F181" s="150">
        <f t="shared" si="44"/>
        <v>1</v>
      </c>
      <c r="G181" s="76">
        <f t="shared" si="45"/>
        <v>0</v>
      </c>
      <c r="H181" s="76">
        <f t="shared" si="46"/>
        <v>0</v>
      </c>
      <c r="I181" s="76">
        <f t="shared" si="47"/>
        <v>0</v>
      </c>
      <c r="J181" s="76">
        <f>SUMIF(I$2:I181,"&gt;0")</f>
        <v>541</v>
      </c>
      <c r="K181" s="76">
        <f t="shared" si="51"/>
        <v>78</v>
      </c>
      <c r="L181" s="76">
        <f>SUMIF(E$2:E181,"&gt;0")</f>
        <v>70</v>
      </c>
      <c r="M181" s="76">
        <f t="shared" si="48"/>
        <v>0</v>
      </c>
      <c r="N181" s="74">
        <f t="shared" si="49"/>
        <v>120</v>
      </c>
      <c r="O181" s="76">
        <f t="shared" si="50"/>
        <v>0</v>
      </c>
    </row>
    <row r="182" spans="1:15" x14ac:dyDescent="0.25">
      <c r="A182" s="77">
        <v>44266.184027777781</v>
      </c>
      <c r="C182" s="74">
        <v>2</v>
      </c>
      <c r="D182" s="74">
        <v>0</v>
      </c>
      <c r="E182" s="432">
        <v>0</v>
      </c>
      <c r="F182" s="150">
        <f t="shared" si="44"/>
        <v>2</v>
      </c>
      <c r="G182" s="76">
        <f t="shared" si="45"/>
        <v>1</v>
      </c>
      <c r="H182" s="76">
        <f t="shared" si="46"/>
        <v>0</v>
      </c>
      <c r="I182" s="76">
        <f t="shared" si="47"/>
        <v>1</v>
      </c>
      <c r="J182" s="76">
        <f>SUMIF(I$2:I182,"&gt;0")</f>
        <v>542</v>
      </c>
      <c r="K182" s="76">
        <f t="shared" si="51"/>
        <v>78</v>
      </c>
      <c r="L182" s="76">
        <f>SUMIF(E$2:E182,"&gt;0")</f>
        <v>70</v>
      </c>
      <c r="M182" s="76">
        <f t="shared" si="48"/>
        <v>0</v>
      </c>
      <c r="N182" s="74">
        <f t="shared" si="49"/>
        <v>240</v>
      </c>
      <c r="O182" s="76">
        <f t="shared" si="50"/>
        <v>120</v>
      </c>
    </row>
    <row r="183" spans="1:15" x14ac:dyDescent="0.25">
      <c r="A183" s="77">
        <v>44267.856249999997</v>
      </c>
      <c r="B183" s="21" t="s">
        <v>437</v>
      </c>
      <c r="C183" s="74">
        <v>3</v>
      </c>
      <c r="D183" s="74">
        <v>0</v>
      </c>
      <c r="E183" s="432">
        <v>0</v>
      </c>
      <c r="F183" s="150">
        <f t="shared" si="44"/>
        <v>3</v>
      </c>
      <c r="G183" s="76">
        <f t="shared" si="45"/>
        <v>1</v>
      </c>
      <c r="H183" s="76">
        <f t="shared" si="46"/>
        <v>0</v>
      </c>
      <c r="I183" s="76">
        <f t="shared" si="47"/>
        <v>1</v>
      </c>
      <c r="J183" s="76">
        <f>SUMIF(I$2:I183,"&gt;0")</f>
        <v>543</v>
      </c>
      <c r="K183" s="76">
        <f t="shared" si="51"/>
        <v>67</v>
      </c>
      <c r="L183" s="76">
        <f>SUMIF(E$2:E183,"&gt;0")</f>
        <v>70</v>
      </c>
      <c r="M183" s="76">
        <f t="shared" si="48"/>
        <v>0</v>
      </c>
      <c r="N183" s="74">
        <f t="shared" si="49"/>
        <v>360</v>
      </c>
      <c r="O183" s="76">
        <f t="shared" si="50"/>
        <v>120</v>
      </c>
    </row>
    <row r="184" spans="1:15" x14ac:dyDescent="0.25">
      <c r="A184" s="77">
        <v>44269.989583333336</v>
      </c>
      <c r="C184" s="74">
        <v>6</v>
      </c>
      <c r="D184" s="74">
        <v>0</v>
      </c>
      <c r="E184" s="432">
        <v>0</v>
      </c>
      <c r="F184" s="150">
        <f t="shared" ref="F184" si="52">C184+D184*10+_xlfn.IFNA(E184,0)</f>
        <v>6</v>
      </c>
      <c r="G184" s="76">
        <f t="shared" ref="G184" si="53">C184-C183</f>
        <v>3</v>
      </c>
      <c r="H184" s="76">
        <f t="shared" ref="H184" si="54">D184-D183</f>
        <v>0</v>
      </c>
      <c r="I184" s="76">
        <f t="shared" ref="I184" si="55">F184-F183</f>
        <v>3</v>
      </c>
      <c r="J184" s="76">
        <f>SUMIF(I$2:I184,"&gt;0")</f>
        <v>546</v>
      </c>
      <c r="K184" s="76">
        <f t="shared" ref="K184" si="56">IFERROR(J184 - _xlfn.XLOOKUP(A184-30, $A$2:$A$14999,J$2:J$14999,"",-1,2),NA())</f>
        <v>67</v>
      </c>
      <c r="L184" s="76">
        <f>SUMIF(E$2:E184,"&gt;0")</f>
        <v>70</v>
      </c>
      <c r="M184" s="76">
        <f t="shared" ref="M184" si="57">IFERROR(L184 - _xlfn.XLOOKUP(A184-30, $A$2:$A$14999,L$2:L$14999,"",-1,2),NA())</f>
        <v>0</v>
      </c>
      <c r="N184" s="74">
        <f t="shared" ref="N184" si="58">F184*120</f>
        <v>720</v>
      </c>
      <c r="O184" s="76">
        <f t="shared" ref="O184" si="59">N184-N183</f>
        <v>360</v>
      </c>
    </row>
    <row r="185" spans="1:15" x14ac:dyDescent="0.25">
      <c r="A185" s="77">
        <v>44271.02847222222</v>
      </c>
      <c r="C185" s="74">
        <v>7</v>
      </c>
      <c r="D185" s="74">
        <v>0</v>
      </c>
      <c r="E185" s="432">
        <v>0</v>
      </c>
      <c r="F185" s="150">
        <f t="shared" ref="F185" si="60">C185+D185*10+_xlfn.IFNA(E185,0)</f>
        <v>7</v>
      </c>
      <c r="G185" s="76">
        <f t="shared" ref="G185" si="61">C185-C184</f>
        <v>1</v>
      </c>
      <c r="H185" s="76">
        <f t="shared" ref="H185" si="62">D185-D184</f>
        <v>0</v>
      </c>
      <c r="I185" s="76">
        <f t="shared" ref="I185" si="63">F185-F184</f>
        <v>1</v>
      </c>
      <c r="J185" s="76">
        <f>SUMIF(I$2:I185,"&gt;0")</f>
        <v>547</v>
      </c>
      <c r="K185" s="76">
        <f t="shared" ref="K185" si="64">IFERROR(J185 - _xlfn.XLOOKUP(A185-30, $A$2:$A$14999,J$2:J$14999,"",-1,2),NA())</f>
        <v>67</v>
      </c>
      <c r="L185" s="76">
        <f>SUMIF(E$2:E185,"&gt;0")</f>
        <v>70</v>
      </c>
      <c r="M185" s="76">
        <f t="shared" ref="M185" si="65">IFERROR(L185 - _xlfn.XLOOKUP(A185-30, $A$2:$A$14999,L$2:L$14999,"",-1,2),NA())</f>
        <v>0</v>
      </c>
      <c r="N185" s="74">
        <f t="shared" ref="N185" si="66">F185*120</f>
        <v>840</v>
      </c>
      <c r="O185" s="76">
        <f t="shared" ref="O185" si="67">N185-N184</f>
        <v>120</v>
      </c>
    </row>
    <row r="186" spans="1:15" x14ac:dyDescent="0.25">
      <c r="A186" s="77">
        <v>44272.517361111109</v>
      </c>
      <c r="C186" s="74">
        <v>9</v>
      </c>
      <c r="D186" s="74">
        <v>0</v>
      </c>
      <c r="E186" s="432">
        <v>0</v>
      </c>
      <c r="F186" s="150">
        <f t="shared" ref="F186" si="68">C186+D186*10+_xlfn.IFNA(E186,0)</f>
        <v>9</v>
      </c>
      <c r="G186" s="76">
        <f t="shared" ref="G186" si="69">C186-C185</f>
        <v>2</v>
      </c>
      <c r="H186" s="76">
        <f t="shared" ref="H186" si="70">D186-D185</f>
        <v>0</v>
      </c>
      <c r="I186" s="76">
        <f t="shared" ref="I186" si="71">F186-F185</f>
        <v>2</v>
      </c>
      <c r="J186" s="76">
        <f>SUMIF(I$2:I186,"&gt;0")</f>
        <v>549</v>
      </c>
      <c r="K186" s="76">
        <f t="shared" ref="K186" si="72">IFERROR(J186 - _xlfn.XLOOKUP(A186-30, $A$2:$A$14999,J$2:J$14999,"",-1,2),NA())</f>
        <v>68</v>
      </c>
      <c r="L186" s="76">
        <f>SUMIF(E$2:E186,"&gt;0")</f>
        <v>70</v>
      </c>
      <c r="M186" s="76">
        <f t="shared" ref="M186" si="73">IFERROR(L186 - _xlfn.XLOOKUP(A186-30, $A$2:$A$14999,L$2:L$14999,"",-1,2),NA())</f>
        <v>0</v>
      </c>
      <c r="N186" s="74">
        <f t="shared" ref="N186" si="74">F186*120</f>
        <v>1080</v>
      </c>
      <c r="O186" s="76">
        <f t="shared" ref="O186" si="75">N186-N185</f>
        <v>240</v>
      </c>
    </row>
    <row r="187" spans="1:15" x14ac:dyDescent="0.25">
      <c r="A187" s="77">
        <v>44273.092361111114</v>
      </c>
      <c r="C187" s="74">
        <v>10</v>
      </c>
      <c r="D187" s="74">
        <v>0</v>
      </c>
      <c r="E187" s="432">
        <v>0</v>
      </c>
      <c r="F187" s="150">
        <f t="shared" ref="F187" si="76">C187+D187*10+_xlfn.IFNA(E187,0)</f>
        <v>10</v>
      </c>
      <c r="G187" s="76">
        <f t="shared" ref="G187" si="77">C187-C186</f>
        <v>1</v>
      </c>
      <c r="H187" s="76">
        <f t="shared" ref="H187" si="78">D187-D186</f>
        <v>0</v>
      </c>
      <c r="I187" s="76">
        <f t="shared" ref="I187" si="79">F187-F186</f>
        <v>1</v>
      </c>
      <c r="J187" s="76">
        <f>SUMIF(I$2:I187,"&gt;0")</f>
        <v>550</v>
      </c>
      <c r="K187" s="76">
        <f t="shared" ref="K187" si="80">IFERROR(J187 - _xlfn.XLOOKUP(A187-30, $A$2:$A$14999,J$2:J$14999,"",-1,2),NA())</f>
        <v>69</v>
      </c>
      <c r="L187" s="76">
        <f>SUMIF(E$2:E187,"&gt;0")</f>
        <v>70</v>
      </c>
      <c r="M187" s="76">
        <f t="shared" ref="M187" si="81">IFERROR(L187 - _xlfn.XLOOKUP(A187-30, $A$2:$A$14999,L$2:L$14999,"",-1,2),NA())</f>
        <v>0</v>
      </c>
      <c r="N187" s="74">
        <f t="shared" ref="N187" si="82">F187*120</f>
        <v>1200</v>
      </c>
      <c r="O187" s="76">
        <f t="shared" ref="O187" si="83">N187-N186</f>
        <v>120</v>
      </c>
    </row>
    <row r="188" spans="1:15" x14ac:dyDescent="0.25">
      <c r="A188" s="77">
        <v>44274.818055555559</v>
      </c>
      <c r="C188" s="74">
        <v>19</v>
      </c>
      <c r="D188" s="74">
        <v>1</v>
      </c>
      <c r="E188" s="432">
        <v>0</v>
      </c>
      <c r="F188" s="150">
        <f t="shared" ref="F188" si="84">C188+D188*10+_xlfn.IFNA(E188,0)</f>
        <v>29</v>
      </c>
      <c r="G188" s="76">
        <f t="shared" ref="G188" si="85">C188-C187</f>
        <v>9</v>
      </c>
      <c r="H188" s="76">
        <f t="shared" ref="H188" si="86">D188-D187</f>
        <v>1</v>
      </c>
      <c r="I188" s="76">
        <f t="shared" ref="I188" si="87">F188-F187</f>
        <v>19</v>
      </c>
      <c r="J188" s="76">
        <f>SUMIF(I$2:I188,"&gt;0")</f>
        <v>569</v>
      </c>
      <c r="K188" s="76">
        <f t="shared" ref="K188" si="88">IFERROR(J188 - _xlfn.XLOOKUP(A188-30, $A$2:$A$14999,J$2:J$14999,"",-1,2),NA())</f>
        <v>69</v>
      </c>
      <c r="L188" s="76">
        <f>SUMIF(E$2:E188,"&gt;0")</f>
        <v>70</v>
      </c>
      <c r="M188" s="76">
        <f t="shared" ref="M188" si="89">IFERROR(L188 - _xlfn.XLOOKUP(A188-30, $A$2:$A$14999,L$2:L$14999,"",-1,2),NA())</f>
        <v>0</v>
      </c>
      <c r="N188" s="74">
        <f t="shared" ref="N188" si="90">F188*120</f>
        <v>3480</v>
      </c>
      <c r="O188" s="76">
        <f t="shared" ref="O188" si="91">N188-N187</f>
        <v>2280</v>
      </c>
    </row>
    <row r="189" spans="1:15" x14ac:dyDescent="0.25">
      <c r="A189" s="77">
        <v>44275.719444444447</v>
      </c>
      <c r="C189" s="74">
        <v>23</v>
      </c>
      <c r="D189" s="74">
        <v>1</v>
      </c>
      <c r="E189" s="432">
        <v>0</v>
      </c>
      <c r="F189" s="150">
        <f t="shared" ref="F189:F200" si="92">C189+D189*10+_xlfn.IFNA(E189,0)</f>
        <v>33</v>
      </c>
      <c r="G189" s="76">
        <f t="shared" ref="G189:H191" si="93">C189-C188</f>
        <v>4</v>
      </c>
      <c r="H189" s="76">
        <f t="shared" si="93"/>
        <v>0</v>
      </c>
      <c r="I189" s="76">
        <f t="shared" ref="I189:I194" si="94">F189-F188</f>
        <v>4</v>
      </c>
      <c r="J189" s="76">
        <f>SUMIF(I$2:I189,"&gt;0")</f>
        <v>573</v>
      </c>
      <c r="K189" s="76">
        <f t="shared" ref="K189:K194" si="95">IFERROR(J189 - _xlfn.XLOOKUP(A189-30, $A$2:$A$14999,J$2:J$14999,"",-1,2),NA())</f>
        <v>72</v>
      </c>
      <c r="L189" s="76">
        <f>SUMIF(E$2:E189,"&gt;0")</f>
        <v>70</v>
      </c>
      <c r="M189" s="76">
        <f t="shared" ref="M189:M194" si="96">IFERROR(L189 - _xlfn.XLOOKUP(A189-30, $A$2:$A$14999,L$2:L$14999,"",-1,2),NA())</f>
        <v>0</v>
      </c>
      <c r="N189" s="74">
        <f t="shared" ref="N189" si="97">F189*120</f>
        <v>3960</v>
      </c>
      <c r="O189" s="76">
        <f t="shared" ref="O189:O196" si="98">N189-N188</f>
        <v>480</v>
      </c>
    </row>
    <row r="190" spans="1:15" x14ac:dyDescent="0.25">
      <c r="A190" s="77">
        <v>44277.259722222225</v>
      </c>
      <c r="C190" s="74">
        <v>30</v>
      </c>
      <c r="D190" s="74">
        <v>1</v>
      </c>
      <c r="E190" s="432">
        <v>0</v>
      </c>
      <c r="F190" s="150">
        <f t="shared" si="92"/>
        <v>40</v>
      </c>
      <c r="G190" s="76">
        <f t="shared" si="93"/>
        <v>7</v>
      </c>
      <c r="H190" s="76">
        <f t="shared" si="93"/>
        <v>0</v>
      </c>
      <c r="I190" s="76">
        <f t="shared" si="94"/>
        <v>7</v>
      </c>
      <c r="J190" s="76">
        <f>SUMIF(I$2:I190,"&gt;0")</f>
        <v>580</v>
      </c>
      <c r="K190" s="76">
        <f t="shared" si="95"/>
        <v>79</v>
      </c>
      <c r="L190" s="76">
        <f>SUMIF(E$2:E190,"&gt;0")</f>
        <v>70</v>
      </c>
      <c r="M190" s="76">
        <f t="shared" si="96"/>
        <v>0</v>
      </c>
      <c r="N190" s="74">
        <f t="shared" ref="N190" si="99">F190*120</f>
        <v>4800</v>
      </c>
      <c r="O190" s="76">
        <f t="shared" si="98"/>
        <v>840</v>
      </c>
    </row>
    <row r="191" spans="1:15" x14ac:dyDescent="0.25">
      <c r="A191" s="77">
        <v>44278.275694444441</v>
      </c>
      <c r="C191" s="74">
        <v>32</v>
      </c>
      <c r="D191" s="74">
        <v>1</v>
      </c>
      <c r="E191" s="432">
        <v>0</v>
      </c>
      <c r="F191" s="150">
        <f t="shared" si="92"/>
        <v>42</v>
      </c>
      <c r="G191" s="76">
        <f t="shared" si="93"/>
        <v>2</v>
      </c>
      <c r="H191" s="76">
        <f t="shared" si="93"/>
        <v>0</v>
      </c>
      <c r="I191" s="76">
        <f t="shared" si="94"/>
        <v>2</v>
      </c>
      <c r="J191" s="76">
        <f>SUMIF(I$2:I191,"&gt;0")</f>
        <v>582</v>
      </c>
      <c r="K191" s="76">
        <f t="shared" si="95"/>
        <v>81</v>
      </c>
      <c r="L191" s="76">
        <f>SUMIF(E$2:E191,"&gt;0")</f>
        <v>70</v>
      </c>
      <c r="M191" s="76">
        <f t="shared" si="96"/>
        <v>0</v>
      </c>
      <c r="N191" s="74">
        <f t="shared" ref="N191" si="100">F191*120</f>
        <v>5040</v>
      </c>
      <c r="O191" s="76">
        <f t="shared" si="98"/>
        <v>240</v>
      </c>
    </row>
    <row r="192" spans="1:15" x14ac:dyDescent="0.25">
      <c r="A192" s="77">
        <v>44279.158333333333</v>
      </c>
      <c r="C192" s="74">
        <v>35</v>
      </c>
      <c r="D192" s="74">
        <v>1</v>
      </c>
      <c r="E192" s="432">
        <v>0</v>
      </c>
      <c r="F192" s="150">
        <f t="shared" si="92"/>
        <v>45</v>
      </c>
      <c r="G192" s="76">
        <f t="shared" ref="G192" si="101">C192-C191</f>
        <v>3</v>
      </c>
      <c r="H192" s="76">
        <f t="shared" ref="H192" si="102">D192-D191</f>
        <v>0</v>
      </c>
      <c r="I192" s="76">
        <f t="shared" si="94"/>
        <v>3</v>
      </c>
      <c r="J192" s="76">
        <f>SUMIF(I$2:I192,"&gt;0")</f>
        <v>585</v>
      </c>
      <c r="K192" s="76">
        <f t="shared" si="95"/>
        <v>80</v>
      </c>
      <c r="L192" s="76">
        <f>SUMIF(E$2:E192,"&gt;0")</f>
        <v>70</v>
      </c>
      <c r="M192" s="76">
        <f t="shared" si="96"/>
        <v>0</v>
      </c>
      <c r="N192" s="74">
        <f t="shared" ref="N192" si="103">F192*120</f>
        <v>5400</v>
      </c>
      <c r="O192" s="76">
        <f t="shared" si="98"/>
        <v>360</v>
      </c>
    </row>
    <row r="193" spans="1:15" x14ac:dyDescent="0.25">
      <c r="A193" s="77">
        <v>44280.4375</v>
      </c>
      <c r="C193" s="74">
        <v>37</v>
      </c>
      <c r="D193" s="74">
        <v>2</v>
      </c>
      <c r="E193" s="432">
        <v>0</v>
      </c>
      <c r="F193" s="150">
        <f t="shared" si="92"/>
        <v>57</v>
      </c>
      <c r="G193" s="76">
        <f t="shared" ref="G193" si="104">C193-C192</f>
        <v>2</v>
      </c>
      <c r="H193" s="76">
        <f t="shared" ref="H193" si="105">D193-D192</f>
        <v>1</v>
      </c>
      <c r="I193" s="76">
        <f t="shared" si="94"/>
        <v>12</v>
      </c>
      <c r="J193" s="76">
        <f>SUMIF(I$2:I193,"&gt;0")</f>
        <v>597</v>
      </c>
      <c r="K193" s="76">
        <f t="shared" si="95"/>
        <v>92</v>
      </c>
      <c r="L193" s="76">
        <f>SUMIF(E$2:E193,"&gt;0")</f>
        <v>70</v>
      </c>
      <c r="M193" s="76">
        <f t="shared" si="96"/>
        <v>0</v>
      </c>
      <c r="N193" s="74">
        <f t="shared" ref="N193" si="106">F193*120</f>
        <v>6840</v>
      </c>
      <c r="O193" s="76">
        <f t="shared" si="98"/>
        <v>1440</v>
      </c>
    </row>
    <row r="194" spans="1:15" x14ac:dyDescent="0.25">
      <c r="A194" s="77">
        <v>44281.584722222222</v>
      </c>
      <c r="C194" s="74">
        <v>37</v>
      </c>
      <c r="D194" s="74">
        <v>3</v>
      </c>
      <c r="E194" s="432">
        <v>0</v>
      </c>
      <c r="F194" s="150">
        <f t="shared" si="92"/>
        <v>67</v>
      </c>
      <c r="G194" s="76">
        <f t="shared" ref="G194" si="107">C194-C193</f>
        <v>0</v>
      </c>
      <c r="H194" s="76">
        <f t="shared" ref="H194" si="108">D194-D193</f>
        <v>1</v>
      </c>
      <c r="I194" s="76">
        <f t="shared" si="94"/>
        <v>10</v>
      </c>
      <c r="J194" s="76">
        <f>SUMIF(I$2:I194,"&gt;0")</f>
        <v>607</v>
      </c>
      <c r="K194" s="76">
        <f t="shared" si="95"/>
        <v>102</v>
      </c>
      <c r="L194" s="76">
        <f>SUMIF(E$2:E194,"&gt;0")</f>
        <v>70</v>
      </c>
      <c r="M194" s="76">
        <f t="shared" si="96"/>
        <v>0</v>
      </c>
      <c r="N194" s="74">
        <f t="shared" ref="N194:N195" si="109">F194*120</f>
        <v>8040</v>
      </c>
      <c r="O194" s="76">
        <f t="shared" si="98"/>
        <v>1200</v>
      </c>
    </row>
    <row r="195" spans="1:15" x14ac:dyDescent="0.25">
      <c r="A195" s="77">
        <v>44282.118750000001</v>
      </c>
      <c r="B195" s="21" t="s">
        <v>455</v>
      </c>
      <c r="C195" s="74">
        <v>37</v>
      </c>
      <c r="D195" s="74">
        <v>0</v>
      </c>
      <c r="E195" s="432">
        <v>10</v>
      </c>
      <c r="F195" s="150">
        <f t="shared" si="92"/>
        <v>47</v>
      </c>
      <c r="G195" s="76">
        <f t="shared" ref="G195" si="110">C195-C194</f>
        <v>0</v>
      </c>
      <c r="H195" s="76">
        <f t="shared" ref="H195" si="111">D195-D194</f>
        <v>-3</v>
      </c>
      <c r="I195" s="76">
        <f t="shared" ref="I195" si="112">F195-F194</f>
        <v>-20</v>
      </c>
      <c r="J195" s="76">
        <f>SUMIF(I$2:I195,"&gt;0")</f>
        <v>607</v>
      </c>
      <c r="K195" s="76">
        <f t="shared" ref="K195" si="113">IFERROR(J195 - _xlfn.XLOOKUP(A195-30, $A$2:$A$14999,J$2:J$14999,"",-1,2),NA())</f>
        <v>102</v>
      </c>
      <c r="L195" s="76">
        <f>SUMIF(E$2:E195,"&gt;0")</f>
        <v>80</v>
      </c>
      <c r="M195" s="76">
        <f t="shared" ref="M195" si="114">IFERROR(L195 - _xlfn.XLOOKUP(A195-30, $A$2:$A$14999,L$2:L$14999,"",-1,2),NA())</f>
        <v>10</v>
      </c>
      <c r="N195" s="74">
        <f t="shared" si="109"/>
        <v>5640</v>
      </c>
      <c r="O195" s="76">
        <f t="shared" si="98"/>
        <v>-2400</v>
      </c>
    </row>
    <row r="196" spans="1:15" x14ac:dyDescent="0.25">
      <c r="A196" s="77">
        <v>44282.140277777777</v>
      </c>
      <c r="C196" s="74">
        <v>38</v>
      </c>
      <c r="D196" s="74">
        <v>1</v>
      </c>
      <c r="E196" s="432">
        <v>0</v>
      </c>
      <c r="F196" s="150">
        <f t="shared" si="92"/>
        <v>48</v>
      </c>
      <c r="G196" s="76">
        <f t="shared" ref="G196" si="115">C196-C195</f>
        <v>1</v>
      </c>
      <c r="H196" s="76">
        <f t="shared" ref="H196" si="116">D196-D195</f>
        <v>1</v>
      </c>
      <c r="I196" s="76">
        <f t="shared" ref="I196" si="117">F196-F195</f>
        <v>1</v>
      </c>
      <c r="J196" s="76">
        <f>SUMIF(I$2:I196,"&gt;0")</f>
        <v>608</v>
      </c>
      <c r="K196" s="76">
        <f t="shared" ref="K196" si="118">IFERROR(J196 - _xlfn.XLOOKUP(A196-30, $A$2:$A$14999,J$2:J$14999,"",-1,2),NA())</f>
        <v>103</v>
      </c>
      <c r="L196" s="76">
        <f>SUMIF(E$2:E196,"&gt;0")</f>
        <v>80</v>
      </c>
      <c r="M196" s="76">
        <f t="shared" ref="M196" si="119">IFERROR(L196 - _xlfn.XLOOKUP(A196-30, $A$2:$A$14999,L$2:L$14999,"",-1,2),NA())</f>
        <v>10</v>
      </c>
      <c r="N196" s="74">
        <f t="shared" ref="N196" si="120">F196*120</f>
        <v>5760</v>
      </c>
      <c r="O196" s="76">
        <f t="shared" si="98"/>
        <v>120</v>
      </c>
    </row>
    <row r="197" spans="1:15" x14ac:dyDescent="0.25">
      <c r="A197" s="77">
        <v>44283.856249999997</v>
      </c>
      <c r="C197" s="74">
        <v>43</v>
      </c>
      <c r="D197" s="74">
        <v>1</v>
      </c>
      <c r="E197" s="432">
        <v>10</v>
      </c>
      <c r="F197" s="150">
        <f t="shared" si="92"/>
        <v>63</v>
      </c>
      <c r="G197" s="76">
        <f t="shared" ref="G197" si="121">C197-C196</f>
        <v>5</v>
      </c>
      <c r="H197" s="76">
        <f t="shared" ref="H197" si="122">D197-D196</f>
        <v>0</v>
      </c>
      <c r="I197" s="76">
        <f t="shared" ref="I197" si="123">F197-F196</f>
        <v>15</v>
      </c>
      <c r="J197" s="76">
        <f>SUMIF(I$2:I197,"&gt;0")</f>
        <v>623</v>
      </c>
      <c r="K197" s="76">
        <f t="shared" ref="K197" si="124">IFERROR(J197 - _xlfn.XLOOKUP(A197-30, $A$2:$A$14999,J$2:J$14999,"",-1,2),NA())</f>
        <v>103</v>
      </c>
      <c r="L197" s="76">
        <f>SUMIF(E$2:E197,"&gt;0")</f>
        <v>90</v>
      </c>
      <c r="M197" s="76">
        <f t="shared" ref="M197" si="125">IFERROR(L197 - _xlfn.XLOOKUP(A197-30, $A$2:$A$14999,L$2:L$14999,"",-1,2),NA())</f>
        <v>20</v>
      </c>
      <c r="N197" s="74">
        <f t="shared" ref="N197:N199" si="126">F197*120</f>
        <v>7560</v>
      </c>
      <c r="O197" s="76">
        <f t="shared" ref="O197:O199" si="127">N197-N196</f>
        <v>1800</v>
      </c>
    </row>
    <row r="198" spans="1:15" x14ac:dyDescent="0.25">
      <c r="A198" s="77">
        <v>44284.058333333334</v>
      </c>
      <c r="C198" s="74">
        <v>43</v>
      </c>
      <c r="D198" s="74">
        <v>1</v>
      </c>
      <c r="E198" s="432">
        <v>10</v>
      </c>
      <c r="F198" s="150">
        <f t="shared" si="92"/>
        <v>63</v>
      </c>
      <c r="G198" s="76">
        <f t="shared" ref="G198" si="128">C198-C197</f>
        <v>0</v>
      </c>
      <c r="H198" s="76">
        <f t="shared" ref="H198" si="129">D198-D197</f>
        <v>0</v>
      </c>
      <c r="I198" s="76">
        <f t="shared" ref="I198" si="130">F198-F197</f>
        <v>0</v>
      </c>
      <c r="J198" s="76">
        <f>SUMIF(I$2:I198,"&gt;0")</f>
        <v>623</v>
      </c>
      <c r="K198" s="76">
        <f t="shared" ref="K198" si="131">IFERROR(J198 - _xlfn.XLOOKUP(A198-30, $A$2:$A$14999,J$2:J$14999,"",-1,2),NA())</f>
        <v>103</v>
      </c>
      <c r="L198" s="76">
        <f>SUMIF(E$2:E198,"&gt;0")</f>
        <v>100</v>
      </c>
      <c r="M198" s="76">
        <f t="shared" ref="M198" si="132">IFERROR(L198 - _xlfn.XLOOKUP(A198-30, $A$2:$A$14999,L$2:L$14999,"",-1,2),NA())</f>
        <v>30</v>
      </c>
      <c r="N198" s="74">
        <f t="shared" si="126"/>
        <v>7560</v>
      </c>
      <c r="O198" s="76">
        <f t="shared" si="127"/>
        <v>0</v>
      </c>
    </row>
    <row r="199" spans="1:15" x14ac:dyDescent="0.25">
      <c r="A199" s="77">
        <v>44285.261805555558</v>
      </c>
      <c r="C199" s="74">
        <v>44</v>
      </c>
      <c r="D199" s="74">
        <v>1</v>
      </c>
      <c r="E199" s="432">
        <v>10</v>
      </c>
      <c r="F199" s="150">
        <f t="shared" si="92"/>
        <v>64</v>
      </c>
      <c r="G199" s="76">
        <f t="shared" ref="G199" si="133">C199-C198</f>
        <v>1</v>
      </c>
      <c r="H199" s="76">
        <f t="shared" ref="H199" si="134">D199-D198</f>
        <v>0</v>
      </c>
      <c r="I199" s="76">
        <f t="shared" ref="I199" si="135">F199-F198</f>
        <v>1</v>
      </c>
      <c r="J199" s="76">
        <f>SUMIF(I$2:I199,"&gt;0")</f>
        <v>624</v>
      </c>
      <c r="K199" s="76">
        <f t="shared" ref="K199" si="136">IFERROR(J199 - _xlfn.XLOOKUP(A199-30, $A$2:$A$14999,J$2:J$14999,"",-1,2),NA())</f>
        <v>99</v>
      </c>
      <c r="L199" s="76">
        <f>SUMIF(E$2:E199,"&gt;0")</f>
        <v>110</v>
      </c>
      <c r="M199" s="76">
        <f t="shared" ref="M199" si="137">IFERROR(L199 - _xlfn.XLOOKUP(A199-30, $A$2:$A$14999,L$2:L$14999,"",-1,2),NA())</f>
        <v>40</v>
      </c>
      <c r="N199" s="74">
        <f t="shared" si="126"/>
        <v>7680</v>
      </c>
      <c r="O199" s="76">
        <f t="shared" si="127"/>
        <v>120</v>
      </c>
    </row>
    <row r="200" spans="1:15" x14ac:dyDescent="0.25">
      <c r="A200" s="77">
        <v>44285.328472222223</v>
      </c>
      <c r="C200" s="74">
        <v>51</v>
      </c>
      <c r="D200" s="74">
        <v>1</v>
      </c>
      <c r="E200" s="432">
        <v>0</v>
      </c>
      <c r="F200" s="150">
        <f t="shared" si="92"/>
        <v>61</v>
      </c>
      <c r="G200" s="76">
        <f t="shared" ref="G200" si="138">C200-C199</f>
        <v>7</v>
      </c>
      <c r="H200" s="76">
        <f t="shared" ref="H200" si="139">D200-D199</f>
        <v>0</v>
      </c>
      <c r="I200" s="76">
        <f t="shared" ref="I200" si="140">F200-F199</f>
        <v>-3</v>
      </c>
      <c r="J200" s="76">
        <f>SUMIF(I$2:I200,"&gt;0")</f>
        <v>624</v>
      </c>
      <c r="K200" s="76">
        <f t="shared" ref="K200" si="141">IFERROR(J200 - _xlfn.XLOOKUP(A200-30, $A$2:$A$14999,J$2:J$14999,"",-1,2),NA())</f>
        <v>99</v>
      </c>
      <c r="L200" s="76">
        <f>SUMIF(E$2:E200,"&gt;0")</f>
        <v>110</v>
      </c>
      <c r="M200" s="76">
        <f t="shared" ref="M200" si="142">IFERROR(L200 - _xlfn.XLOOKUP(A200-30, $A$2:$A$14999,L$2:L$14999,"",-1,2),NA())</f>
        <v>40</v>
      </c>
      <c r="N200" s="74">
        <f t="shared" ref="N200" si="143">F200*120</f>
        <v>7320</v>
      </c>
      <c r="O200" s="76">
        <f t="shared" ref="O200" si="144">N200-N199</f>
        <v>-360</v>
      </c>
    </row>
    <row r="201" spans="1:15" x14ac:dyDescent="0.25">
      <c r="A201" s="77">
        <v>44286.532638888886</v>
      </c>
      <c r="C201" s="74">
        <v>51</v>
      </c>
      <c r="D201" s="74">
        <v>1</v>
      </c>
      <c r="E201" s="432">
        <v>10</v>
      </c>
      <c r="F201" s="150">
        <f t="shared" ref="F201:F204" si="145">C201+D201*10+_xlfn.IFNA(E201,0)</f>
        <v>71</v>
      </c>
      <c r="G201" s="76">
        <f t="shared" ref="G201" si="146">C201-C200</f>
        <v>0</v>
      </c>
      <c r="H201" s="76">
        <f t="shared" ref="H201" si="147">D201-D200</f>
        <v>0</v>
      </c>
      <c r="I201" s="76">
        <f t="shared" ref="I201" si="148">F201-F200</f>
        <v>10</v>
      </c>
      <c r="J201" s="76">
        <f>SUMIF(I$2:I201,"&gt;0")</f>
        <v>634</v>
      </c>
      <c r="K201" s="76">
        <f t="shared" ref="K201" si="149">IFERROR(J201 - _xlfn.XLOOKUP(A201-30, $A$2:$A$14999,J$2:J$14999,"",-1,2),NA())</f>
        <v>94</v>
      </c>
      <c r="L201" s="76">
        <f>SUMIF(E$2:E201,"&gt;0")</f>
        <v>120</v>
      </c>
      <c r="M201" s="76">
        <f t="shared" ref="M201" si="150">IFERROR(L201 - _xlfn.XLOOKUP(A201-30, $A$2:$A$14999,L$2:L$14999,"",-1,2),NA())</f>
        <v>50</v>
      </c>
      <c r="N201" s="74">
        <f t="shared" ref="N201" si="151">F201*120</f>
        <v>8520</v>
      </c>
      <c r="O201" s="76">
        <f t="shared" ref="O201" si="152">N201-N200</f>
        <v>1200</v>
      </c>
    </row>
    <row r="202" spans="1:15" x14ac:dyDescent="0.25">
      <c r="A202" s="77">
        <v>44286.548611111109</v>
      </c>
      <c r="C202" s="74">
        <v>52</v>
      </c>
      <c r="D202" s="74">
        <v>1</v>
      </c>
      <c r="E202" s="432">
        <v>0</v>
      </c>
      <c r="F202" s="150">
        <f t="shared" si="145"/>
        <v>62</v>
      </c>
      <c r="G202" s="76">
        <f t="shared" ref="G202" si="153">C202-C201</f>
        <v>1</v>
      </c>
      <c r="H202" s="76">
        <f t="shared" ref="H202" si="154">D202-D201</f>
        <v>0</v>
      </c>
      <c r="I202" s="76">
        <f t="shared" ref="I202" si="155">F202-F201</f>
        <v>-9</v>
      </c>
      <c r="J202" s="76">
        <f>SUMIF(I$2:I202,"&gt;0")</f>
        <v>634</v>
      </c>
      <c r="K202" s="76">
        <f t="shared" ref="K202" si="156">IFERROR(J202 - _xlfn.XLOOKUP(A202-30, $A$2:$A$14999,J$2:J$14999,"",-1,2),NA())</f>
        <v>94</v>
      </c>
      <c r="L202" s="76">
        <f>SUMIF(E$2:E202,"&gt;0")</f>
        <v>120</v>
      </c>
      <c r="M202" s="76">
        <f t="shared" ref="M202" si="157">IFERROR(L202 - _xlfn.XLOOKUP(A202-30, $A$2:$A$14999,L$2:L$14999,"",-1,2),NA())</f>
        <v>50</v>
      </c>
      <c r="N202" s="74">
        <f t="shared" ref="N202:N203" si="158">F202*120</f>
        <v>7440</v>
      </c>
      <c r="O202" s="76">
        <f t="shared" ref="O202:O203" si="159">N202-N201</f>
        <v>-1080</v>
      </c>
    </row>
    <row r="203" spans="1:15" x14ac:dyDescent="0.25">
      <c r="A203" s="77">
        <v>44287.259722222225</v>
      </c>
      <c r="C203" s="74">
        <v>53</v>
      </c>
      <c r="D203" s="74">
        <v>1</v>
      </c>
      <c r="E203" s="432">
        <v>10</v>
      </c>
      <c r="F203" s="150">
        <f t="shared" si="145"/>
        <v>73</v>
      </c>
      <c r="G203" s="76">
        <f t="shared" ref="G203" si="160">C203-C202</f>
        <v>1</v>
      </c>
      <c r="H203" s="76">
        <f t="shared" ref="H203" si="161">D203-D202</f>
        <v>0</v>
      </c>
      <c r="I203" s="76">
        <f t="shared" ref="I203" si="162">F203-F202</f>
        <v>11</v>
      </c>
      <c r="J203" s="76">
        <f>SUMIF(I$2:I203,"&gt;0")</f>
        <v>645</v>
      </c>
      <c r="K203" s="76">
        <f t="shared" ref="K203" si="163">IFERROR(J203 - _xlfn.XLOOKUP(A203-30, $A$2:$A$14999,J$2:J$14999,"",-1,2),NA())</f>
        <v>105</v>
      </c>
      <c r="L203" s="76">
        <f>SUMIF(E$2:E203,"&gt;0")</f>
        <v>130</v>
      </c>
      <c r="M203" s="76">
        <f t="shared" ref="M203" si="164">IFERROR(L203 - _xlfn.XLOOKUP(A203-30, $A$2:$A$14999,L$2:L$14999,"",-1,2),NA())</f>
        <v>60</v>
      </c>
      <c r="N203" s="74">
        <f t="shared" si="158"/>
        <v>8760</v>
      </c>
      <c r="O203" s="76">
        <f t="shared" si="159"/>
        <v>1320</v>
      </c>
    </row>
    <row r="204" spans="1:15" x14ac:dyDescent="0.25">
      <c r="A204" s="77">
        <v>44288.043749999997</v>
      </c>
      <c r="C204" s="74">
        <v>53</v>
      </c>
      <c r="D204" s="74">
        <v>1</v>
      </c>
      <c r="E204" s="432">
        <v>10</v>
      </c>
      <c r="F204" s="150">
        <f t="shared" si="145"/>
        <v>73</v>
      </c>
      <c r="G204" s="76">
        <f t="shared" ref="G204" si="165">C204-C203</f>
        <v>0</v>
      </c>
      <c r="H204" s="76">
        <f t="shared" ref="H204" si="166">D204-D203</f>
        <v>0</v>
      </c>
      <c r="I204" s="76">
        <f t="shared" ref="I204" si="167">F204-F203</f>
        <v>0</v>
      </c>
      <c r="J204" s="76">
        <f>SUMIF(I$2:I204,"&gt;0")</f>
        <v>645</v>
      </c>
      <c r="K204" s="76">
        <f t="shared" ref="K204" si="168">IFERROR(J204 - _xlfn.XLOOKUP(A204-30, $A$2:$A$14999,J$2:J$14999,"",-1,2),NA())</f>
        <v>105</v>
      </c>
      <c r="L204" s="76">
        <f>SUMIF(E$2:E204,"&gt;0")</f>
        <v>140</v>
      </c>
      <c r="M204" s="76">
        <f t="shared" ref="M204" si="169">IFERROR(L204 - _xlfn.XLOOKUP(A204-30, $A$2:$A$14999,L$2:L$14999,"",-1,2),NA())</f>
        <v>70</v>
      </c>
      <c r="N204" s="74">
        <f t="shared" ref="N204" si="170">F204*120</f>
        <v>8760</v>
      </c>
      <c r="O204" s="76">
        <f t="shared" ref="O204" si="171">N204-N203</f>
        <v>0</v>
      </c>
    </row>
    <row r="205" spans="1:15" x14ac:dyDescent="0.25">
      <c r="A205" s="77">
        <v>44288.120138888888</v>
      </c>
      <c r="C205" s="74">
        <v>0</v>
      </c>
      <c r="D205" s="74">
        <v>0</v>
      </c>
      <c r="E205" s="432">
        <v>0</v>
      </c>
      <c r="F205" s="150">
        <f t="shared" ref="F205" si="172">C205+D205*10+_xlfn.IFNA(E205,0)</f>
        <v>0</v>
      </c>
      <c r="G205" s="76">
        <f t="shared" ref="G205" si="173">C205-C204</f>
        <v>-53</v>
      </c>
      <c r="H205" s="76">
        <f t="shared" ref="H205" si="174">D205-D204</f>
        <v>-1</v>
      </c>
      <c r="I205" s="76">
        <f t="shared" ref="I205" si="175">F205-F204</f>
        <v>-73</v>
      </c>
      <c r="J205" s="76">
        <f>SUMIF(I$2:I205,"&gt;0")</f>
        <v>645</v>
      </c>
      <c r="K205" s="76">
        <f t="shared" ref="K205" si="176">IFERROR(J205 - _xlfn.XLOOKUP(A205-30, $A$2:$A$14999,J$2:J$14999,"",-1,2),NA())</f>
        <v>105</v>
      </c>
      <c r="L205" s="76">
        <f>SUMIF(E$2:E205,"&gt;0")</f>
        <v>140</v>
      </c>
      <c r="M205" s="76">
        <f t="shared" ref="M205" si="177">IFERROR(L205 - _xlfn.XLOOKUP(A205-30, $A$2:$A$14999,L$2:L$14999,"",-1,2),NA())</f>
        <v>70</v>
      </c>
      <c r="N205" s="74">
        <f t="shared" ref="N205" si="178">F205*120</f>
        <v>0</v>
      </c>
      <c r="O205" s="76">
        <f t="shared" ref="O205" si="179">N205-N204</f>
        <v>-8760</v>
      </c>
    </row>
    <row r="206" spans="1:15" x14ac:dyDescent="0.25">
      <c r="A206" s="77">
        <v>44288.161805555559</v>
      </c>
      <c r="C206" s="74">
        <v>16</v>
      </c>
      <c r="D206" s="74">
        <v>1</v>
      </c>
      <c r="E206" s="432">
        <v>0</v>
      </c>
      <c r="F206" s="150">
        <f t="shared" ref="F206" si="180">C206+D206*10+_xlfn.IFNA(E206,0)</f>
        <v>26</v>
      </c>
      <c r="G206" s="76">
        <f t="shared" ref="G206" si="181">C206-C205</f>
        <v>16</v>
      </c>
      <c r="H206" s="76">
        <f t="shared" ref="H206" si="182">D206-D205</f>
        <v>1</v>
      </c>
      <c r="I206" s="76">
        <f t="shared" ref="I206" si="183">F206-F205</f>
        <v>26</v>
      </c>
      <c r="J206" s="76">
        <f>SUMIF(I$2:I206,"&gt;0")</f>
        <v>671</v>
      </c>
      <c r="K206" s="76">
        <f t="shared" ref="K206" si="184">IFERROR(J206 - _xlfn.XLOOKUP(A206-30, $A$2:$A$14999,J$2:J$14999,"",-1,2),NA())</f>
        <v>131</v>
      </c>
      <c r="L206" s="76">
        <f>SUMIF(E$2:E206,"&gt;0")</f>
        <v>140</v>
      </c>
      <c r="M206" s="76">
        <f t="shared" ref="M206" si="185">IFERROR(L206 - _xlfn.XLOOKUP(A206-30, $A$2:$A$14999,L$2:L$14999,"",-1,2),NA())</f>
        <v>70</v>
      </c>
      <c r="N206" s="74">
        <f t="shared" ref="N206" si="186">F206*120</f>
        <v>3120</v>
      </c>
      <c r="O206" s="76">
        <f t="shared" ref="O206" si="187">N206-N205</f>
        <v>3120</v>
      </c>
    </row>
    <row r="207" spans="1:15" x14ac:dyDescent="0.25">
      <c r="A207" s="77">
        <v>44289.047222222223</v>
      </c>
      <c r="C207" s="74">
        <v>16</v>
      </c>
      <c r="D207" s="74">
        <v>1</v>
      </c>
      <c r="E207" s="432">
        <v>10</v>
      </c>
      <c r="F207" s="150">
        <f t="shared" ref="F207:F209" si="188">C207+D207*10+_xlfn.IFNA(E207,0)</f>
        <v>36</v>
      </c>
      <c r="G207" s="76">
        <f t="shared" ref="G207" si="189">C207-C206</f>
        <v>0</v>
      </c>
      <c r="H207" s="76">
        <f t="shared" ref="H207" si="190">D207-D206</f>
        <v>0</v>
      </c>
      <c r="I207" s="76">
        <f t="shared" ref="I207" si="191">F207-F206</f>
        <v>10</v>
      </c>
      <c r="J207" s="76">
        <f>SUMIF(I$2:I207,"&gt;0")</f>
        <v>681</v>
      </c>
      <c r="K207" s="76">
        <f t="shared" ref="K207" si="192">IFERROR(J207 - _xlfn.XLOOKUP(A207-30, $A$2:$A$14999,J$2:J$14999,"",-1,2),NA())</f>
        <v>141</v>
      </c>
      <c r="L207" s="76">
        <f>SUMIF(E$2:E207,"&gt;0")</f>
        <v>150</v>
      </c>
      <c r="M207" s="76">
        <f t="shared" ref="M207" si="193">IFERROR(L207 - _xlfn.XLOOKUP(A207-30, $A$2:$A$14999,L$2:L$14999,"",-1,2),NA())</f>
        <v>80</v>
      </c>
      <c r="N207" s="74">
        <f t="shared" ref="N207" si="194">F207*120</f>
        <v>4320</v>
      </c>
      <c r="O207" s="76">
        <f t="shared" ref="O207" si="195">N207-N206</f>
        <v>1200</v>
      </c>
    </row>
    <row r="208" spans="1:15" x14ac:dyDescent="0.25">
      <c r="A208" s="77">
        <v>44289.171527777777</v>
      </c>
      <c r="C208" s="74">
        <v>18</v>
      </c>
      <c r="D208" s="74">
        <v>1</v>
      </c>
      <c r="E208" s="432">
        <v>0</v>
      </c>
      <c r="F208" s="150">
        <f t="shared" si="188"/>
        <v>28</v>
      </c>
      <c r="G208" s="76">
        <f t="shared" ref="G208" si="196">C208-C207</f>
        <v>2</v>
      </c>
      <c r="H208" s="76">
        <f t="shared" ref="H208" si="197">D208-D207</f>
        <v>0</v>
      </c>
      <c r="I208" s="76">
        <f t="shared" ref="I208" si="198">F208-F207</f>
        <v>-8</v>
      </c>
      <c r="J208" s="76">
        <f>SUMIF(I$2:I208,"&gt;0")</f>
        <v>681</v>
      </c>
      <c r="K208" s="76">
        <f t="shared" ref="K208" si="199">IFERROR(J208 - _xlfn.XLOOKUP(A208-30, $A$2:$A$14999,J$2:J$14999,"",-1,2),NA())</f>
        <v>141</v>
      </c>
      <c r="L208" s="76">
        <f>SUMIF(E$2:E208,"&gt;0")</f>
        <v>150</v>
      </c>
      <c r="M208" s="76">
        <f t="shared" ref="M208" si="200">IFERROR(L208 - _xlfn.XLOOKUP(A208-30, $A$2:$A$14999,L$2:L$14999,"",-1,2),NA())</f>
        <v>80</v>
      </c>
      <c r="N208" s="74">
        <f t="shared" ref="N208" si="201">F208*120</f>
        <v>3360</v>
      </c>
      <c r="O208" s="76">
        <f t="shared" ref="O208" si="202">N208-N207</f>
        <v>-960</v>
      </c>
    </row>
    <row r="209" spans="1:15" x14ac:dyDescent="0.25">
      <c r="A209" s="77">
        <v>44290.152777777781</v>
      </c>
      <c r="C209" s="74">
        <v>19</v>
      </c>
      <c r="D209" s="74">
        <v>1</v>
      </c>
      <c r="E209" s="432">
        <v>10</v>
      </c>
      <c r="F209" s="150">
        <f t="shared" si="188"/>
        <v>39</v>
      </c>
      <c r="G209" s="76">
        <f t="shared" ref="G209" si="203">C209-C208</f>
        <v>1</v>
      </c>
      <c r="H209" s="76">
        <f t="shared" ref="H209" si="204">D209-D208</f>
        <v>0</v>
      </c>
      <c r="I209" s="76">
        <f t="shared" ref="I209" si="205">F209-F208</f>
        <v>11</v>
      </c>
      <c r="J209" s="76">
        <f>SUMIF(I$2:I209,"&gt;0")</f>
        <v>692</v>
      </c>
      <c r="K209" s="76">
        <f t="shared" ref="K209" si="206">IFERROR(J209 - _xlfn.XLOOKUP(A209-30, $A$2:$A$14999,J$2:J$14999,"",-1,2),NA())</f>
        <v>151</v>
      </c>
      <c r="L209" s="76">
        <f>SUMIF(E$2:E209,"&gt;0")</f>
        <v>160</v>
      </c>
      <c r="M209" s="76">
        <f t="shared" ref="M209" si="207">IFERROR(L209 - _xlfn.XLOOKUP(A209-30, $A$2:$A$14999,L$2:L$14999,"",-1,2),NA())</f>
        <v>90</v>
      </c>
      <c r="N209" s="74">
        <f t="shared" ref="N209" si="208">F209*120</f>
        <v>4680</v>
      </c>
      <c r="O209" s="76">
        <f t="shared" ref="O209" si="209">N209-N208</f>
        <v>1320</v>
      </c>
    </row>
    <row r="210" spans="1:15" x14ac:dyDescent="0.25">
      <c r="A210" s="77">
        <v>44291.071527777778</v>
      </c>
      <c r="C210" s="74">
        <v>20</v>
      </c>
      <c r="D210" s="74">
        <v>1</v>
      </c>
      <c r="E210" s="432">
        <v>0</v>
      </c>
      <c r="F210" s="150">
        <f t="shared" ref="F210:F212" si="210">C210+D210*10+_xlfn.IFNA(E210,0)</f>
        <v>30</v>
      </c>
      <c r="G210" s="76">
        <f t="shared" ref="G210" si="211">C210-C209</f>
        <v>1</v>
      </c>
      <c r="H210" s="76">
        <f t="shared" ref="H210" si="212">D210-D209</f>
        <v>0</v>
      </c>
      <c r="I210" s="76">
        <f t="shared" ref="I210" si="213">F210-F209</f>
        <v>-9</v>
      </c>
      <c r="J210" s="76">
        <f>SUMIF(I$2:I210,"&gt;0")</f>
        <v>692</v>
      </c>
      <c r="K210" s="76">
        <f t="shared" ref="K210" si="214">IFERROR(J210 - _xlfn.XLOOKUP(A210-30, $A$2:$A$14999,J$2:J$14999,"",-1,2),NA())</f>
        <v>151</v>
      </c>
      <c r="L210" s="76">
        <f>SUMIF(E$2:E210,"&gt;0")</f>
        <v>160</v>
      </c>
      <c r="M210" s="76">
        <f t="shared" ref="M210" si="215">IFERROR(L210 - _xlfn.XLOOKUP(A210-30, $A$2:$A$14999,L$2:L$14999,"",-1,2),NA())</f>
        <v>90</v>
      </c>
      <c r="N210" s="74">
        <f t="shared" ref="N210" si="216">F210*120</f>
        <v>3600</v>
      </c>
      <c r="O210" s="76">
        <f t="shared" ref="O210" si="217">N210-N209</f>
        <v>-1080</v>
      </c>
    </row>
    <row r="211" spans="1:15" x14ac:dyDescent="0.25">
      <c r="A211" s="77">
        <v>44292.132638888892</v>
      </c>
      <c r="C211" s="74">
        <v>46</v>
      </c>
      <c r="D211" s="74">
        <v>1</v>
      </c>
      <c r="E211" s="432">
        <v>0</v>
      </c>
      <c r="F211" s="150">
        <f t="shared" si="210"/>
        <v>56</v>
      </c>
      <c r="G211" s="76">
        <f t="shared" ref="G211" si="218">C211-C210</f>
        <v>26</v>
      </c>
      <c r="H211" s="76">
        <f t="shared" ref="H211" si="219">D211-D210</f>
        <v>0</v>
      </c>
      <c r="I211" s="76">
        <f t="shared" ref="I211" si="220">F211-F210</f>
        <v>26</v>
      </c>
      <c r="J211" s="76">
        <f>SUMIF(I$2:I211,"&gt;0")</f>
        <v>718</v>
      </c>
      <c r="K211" s="76">
        <f t="shared" ref="K211" si="221">IFERROR(J211 - _xlfn.XLOOKUP(A211-30, $A$2:$A$14999,J$2:J$14999,"",-1,2),NA())</f>
        <v>177</v>
      </c>
      <c r="L211" s="76">
        <f>SUMIF(E$2:E211,"&gt;0")</f>
        <v>160</v>
      </c>
      <c r="M211" s="76">
        <f t="shared" ref="M211" si="222">IFERROR(L211 - _xlfn.XLOOKUP(A211-30, $A$2:$A$14999,L$2:L$14999,"",-1,2),NA())</f>
        <v>90</v>
      </c>
      <c r="N211" s="74">
        <f t="shared" ref="N211" si="223">F211*120</f>
        <v>6720</v>
      </c>
      <c r="O211" s="76">
        <f t="shared" ref="O211" si="224">N211-N210</f>
        <v>3120</v>
      </c>
    </row>
    <row r="212" spans="1:15" x14ac:dyDescent="0.25">
      <c r="A212" s="77">
        <v>44293.052777777775</v>
      </c>
      <c r="C212" s="74">
        <v>47</v>
      </c>
      <c r="D212" s="74">
        <v>1</v>
      </c>
      <c r="E212" s="432">
        <v>0</v>
      </c>
      <c r="F212" s="150">
        <f t="shared" si="210"/>
        <v>57</v>
      </c>
      <c r="G212" s="76">
        <f t="shared" ref="G212" si="225">C212-C211</f>
        <v>1</v>
      </c>
      <c r="H212" s="76">
        <f t="shared" ref="H212" si="226">D212-D211</f>
        <v>0</v>
      </c>
      <c r="I212" s="76">
        <f t="shared" ref="I212" si="227">F212-F211</f>
        <v>1</v>
      </c>
      <c r="J212" s="76">
        <f>SUMIF(I$2:I212,"&gt;0")</f>
        <v>719</v>
      </c>
      <c r="K212" s="76">
        <f t="shared" ref="K212" si="228">IFERROR(J212 - _xlfn.XLOOKUP(A212-30, $A$2:$A$14999,J$2:J$14999,"",-1,2),NA())</f>
        <v>178</v>
      </c>
      <c r="L212" s="76">
        <f>SUMIF(E$2:E212,"&gt;0")</f>
        <v>160</v>
      </c>
      <c r="M212" s="76">
        <f t="shared" ref="M212" si="229">IFERROR(L212 - _xlfn.XLOOKUP(A212-30, $A$2:$A$14999,L$2:L$14999,"",-1,2),NA())</f>
        <v>90</v>
      </c>
      <c r="N212" s="74">
        <f t="shared" ref="N212" si="230">F212*120</f>
        <v>6840</v>
      </c>
      <c r="O212" s="76">
        <f t="shared" ref="O212" si="231">N212-N211</f>
        <v>120</v>
      </c>
    </row>
    <row r="213" spans="1:15" x14ac:dyDescent="0.25">
      <c r="A213" s="77">
        <v>44294.320138888892</v>
      </c>
      <c r="C213" s="74">
        <v>48</v>
      </c>
      <c r="D213" s="74">
        <v>1</v>
      </c>
      <c r="E213" s="432">
        <v>0</v>
      </c>
      <c r="F213" s="150">
        <f t="shared" ref="F213:F214" si="232">C213+D213*10+_xlfn.IFNA(E213,0)</f>
        <v>58</v>
      </c>
      <c r="G213" s="76">
        <f t="shared" ref="G213" si="233">C213-C212</f>
        <v>1</v>
      </c>
      <c r="H213" s="76">
        <f t="shared" ref="H213" si="234">D213-D212</f>
        <v>0</v>
      </c>
      <c r="I213" s="76">
        <f t="shared" ref="I213" si="235">F213-F212</f>
        <v>1</v>
      </c>
      <c r="J213" s="76">
        <f>SUMIF(I$2:I213,"&gt;0")</f>
        <v>720</v>
      </c>
      <c r="K213" s="76">
        <f t="shared" ref="K213" si="236">IFERROR(J213 - _xlfn.XLOOKUP(A213-30, $A$2:$A$14999,J$2:J$14999,"",-1,2),NA())</f>
        <v>179</v>
      </c>
      <c r="L213" s="76">
        <f>SUMIF(E$2:E213,"&gt;0")</f>
        <v>160</v>
      </c>
      <c r="M213" s="76">
        <f t="shared" ref="M213" si="237">IFERROR(L213 - _xlfn.XLOOKUP(A213-30, $A$2:$A$14999,L$2:L$14999,"",-1,2),NA())</f>
        <v>90</v>
      </c>
      <c r="N213" s="74">
        <f t="shared" ref="N213" si="238">F213*120</f>
        <v>6960</v>
      </c>
      <c r="O213" s="76">
        <f t="shared" ref="O213" si="239">N213-N212</f>
        <v>120</v>
      </c>
    </row>
    <row r="214" spans="1:15" x14ac:dyDescent="0.25">
      <c r="A214" s="77">
        <v>44296.038888888892</v>
      </c>
      <c r="C214" s="74">
        <v>48</v>
      </c>
      <c r="D214" s="74">
        <v>1</v>
      </c>
      <c r="E214" s="432">
        <v>0</v>
      </c>
      <c r="F214" s="150">
        <f t="shared" si="232"/>
        <v>58</v>
      </c>
      <c r="G214" s="76">
        <f t="shared" ref="G214" si="240">C214-C213</f>
        <v>0</v>
      </c>
      <c r="H214" s="76">
        <f t="shared" ref="H214" si="241">D214-D213</f>
        <v>0</v>
      </c>
      <c r="I214" s="76">
        <f t="shared" ref="I214" si="242">F214-F213</f>
        <v>0</v>
      </c>
      <c r="J214" s="76">
        <f>SUMIF(I$2:I214,"&gt;0")</f>
        <v>720</v>
      </c>
      <c r="K214" s="76">
        <f t="shared" ref="K214" si="243">IFERROR(J214 - _xlfn.XLOOKUP(A214-30, $A$2:$A$14999,J$2:J$14999,"",-1,2),NA())</f>
        <v>179</v>
      </c>
      <c r="L214" s="76">
        <f>SUMIF(E$2:E214,"&gt;0")</f>
        <v>160</v>
      </c>
      <c r="M214" s="76">
        <f t="shared" ref="M214" si="244">IFERROR(L214 - _xlfn.XLOOKUP(A214-30, $A$2:$A$14999,L$2:L$14999,"",-1,2),NA())</f>
        <v>90</v>
      </c>
      <c r="N214" s="74">
        <f t="shared" ref="N214" si="245">F214*120</f>
        <v>6960</v>
      </c>
      <c r="O214" s="76">
        <f t="shared" ref="O214" si="246">N214-N213</f>
        <v>0</v>
      </c>
    </row>
    <row r="215" spans="1:15" x14ac:dyDescent="0.25">
      <c r="A215" s="77">
        <v>44296.064583333333</v>
      </c>
      <c r="C215" s="74">
        <v>50</v>
      </c>
      <c r="D215" s="74">
        <v>1</v>
      </c>
      <c r="E215" s="432">
        <v>0</v>
      </c>
      <c r="F215" s="150">
        <f t="shared" ref="F215" si="247">C215+D215*10+_xlfn.IFNA(E215,0)</f>
        <v>60</v>
      </c>
      <c r="G215" s="76">
        <f t="shared" ref="G215" si="248">C215-C214</f>
        <v>2</v>
      </c>
      <c r="H215" s="76">
        <f t="shared" ref="H215" si="249">D215-D214</f>
        <v>0</v>
      </c>
      <c r="I215" s="76">
        <f t="shared" ref="I215" si="250">F215-F214</f>
        <v>2</v>
      </c>
      <c r="J215" s="76">
        <f>SUMIF(I$2:I215,"&gt;0")</f>
        <v>722</v>
      </c>
      <c r="K215" s="76">
        <f t="shared" ref="K215" si="251">IFERROR(J215 - _xlfn.XLOOKUP(A215-30, $A$2:$A$14999,J$2:J$14999,"",-1,2),NA())</f>
        <v>181</v>
      </c>
      <c r="L215" s="76">
        <f>SUMIF(E$2:E215,"&gt;0")</f>
        <v>160</v>
      </c>
      <c r="M215" s="76">
        <f t="shared" ref="M215" si="252">IFERROR(L215 - _xlfn.XLOOKUP(A215-30, $A$2:$A$14999,L$2:L$14999,"",-1,2),NA())</f>
        <v>90</v>
      </c>
      <c r="N215" s="74">
        <f t="shared" ref="N215" si="253">F215*120</f>
        <v>7200</v>
      </c>
      <c r="O215" s="76">
        <f t="shared" ref="O215" si="254">N215-N214</f>
        <v>240</v>
      </c>
    </row>
    <row r="216" spans="1:15" x14ac:dyDescent="0.25">
      <c r="A216" s="77">
        <v>44297.571527777778</v>
      </c>
      <c r="C216" s="74">
        <v>51</v>
      </c>
      <c r="D216" s="74">
        <v>1</v>
      </c>
      <c r="E216" s="432">
        <v>0</v>
      </c>
      <c r="F216" s="150">
        <f t="shared" ref="F216" si="255">C216+D216*10+_xlfn.IFNA(E216,0)</f>
        <v>61</v>
      </c>
      <c r="G216" s="76">
        <f t="shared" ref="G216" si="256">C216-C215</f>
        <v>1</v>
      </c>
      <c r="H216" s="76">
        <f t="shared" ref="H216" si="257">D216-D215</f>
        <v>0</v>
      </c>
      <c r="I216" s="76">
        <f t="shared" ref="I216" si="258">F216-F215</f>
        <v>1</v>
      </c>
      <c r="J216" s="76">
        <f>SUMIF(I$2:I216,"&gt;0")</f>
        <v>723</v>
      </c>
      <c r="K216" s="76">
        <f t="shared" ref="K216" si="259">IFERROR(J216 - _xlfn.XLOOKUP(A216-30, $A$2:$A$14999,J$2:J$14999,"",-1,2),NA())</f>
        <v>181</v>
      </c>
      <c r="L216" s="76">
        <f>SUMIF(E$2:E216,"&gt;0")</f>
        <v>160</v>
      </c>
      <c r="M216" s="76">
        <f t="shared" ref="M216" si="260">IFERROR(L216 - _xlfn.XLOOKUP(A216-30, $A$2:$A$14999,L$2:L$14999,"",-1,2),NA())</f>
        <v>90</v>
      </c>
      <c r="N216" s="74">
        <f t="shared" ref="N216" si="261">F216*120</f>
        <v>7320</v>
      </c>
      <c r="O216" s="76">
        <f t="shared" ref="O216" si="262">N216-N215</f>
        <v>120</v>
      </c>
    </row>
    <row r="217" spans="1:15" x14ac:dyDescent="0.25">
      <c r="A217" s="77">
        <v>44298.5</v>
      </c>
      <c r="C217" s="74">
        <v>52</v>
      </c>
      <c r="D217" s="74">
        <v>1</v>
      </c>
      <c r="E217" s="432">
        <v>0</v>
      </c>
      <c r="F217" s="150">
        <f t="shared" ref="F217" si="263">C217+D217*10+_xlfn.IFNA(E217,0)</f>
        <v>62</v>
      </c>
      <c r="G217" s="76">
        <f t="shared" ref="G217" si="264">C217-C216</f>
        <v>1</v>
      </c>
      <c r="H217" s="76">
        <f t="shared" ref="H217" si="265">D217-D216</f>
        <v>0</v>
      </c>
      <c r="I217" s="76">
        <f t="shared" ref="I217" si="266">F217-F216</f>
        <v>1</v>
      </c>
      <c r="J217" s="76">
        <f>SUMIF(I$2:I217,"&gt;0")</f>
        <v>724</v>
      </c>
      <c r="K217" s="76">
        <f t="shared" ref="K217" si="267">IFERROR(J217 - _xlfn.XLOOKUP(A217-30, $A$2:$A$14999,J$2:J$14999,"",-1,2),NA())</f>
        <v>181</v>
      </c>
      <c r="L217" s="76">
        <f>SUMIF(E$2:E217,"&gt;0")</f>
        <v>160</v>
      </c>
      <c r="M217" s="76">
        <f t="shared" ref="M217" si="268">IFERROR(L217 - _xlfn.XLOOKUP(A217-30, $A$2:$A$14999,L$2:L$14999,"",-1,2),NA())</f>
        <v>90</v>
      </c>
      <c r="N217" s="74">
        <f t="shared" ref="N217" si="269">F217*120</f>
        <v>7440</v>
      </c>
      <c r="O217" s="76">
        <f t="shared" ref="O217" si="270">N217-N216</f>
        <v>120</v>
      </c>
    </row>
    <row r="218" spans="1:15" x14ac:dyDescent="0.25">
      <c r="A218" s="77">
        <v>44299.34097222222</v>
      </c>
      <c r="C218" s="74">
        <v>54</v>
      </c>
      <c r="D218" s="74">
        <v>1</v>
      </c>
      <c r="E218" s="432">
        <v>0</v>
      </c>
      <c r="F218" s="150">
        <f t="shared" ref="F218" si="271">C218+D218*10+_xlfn.IFNA(E218,0)</f>
        <v>64</v>
      </c>
      <c r="G218" s="76">
        <f t="shared" ref="G218" si="272">C218-C217</f>
        <v>2</v>
      </c>
      <c r="H218" s="76">
        <f t="shared" ref="H218" si="273">D218-D217</f>
        <v>0</v>
      </c>
      <c r="I218" s="76">
        <f t="shared" ref="I218" si="274">F218-F217</f>
        <v>2</v>
      </c>
      <c r="J218" s="76">
        <f>SUMIF(I$2:I218,"&gt;0")</f>
        <v>726</v>
      </c>
      <c r="K218" s="76">
        <f t="shared" ref="K218" si="275">IFERROR(J218 - _xlfn.XLOOKUP(A218-30, $A$2:$A$14999,J$2:J$14999,"",-1,2),NA())</f>
        <v>183</v>
      </c>
      <c r="L218" s="76">
        <f>SUMIF(E$2:E218,"&gt;0")</f>
        <v>160</v>
      </c>
      <c r="M218" s="76">
        <f t="shared" ref="M218" si="276">IFERROR(L218 - _xlfn.XLOOKUP(A218-30, $A$2:$A$14999,L$2:L$14999,"",-1,2),NA())</f>
        <v>90</v>
      </c>
      <c r="N218" s="74">
        <f t="shared" ref="N218" si="277">F218*120</f>
        <v>7680</v>
      </c>
      <c r="O218" s="76">
        <f t="shared" ref="O218" si="278">N218-N217</f>
        <v>240</v>
      </c>
    </row>
    <row r="219" spans="1:15" x14ac:dyDescent="0.25">
      <c r="A219" s="77">
        <v>44300.307638888888</v>
      </c>
      <c r="C219" s="74">
        <v>55</v>
      </c>
      <c r="D219" s="74">
        <v>1</v>
      </c>
      <c r="E219" s="432">
        <v>0</v>
      </c>
      <c r="F219" s="150">
        <f t="shared" ref="F219:F220" si="279">C219+D219*10+_xlfn.IFNA(E219,0)</f>
        <v>65</v>
      </c>
      <c r="G219" s="76">
        <f t="shared" ref="G219" si="280">C219-C218</f>
        <v>1</v>
      </c>
      <c r="H219" s="76">
        <f t="shared" ref="H219" si="281">D219-D218</f>
        <v>0</v>
      </c>
      <c r="I219" s="76">
        <f t="shared" ref="I219" si="282">F219-F218</f>
        <v>1</v>
      </c>
      <c r="J219" s="76">
        <f>SUMIF(I$2:I219,"&gt;0")</f>
        <v>727</v>
      </c>
      <c r="K219" s="76">
        <f t="shared" ref="K219" si="283">IFERROR(J219 - _xlfn.XLOOKUP(A219-30, $A$2:$A$14999,J$2:J$14999,"",-1,2),NA())</f>
        <v>181</v>
      </c>
      <c r="L219" s="76">
        <f>SUMIF(E$2:E219,"&gt;0")</f>
        <v>160</v>
      </c>
      <c r="M219" s="76">
        <f t="shared" ref="M219" si="284">IFERROR(L219 - _xlfn.XLOOKUP(A219-30, $A$2:$A$14999,L$2:L$14999,"",-1,2),NA())</f>
        <v>90</v>
      </c>
      <c r="N219" s="74">
        <f t="shared" ref="N219" si="285">F219*120</f>
        <v>7800</v>
      </c>
      <c r="O219" s="76">
        <f t="shared" ref="O219" si="286">N219-N218</f>
        <v>120</v>
      </c>
    </row>
    <row r="220" spans="1:15" x14ac:dyDescent="0.25">
      <c r="A220" s="77">
        <v>44301.17083333333</v>
      </c>
      <c r="B220" s="105" t="s">
        <v>461</v>
      </c>
      <c r="C220" s="74">
        <v>5</v>
      </c>
      <c r="D220" s="74">
        <v>1</v>
      </c>
      <c r="E220" s="432">
        <v>0</v>
      </c>
      <c r="F220" s="150">
        <f t="shared" si="279"/>
        <v>15</v>
      </c>
      <c r="G220" s="76">
        <f t="shared" ref="G220" si="287">C220-C219</f>
        <v>-50</v>
      </c>
      <c r="H220" s="76">
        <f t="shared" ref="H220" si="288">D220-D219</f>
        <v>0</v>
      </c>
      <c r="I220" s="76">
        <f t="shared" ref="I220" si="289">F220-F219</f>
        <v>-50</v>
      </c>
      <c r="J220" s="76">
        <f>SUMIF(I$2:I220,"&gt;0")</f>
        <v>727</v>
      </c>
      <c r="K220" s="76">
        <f t="shared" ref="K220" si="290">IFERROR(J220 - _xlfn.XLOOKUP(A220-30, $A$2:$A$14999,J$2:J$14999,"",-1,2),NA())</f>
        <v>180</v>
      </c>
      <c r="L220" s="76">
        <f>SUMIF(E$2:E220,"&gt;0")</f>
        <v>160</v>
      </c>
      <c r="M220" s="76">
        <f t="shared" ref="M220" si="291">IFERROR(L220 - _xlfn.XLOOKUP(A220-30, $A$2:$A$14999,L$2:L$14999,"",-1,2),NA())</f>
        <v>90</v>
      </c>
      <c r="N220" s="74">
        <f t="shared" ref="N220" si="292">F220*120</f>
        <v>1800</v>
      </c>
      <c r="O220" s="76">
        <f t="shared" ref="O220" si="293">N220-N219</f>
        <v>-6000</v>
      </c>
    </row>
    <row r="221" spans="1:15" x14ac:dyDescent="0.25">
      <c r="A221" s="77">
        <v>44302.394444444442</v>
      </c>
      <c r="C221" s="74">
        <v>7</v>
      </c>
      <c r="D221" s="74">
        <v>1</v>
      </c>
      <c r="E221" s="432">
        <v>0</v>
      </c>
      <c r="F221" s="150">
        <f t="shared" ref="F221" si="294">C221+D221*10+_xlfn.IFNA(E221,0)</f>
        <v>17</v>
      </c>
      <c r="G221" s="76">
        <f t="shared" ref="G221" si="295">C221-C220</f>
        <v>2</v>
      </c>
      <c r="H221" s="76">
        <f t="shared" ref="H221" si="296">D221-D220</f>
        <v>0</v>
      </c>
      <c r="I221" s="76">
        <f t="shared" ref="I221" si="297">F221-F220</f>
        <v>2</v>
      </c>
      <c r="J221" s="76">
        <f>SUMIF(I$2:I221,"&gt;0")</f>
        <v>729</v>
      </c>
      <c r="K221" s="76">
        <f t="shared" ref="K221" si="298">IFERROR(J221 - _xlfn.XLOOKUP(A221-30, $A$2:$A$14999,J$2:J$14999,"",-1,2),NA())</f>
        <v>182</v>
      </c>
      <c r="L221" s="76">
        <f>SUMIF(E$2:E221,"&gt;0")</f>
        <v>160</v>
      </c>
      <c r="M221" s="76">
        <f t="shared" ref="M221" si="299">IFERROR(L221 - _xlfn.XLOOKUP(A221-30, $A$2:$A$14999,L$2:L$14999,"",-1,2),NA())</f>
        <v>90</v>
      </c>
      <c r="N221" s="74">
        <f t="shared" ref="N221" si="300">F221*120</f>
        <v>2040</v>
      </c>
      <c r="O221" s="76">
        <f t="shared" ref="O221" si="301">N221-N220</f>
        <v>240</v>
      </c>
    </row>
    <row r="222" spans="1:15" x14ac:dyDescent="0.25">
      <c r="A222" s="77">
        <v>44303.540277777778</v>
      </c>
      <c r="C222" s="74">
        <v>8</v>
      </c>
      <c r="D222" s="74">
        <v>1</v>
      </c>
      <c r="E222" s="432">
        <v>0</v>
      </c>
      <c r="F222" s="150">
        <f t="shared" ref="F222" si="302">C222+D222*10+_xlfn.IFNA(E222,0)</f>
        <v>18</v>
      </c>
      <c r="G222" s="76">
        <f t="shared" ref="G222" si="303">C222-C221</f>
        <v>1</v>
      </c>
      <c r="H222" s="76">
        <f t="shared" ref="H222" si="304">D222-D221</f>
        <v>0</v>
      </c>
      <c r="I222" s="76">
        <f t="shared" ref="I222" si="305">F222-F221</f>
        <v>1</v>
      </c>
      <c r="J222" s="76">
        <f>SUMIF(I$2:I222,"&gt;0")</f>
        <v>730</v>
      </c>
      <c r="K222" s="76">
        <f t="shared" ref="K222" si="306">IFERROR(J222 - _xlfn.XLOOKUP(A222-30, $A$2:$A$14999,J$2:J$14999,"",-1,2),NA())</f>
        <v>180</v>
      </c>
      <c r="L222" s="76">
        <f>SUMIF(E$2:E222,"&gt;0")</f>
        <v>160</v>
      </c>
      <c r="M222" s="76">
        <f t="shared" ref="M222" si="307">IFERROR(L222 - _xlfn.XLOOKUP(A222-30, $A$2:$A$14999,L$2:L$14999,"",-1,2),NA())</f>
        <v>90</v>
      </c>
      <c r="N222" s="74">
        <f t="shared" ref="N222" si="308">F222*120</f>
        <v>2160</v>
      </c>
      <c r="O222" s="76">
        <f t="shared" ref="O222" si="309">N222-N221</f>
        <v>120</v>
      </c>
    </row>
    <row r="223" spans="1:15" x14ac:dyDescent="0.25">
      <c r="A223" s="77">
        <v>44304.845138888886</v>
      </c>
      <c r="C223" s="74">
        <v>9</v>
      </c>
      <c r="D223" s="74">
        <v>1</v>
      </c>
      <c r="E223" s="432">
        <v>0</v>
      </c>
      <c r="F223" s="150">
        <f t="shared" ref="F223" si="310">C223+D223*10+_xlfn.IFNA(E223,0)</f>
        <v>19</v>
      </c>
      <c r="G223" s="76">
        <f t="shared" ref="G223" si="311">C223-C222</f>
        <v>1</v>
      </c>
      <c r="H223" s="76">
        <f t="shared" ref="H223" si="312">D223-D222</f>
        <v>0</v>
      </c>
      <c r="I223" s="76">
        <f t="shared" ref="I223" si="313">F223-F222</f>
        <v>1</v>
      </c>
      <c r="J223" s="76">
        <f>SUMIF(I$2:I223,"&gt;0")</f>
        <v>731</v>
      </c>
      <c r="K223" s="76">
        <f t="shared" ref="K223" si="314">IFERROR(J223 - _xlfn.XLOOKUP(A223-30, $A$2:$A$14999,J$2:J$14999,"",-1,2),NA())</f>
        <v>162</v>
      </c>
      <c r="L223" s="76">
        <f>SUMIF(E$2:E223,"&gt;0")</f>
        <v>160</v>
      </c>
      <c r="M223" s="76">
        <f t="shared" ref="M223" si="315">IFERROR(L223 - _xlfn.XLOOKUP(A223-30, $A$2:$A$14999,L$2:L$14999,"",-1,2),NA())</f>
        <v>90</v>
      </c>
      <c r="N223" s="74">
        <f t="shared" ref="N223" si="316">F223*120</f>
        <v>2280</v>
      </c>
      <c r="O223" s="76">
        <f t="shared" ref="O223" si="317">N223-N222</f>
        <v>120</v>
      </c>
    </row>
    <row r="224" spans="1:15" x14ac:dyDescent="0.25">
      <c r="A224" s="77">
        <v>44305.089583333334</v>
      </c>
      <c r="C224" s="74">
        <v>9</v>
      </c>
      <c r="D224" s="74">
        <v>1</v>
      </c>
      <c r="E224" s="432">
        <v>0</v>
      </c>
      <c r="F224" s="150">
        <f t="shared" ref="F224" si="318">C224+D224*10+_xlfn.IFNA(E224,0)</f>
        <v>19</v>
      </c>
      <c r="G224" s="76">
        <f t="shared" ref="G224" si="319">C224-C223</f>
        <v>0</v>
      </c>
      <c r="H224" s="76">
        <f t="shared" ref="H224" si="320">D224-D223</f>
        <v>0</v>
      </c>
      <c r="I224" s="76">
        <f t="shared" ref="I224" si="321">F224-F223</f>
        <v>0</v>
      </c>
      <c r="J224" s="76">
        <f>SUMIF(I$2:I224,"&gt;0")</f>
        <v>731</v>
      </c>
      <c r="K224" s="76">
        <f t="shared" ref="K224" si="322">IFERROR(J224 - _xlfn.XLOOKUP(A224-30, $A$2:$A$14999,J$2:J$14999,"",-1,2),NA())</f>
        <v>162</v>
      </c>
      <c r="L224" s="76">
        <f>SUMIF(E$2:E224,"&gt;0")</f>
        <v>160</v>
      </c>
      <c r="M224" s="76">
        <f t="shared" ref="M224" si="323">IFERROR(L224 - _xlfn.XLOOKUP(A224-30, $A$2:$A$14999,L$2:L$14999,"",-1,2),NA())</f>
        <v>90</v>
      </c>
      <c r="N224" s="74">
        <f t="shared" ref="N224" si="324">F224*120</f>
        <v>2280</v>
      </c>
      <c r="O224" s="76">
        <f t="shared" ref="O224" si="325">N224-N223</f>
        <v>0</v>
      </c>
    </row>
    <row r="225" spans="1:15" x14ac:dyDescent="0.25">
      <c r="A225" s="77">
        <v>44306.736111111109</v>
      </c>
      <c r="C225" s="74">
        <v>9</v>
      </c>
      <c r="D225" s="74">
        <v>1</v>
      </c>
      <c r="E225" s="432">
        <v>0</v>
      </c>
      <c r="F225" s="150">
        <f t="shared" ref="F225" si="326">C225+D225*10+_xlfn.IFNA(E225,0)</f>
        <v>19</v>
      </c>
      <c r="G225" s="76">
        <f t="shared" ref="G225" si="327">C225-C224</f>
        <v>0</v>
      </c>
      <c r="H225" s="76">
        <f t="shared" ref="H225" si="328">D225-D224</f>
        <v>0</v>
      </c>
      <c r="I225" s="76">
        <f t="shared" ref="I225" si="329">F225-F224</f>
        <v>0</v>
      </c>
      <c r="J225" s="76">
        <f>SUMIF(I$2:I225,"&gt;0")</f>
        <v>731</v>
      </c>
      <c r="K225" s="76">
        <f t="shared" ref="K225" si="330">IFERROR(J225 - _xlfn.XLOOKUP(A225-30, $A$2:$A$14999,J$2:J$14999,"",-1,2),NA())</f>
        <v>158</v>
      </c>
      <c r="L225" s="76">
        <f>SUMIF(E$2:E225,"&gt;0")</f>
        <v>160</v>
      </c>
      <c r="M225" s="76">
        <f t="shared" ref="M225" si="331">IFERROR(L225 - _xlfn.XLOOKUP(A225-30, $A$2:$A$14999,L$2:L$14999,"",-1,2),NA())</f>
        <v>90</v>
      </c>
      <c r="N225" s="74">
        <f t="shared" ref="N225" si="332">F225*120</f>
        <v>2280</v>
      </c>
      <c r="O225" s="76">
        <f t="shared" ref="O225" si="333">N225-N224</f>
        <v>0</v>
      </c>
    </row>
    <row r="226" spans="1:15" x14ac:dyDescent="0.25">
      <c r="A226" s="77">
        <v>44307.614583333336</v>
      </c>
      <c r="C226" s="74">
        <v>9</v>
      </c>
      <c r="D226" s="74">
        <v>1</v>
      </c>
      <c r="E226" s="432">
        <v>0</v>
      </c>
      <c r="F226" s="150">
        <f t="shared" ref="F226" si="334">C226+D226*10+_xlfn.IFNA(E226,0)</f>
        <v>19</v>
      </c>
      <c r="G226" s="76">
        <f t="shared" ref="G226" si="335">C226-C225</f>
        <v>0</v>
      </c>
      <c r="H226" s="76">
        <f t="shared" ref="H226" si="336">D226-D225</f>
        <v>0</v>
      </c>
      <c r="I226" s="76">
        <f t="shared" ref="I226" si="337">F226-F225</f>
        <v>0</v>
      </c>
      <c r="J226" s="76">
        <f>SUMIF(I$2:I226,"&gt;0")</f>
        <v>731</v>
      </c>
      <c r="K226" s="76">
        <f t="shared" ref="K226" si="338">IFERROR(J226 - _xlfn.XLOOKUP(A226-30, $A$2:$A$14999,J$2:J$14999,"",-1,2),NA())</f>
        <v>151</v>
      </c>
      <c r="L226" s="76">
        <f>SUMIF(E$2:E226,"&gt;0")</f>
        <v>160</v>
      </c>
      <c r="M226" s="76">
        <f t="shared" ref="M226" si="339">IFERROR(L226 - _xlfn.XLOOKUP(A226-30, $A$2:$A$14999,L$2:L$14999,"",-1,2),NA())</f>
        <v>90</v>
      </c>
      <c r="N226" s="74">
        <f t="shared" ref="N226" si="340">F226*120</f>
        <v>2280</v>
      </c>
      <c r="O226" s="76">
        <f t="shared" ref="O226" si="341">N226-N225</f>
        <v>0</v>
      </c>
    </row>
    <row r="227" spans="1:15" x14ac:dyDescent="0.25">
      <c r="A227" s="77">
        <v>44308.572222222225</v>
      </c>
      <c r="C227" s="74">
        <v>9</v>
      </c>
      <c r="D227" s="74">
        <v>1</v>
      </c>
      <c r="E227" s="432">
        <v>0</v>
      </c>
      <c r="F227" s="150">
        <f t="shared" ref="F227" si="342">C227+D227*10+_xlfn.IFNA(E227,0)</f>
        <v>19</v>
      </c>
      <c r="G227" s="76">
        <f t="shared" ref="G227" si="343">C227-C226</f>
        <v>0</v>
      </c>
      <c r="H227" s="76">
        <f t="shared" ref="H227" si="344">D227-D226</f>
        <v>0</v>
      </c>
      <c r="I227" s="76">
        <f t="shared" ref="I227" si="345">F227-F226</f>
        <v>0</v>
      </c>
      <c r="J227" s="76">
        <f>SUMIF(I$2:I227,"&gt;0")</f>
        <v>731</v>
      </c>
      <c r="K227" s="76">
        <f t="shared" ref="K227" si="346">IFERROR(J227 - _xlfn.XLOOKUP(A227-30, $A$2:$A$14999,J$2:J$14999,"",-1,2),NA())</f>
        <v>149</v>
      </c>
      <c r="L227" s="76">
        <f>SUMIF(E$2:E227,"&gt;0")</f>
        <v>160</v>
      </c>
      <c r="M227" s="76">
        <f t="shared" ref="M227" si="347">IFERROR(L227 - _xlfn.XLOOKUP(A227-30, $A$2:$A$14999,L$2:L$14999,"",-1,2),NA())</f>
        <v>90</v>
      </c>
      <c r="N227" s="74">
        <f t="shared" ref="N227" si="348">F227*120</f>
        <v>2280</v>
      </c>
      <c r="O227" s="76">
        <f t="shared" ref="O227" si="349">N227-N226</f>
        <v>0</v>
      </c>
    </row>
    <row r="228" spans="1:15" x14ac:dyDescent="0.25">
      <c r="A228" s="77">
        <v>44310.204861111109</v>
      </c>
      <c r="C228" s="74">
        <v>10</v>
      </c>
      <c r="D228" s="74">
        <v>1</v>
      </c>
      <c r="E228" s="432">
        <v>0</v>
      </c>
      <c r="F228" s="150">
        <f t="shared" ref="F228" si="350">C228+D228*10+_xlfn.IFNA(E228,0)</f>
        <v>20</v>
      </c>
      <c r="G228" s="76">
        <f t="shared" ref="G228" si="351">C228-C227</f>
        <v>1</v>
      </c>
      <c r="H228" s="76">
        <f t="shared" ref="H228" si="352">D228-D227</f>
        <v>0</v>
      </c>
      <c r="I228" s="76">
        <f t="shared" ref="I228" si="353">F228-F227</f>
        <v>1</v>
      </c>
      <c r="J228" s="76">
        <f>SUMIF(I$2:I228,"&gt;0")</f>
        <v>732</v>
      </c>
      <c r="K228" s="76">
        <f t="shared" ref="K228" si="354">IFERROR(J228 - _xlfn.XLOOKUP(A228-30, $A$2:$A$14999,J$2:J$14999,"",-1,2),NA())</f>
        <v>147</v>
      </c>
      <c r="L228" s="76">
        <f>SUMIF(E$2:E228,"&gt;0")</f>
        <v>160</v>
      </c>
      <c r="M228" s="76">
        <f t="shared" ref="M228" si="355">IFERROR(L228 - _xlfn.XLOOKUP(A228-30, $A$2:$A$14999,L$2:L$14999,"",-1,2),NA())</f>
        <v>90</v>
      </c>
      <c r="N228" s="74">
        <f t="shared" ref="N228" si="356">F228*120</f>
        <v>2400</v>
      </c>
      <c r="O228" s="76">
        <f t="shared" ref="O228" si="357">N228-N227</f>
        <v>120</v>
      </c>
    </row>
    <row r="229" spans="1:15" x14ac:dyDescent="0.25">
      <c r="A229" s="77">
        <v>44311.769444444442</v>
      </c>
      <c r="C229" s="74">
        <v>10</v>
      </c>
      <c r="D229" s="74">
        <v>1</v>
      </c>
      <c r="E229" s="432">
        <v>0</v>
      </c>
      <c r="F229" s="150">
        <f t="shared" ref="F229" si="358">C229+D229*10+_xlfn.IFNA(E229,0)</f>
        <v>20</v>
      </c>
      <c r="G229" s="76">
        <f t="shared" ref="G229" si="359">C229-C228</f>
        <v>0</v>
      </c>
      <c r="H229" s="76">
        <f t="shared" ref="H229" si="360">D229-D228</f>
        <v>0</v>
      </c>
      <c r="I229" s="76">
        <f t="shared" ref="I229" si="361">F229-F228</f>
        <v>0</v>
      </c>
      <c r="J229" s="76">
        <f>SUMIF(I$2:I229,"&gt;0")</f>
        <v>732</v>
      </c>
      <c r="K229" s="76">
        <f t="shared" ref="K229" si="362">IFERROR(J229 - _xlfn.XLOOKUP(A229-30, $A$2:$A$14999,J$2:J$14999,"",-1,2),NA())</f>
        <v>125</v>
      </c>
      <c r="L229" s="76">
        <f>SUMIF(E$2:E229,"&gt;0")</f>
        <v>160</v>
      </c>
      <c r="M229" s="76">
        <f t="shared" ref="M229" si="363">IFERROR(L229 - _xlfn.XLOOKUP(A229-30, $A$2:$A$14999,L$2:L$14999,"",-1,2),NA())</f>
        <v>90</v>
      </c>
      <c r="N229" s="74">
        <f t="shared" ref="N229" si="364">F229*120</f>
        <v>2400</v>
      </c>
      <c r="O229" s="76">
        <f t="shared" ref="O229" si="365">N229-N228</f>
        <v>0</v>
      </c>
    </row>
    <row r="230" spans="1:15" x14ac:dyDescent="0.25">
      <c r="A230" s="77">
        <v>44312.943749999999</v>
      </c>
      <c r="C230" s="74">
        <v>10</v>
      </c>
      <c r="D230" s="74">
        <v>1</v>
      </c>
      <c r="E230" s="432">
        <v>0</v>
      </c>
      <c r="F230" s="150">
        <f t="shared" ref="F230" si="366">C230+D230*10+_xlfn.IFNA(E230,0)</f>
        <v>20</v>
      </c>
      <c r="G230" s="76">
        <f t="shared" ref="G230" si="367">C230-C229</f>
        <v>0</v>
      </c>
      <c r="H230" s="76">
        <f t="shared" ref="H230" si="368">D230-D229</f>
        <v>0</v>
      </c>
      <c r="I230" s="76">
        <f t="shared" ref="I230" si="369">F230-F229</f>
        <v>0</v>
      </c>
      <c r="J230" s="76">
        <f>SUMIF(I$2:I230,"&gt;0")</f>
        <v>732</v>
      </c>
      <c r="K230" s="76">
        <f t="shared" ref="K230" si="370">IFERROR(J230 - _xlfn.XLOOKUP(A230-30, $A$2:$A$14999,J$2:J$14999,"",-1,2),NA())</f>
        <v>124</v>
      </c>
      <c r="L230" s="76">
        <f>SUMIF(E$2:E230,"&gt;0")</f>
        <v>160</v>
      </c>
      <c r="M230" s="76">
        <f t="shared" ref="M230" si="371">IFERROR(L230 - _xlfn.XLOOKUP(A230-30, $A$2:$A$14999,L$2:L$14999,"",-1,2),NA())</f>
        <v>80</v>
      </c>
      <c r="N230" s="74">
        <f t="shared" ref="N230" si="372">F230*120</f>
        <v>2400</v>
      </c>
      <c r="O230" s="76">
        <f t="shared" ref="O230" si="373">N230-N229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99B-0F8A-456C-AFC5-BC18D01DD118}">
  <sheetPr>
    <tabColor rgb="FFFF0000"/>
  </sheetPr>
  <dimension ref="A1:F503"/>
  <sheetViews>
    <sheetView workbookViewId="0">
      <pane ySplit="1" topLeftCell="A356" activePane="bottomLeft" state="frozen"/>
      <selection pane="bottomLeft" activeCell="J324" sqref="J324"/>
    </sheetView>
  </sheetViews>
  <sheetFormatPr defaultRowHeight="15" customHeight="1" x14ac:dyDescent="0.25"/>
  <cols>
    <col min="1" max="1" width="11.7109375" style="95" customWidth="1"/>
    <col min="2" max="2" width="13.140625" style="415" hidden="1" customWidth="1"/>
    <col min="3" max="4" width="5.7109375" style="415" customWidth="1"/>
    <col min="5" max="5" width="5.7109375" style="431" customWidth="1"/>
    <col min="6" max="6" width="10.140625" style="415" customWidth="1"/>
    <col min="7" max="16384" width="9.140625" style="415"/>
  </cols>
  <sheetData>
    <row r="1" spans="1:6" s="414" customFormat="1" ht="15" customHeight="1" x14ac:dyDescent="0.25">
      <c r="A1" s="416" t="s">
        <v>191</v>
      </c>
      <c r="B1" s="414" t="s">
        <v>344</v>
      </c>
      <c r="C1" s="105" t="s">
        <v>346</v>
      </c>
      <c r="D1" s="105" t="s">
        <v>345</v>
      </c>
      <c r="E1" s="429" t="s">
        <v>380</v>
      </c>
      <c r="F1" s="414" t="s">
        <v>347</v>
      </c>
    </row>
    <row r="2" spans="1:6" ht="15" customHeight="1" x14ac:dyDescent="0.25">
      <c r="A2" s="95">
        <v>43938</v>
      </c>
      <c r="B2" s="76">
        <f>IF(ISNUMBER(_xlfn.XLOOKUP(A2,鑽量!$A:$A,鑽量!$K:$K,,1,2)),_xlfn.XLOOKUP(A2,鑽量!$A:$A,鑽量!$K:$K,,1,2),NA())</f>
        <v>25135</v>
      </c>
      <c r="C2" s="417">
        <f t="shared" ref="C2:C65" si="0">B2/120</f>
        <v>209.45833333333334</v>
      </c>
      <c r="D2" s="417" t="e">
        <f>IF(ISNUMBER(_xlfn.XLOOKUP(A2,抽卷!$A:$A,抽卷!$K:$K,,1,2)),_xlfn.XLOOKUP(A2,抽卷!$A:$A,抽卷!$K:$K,,1,2),NA())</f>
        <v>#N/A</v>
      </c>
      <c r="E2" s="417" t="e">
        <f>IF(ISNUMBER(_xlfn.XLOOKUP(A2,抽卷!$A:$A,抽卷!$M:$M,,1,2)),_xlfn.XLOOKUP(A2,抽卷!$A:$A,抽卷!$M:$M,,1,2),NA())</f>
        <v>#N/A</v>
      </c>
      <c r="F2" s="70">
        <f t="shared" ref="F2:F65" si="1">IF(ISNA(E2),IF(ISNA(D2),C2,C2+D2),E2+D2+C2)</f>
        <v>209.45833333333334</v>
      </c>
    </row>
    <row r="3" spans="1:6" ht="15" customHeight="1" x14ac:dyDescent="0.25">
      <c r="A3" s="95">
        <f>A2+1</f>
        <v>43939</v>
      </c>
      <c r="B3" s="76">
        <f>IF(ISNUMBER(_xlfn.XLOOKUP(A3,鑽量!$A:$A,鑽量!$K:$K,,1,2)),_xlfn.XLOOKUP(A3,鑽量!$A:$A,鑽量!$K:$K,,1,2),NA())</f>
        <v>25585</v>
      </c>
      <c r="C3" s="417">
        <f t="shared" si="0"/>
        <v>213.20833333333334</v>
      </c>
      <c r="D3" s="417" t="e">
        <f>IF(ISNUMBER(_xlfn.XLOOKUP(A3,抽卷!$A:$A,抽卷!$K:$K,,1,2)),_xlfn.XLOOKUP(A3,抽卷!$A:$A,抽卷!$K:$K,,1,2),NA())</f>
        <v>#N/A</v>
      </c>
      <c r="E3" s="417" t="e">
        <f>IF(ISNUMBER(_xlfn.XLOOKUP(A3,抽卷!$A:$A,抽卷!$M:$M,,1,2)),_xlfn.XLOOKUP(A3,抽卷!$A:$A,抽卷!$M:$M,,1,2),NA())</f>
        <v>#N/A</v>
      </c>
      <c r="F3" s="70">
        <f t="shared" si="1"/>
        <v>213.20833333333334</v>
      </c>
    </row>
    <row r="4" spans="1:6" ht="15" customHeight="1" x14ac:dyDescent="0.25">
      <c r="A4" s="95">
        <f>A3+1</f>
        <v>43940</v>
      </c>
      <c r="B4" s="76">
        <f>IF(ISNUMBER(_xlfn.XLOOKUP(A4,鑽量!$A:$A,鑽量!$K:$K,,1,2)),_xlfn.XLOOKUP(A4,鑽量!$A:$A,鑽量!$K:$K,,1,2),NA())</f>
        <v>26360</v>
      </c>
      <c r="C4" s="417">
        <f t="shared" si="0"/>
        <v>219.66666666666666</v>
      </c>
      <c r="D4" s="417" t="e">
        <f>IF(ISNUMBER(_xlfn.XLOOKUP(A4,抽卷!$A:$A,抽卷!$K:$K,,1,2)),_xlfn.XLOOKUP(A4,抽卷!$A:$A,抽卷!$K:$K,,1,2),NA())</f>
        <v>#N/A</v>
      </c>
      <c r="E4" s="417" t="e">
        <f>IF(ISNUMBER(_xlfn.XLOOKUP(A4,抽卷!$A:$A,抽卷!$M:$M,,1,2)),_xlfn.XLOOKUP(A4,抽卷!$A:$A,抽卷!$M:$M,,1,2),NA())</f>
        <v>#N/A</v>
      </c>
      <c r="F4" s="70">
        <f t="shared" si="1"/>
        <v>219.66666666666666</v>
      </c>
    </row>
    <row r="5" spans="1:6" ht="15" customHeight="1" x14ac:dyDescent="0.25">
      <c r="A5" s="95">
        <f>A4+1</f>
        <v>43941</v>
      </c>
      <c r="B5" s="76">
        <f>IF(ISNUMBER(_xlfn.XLOOKUP(A5,鑽量!$A:$A,鑽量!$K:$K,,1,2)),_xlfn.XLOOKUP(A5,鑽量!$A:$A,鑽量!$K:$K,,1,2),NA())</f>
        <v>31010</v>
      </c>
      <c r="C5" s="417">
        <f t="shared" si="0"/>
        <v>258.41666666666669</v>
      </c>
      <c r="D5" s="417" t="e">
        <f>IF(ISNUMBER(_xlfn.XLOOKUP(A5,抽卷!$A:$A,抽卷!$K:$K,,1,2)),_xlfn.XLOOKUP(A5,抽卷!$A:$A,抽卷!$K:$K,,1,2),NA())</f>
        <v>#N/A</v>
      </c>
      <c r="E5" s="417" t="e">
        <f>IF(ISNUMBER(_xlfn.XLOOKUP(A5,抽卷!$A:$A,抽卷!$M:$M,,1,2)),_xlfn.XLOOKUP(A5,抽卷!$A:$A,抽卷!$M:$M,,1,2),NA())</f>
        <v>#N/A</v>
      </c>
      <c r="F5" s="70">
        <f t="shared" si="1"/>
        <v>258.41666666666669</v>
      </c>
    </row>
    <row r="6" spans="1:6" ht="15" customHeight="1" x14ac:dyDescent="0.25">
      <c r="A6" s="95">
        <f t="shared" ref="A6:A69" si="2">A5+1</f>
        <v>43942</v>
      </c>
      <c r="B6" s="76">
        <f>IF(ISNUMBER(_xlfn.XLOOKUP(A6,鑽量!$A:$A,鑽量!$K:$K,,1,2)),_xlfn.XLOOKUP(A6,鑽量!$A:$A,鑽量!$K:$K,,1,2),NA())</f>
        <v>32335</v>
      </c>
      <c r="C6" s="417">
        <f t="shared" si="0"/>
        <v>269.45833333333331</v>
      </c>
      <c r="D6" s="417" t="e">
        <f>IF(ISNUMBER(_xlfn.XLOOKUP(A6,抽卷!$A:$A,抽卷!$K:$K,,1,2)),_xlfn.XLOOKUP(A6,抽卷!$A:$A,抽卷!$K:$K,,1,2),NA())</f>
        <v>#N/A</v>
      </c>
      <c r="E6" s="417" t="e">
        <f>IF(ISNUMBER(_xlfn.XLOOKUP(A6,抽卷!$A:$A,抽卷!$M:$M,,1,2)),_xlfn.XLOOKUP(A6,抽卷!$A:$A,抽卷!$M:$M,,1,2),NA())</f>
        <v>#N/A</v>
      </c>
      <c r="F6" s="70">
        <f t="shared" si="1"/>
        <v>269.45833333333331</v>
      </c>
    </row>
    <row r="7" spans="1:6" ht="15" customHeight="1" x14ac:dyDescent="0.25">
      <c r="A7" s="95">
        <f t="shared" si="2"/>
        <v>43943</v>
      </c>
      <c r="B7" s="76">
        <f>IF(ISNUMBER(_xlfn.XLOOKUP(A7,鑽量!$A:$A,鑽量!$K:$K,,1,2)),_xlfn.XLOOKUP(A7,鑽量!$A:$A,鑽量!$K:$K,,1,2),NA())</f>
        <v>31635</v>
      </c>
      <c r="C7" s="417">
        <f t="shared" si="0"/>
        <v>263.625</v>
      </c>
      <c r="D7" s="417" t="e">
        <f>IF(ISNUMBER(_xlfn.XLOOKUP(A7,抽卷!$A:$A,抽卷!$K:$K,,1,2)),_xlfn.XLOOKUP(A7,抽卷!$A:$A,抽卷!$K:$K,,1,2),NA())</f>
        <v>#N/A</v>
      </c>
      <c r="E7" s="417" t="e">
        <f>IF(ISNUMBER(_xlfn.XLOOKUP(A7,抽卷!$A:$A,抽卷!$M:$M,,1,2)),_xlfn.XLOOKUP(A7,抽卷!$A:$A,抽卷!$M:$M,,1,2),NA())</f>
        <v>#N/A</v>
      </c>
      <c r="F7" s="70">
        <f t="shared" si="1"/>
        <v>263.625</v>
      </c>
    </row>
    <row r="8" spans="1:6" ht="15" customHeight="1" x14ac:dyDescent="0.25">
      <c r="A8" s="95">
        <f t="shared" si="2"/>
        <v>43944</v>
      </c>
      <c r="B8" s="76">
        <f>IF(ISNUMBER(_xlfn.XLOOKUP(A8,鑽量!$A:$A,鑽量!$K:$K,,1,2)),_xlfn.XLOOKUP(A8,鑽量!$A:$A,鑽量!$K:$K,,1,2),NA())</f>
        <v>30285</v>
      </c>
      <c r="C8" s="417">
        <f t="shared" si="0"/>
        <v>252.375</v>
      </c>
      <c r="D8" s="417" t="e">
        <f>IF(ISNUMBER(_xlfn.XLOOKUP(A8,抽卷!$A:$A,抽卷!$K:$K,,1,2)),_xlfn.XLOOKUP(A8,抽卷!$A:$A,抽卷!$K:$K,,1,2),NA())</f>
        <v>#N/A</v>
      </c>
      <c r="E8" s="417" t="e">
        <f>IF(ISNUMBER(_xlfn.XLOOKUP(A8,抽卷!$A:$A,抽卷!$M:$M,,1,2)),_xlfn.XLOOKUP(A8,抽卷!$A:$A,抽卷!$M:$M,,1,2),NA())</f>
        <v>#N/A</v>
      </c>
      <c r="F8" s="70">
        <f t="shared" si="1"/>
        <v>252.375</v>
      </c>
    </row>
    <row r="9" spans="1:6" ht="15" customHeight="1" x14ac:dyDescent="0.25">
      <c r="A9" s="95">
        <f t="shared" si="2"/>
        <v>43945</v>
      </c>
      <c r="B9" s="76">
        <f>IF(ISNUMBER(_xlfn.XLOOKUP(A9,鑽量!$A:$A,鑽量!$K:$K,,1,2)),_xlfn.XLOOKUP(A9,鑽量!$A:$A,鑽量!$K:$K,,1,2),NA())</f>
        <v>30210</v>
      </c>
      <c r="C9" s="417">
        <f t="shared" si="0"/>
        <v>251.75</v>
      </c>
      <c r="D9" s="417" t="e">
        <f>IF(ISNUMBER(_xlfn.XLOOKUP(A9,抽卷!$A:$A,抽卷!$K:$K,,1,2)),_xlfn.XLOOKUP(A9,抽卷!$A:$A,抽卷!$K:$K,,1,2),NA())</f>
        <v>#N/A</v>
      </c>
      <c r="E9" s="417" t="e">
        <f>IF(ISNUMBER(_xlfn.XLOOKUP(A9,抽卷!$A:$A,抽卷!$M:$M,,1,2)),_xlfn.XLOOKUP(A9,抽卷!$A:$A,抽卷!$M:$M,,1,2),NA())</f>
        <v>#N/A</v>
      </c>
      <c r="F9" s="70">
        <f t="shared" si="1"/>
        <v>251.75</v>
      </c>
    </row>
    <row r="10" spans="1:6" ht="15" customHeight="1" x14ac:dyDescent="0.25">
      <c r="A10" s="95">
        <f t="shared" si="2"/>
        <v>43946</v>
      </c>
      <c r="B10" s="76">
        <f>IF(ISNUMBER(_xlfn.XLOOKUP(A10,鑽量!$A:$A,鑽量!$K:$K,,1,2)),_xlfn.XLOOKUP(A10,鑽量!$A:$A,鑽量!$K:$K,,1,2),NA())</f>
        <v>30310</v>
      </c>
      <c r="C10" s="417">
        <f t="shared" si="0"/>
        <v>252.58333333333334</v>
      </c>
      <c r="D10" s="417" t="e">
        <f>IF(ISNUMBER(_xlfn.XLOOKUP(A10,抽卷!$A:$A,抽卷!$K:$K,,1,2)),_xlfn.XLOOKUP(A10,抽卷!$A:$A,抽卷!$K:$K,,1,2),NA())</f>
        <v>#N/A</v>
      </c>
      <c r="E10" s="417" t="e">
        <f>IF(ISNUMBER(_xlfn.XLOOKUP(A10,抽卷!$A:$A,抽卷!$M:$M,,1,2)),_xlfn.XLOOKUP(A10,抽卷!$A:$A,抽卷!$M:$M,,1,2),NA())</f>
        <v>#N/A</v>
      </c>
      <c r="F10" s="70">
        <f t="shared" si="1"/>
        <v>252.58333333333334</v>
      </c>
    </row>
    <row r="11" spans="1:6" ht="15" customHeight="1" x14ac:dyDescent="0.25">
      <c r="A11" s="95">
        <f t="shared" si="2"/>
        <v>43947</v>
      </c>
      <c r="B11" s="76">
        <f>IF(ISNUMBER(_xlfn.XLOOKUP(A11,鑽量!$A:$A,鑽量!$K:$K,,1,2)),_xlfn.XLOOKUP(A11,鑽量!$A:$A,鑽量!$K:$K,,1,2),NA())</f>
        <v>23335</v>
      </c>
      <c r="C11" s="417">
        <f t="shared" si="0"/>
        <v>194.45833333333334</v>
      </c>
      <c r="D11" s="417" t="e">
        <f>IF(ISNUMBER(_xlfn.XLOOKUP(A11,抽卷!$A:$A,抽卷!$K:$K,,1,2)),_xlfn.XLOOKUP(A11,抽卷!$A:$A,抽卷!$K:$K,,1,2),NA())</f>
        <v>#N/A</v>
      </c>
      <c r="E11" s="417" t="e">
        <f>IF(ISNUMBER(_xlfn.XLOOKUP(A11,抽卷!$A:$A,抽卷!$M:$M,,1,2)),_xlfn.XLOOKUP(A11,抽卷!$A:$A,抽卷!$M:$M,,1,2),NA())</f>
        <v>#N/A</v>
      </c>
      <c r="F11" s="70">
        <f t="shared" si="1"/>
        <v>194.45833333333334</v>
      </c>
    </row>
    <row r="12" spans="1:6" ht="15" customHeight="1" x14ac:dyDescent="0.25">
      <c r="A12" s="95">
        <f t="shared" si="2"/>
        <v>43948</v>
      </c>
      <c r="B12" s="76">
        <f>IF(ISNUMBER(_xlfn.XLOOKUP(A12,鑽量!$A:$A,鑽量!$K:$K,,1,2)),_xlfn.XLOOKUP(A12,鑽量!$A:$A,鑽量!$K:$K,,1,2),NA())</f>
        <v>23335</v>
      </c>
      <c r="C12" s="417">
        <f t="shared" si="0"/>
        <v>194.45833333333334</v>
      </c>
      <c r="D12" s="417" t="e">
        <f>IF(ISNUMBER(_xlfn.XLOOKUP(A12,抽卷!$A:$A,抽卷!$K:$K,,1,2)),_xlfn.XLOOKUP(A12,抽卷!$A:$A,抽卷!$K:$K,,1,2),NA())</f>
        <v>#N/A</v>
      </c>
      <c r="E12" s="417" t="e">
        <f>IF(ISNUMBER(_xlfn.XLOOKUP(A12,抽卷!$A:$A,抽卷!$M:$M,,1,2)),_xlfn.XLOOKUP(A12,抽卷!$A:$A,抽卷!$M:$M,,1,2),NA())</f>
        <v>#N/A</v>
      </c>
      <c r="F12" s="70">
        <f t="shared" si="1"/>
        <v>194.45833333333334</v>
      </c>
    </row>
    <row r="13" spans="1:6" ht="15" customHeight="1" x14ac:dyDescent="0.25">
      <c r="A13" s="95">
        <f t="shared" si="2"/>
        <v>43949</v>
      </c>
      <c r="B13" s="76">
        <f>IF(ISNUMBER(_xlfn.XLOOKUP(A13,鑽量!$A:$A,鑽量!$K:$K,,1,2)),_xlfn.XLOOKUP(A13,鑽量!$A:$A,鑽量!$K:$K,,1,2),NA())</f>
        <v>25000</v>
      </c>
      <c r="C13" s="417">
        <f t="shared" si="0"/>
        <v>208.33333333333334</v>
      </c>
      <c r="D13" s="417" t="e">
        <f>IF(ISNUMBER(_xlfn.XLOOKUP(A13,抽卷!$A:$A,抽卷!$K:$K,,1,2)),_xlfn.XLOOKUP(A13,抽卷!$A:$A,抽卷!$K:$K,,1,2),NA())</f>
        <v>#N/A</v>
      </c>
      <c r="E13" s="417" t="e">
        <f>IF(ISNUMBER(_xlfn.XLOOKUP(A13,抽卷!$A:$A,抽卷!$M:$M,,1,2)),_xlfn.XLOOKUP(A13,抽卷!$A:$A,抽卷!$M:$M,,1,2),NA())</f>
        <v>#N/A</v>
      </c>
      <c r="F13" s="70">
        <f t="shared" si="1"/>
        <v>208.33333333333334</v>
      </c>
    </row>
    <row r="14" spans="1:6" ht="15" customHeight="1" x14ac:dyDescent="0.25">
      <c r="A14" s="95">
        <f t="shared" si="2"/>
        <v>43950</v>
      </c>
      <c r="B14" s="76">
        <f>IF(ISNUMBER(_xlfn.XLOOKUP(A14,鑽量!$A:$A,鑽量!$K:$K,,1,2)),_xlfn.XLOOKUP(A14,鑽量!$A:$A,鑽量!$K:$K,,1,2),NA())</f>
        <v>24660</v>
      </c>
      <c r="C14" s="417">
        <f t="shared" si="0"/>
        <v>205.5</v>
      </c>
      <c r="D14" s="417" t="e">
        <f>IF(ISNUMBER(_xlfn.XLOOKUP(A14,抽卷!$A:$A,抽卷!$K:$K,,1,2)),_xlfn.XLOOKUP(A14,抽卷!$A:$A,抽卷!$K:$K,,1,2),NA())</f>
        <v>#N/A</v>
      </c>
      <c r="E14" s="417" t="e">
        <f>IF(ISNUMBER(_xlfn.XLOOKUP(A14,抽卷!$A:$A,抽卷!$M:$M,,1,2)),_xlfn.XLOOKUP(A14,抽卷!$A:$A,抽卷!$M:$M,,1,2),NA())</f>
        <v>#N/A</v>
      </c>
      <c r="F14" s="70">
        <f t="shared" si="1"/>
        <v>205.5</v>
      </c>
    </row>
    <row r="15" spans="1:6" ht="15" customHeight="1" x14ac:dyDescent="0.25">
      <c r="A15" s="95">
        <f t="shared" si="2"/>
        <v>43951</v>
      </c>
      <c r="B15" s="76">
        <f>IF(ISNUMBER(_xlfn.XLOOKUP(A15,鑽量!$A:$A,鑽量!$K:$K,,1,2)),_xlfn.XLOOKUP(A15,鑽量!$A:$A,鑽量!$K:$K,,1,2),NA())</f>
        <v>24660</v>
      </c>
      <c r="C15" s="417">
        <f t="shared" si="0"/>
        <v>205.5</v>
      </c>
      <c r="D15" s="417" t="e">
        <f>IF(ISNUMBER(_xlfn.XLOOKUP(A15,抽卷!$A:$A,抽卷!$K:$K,,1,2)),_xlfn.XLOOKUP(A15,抽卷!$A:$A,抽卷!$K:$K,,1,2),NA())</f>
        <v>#N/A</v>
      </c>
      <c r="E15" s="417" t="e">
        <f>IF(ISNUMBER(_xlfn.XLOOKUP(A15,抽卷!$A:$A,抽卷!$M:$M,,1,2)),_xlfn.XLOOKUP(A15,抽卷!$A:$A,抽卷!$M:$M,,1,2),NA())</f>
        <v>#N/A</v>
      </c>
      <c r="F15" s="70">
        <f t="shared" si="1"/>
        <v>205.5</v>
      </c>
    </row>
    <row r="16" spans="1:6" ht="15" customHeight="1" x14ac:dyDescent="0.25">
      <c r="A16" s="95">
        <f t="shared" si="2"/>
        <v>43952</v>
      </c>
      <c r="B16" s="76">
        <f>IF(ISNUMBER(_xlfn.XLOOKUP(A16,鑽量!$A:$A,鑽量!$K:$K,,1,2)),_xlfn.XLOOKUP(A16,鑽量!$A:$A,鑽量!$K:$K,,1,2),NA())</f>
        <v>23285</v>
      </c>
      <c r="C16" s="417">
        <f t="shared" si="0"/>
        <v>194.04166666666666</v>
      </c>
      <c r="D16" s="417" t="e">
        <f>IF(ISNUMBER(_xlfn.XLOOKUP(A16,抽卷!$A:$A,抽卷!$K:$K,,1,2)),_xlfn.XLOOKUP(A16,抽卷!$A:$A,抽卷!$K:$K,,1,2),NA())</f>
        <v>#N/A</v>
      </c>
      <c r="E16" s="417" t="e">
        <f>IF(ISNUMBER(_xlfn.XLOOKUP(A16,抽卷!$A:$A,抽卷!$M:$M,,1,2)),_xlfn.XLOOKUP(A16,抽卷!$A:$A,抽卷!$M:$M,,1,2),NA())</f>
        <v>#N/A</v>
      </c>
      <c r="F16" s="70">
        <f t="shared" si="1"/>
        <v>194.04166666666666</v>
      </c>
    </row>
    <row r="17" spans="1:6" ht="15" customHeight="1" x14ac:dyDescent="0.25">
      <c r="A17" s="95">
        <f t="shared" si="2"/>
        <v>43953</v>
      </c>
      <c r="B17" s="76">
        <f>IF(ISNUMBER(_xlfn.XLOOKUP(A17,鑽量!$A:$A,鑽量!$K:$K,,1,2)),_xlfn.XLOOKUP(A17,鑽量!$A:$A,鑽量!$K:$K,,1,2),NA())</f>
        <v>24735</v>
      </c>
      <c r="C17" s="417">
        <f t="shared" si="0"/>
        <v>206.125</v>
      </c>
      <c r="D17" s="417" t="e">
        <f>IF(ISNUMBER(_xlfn.XLOOKUP(A17,抽卷!$A:$A,抽卷!$K:$K,,1,2)),_xlfn.XLOOKUP(A17,抽卷!$A:$A,抽卷!$K:$K,,1,2),NA())</f>
        <v>#N/A</v>
      </c>
      <c r="E17" s="417" t="e">
        <f>IF(ISNUMBER(_xlfn.XLOOKUP(A17,抽卷!$A:$A,抽卷!$M:$M,,1,2)),_xlfn.XLOOKUP(A17,抽卷!$A:$A,抽卷!$M:$M,,1,2),NA())</f>
        <v>#N/A</v>
      </c>
      <c r="F17" s="70">
        <f t="shared" si="1"/>
        <v>206.125</v>
      </c>
    </row>
    <row r="18" spans="1:6" ht="15" customHeight="1" x14ac:dyDescent="0.25">
      <c r="A18" s="95">
        <f t="shared" si="2"/>
        <v>43954</v>
      </c>
      <c r="B18" s="76">
        <f>IF(ISNUMBER(_xlfn.XLOOKUP(A18,鑽量!$A:$A,鑽量!$K:$K,,1,2)),_xlfn.XLOOKUP(A18,鑽量!$A:$A,鑽量!$K:$K,,1,2),NA())</f>
        <v>24735</v>
      </c>
      <c r="C18" s="417">
        <f t="shared" si="0"/>
        <v>206.125</v>
      </c>
      <c r="D18" s="417" t="e">
        <f>IF(ISNUMBER(_xlfn.XLOOKUP(A18,抽卷!$A:$A,抽卷!$K:$K,,1,2)),_xlfn.XLOOKUP(A18,抽卷!$A:$A,抽卷!$K:$K,,1,2),NA())</f>
        <v>#N/A</v>
      </c>
      <c r="E18" s="417" t="e">
        <f>IF(ISNUMBER(_xlfn.XLOOKUP(A18,抽卷!$A:$A,抽卷!$M:$M,,1,2)),_xlfn.XLOOKUP(A18,抽卷!$A:$A,抽卷!$M:$M,,1,2),NA())</f>
        <v>#N/A</v>
      </c>
      <c r="F18" s="70">
        <f t="shared" si="1"/>
        <v>206.125</v>
      </c>
    </row>
    <row r="19" spans="1:6" ht="15" customHeight="1" x14ac:dyDescent="0.25">
      <c r="A19" s="95">
        <f t="shared" si="2"/>
        <v>43955</v>
      </c>
      <c r="B19" s="76">
        <f>IF(ISNUMBER(_xlfn.XLOOKUP(A19,鑽量!$A:$A,鑽量!$K:$K,,1,2)),_xlfn.XLOOKUP(A19,鑽量!$A:$A,鑽量!$K:$K,,1,2),NA())</f>
        <v>24345</v>
      </c>
      <c r="C19" s="417">
        <f t="shared" si="0"/>
        <v>202.875</v>
      </c>
      <c r="D19" s="417" t="e">
        <f>IF(ISNUMBER(_xlfn.XLOOKUP(A19,抽卷!$A:$A,抽卷!$K:$K,,1,2)),_xlfn.XLOOKUP(A19,抽卷!$A:$A,抽卷!$K:$K,,1,2),NA())</f>
        <v>#N/A</v>
      </c>
      <c r="E19" s="417" t="e">
        <f>IF(ISNUMBER(_xlfn.XLOOKUP(A19,抽卷!$A:$A,抽卷!$M:$M,,1,2)),_xlfn.XLOOKUP(A19,抽卷!$A:$A,抽卷!$M:$M,,1,2),NA())</f>
        <v>#N/A</v>
      </c>
      <c r="F19" s="70">
        <f t="shared" si="1"/>
        <v>202.875</v>
      </c>
    </row>
    <row r="20" spans="1:6" ht="15" customHeight="1" x14ac:dyDescent="0.25">
      <c r="A20" s="95">
        <f t="shared" si="2"/>
        <v>43956</v>
      </c>
      <c r="B20" s="76">
        <f>IF(ISNUMBER(_xlfn.XLOOKUP(A20,鑽量!$A:$A,鑽量!$K:$K,,1,2)),_xlfn.XLOOKUP(A20,鑽量!$A:$A,鑽量!$K:$K,,1,2),NA())</f>
        <v>24805</v>
      </c>
      <c r="C20" s="417">
        <f t="shared" si="0"/>
        <v>206.70833333333334</v>
      </c>
      <c r="D20" s="417" t="e">
        <f>IF(ISNUMBER(_xlfn.XLOOKUP(A20,抽卷!$A:$A,抽卷!$K:$K,,1,2)),_xlfn.XLOOKUP(A20,抽卷!$A:$A,抽卷!$K:$K,,1,2),NA())</f>
        <v>#N/A</v>
      </c>
      <c r="E20" s="417" t="e">
        <f>IF(ISNUMBER(_xlfn.XLOOKUP(A20,抽卷!$A:$A,抽卷!$M:$M,,1,2)),_xlfn.XLOOKUP(A20,抽卷!$A:$A,抽卷!$M:$M,,1,2),NA())</f>
        <v>#N/A</v>
      </c>
      <c r="F20" s="70">
        <f t="shared" si="1"/>
        <v>206.70833333333334</v>
      </c>
    </row>
    <row r="21" spans="1:6" ht="15" customHeight="1" x14ac:dyDescent="0.25">
      <c r="A21" s="95">
        <f t="shared" si="2"/>
        <v>43957</v>
      </c>
      <c r="B21" s="76">
        <f>IF(ISNUMBER(_xlfn.XLOOKUP(A21,鑽量!$A:$A,鑽量!$K:$K,,1,2)),_xlfn.XLOOKUP(A21,鑽量!$A:$A,鑽量!$K:$K,,1,2),NA())</f>
        <v>24805</v>
      </c>
      <c r="C21" s="417">
        <f t="shared" si="0"/>
        <v>206.70833333333334</v>
      </c>
      <c r="D21" s="417" t="e">
        <f>IF(ISNUMBER(_xlfn.XLOOKUP(A21,抽卷!$A:$A,抽卷!$K:$K,,1,2)),_xlfn.XLOOKUP(A21,抽卷!$A:$A,抽卷!$K:$K,,1,2),NA())</f>
        <v>#N/A</v>
      </c>
      <c r="E21" s="417" t="e">
        <f>IF(ISNUMBER(_xlfn.XLOOKUP(A21,抽卷!$A:$A,抽卷!$M:$M,,1,2)),_xlfn.XLOOKUP(A21,抽卷!$A:$A,抽卷!$M:$M,,1,2),NA())</f>
        <v>#N/A</v>
      </c>
      <c r="F21" s="70">
        <f t="shared" si="1"/>
        <v>206.70833333333334</v>
      </c>
    </row>
    <row r="22" spans="1:6" ht="15" customHeight="1" x14ac:dyDescent="0.25">
      <c r="A22" s="95">
        <f t="shared" si="2"/>
        <v>43958</v>
      </c>
      <c r="B22" s="76">
        <f>IF(ISNUMBER(_xlfn.XLOOKUP(A22,鑽量!$A:$A,鑽量!$K:$K,,1,2)),_xlfn.XLOOKUP(A22,鑽量!$A:$A,鑽量!$K:$K,,1,2),NA())</f>
        <v>24805</v>
      </c>
      <c r="C22" s="417">
        <f t="shared" si="0"/>
        <v>206.70833333333334</v>
      </c>
      <c r="D22" s="417" t="e">
        <f>IF(ISNUMBER(_xlfn.XLOOKUP(A22,抽卷!$A:$A,抽卷!$K:$K,,1,2)),_xlfn.XLOOKUP(A22,抽卷!$A:$A,抽卷!$K:$K,,1,2),NA())</f>
        <v>#N/A</v>
      </c>
      <c r="E22" s="417" t="e">
        <f>IF(ISNUMBER(_xlfn.XLOOKUP(A22,抽卷!$A:$A,抽卷!$M:$M,,1,2)),_xlfn.XLOOKUP(A22,抽卷!$A:$A,抽卷!$M:$M,,1,2),NA())</f>
        <v>#N/A</v>
      </c>
      <c r="F22" s="70">
        <f t="shared" si="1"/>
        <v>206.70833333333334</v>
      </c>
    </row>
    <row r="23" spans="1:6" ht="15" customHeight="1" x14ac:dyDescent="0.25">
      <c r="A23" s="95">
        <f t="shared" si="2"/>
        <v>43959</v>
      </c>
      <c r="B23" s="76">
        <f>IF(ISNUMBER(_xlfn.XLOOKUP(A23,鑽量!$A:$A,鑽量!$K:$K,,1,2)),_xlfn.XLOOKUP(A23,鑽量!$A:$A,鑽量!$K:$K,,1,2),NA())</f>
        <v>24980</v>
      </c>
      <c r="C23" s="417">
        <f t="shared" si="0"/>
        <v>208.16666666666666</v>
      </c>
      <c r="D23" s="417" t="e">
        <f>IF(ISNUMBER(_xlfn.XLOOKUP(A23,抽卷!$A:$A,抽卷!$K:$K,,1,2)),_xlfn.XLOOKUP(A23,抽卷!$A:$A,抽卷!$K:$K,,1,2),NA())</f>
        <v>#N/A</v>
      </c>
      <c r="E23" s="417" t="e">
        <f>IF(ISNUMBER(_xlfn.XLOOKUP(A23,抽卷!$A:$A,抽卷!$M:$M,,1,2)),_xlfn.XLOOKUP(A23,抽卷!$A:$A,抽卷!$M:$M,,1,2),NA())</f>
        <v>#N/A</v>
      </c>
      <c r="F23" s="70">
        <f t="shared" si="1"/>
        <v>208.16666666666666</v>
      </c>
    </row>
    <row r="24" spans="1:6" ht="15" customHeight="1" x14ac:dyDescent="0.25">
      <c r="A24" s="95">
        <f t="shared" si="2"/>
        <v>43960</v>
      </c>
      <c r="B24" s="76">
        <f>IF(ISNUMBER(_xlfn.XLOOKUP(A24,鑽量!$A:$A,鑽量!$K:$K,,1,2)),_xlfn.XLOOKUP(A24,鑽量!$A:$A,鑽量!$K:$K,,1,2),NA())</f>
        <v>22190</v>
      </c>
      <c r="C24" s="417">
        <f t="shared" si="0"/>
        <v>184.91666666666666</v>
      </c>
      <c r="D24" s="417" t="e">
        <f>IF(ISNUMBER(_xlfn.XLOOKUP(A24,抽卷!$A:$A,抽卷!$K:$K,,1,2)),_xlfn.XLOOKUP(A24,抽卷!$A:$A,抽卷!$K:$K,,1,2),NA())</f>
        <v>#N/A</v>
      </c>
      <c r="E24" s="417" t="e">
        <f>IF(ISNUMBER(_xlfn.XLOOKUP(A24,抽卷!$A:$A,抽卷!$M:$M,,1,2)),_xlfn.XLOOKUP(A24,抽卷!$A:$A,抽卷!$M:$M,,1,2),NA())</f>
        <v>#N/A</v>
      </c>
      <c r="F24" s="70">
        <f t="shared" si="1"/>
        <v>184.91666666666666</v>
      </c>
    </row>
    <row r="25" spans="1:6" ht="15" customHeight="1" x14ac:dyDescent="0.25">
      <c r="A25" s="95">
        <f t="shared" si="2"/>
        <v>43961</v>
      </c>
      <c r="B25" s="76">
        <f>IF(ISNUMBER(_xlfn.XLOOKUP(A25,鑽量!$A:$A,鑽量!$K:$K,,1,2)),_xlfn.XLOOKUP(A25,鑽量!$A:$A,鑽量!$K:$K,,1,2),NA())</f>
        <v>23515</v>
      </c>
      <c r="C25" s="417">
        <f t="shared" si="0"/>
        <v>195.95833333333334</v>
      </c>
      <c r="D25" s="417" t="e">
        <f>IF(ISNUMBER(_xlfn.XLOOKUP(A25,抽卷!$A:$A,抽卷!$K:$K,,1,2)),_xlfn.XLOOKUP(A25,抽卷!$A:$A,抽卷!$K:$K,,1,2),NA())</f>
        <v>#N/A</v>
      </c>
      <c r="E25" s="417" t="e">
        <f>IF(ISNUMBER(_xlfn.XLOOKUP(A25,抽卷!$A:$A,抽卷!$M:$M,,1,2)),_xlfn.XLOOKUP(A25,抽卷!$A:$A,抽卷!$M:$M,,1,2),NA())</f>
        <v>#N/A</v>
      </c>
      <c r="F25" s="70">
        <f t="shared" si="1"/>
        <v>195.95833333333334</v>
      </c>
    </row>
    <row r="26" spans="1:6" ht="15" customHeight="1" x14ac:dyDescent="0.25">
      <c r="A26" s="95">
        <f t="shared" si="2"/>
        <v>43962</v>
      </c>
      <c r="B26" s="76">
        <f>IF(ISNUMBER(_xlfn.XLOOKUP(A26,鑽量!$A:$A,鑽量!$K:$K,,1,2)),_xlfn.XLOOKUP(A26,鑽量!$A:$A,鑽量!$K:$K,,1,2),NA())</f>
        <v>23515</v>
      </c>
      <c r="C26" s="417">
        <f t="shared" si="0"/>
        <v>195.95833333333334</v>
      </c>
      <c r="D26" s="417" t="e">
        <f>IF(ISNUMBER(_xlfn.XLOOKUP(A26,抽卷!$A:$A,抽卷!$K:$K,,1,2)),_xlfn.XLOOKUP(A26,抽卷!$A:$A,抽卷!$K:$K,,1,2),NA())</f>
        <v>#N/A</v>
      </c>
      <c r="E26" s="417" t="e">
        <f>IF(ISNUMBER(_xlfn.XLOOKUP(A26,抽卷!$A:$A,抽卷!$M:$M,,1,2)),_xlfn.XLOOKUP(A26,抽卷!$A:$A,抽卷!$M:$M,,1,2),NA())</f>
        <v>#N/A</v>
      </c>
      <c r="F26" s="70">
        <f t="shared" si="1"/>
        <v>195.95833333333334</v>
      </c>
    </row>
    <row r="27" spans="1:6" ht="15" customHeight="1" x14ac:dyDescent="0.25">
      <c r="A27" s="95">
        <f t="shared" si="2"/>
        <v>43963</v>
      </c>
      <c r="B27" s="76">
        <f>IF(ISNUMBER(_xlfn.XLOOKUP(A27,鑽量!$A:$A,鑽量!$K:$K,,1,2)),_xlfn.XLOOKUP(A27,鑽量!$A:$A,鑽量!$K:$K,,1,2),NA())</f>
        <v>23515</v>
      </c>
      <c r="C27" s="417">
        <f t="shared" si="0"/>
        <v>195.95833333333334</v>
      </c>
      <c r="D27" s="417" t="e">
        <f>IF(ISNUMBER(_xlfn.XLOOKUP(A27,抽卷!$A:$A,抽卷!$K:$K,,1,2)),_xlfn.XLOOKUP(A27,抽卷!$A:$A,抽卷!$K:$K,,1,2),NA())</f>
        <v>#N/A</v>
      </c>
      <c r="E27" s="417" t="e">
        <f>IF(ISNUMBER(_xlfn.XLOOKUP(A27,抽卷!$A:$A,抽卷!$M:$M,,1,2)),_xlfn.XLOOKUP(A27,抽卷!$A:$A,抽卷!$M:$M,,1,2),NA())</f>
        <v>#N/A</v>
      </c>
      <c r="F27" s="70">
        <f t="shared" si="1"/>
        <v>195.95833333333334</v>
      </c>
    </row>
    <row r="28" spans="1:6" ht="15" customHeight="1" x14ac:dyDescent="0.25">
      <c r="A28" s="95">
        <f t="shared" si="2"/>
        <v>43964</v>
      </c>
      <c r="B28" s="76">
        <f>IF(ISNUMBER(_xlfn.XLOOKUP(A28,鑽量!$A:$A,鑽量!$K:$K,,1,2)),_xlfn.XLOOKUP(A28,鑽量!$A:$A,鑽量!$K:$K,,1,2),NA())</f>
        <v>25195</v>
      </c>
      <c r="C28" s="417">
        <f t="shared" si="0"/>
        <v>209.95833333333334</v>
      </c>
      <c r="D28" s="417" t="e">
        <f>IF(ISNUMBER(_xlfn.XLOOKUP(A28,抽卷!$A:$A,抽卷!$K:$K,,1,2)),_xlfn.XLOOKUP(A28,抽卷!$A:$A,抽卷!$K:$K,,1,2),NA())</f>
        <v>#N/A</v>
      </c>
      <c r="E28" s="417" t="e">
        <f>IF(ISNUMBER(_xlfn.XLOOKUP(A28,抽卷!$A:$A,抽卷!$M:$M,,1,2)),_xlfn.XLOOKUP(A28,抽卷!$A:$A,抽卷!$M:$M,,1,2),NA())</f>
        <v>#N/A</v>
      </c>
      <c r="F28" s="70">
        <f t="shared" si="1"/>
        <v>209.95833333333334</v>
      </c>
    </row>
    <row r="29" spans="1:6" ht="15" customHeight="1" x14ac:dyDescent="0.25">
      <c r="A29" s="95">
        <f t="shared" si="2"/>
        <v>43965</v>
      </c>
      <c r="B29" s="76">
        <f>IF(ISNUMBER(_xlfn.XLOOKUP(A29,鑽量!$A:$A,鑽量!$K:$K,,1,2)),_xlfn.XLOOKUP(A29,鑽量!$A:$A,鑽量!$K:$K,,1,2),NA())</f>
        <v>25370</v>
      </c>
      <c r="C29" s="417">
        <f t="shared" si="0"/>
        <v>211.41666666666666</v>
      </c>
      <c r="D29" s="417" t="e">
        <f>IF(ISNUMBER(_xlfn.XLOOKUP(A29,抽卷!$A:$A,抽卷!$K:$K,,1,2)),_xlfn.XLOOKUP(A29,抽卷!$A:$A,抽卷!$K:$K,,1,2),NA())</f>
        <v>#N/A</v>
      </c>
      <c r="E29" s="417" t="e">
        <f>IF(ISNUMBER(_xlfn.XLOOKUP(A29,抽卷!$A:$A,抽卷!$M:$M,,1,2)),_xlfn.XLOOKUP(A29,抽卷!$A:$A,抽卷!$M:$M,,1,2),NA())</f>
        <v>#N/A</v>
      </c>
      <c r="F29" s="70">
        <f t="shared" si="1"/>
        <v>211.41666666666666</v>
      </c>
    </row>
    <row r="30" spans="1:6" ht="15" customHeight="1" x14ac:dyDescent="0.25">
      <c r="A30" s="95">
        <f t="shared" si="2"/>
        <v>43966</v>
      </c>
      <c r="B30" s="76">
        <f>IF(ISNUMBER(_xlfn.XLOOKUP(A30,鑽量!$A:$A,鑽量!$K:$K,,1,2)),_xlfn.XLOOKUP(A30,鑽量!$A:$A,鑽量!$K:$K,,1,2),NA())</f>
        <v>23140</v>
      </c>
      <c r="C30" s="417">
        <f t="shared" si="0"/>
        <v>192.83333333333334</v>
      </c>
      <c r="D30" s="417" t="e">
        <f>IF(ISNUMBER(_xlfn.XLOOKUP(A30,抽卷!$A:$A,抽卷!$K:$K,,1,2)),_xlfn.XLOOKUP(A30,抽卷!$A:$A,抽卷!$K:$K,,1,2),NA())</f>
        <v>#N/A</v>
      </c>
      <c r="E30" s="417" t="e">
        <f>IF(ISNUMBER(_xlfn.XLOOKUP(A30,抽卷!$A:$A,抽卷!$M:$M,,1,2)),_xlfn.XLOOKUP(A30,抽卷!$A:$A,抽卷!$M:$M,,1,2),NA())</f>
        <v>#N/A</v>
      </c>
      <c r="F30" s="70">
        <f t="shared" si="1"/>
        <v>192.83333333333334</v>
      </c>
    </row>
    <row r="31" spans="1:6" ht="15" customHeight="1" x14ac:dyDescent="0.25">
      <c r="A31" s="95">
        <f t="shared" si="2"/>
        <v>43967</v>
      </c>
      <c r="B31" s="76">
        <f>IF(ISNUMBER(_xlfn.XLOOKUP(A31,鑽量!$A:$A,鑽量!$K:$K,,1,2)),_xlfn.XLOOKUP(A31,鑽量!$A:$A,鑽量!$K:$K,,1,2),NA())</f>
        <v>23140</v>
      </c>
      <c r="C31" s="417">
        <f t="shared" si="0"/>
        <v>192.83333333333334</v>
      </c>
      <c r="D31" s="417" t="e">
        <f>IF(ISNUMBER(_xlfn.XLOOKUP(A31,抽卷!$A:$A,抽卷!$K:$K,,1,2)),_xlfn.XLOOKUP(A31,抽卷!$A:$A,抽卷!$K:$K,,1,2),NA())</f>
        <v>#N/A</v>
      </c>
      <c r="E31" s="417" t="e">
        <f>IF(ISNUMBER(_xlfn.XLOOKUP(A31,抽卷!$A:$A,抽卷!$M:$M,,1,2)),_xlfn.XLOOKUP(A31,抽卷!$A:$A,抽卷!$M:$M,,1,2),NA())</f>
        <v>#N/A</v>
      </c>
      <c r="F31" s="70">
        <f t="shared" si="1"/>
        <v>192.83333333333334</v>
      </c>
    </row>
    <row r="32" spans="1:6" ht="15" customHeight="1" x14ac:dyDescent="0.25">
      <c r="A32" s="95">
        <f t="shared" si="2"/>
        <v>43968</v>
      </c>
      <c r="B32" s="76">
        <f>IF(ISNUMBER(_xlfn.XLOOKUP(A32,鑽量!$A:$A,鑽量!$K:$K,,1,2)),_xlfn.XLOOKUP(A32,鑽量!$A:$A,鑽量!$K:$K,,1,2),NA())</f>
        <v>23065</v>
      </c>
      <c r="C32" s="417">
        <f t="shared" si="0"/>
        <v>192.20833333333334</v>
      </c>
      <c r="D32" s="417" t="e">
        <f>IF(ISNUMBER(_xlfn.XLOOKUP(A32,抽卷!$A:$A,抽卷!$K:$K,,1,2)),_xlfn.XLOOKUP(A32,抽卷!$A:$A,抽卷!$K:$K,,1,2),NA())</f>
        <v>#N/A</v>
      </c>
      <c r="E32" s="417" t="e">
        <f>IF(ISNUMBER(_xlfn.XLOOKUP(A32,抽卷!$A:$A,抽卷!$M:$M,,1,2)),_xlfn.XLOOKUP(A32,抽卷!$A:$A,抽卷!$M:$M,,1,2),NA())</f>
        <v>#N/A</v>
      </c>
      <c r="F32" s="70">
        <f t="shared" si="1"/>
        <v>192.20833333333334</v>
      </c>
    </row>
    <row r="33" spans="1:6" ht="15" customHeight="1" x14ac:dyDescent="0.25">
      <c r="A33" s="95">
        <f t="shared" si="2"/>
        <v>43969</v>
      </c>
      <c r="B33" s="76">
        <f>IF(ISNUMBER(_xlfn.XLOOKUP(A33,鑽量!$A:$A,鑽量!$K:$K,,1,2)),_xlfn.XLOOKUP(A33,鑽量!$A:$A,鑽量!$K:$K,,1,2),NA())</f>
        <v>17440</v>
      </c>
      <c r="C33" s="417">
        <f t="shared" si="0"/>
        <v>145.33333333333334</v>
      </c>
      <c r="D33" s="417" t="e">
        <f>IF(ISNUMBER(_xlfn.XLOOKUP(A33,抽卷!$A:$A,抽卷!$K:$K,,1,2)),_xlfn.XLOOKUP(A33,抽卷!$A:$A,抽卷!$K:$K,,1,2),NA())</f>
        <v>#N/A</v>
      </c>
      <c r="E33" s="417" t="e">
        <f>IF(ISNUMBER(_xlfn.XLOOKUP(A33,抽卷!$A:$A,抽卷!$M:$M,,1,2)),_xlfn.XLOOKUP(A33,抽卷!$A:$A,抽卷!$M:$M,,1,2),NA())</f>
        <v>#N/A</v>
      </c>
      <c r="F33" s="70">
        <f t="shared" si="1"/>
        <v>145.33333333333334</v>
      </c>
    </row>
    <row r="34" spans="1:6" ht="15" customHeight="1" x14ac:dyDescent="0.25">
      <c r="A34" s="95">
        <f t="shared" si="2"/>
        <v>43970</v>
      </c>
      <c r="B34" s="76">
        <f>IF(ISNUMBER(_xlfn.XLOOKUP(A34,鑽量!$A:$A,鑽量!$K:$K,,1,2)),_xlfn.XLOOKUP(A34,鑽量!$A:$A,鑽量!$K:$K,,1,2),NA())</f>
        <v>17440</v>
      </c>
      <c r="C34" s="417">
        <f t="shared" si="0"/>
        <v>145.33333333333334</v>
      </c>
      <c r="D34" s="417" t="e">
        <f>IF(ISNUMBER(_xlfn.XLOOKUP(A34,抽卷!$A:$A,抽卷!$K:$K,,1,2)),_xlfn.XLOOKUP(A34,抽卷!$A:$A,抽卷!$K:$K,,1,2),NA())</f>
        <v>#N/A</v>
      </c>
      <c r="E34" s="417" t="e">
        <f>IF(ISNUMBER(_xlfn.XLOOKUP(A34,抽卷!$A:$A,抽卷!$M:$M,,1,2)),_xlfn.XLOOKUP(A34,抽卷!$A:$A,抽卷!$M:$M,,1,2),NA())</f>
        <v>#N/A</v>
      </c>
      <c r="F34" s="70">
        <f t="shared" si="1"/>
        <v>145.33333333333334</v>
      </c>
    </row>
    <row r="35" spans="1:6" ht="15" customHeight="1" x14ac:dyDescent="0.25">
      <c r="A35" s="95">
        <f t="shared" si="2"/>
        <v>43971</v>
      </c>
      <c r="B35" s="76">
        <f>IF(ISNUMBER(_xlfn.XLOOKUP(A35,鑽量!$A:$A,鑽量!$K:$K,,1,2)),_xlfn.XLOOKUP(A35,鑽量!$A:$A,鑽量!$K:$K,,1,2),NA())</f>
        <v>17440</v>
      </c>
      <c r="C35" s="417">
        <f t="shared" si="0"/>
        <v>145.33333333333334</v>
      </c>
      <c r="D35" s="417" t="e">
        <f>IF(ISNUMBER(_xlfn.XLOOKUP(A35,抽卷!$A:$A,抽卷!$K:$K,,1,2)),_xlfn.XLOOKUP(A35,抽卷!$A:$A,抽卷!$K:$K,,1,2),NA())</f>
        <v>#N/A</v>
      </c>
      <c r="E35" s="417" t="e">
        <f>IF(ISNUMBER(_xlfn.XLOOKUP(A35,抽卷!$A:$A,抽卷!$M:$M,,1,2)),_xlfn.XLOOKUP(A35,抽卷!$A:$A,抽卷!$M:$M,,1,2),NA())</f>
        <v>#N/A</v>
      </c>
      <c r="F35" s="70">
        <f t="shared" si="1"/>
        <v>145.33333333333334</v>
      </c>
    </row>
    <row r="36" spans="1:6" ht="15" customHeight="1" x14ac:dyDescent="0.25">
      <c r="A36" s="95">
        <f t="shared" si="2"/>
        <v>43972</v>
      </c>
      <c r="B36" s="76">
        <f>IF(ISNUMBER(_xlfn.XLOOKUP(A36,鑽量!$A:$A,鑽量!$K:$K,,1,2)),_xlfn.XLOOKUP(A36,鑽量!$A:$A,鑽量!$K:$K,,1,2),NA())</f>
        <v>17440</v>
      </c>
      <c r="C36" s="417">
        <f t="shared" si="0"/>
        <v>145.33333333333334</v>
      </c>
      <c r="D36" s="417" t="e">
        <f>IF(ISNUMBER(_xlfn.XLOOKUP(A36,抽卷!$A:$A,抽卷!$K:$K,,1,2)),_xlfn.XLOOKUP(A36,抽卷!$A:$A,抽卷!$K:$K,,1,2),NA())</f>
        <v>#N/A</v>
      </c>
      <c r="E36" s="417" t="e">
        <f>IF(ISNUMBER(_xlfn.XLOOKUP(A36,抽卷!$A:$A,抽卷!$M:$M,,1,2)),_xlfn.XLOOKUP(A36,抽卷!$A:$A,抽卷!$M:$M,,1,2),NA())</f>
        <v>#N/A</v>
      </c>
      <c r="F36" s="70">
        <f t="shared" si="1"/>
        <v>145.33333333333334</v>
      </c>
    </row>
    <row r="37" spans="1:6" ht="15" customHeight="1" x14ac:dyDescent="0.25">
      <c r="A37" s="95">
        <f t="shared" si="2"/>
        <v>43973</v>
      </c>
      <c r="B37" s="76">
        <f>IF(ISNUMBER(_xlfn.XLOOKUP(A37,鑽量!$A:$A,鑽量!$K:$K,,1,2)),_xlfn.XLOOKUP(A37,鑽量!$A:$A,鑽量!$K:$K,,1,2),NA())</f>
        <v>19805</v>
      </c>
      <c r="C37" s="417">
        <f t="shared" si="0"/>
        <v>165.04166666666666</v>
      </c>
      <c r="D37" s="417" t="e">
        <f>IF(ISNUMBER(_xlfn.XLOOKUP(A37,抽卷!$A:$A,抽卷!$K:$K,,1,2)),_xlfn.XLOOKUP(A37,抽卷!$A:$A,抽卷!$K:$K,,1,2),NA())</f>
        <v>#N/A</v>
      </c>
      <c r="E37" s="417" t="e">
        <f>IF(ISNUMBER(_xlfn.XLOOKUP(A37,抽卷!$A:$A,抽卷!$M:$M,,1,2)),_xlfn.XLOOKUP(A37,抽卷!$A:$A,抽卷!$M:$M,,1,2),NA())</f>
        <v>#N/A</v>
      </c>
      <c r="F37" s="70">
        <f t="shared" si="1"/>
        <v>165.04166666666666</v>
      </c>
    </row>
    <row r="38" spans="1:6" ht="15" customHeight="1" x14ac:dyDescent="0.25">
      <c r="A38" s="95">
        <f t="shared" si="2"/>
        <v>43974</v>
      </c>
      <c r="B38" s="76">
        <f>IF(ISNUMBER(_xlfn.XLOOKUP(A38,鑽量!$A:$A,鑽量!$K:$K,,1,2)),_xlfn.XLOOKUP(A38,鑽量!$A:$A,鑽量!$K:$K,,1,2),NA())</f>
        <v>19755</v>
      </c>
      <c r="C38" s="417">
        <f t="shared" si="0"/>
        <v>164.625</v>
      </c>
      <c r="D38" s="417" t="e">
        <f>IF(ISNUMBER(_xlfn.XLOOKUP(A38,抽卷!$A:$A,抽卷!$K:$K,,1,2)),_xlfn.XLOOKUP(A38,抽卷!$A:$A,抽卷!$K:$K,,1,2),NA())</f>
        <v>#N/A</v>
      </c>
      <c r="E38" s="417" t="e">
        <f>IF(ISNUMBER(_xlfn.XLOOKUP(A38,抽卷!$A:$A,抽卷!$M:$M,,1,2)),_xlfn.XLOOKUP(A38,抽卷!$A:$A,抽卷!$M:$M,,1,2),NA())</f>
        <v>#N/A</v>
      </c>
      <c r="F38" s="70">
        <f t="shared" si="1"/>
        <v>164.625</v>
      </c>
    </row>
    <row r="39" spans="1:6" ht="15" customHeight="1" x14ac:dyDescent="0.25">
      <c r="A39" s="95">
        <f t="shared" si="2"/>
        <v>43975</v>
      </c>
      <c r="B39" s="76">
        <f>IF(ISNUMBER(_xlfn.XLOOKUP(A39,鑽量!$A:$A,鑽量!$K:$K,,1,2)),_xlfn.XLOOKUP(A39,鑽量!$A:$A,鑽量!$K:$K,,1,2),NA())</f>
        <v>19755</v>
      </c>
      <c r="C39" s="417">
        <f t="shared" si="0"/>
        <v>164.625</v>
      </c>
      <c r="D39" s="417" t="e">
        <f>IF(ISNUMBER(_xlfn.XLOOKUP(A39,抽卷!$A:$A,抽卷!$K:$K,,1,2)),_xlfn.XLOOKUP(A39,抽卷!$A:$A,抽卷!$K:$K,,1,2),NA())</f>
        <v>#N/A</v>
      </c>
      <c r="E39" s="417" t="e">
        <f>IF(ISNUMBER(_xlfn.XLOOKUP(A39,抽卷!$A:$A,抽卷!$M:$M,,1,2)),_xlfn.XLOOKUP(A39,抽卷!$A:$A,抽卷!$M:$M,,1,2),NA())</f>
        <v>#N/A</v>
      </c>
      <c r="F39" s="70">
        <f t="shared" si="1"/>
        <v>164.625</v>
      </c>
    </row>
    <row r="40" spans="1:6" ht="15" customHeight="1" x14ac:dyDescent="0.25">
      <c r="A40" s="95">
        <f t="shared" si="2"/>
        <v>43976</v>
      </c>
      <c r="B40" s="76">
        <f>IF(ISNUMBER(_xlfn.XLOOKUP(A40,鑽量!$A:$A,鑽量!$K:$K,,1,2)),_xlfn.XLOOKUP(A40,鑽量!$A:$A,鑽量!$K:$K,,1,2),NA())</f>
        <v>19905</v>
      </c>
      <c r="C40" s="417">
        <f t="shared" si="0"/>
        <v>165.875</v>
      </c>
      <c r="D40" s="417" t="e">
        <f>IF(ISNUMBER(_xlfn.XLOOKUP(A40,抽卷!$A:$A,抽卷!$K:$K,,1,2)),_xlfn.XLOOKUP(A40,抽卷!$A:$A,抽卷!$K:$K,,1,2),NA())</f>
        <v>#N/A</v>
      </c>
      <c r="E40" s="417" t="e">
        <f>IF(ISNUMBER(_xlfn.XLOOKUP(A40,抽卷!$A:$A,抽卷!$M:$M,,1,2)),_xlfn.XLOOKUP(A40,抽卷!$A:$A,抽卷!$M:$M,,1,2),NA())</f>
        <v>#N/A</v>
      </c>
      <c r="F40" s="70">
        <f t="shared" si="1"/>
        <v>165.875</v>
      </c>
    </row>
    <row r="41" spans="1:6" ht="15" customHeight="1" x14ac:dyDescent="0.25">
      <c r="A41" s="95">
        <f t="shared" si="2"/>
        <v>43977</v>
      </c>
      <c r="B41" s="76">
        <f>IF(ISNUMBER(_xlfn.XLOOKUP(A41,鑽量!$A:$A,鑽量!$K:$K,,1,2)),_xlfn.XLOOKUP(A41,鑽量!$A:$A,鑽量!$K:$K,,1,2),NA())</f>
        <v>20930</v>
      </c>
      <c r="C41" s="417">
        <f t="shared" si="0"/>
        <v>174.41666666666666</v>
      </c>
      <c r="D41" s="417" t="e">
        <f>IF(ISNUMBER(_xlfn.XLOOKUP(A41,抽卷!$A:$A,抽卷!$K:$K,,1,2)),_xlfn.XLOOKUP(A41,抽卷!$A:$A,抽卷!$K:$K,,1,2),NA())</f>
        <v>#N/A</v>
      </c>
      <c r="E41" s="417" t="e">
        <f>IF(ISNUMBER(_xlfn.XLOOKUP(A41,抽卷!$A:$A,抽卷!$M:$M,,1,2)),_xlfn.XLOOKUP(A41,抽卷!$A:$A,抽卷!$M:$M,,1,2),NA())</f>
        <v>#N/A</v>
      </c>
      <c r="F41" s="70">
        <f t="shared" si="1"/>
        <v>174.41666666666666</v>
      </c>
    </row>
    <row r="42" spans="1:6" ht="15" customHeight="1" x14ac:dyDescent="0.25">
      <c r="A42" s="95">
        <f t="shared" si="2"/>
        <v>43978</v>
      </c>
      <c r="B42" s="76">
        <f>IF(ISNUMBER(_xlfn.XLOOKUP(A42,鑽量!$A:$A,鑽量!$K:$K,,1,2)),_xlfn.XLOOKUP(A42,鑽量!$A:$A,鑽量!$K:$K,,1,2),NA())</f>
        <v>20930</v>
      </c>
      <c r="C42" s="417">
        <f t="shared" si="0"/>
        <v>174.41666666666666</v>
      </c>
      <c r="D42" s="417" t="e">
        <f>IF(ISNUMBER(_xlfn.XLOOKUP(A42,抽卷!$A:$A,抽卷!$K:$K,,1,2)),_xlfn.XLOOKUP(A42,抽卷!$A:$A,抽卷!$K:$K,,1,2),NA())</f>
        <v>#N/A</v>
      </c>
      <c r="E42" s="417" t="e">
        <f>IF(ISNUMBER(_xlfn.XLOOKUP(A42,抽卷!$A:$A,抽卷!$M:$M,,1,2)),_xlfn.XLOOKUP(A42,抽卷!$A:$A,抽卷!$M:$M,,1,2),NA())</f>
        <v>#N/A</v>
      </c>
      <c r="F42" s="70">
        <f t="shared" si="1"/>
        <v>174.41666666666666</v>
      </c>
    </row>
    <row r="43" spans="1:6" ht="15" customHeight="1" x14ac:dyDescent="0.25">
      <c r="A43" s="95">
        <f t="shared" si="2"/>
        <v>43979</v>
      </c>
      <c r="B43" s="76">
        <f>IF(ISNUMBER(_xlfn.XLOOKUP(A43,鑽量!$A:$A,鑽量!$K:$K,,1,2)),_xlfn.XLOOKUP(A43,鑽量!$A:$A,鑽量!$K:$K,,1,2),NA())</f>
        <v>24545</v>
      </c>
      <c r="C43" s="417">
        <f t="shared" si="0"/>
        <v>204.54166666666666</v>
      </c>
      <c r="D43" s="417" t="e">
        <f>IF(ISNUMBER(_xlfn.XLOOKUP(A43,抽卷!$A:$A,抽卷!$K:$K,,1,2)),_xlfn.XLOOKUP(A43,抽卷!$A:$A,抽卷!$K:$K,,1,2),NA())</f>
        <v>#N/A</v>
      </c>
      <c r="E43" s="417" t="e">
        <f>IF(ISNUMBER(_xlfn.XLOOKUP(A43,抽卷!$A:$A,抽卷!$M:$M,,1,2)),_xlfn.XLOOKUP(A43,抽卷!$A:$A,抽卷!$M:$M,,1,2),NA())</f>
        <v>#N/A</v>
      </c>
      <c r="F43" s="70">
        <f t="shared" si="1"/>
        <v>204.54166666666666</v>
      </c>
    </row>
    <row r="44" spans="1:6" ht="15" customHeight="1" x14ac:dyDescent="0.25">
      <c r="A44" s="95">
        <f t="shared" si="2"/>
        <v>43980</v>
      </c>
      <c r="B44" s="76">
        <f>IF(ISNUMBER(_xlfn.XLOOKUP(A44,鑽量!$A:$A,鑽量!$K:$K,,1,2)),_xlfn.XLOOKUP(A44,鑽量!$A:$A,鑽量!$K:$K,,1,2),NA())</f>
        <v>24545</v>
      </c>
      <c r="C44" s="417">
        <f t="shared" si="0"/>
        <v>204.54166666666666</v>
      </c>
      <c r="D44" s="417" t="e">
        <f>IF(ISNUMBER(_xlfn.XLOOKUP(A44,抽卷!$A:$A,抽卷!$K:$K,,1,2)),_xlfn.XLOOKUP(A44,抽卷!$A:$A,抽卷!$K:$K,,1,2),NA())</f>
        <v>#N/A</v>
      </c>
      <c r="E44" s="417" t="e">
        <f>IF(ISNUMBER(_xlfn.XLOOKUP(A44,抽卷!$A:$A,抽卷!$M:$M,,1,2)),_xlfn.XLOOKUP(A44,抽卷!$A:$A,抽卷!$M:$M,,1,2),NA())</f>
        <v>#N/A</v>
      </c>
      <c r="F44" s="70">
        <f t="shared" si="1"/>
        <v>204.54166666666666</v>
      </c>
    </row>
    <row r="45" spans="1:6" ht="15" customHeight="1" x14ac:dyDescent="0.25">
      <c r="A45" s="95">
        <f t="shared" si="2"/>
        <v>43981</v>
      </c>
      <c r="B45" s="76">
        <f>IF(ISNUMBER(_xlfn.XLOOKUP(A45,鑽量!$A:$A,鑽量!$K:$K,,1,2)),_xlfn.XLOOKUP(A45,鑽量!$A:$A,鑽量!$K:$K,,1,2),NA())</f>
        <v>24545</v>
      </c>
      <c r="C45" s="417">
        <f t="shared" si="0"/>
        <v>204.54166666666666</v>
      </c>
      <c r="D45" s="417" t="e">
        <f>IF(ISNUMBER(_xlfn.XLOOKUP(A45,抽卷!$A:$A,抽卷!$K:$K,,1,2)),_xlfn.XLOOKUP(A45,抽卷!$A:$A,抽卷!$K:$K,,1,2),NA())</f>
        <v>#N/A</v>
      </c>
      <c r="E45" s="417" t="e">
        <f>IF(ISNUMBER(_xlfn.XLOOKUP(A45,抽卷!$A:$A,抽卷!$M:$M,,1,2)),_xlfn.XLOOKUP(A45,抽卷!$A:$A,抽卷!$M:$M,,1,2),NA())</f>
        <v>#N/A</v>
      </c>
      <c r="F45" s="70">
        <f t="shared" si="1"/>
        <v>204.54166666666666</v>
      </c>
    </row>
    <row r="46" spans="1:6" ht="15" customHeight="1" x14ac:dyDescent="0.25">
      <c r="A46" s="95">
        <f t="shared" si="2"/>
        <v>43982</v>
      </c>
      <c r="B46" s="76">
        <f>IF(ISNUMBER(_xlfn.XLOOKUP(A46,鑽量!$A:$A,鑽量!$K:$K,,1,2)),_xlfn.XLOOKUP(A46,鑽量!$A:$A,鑽量!$K:$K,,1,2),NA())</f>
        <v>24220</v>
      </c>
      <c r="C46" s="417">
        <f t="shared" si="0"/>
        <v>201.83333333333334</v>
      </c>
      <c r="D46" s="417" t="e">
        <f>IF(ISNUMBER(_xlfn.XLOOKUP(A46,抽卷!$A:$A,抽卷!$K:$K,,1,2)),_xlfn.XLOOKUP(A46,抽卷!$A:$A,抽卷!$K:$K,,1,2),NA())</f>
        <v>#N/A</v>
      </c>
      <c r="E46" s="417" t="e">
        <f>IF(ISNUMBER(_xlfn.XLOOKUP(A46,抽卷!$A:$A,抽卷!$M:$M,,1,2)),_xlfn.XLOOKUP(A46,抽卷!$A:$A,抽卷!$M:$M,,1,2),NA())</f>
        <v>#N/A</v>
      </c>
      <c r="F46" s="70">
        <f t="shared" si="1"/>
        <v>201.83333333333334</v>
      </c>
    </row>
    <row r="47" spans="1:6" ht="15" customHeight="1" x14ac:dyDescent="0.25">
      <c r="A47" s="95">
        <f t="shared" si="2"/>
        <v>43983</v>
      </c>
      <c r="B47" s="76">
        <f>IF(ISNUMBER(_xlfn.XLOOKUP(A47,鑽量!$A:$A,鑽量!$K:$K,,1,2)),_xlfn.XLOOKUP(A47,鑽量!$A:$A,鑽量!$K:$K,,1,2),NA())</f>
        <v>24220</v>
      </c>
      <c r="C47" s="417">
        <f t="shared" si="0"/>
        <v>201.83333333333334</v>
      </c>
      <c r="D47" s="417" t="e">
        <f>IF(ISNUMBER(_xlfn.XLOOKUP(A47,抽卷!$A:$A,抽卷!$K:$K,,1,2)),_xlfn.XLOOKUP(A47,抽卷!$A:$A,抽卷!$K:$K,,1,2),NA())</f>
        <v>#N/A</v>
      </c>
      <c r="E47" s="417" t="e">
        <f>IF(ISNUMBER(_xlfn.XLOOKUP(A47,抽卷!$A:$A,抽卷!$M:$M,,1,2)),_xlfn.XLOOKUP(A47,抽卷!$A:$A,抽卷!$M:$M,,1,2),NA())</f>
        <v>#N/A</v>
      </c>
      <c r="F47" s="70">
        <f t="shared" si="1"/>
        <v>201.83333333333334</v>
      </c>
    </row>
    <row r="48" spans="1:6" ht="15" customHeight="1" x14ac:dyDescent="0.25">
      <c r="A48" s="95">
        <f t="shared" si="2"/>
        <v>43984</v>
      </c>
      <c r="B48" s="76">
        <f>IF(ISNUMBER(_xlfn.XLOOKUP(A48,鑽量!$A:$A,鑽量!$K:$K,,1,2)),_xlfn.XLOOKUP(A48,鑽量!$A:$A,鑽量!$K:$K,,1,2),NA())</f>
        <v>24220</v>
      </c>
      <c r="C48" s="417">
        <f t="shared" si="0"/>
        <v>201.83333333333334</v>
      </c>
      <c r="D48" s="417" t="e">
        <f>IF(ISNUMBER(_xlfn.XLOOKUP(A48,抽卷!$A:$A,抽卷!$K:$K,,1,2)),_xlfn.XLOOKUP(A48,抽卷!$A:$A,抽卷!$K:$K,,1,2),NA())</f>
        <v>#N/A</v>
      </c>
      <c r="E48" s="417" t="e">
        <f>IF(ISNUMBER(_xlfn.XLOOKUP(A48,抽卷!$A:$A,抽卷!$M:$M,,1,2)),_xlfn.XLOOKUP(A48,抽卷!$A:$A,抽卷!$M:$M,,1,2),NA())</f>
        <v>#N/A</v>
      </c>
      <c r="F48" s="70">
        <f t="shared" si="1"/>
        <v>201.83333333333334</v>
      </c>
    </row>
    <row r="49" spans="1:6" ht="15" customHeight="1" x14ac:dyDescent="0.25">
      <c r="A49" s="95">
        <f t="shared" si="2"/>
        <v>43985</v>
      </c>
      <c r="B49" s="76">
        <f>IF(ISNUMBER(_xlfn.XLOOKUP(A49,鑽量!$A:$A,鑽量!$K:$K,,1,2)),_xlfn.XLOOKUP(A49,鑽量!$A:$A,鑽量!$K:$K,,1,2),NA())</f>
        <v>23170</v>
      </c>
      <c r="C49" s="417">
        <f t="shared" si="0"/>
        <v>193.08333333333334</v>
      </c>
      <c r="D49" s="417" t="e">
        <f>IF(ISNUMBER(_xlfn.XLOOKUP(A49,抽卷!$A:$A,抽卷!$K:$K,,1,2)),_xlfn.XLOOKUP(A49,抽卷!$A:$A,抽卷!$K:$K,,1,2),NA())</f>
        <v>#N/A</v>
      </c>
      <c r="E49" s="417" t="e">
        <f>IF(ISNUMBER(_xlfn.XLOOKUP(A49,抽卷!$A:$A,抽卷!$M:$M,,1,2)),_xlfn.XLOOKUP(A49,抽卷!$A:$A,抽卷!$M:$M,,1,2),NA())</f>
        <v>#N/A</v>
      </c>
      <c r="F49" s="70">
        <f t="shared" si="1"/>
        <v>193.08333333333334</v>
      </c>
    </row>
    <row r="50" spans="1:6" ht="15" customHeight="1" x14ac:dyDescent="0.25">
      <c r="A50" s="95">
        <f t="shared" si="2"/>
        <v>43986</v>
      </c>
      <c r="B50" s="76">
        <f>IF(ISNUMBER(_xlfn.XLOOKUP(A50,鑽量!$A:$A,鑽量!$K:$K,,1,2)),_xlfn.XLOOKUP(A50,鑽量!$A:$A,鑽量!$K:$K,,1,2),NA())</f>
        <v>23170</v>
      </c>
      <c r="C50" s="417">
        <f t="shared" si="0"/>
        <v>193.08333333333334</v>
      </c>
      <c r="D50" s="417" t="e">
        <f>IF(ISNUMBER(_xlfn.XLOOKUP(A50,抽卷!$A:$A,抽卷!$K:$K,,1,2)),_xlfn.XLOOKUP(A50,抽卷!$A:$A,抽卷!$K:$K,,1,2),NA())</f>
        <v>#N/A</v>
      </c>
      <c r="E50" s="417" t="e">
        <f>IF(ISNUMBER(_xlfn.XLOOKUP(A50,抽卷!$A:$A,抽卷!$M:$M,,1,2)),_xlfn.XLOOKUP(A50,抽卷!$A:$A,抽卷!$M:$M,,1,2),NA())</f>
        <v>#N/A</v>
      </c>
      <c r="F50" s="70">
        <f t="shared" si="1"/>
        <v>193.08333333333334</v>
      </c>
    </row>
    <row r="51" spans="1:6" ht="15" customHeight="1" x14ac:dyDescent="0.25">
      <c r="A51" s="95">
        <f t="shared" si="2"/>
        <v>43987</v>
      </c>
      <c r="B51" s="76">
        <f>IF(ISNUMBER(_xlfn.XLOOKUP(A51,鑽量!$A:$A,鑽量!$K:$K,,1,2)),_xlfn.XLOOKUP(A51,鑽量!$A:$A,鑽量!$K:$K,,1,2),NA())</f>
        <v>23420</v>
      </c>
      <c r="C51" s="417">
        <f t="shared" si="0"/>
        <v>195.16666666666666</v>
      </c>
      <c r="D51" s="417" t="e">
        <f>IF(ISNUMBER(_xlfn.XLOOKUP(A51,抽卷!$A:$A,抽卷!$K:$K,,1,2)),_xlfn.XLOOKUP(A51,抽卷!$A:$A,抽卷!$K:$K,,1,2),NA())</f>
        <v>#N/A</v>
      </c>
      <c r="E51" s="417" t="e">
        <f>IF(ISNUMBER(_xlfn.XLOOKUP(A51,抽卷!$A:$A,抽卷!$M:$M,,1,2)),_xlfn.XLOOKUP(A51,抽卷!$A:$A,抽卷!$M:$M,,1,2),NA())</f>
        <v>#N/A</v>
      </c>
      <c r="F51" s="70">
        <f t="shared" si="1"/>
        <v>195.16666666666666</v>
      </c>
    </row>
    <row r="52" spans="1:6" ht="15" customHeight="1" x14ac:dyDescent="0.25">
      <c r="A52" s="95">
        <f t="shared" si="2"/>
        <v>43988</v>
      </c>
      <c r="B52" s="76">
        <f>IF(ISNUMBER(_xlfn.XLOOKUP(A52,鑽量!$A:$A,鑽量!$K:$K,,1,2)),_xlfn.XLOOKUP(A52,鑽量!$A:$A,鑽量!$K:$K,,1,2),NA())</f>
        <v>21120</v>
      </c>
      <c r="C52" s="417">
        <f t="shared" si="0"/>
        <v>176</v>
      </c>
      <c r="D52" s="417" t="e">
        <f>IF(ISNUMBER(_xlfn.XLOOKUP(A52,抽卷!$A:$A,抽卷!$K:$K,,1,2)),_xlfn.XLOOKUP(A52,抽卷!$A:$A,抽卷!$K:$K,,1,2),NA())</f>
        <v>#N/A</v>
      </c>
      <c r="E52" s="417" t="e">
        <f>IF(ISNUMBER(_xlfn.XLOOKUP(A52,抽卷!$A:$A,抽卷!$M:$M,,1,2)),_xlfn.XLOOKUP(A52,抽卷!$A:$A,抽卷!$M:$M,,1,2),NA())</f>
        <v>#N/A</v>
      </c>
      <c r="F52" s="70">
        <f t="shared" si="1"/>
        <v>176</v>
      </c>
    </row>
    <row r="53" spans="1:6" ht="15" customHeight="1" x14ac:dyDescent="0.25">
      <c r="A53" s="95">
        <f t="shared" si="2"/>
        <v>43989</v>
      </c>
      <c r="B53" s="76">
        <f>IF(ISNUMBER(_xlfn.XLOOKUP(A53,鑽量!$A:$A,鑽量!$K:$K,,1,2)),_xlfn.XLOOKUP(A53,鑽量!$A:$A,鑽量!$K:$K,,1,2),NA())</f>
        <v>20745</v>
      </c>
      <c r="C53" s="417">
        <f t="shared" si="0"/>
        <v>172.875</v>
      </c>
      <c r="D53" s="417" t="e">
        <f>IF(ISNUMBER(_xlfn.XLOOKUP(A53,抽卷!$A:$A,抽卷!$K:$K,,1,2)),_xlfn.XLOOKUP(A53,抽卷!$A:$A,抽卷!$K:$K,,1,2),NA())</f>
        <v>#N/A</v>
      </c>
      <c r="E53" s="417" t="e">
        <f>IF(ISNUMBER(_xlfn.XLOOKUP(A53,抽卷!$A:$A,抽卷!$M:$M,,1,2)),_xlfn.XLOOKUP(A53,抽卷!$A:$A,抽卷!$M:$M,,1,2),NA())</f>
        <v>#N/A</v>
      </c>
      <c r="F53" s="70">
        <f t="shared" si="1"/>
        <v>172.875</v>
      </c>
    </row>
    <row r="54" spans="1:6" ht="15" customHeight="1" x14ac:dyDescent="0.25">
      <c r="A54" s="95">
        <f t="shared" si="2"/>
        <v>43990</v>
      </c>
      <c r="B54" s="76">
        <f>IF(ISNUMBER(_xlfn.XLOOKUP(A54,鑽量!$A:$A,鑽量!$K:$K,,1,2)),_xlfn.XLOOKUP(A54,鑽量!$A:$A,鑽量!$K:$K,,1,2),NA())</f>
        <v>21095</v>
      </c>
      <c r="C54" s="417">
        <f t="shared" si="0"/>
        <v>175.79166666666666</v>
      </c>
      <c r="D54" s="417" t="e">
        <f>IF(ISNUMBER(_xlfn.XLOOKUP(A54,抽卷!$A:$A,抽卷!$K:$K,,1,2)),_xlfn.XLOOKUP(A54,抽卷!$A:$A,抽卷!$K:$K,,1,2),NA())</f>
        <v>#N/A</v>
      </c>
      <c r="E54" s="417" t="e">
        <f>IF(ISNUMBER(_xlfn.XLOOKUP(A54,抽卷!$A:$A,抽卷!$M:$M,,1,2)),_xlfn.XLOOKUP(A54,抽卷!$A:$A,抽卷!$M:$M,,1,2),NA())</f>
        <v>#N/A</v>
      </c>
      <c r="F54" s="70">
        <f t="shared" si="1"/>
        <v>175.79166666666666</v>
      </c>
    </row>
    <row r="55" spans="1:6" ht="15" customHeight="1" x14ac:dyDescent="0.25">
      <c r="A55" s="95">
        <f t="shared" si="2"/>
        <v>43991</v>
      </c>
      <c r="B55" s="76">
        <f>IF(ISNUMBER(_xlfn.XLOOKUP(A55,鑽量!$A:$A,鑽量!$K:$K,,1,2)),_xlfn.XLOOKUP(A55,鑽量!$A:$A,鑽量!$K:$K,,1,2),NA())</f>
        <v>20785</v>
      </c>
      <c r="C55" s="417">
        <f t="shared" si="0"/>
        <v>173.20833333333334</v>
      </c>
      <c r="D55" s="417" t="e">
        <f>IF(ISNUMBER(_xlfn.XLOOKUP(A55,抽卷!$A:$A,抽卷!$K:$K,,1,2)),_xlfn.XLOOKUP(A55,抽卷!$A:$A,抽卷!$K:$K,,1,2),NA())</f>
        <v>#N/A</v>
      </c>
      <c r="E55" s="417" t="e">
        <f>IF(ISNUMBER(_xlfn.XLOOKUP(A55,抽卷!$A:$A,抽卷!$M:$M,,1,2)),_xlfn.XLOOKUP(A55,抽卷!$A:$A,抽卷!$M:$M,,1,2),NA())</f>
        <v>#N/A</v>
      </c>
      <c r="F55" s="70">
        <f t="shared" si="1"/>
        <v>173.20833333333334</v>
      </c>
    </row>
    <row r="56" spans="1:6" ht="15" customHeight="1" x14ac:dyDescent="0.25">
      <c r="A56" s="95">
        <f t="shared" si="2"/>
        <v>43992</v>
      </c>
      <c r="B56" s="76">
        <f>IF(ISNUMBER(_xlfn.XLOOKUP(A56,鑽量!$A:$A,鑽量!$K:$K,,1,2)),_xlfn.XLOOKUP(A56,鑽量!$A:$A,鑽量!$K:$K,,1,2),NA())</f>
        <v>18885</v>
      </c>
      <c r="C56" s="417">
        <f t="shared" si="0"/>
        <v>157.375</v>
      </c>
      <c r="D56" s="417" t="e">
        <f>IF(ISNUMBER(_xlfn.XLOOKUP(A56,抽卷!$A:$A,抽卷!$K:$K,,1,2)),_xlfn.XLOOKUP(A56,抽卷!$A:$A,抽卷!$K:$K,,1,2),NA())</f>
        <v>#N/A</v>
      </c>
      <c r="E56" s="417" t="e">
        <f>IF(ISNUMBER(_xlfn.XLOOKUP(A56,抽卷!$A:$A,抽卷!$M:$M,,1,2)),_xlfn.XLOOKUP(A56,抽卷!$A:$A,抽卷!$M:$M,,1,2),NA())</f>
        <v>#N/A</v>
      </c>
      <c r="F56" s="70">
        <f t="shared" si="1"/>
        <v>157.375</v>
      </c>
    </row>
    <row r="57" spans="1:6" ht="15" customHeight="1" x14ac:dyDescent="0.25">
      <c r="A57" s="95">
        <f t="shared" si="2"/>
        <v>43993</v>
      </c>
      <c r="B57" s="76">
        <f>IF(ISNUMBER(_xlfn.XLOOKUP(A57,鑽量!$A:$A,鑽量!$K:$K,,1,2)),_xlfn.XLOOKUP(A57,鑽量!$A:$A,鑽量!$K:$K,,1,2),NA())</f>
        <v>19995</v>
      </c>
      <c r="C57" s="417">
        <f t="shared" si="0"/>
        <v>166.625</v>
      </c>
      <c r="D57" s="417" t="e">
        <f>IF(ISNUMBER(_xlfn.XLOOKUP(A57,抽卷!$A:$A,抽卷!$K:$K,,1,2)),_xlfn.XLOOKUP(A57,抽卷!$A:$A,抽卷!$K:$K,,1,2),NA())</f>
        <v>#N/A</v>
      </c>
      <c r="E57" s="417" t="e">
        <f>IF(ISNUMBER(_xlfn.XLOOKUP(A57,抽卷!$A:$A,抽卷!$M:$M,,1,2)),_xlfn.XLOOKUP(A57,抽卷!$A:$A,抽卷!$M:$M,,1,2),NA())</f>
        <v>#N/A</v>
      </c>
      <c r="F57" s="70">
        <f t="shared" si="1"/>
        <v>166.625</v>
      </c>
    </row>
    <row r="58" spans="1:6" ht="15" customHeight="1" x14ac:dyDescent="0.25">
      <c r="A58" s="95">
        <f t="shared" si="2"/>
        <v>43994</v>
      </c>
      <c r="B58" s="76">
        <f>IF(ISNUMBER(_xlfn.XLOOKUP(A58,鑽量!$A:$A,鑽量!$K:$K,,1,2)),_xlfn.XLOOKUP(A58,鑽量!$A:$A,鑽量!$K:$K,,1,2),NA())</f>
        <v>19995</v>
      </c>
      <c r="C58" s="417">
        <f t="shared" si="0"/>
        <v>166.625</v>
      </c>
      <c r="D58" s="417" t="e">
        <f>IF(ISNUMBER(_xlfn.XLOOKUP(A58,抽卷!$A:$A,抽卷!$K:$K,,1,2)),_xlfn.XLOOKUP(A58,抽卷!$A:$A,抽卷!$K:$K,,1,2),NA())</f>
        <v>#N/A</v>
      </c>
      <c r="E58" s="417" t="e">
        <f>IF(ISNUMBER(_xlfn.XLOOKUP(A58,抽卷!$A:$A,抽卷!$M:$M,,1,2)),_xlfn.XLOOKUP(A58,抽卷!$A:$A,抽卷!$M:$M,,1,2),NA())</f>
        <v>#N/A</v>
      </c>
      <c r="F58" s="70">
        <f t="shared" si="1"/>
        <v>166.625</v>
      </c>
    </row>
    <row r="59" spans="1:6" ht="15" customHeight="1" x14ac:dyDescent="0.25">
      <c r="A59" s="95">
        <f t="shared" si="2"/>
        <v>43995</v>
      </c>
      <c r="B59" s="76">
        <f>IF(ISNUMBER(_xlfn.XLOOKUP(A59,鑽量!$A:$A,鑽量!$K:$K,,1,2)),_xlfn.XLOOKUP(A59,鑽量!$A:$A,鑽量!$K:$K,,1,2),NA())</f>
        <v>18540</v>
      </c>
      <c r="C59" s="417">
        <f t="shared" si="0"/>
        <v>154.5</v>
      </c>
      <c r="D59" s="417" t="e">
        <f>IF(ISNUMBER(_xlfn.XLOOKUP(A59,抽卷!$A:$A,抽卷!$K:$K,,1,2)),_xlfn.XLOOKUP(A59,抽卷!$A:$A,抽卷!$K:$K,,1,2),NA())</f>
        <v>#N/A</v>
      </c>
      <c r="E59" s="417" t="e">
        <f>IF(ISNUMBER(_xlfn.XLOOKUP(A59,抽卷!$A:$A,抽卷!$M:$M,,1,2)),_xlfn.XLOOKUP(A59,抽卷!$A:$A,抽卷!$M:$M,,1,2),NA())</f>
        <v>#N/A</v>
      </c>
      <c r="F59" s="70">
        <f t="shared" si="1"/>
        <v>154.5</v>
      </c>
    </row>
    <row r="60" spans="1:6" ht="15" customHeight="1" x14ac:dyDescent="0.25">
      <c r="A60" s="95">
        <f t="shared" si="2"/>
        <v>43996</v>
      </c>
      <c r="B60" s="76">
        <f>IF(ISNUMBER(_xlfn.XLOOKUP(A60,鑽量!$A:$A,鑽量!$K:$K,,1,2)),_xlfn.XLOOKUP(A60,鑽量!$A:$A,鑽量!$K:$K,,1,2),NA())</f>
        <v>18425</v>
      </c>
      <c r="C60" s="417">
        <f t="shared" si="0"/>
        <v>153.54166666666666</v>
      </c>
      <c r="D60" s="417" t="e">
        <f>IF(ISNUMBER(_xlfn.XLOOKUP(A60,抽卷!$A:$A,抽卷!$K:$K,,1,2)),_xlfn.XLOOKUP(A60,抽卷!$A:$A,抽卷!$K:$K,,1,2),NA())</f>
        <v>#N/A</v>
      </c>
      <c r="E60" s="417" t="e">
        <f>IF(ISNUMBER(_xlfn.XLOOKUP(A60,抽卷!$A:$A,抽卷!$M:$M,,1,2)),_xlfn.XLOOKUP(A60,抽卷!$A:$A,抽卷!$M:$M,,1,2),NA())</f>
        <v>#N/A</v>
      </c>
      <c r="F60" s="70">
        <f t="shared" si="1"/>
        <v>153.54166666666666</v>
      </c>
    </row>
    <row r="61" spans="1:6" ht="15" customHeight="1" x14ac:dyDescent="0.25">
      <c r="A61" s="95">
        <f t="shared" si="2"/>
        <v>43997</v>
      </c>
      <c r="B61" s="76">
        <f>IF(ISNUMBER(_xlfn.XLOOKUP(A61,鑽量!$A:$A,鑽量!$K:$K,,1,2)),_xlfn.XLOOKUP(A61,鑽量!$A:$A,鑽量!$K:$K,,1,2),NA())</f>
        <v>18035</v>
      </c>
      <c r="C61" s="417">
        <f t="shared" si="0"/>
        <v>150.29166666666666</v>
      </c>
      <c r="D61" s="417" t="e">
        <f>IF(ISNUMBER(_xlfn.XLOOKUP(A61,抽卷!$A:$A,抽卷!$K:$K,,1,2)),_xlfn.XLOOKUP(A61,抽卷!$A:$A,抽卷!$K:$K,,1,2),NA())</f>
        <v>#N/A</v>
      </c>
      <c r="E61" s="417" t="e">
        <f>IF(ISNUMBER(_xlfn.XLOOKUP(A61,抽卷!$A:$A,抽卷!$M:$M,,1,2)),_xlfn.XLOOKUP(A61,抽卷!$A:$A,抽卷!$M:$M,,1,2),NA())</f>
        <v>#N/A</v>
      </c>
      <c r="F61" s="70">
        <f t="shared" si="1"/>
        <v>150.29166666666666</v>
      </c>
    </row>
    <row r="62" spans="1:6" ht="15" customHeight="1" x14ac:dyDescent="0.25">
      <c r="A62" s="95">
        <f t="shared" si="2"/>
        <v>43998</v>
      </c>
      <c r="B62" s="76">
        <f>IF(ISNUMBER(_xlfn.XLOOKUP(A62,鑽量!$A:$A,鑽量!$K:$K,,1,2)),_xlfn.XLOOKUP(A62,鑽量!$A:$A,鑽量!$K:$K,,1,2),NA())</f>
        <v>18035</v>
      </c>
      <c r="C62" s="417">
        <f t="shared" si="0"/>
        <v>150.29166666666666</v>
      </c>
      <c r="D62" s="417" t="e">
        <f>IF(ISNUMBER(_xlfn.XLOOKUP(A62,抽卷!$A:$A,抽卷!$K:$K,,1,2)),_xlfn.XLOOKUP(A62,抽卷!$A:$A,抽卷!$K:$K,,1,2),NA())</f>
        <v>#N/A</v>
      </c>
      <c r="E62" s="417" t="e">
        <f>IF(ISNUMBER(_xlfn.XLOOKUP(A62,抽卷!$A:$A,抽卷!$M:$M,,1,2)),_xlfn.XLOOKUP(A62,抽卷!$A:$A,抽卷!$M:$M,,1,2),NA())</f>
        <v>#N/A</v>
      </c>
      <c r="F62" s="70">
        <f t="shared" si="1"/>
        <v>150.29166666666666</v>
      </c>
    </row>
    <row r="63" spans="1:6" ht="15" customHeight="1" x14ac:dyDescent="0.25">
      <c r="A63" s="95">
        <f t="shared" si="2"/>
        <v>43999</v>
      </c>
      <c r="B63" s="76">
        <f>IF(ISNUMBER(_xlfn.XLOOKUP(A63,鑽量!$A:$A,鑽量!$K:$K,,1,2)),_xlfn.XLOOKUP(A63,鑽量!$A:$A,鑽量!$K:$K,,1,2),NA())</f>
        <v>18080</v>
      </c>
      <c r="C63" s="417">
        <f t="shared" si="0"/>
        <v>150.66666666666666</v>
      </c>
      <c r="D63" s="417" t="e">
        <f>IF(ISNUMBER(_xlfn.XLOOKUP(A63,抽卷!$A:$A,抽卷!$K:$K,,1,2)),_xlfn.XLOOKUP(A63,抽卷!$A:$A,抽卷!$K:$K,,1,2),NA())</f>
        <v>#N/A</v>
      </c>
      <c r="E63" s="417" t="e">
        <f>IF(ISNUMBER(_xlfn.XLOOKUP(A63,抽卷!$A:$A,抽卷!$M:$M,,1,2)),_xlfn.XLOOKUP(A63,抽卷!$A:$A,抽卷!$M:$M,,1,2),NA())</f>
        <v>#N/A</v>
      </c>
      <c r="F63" s="70">
        <f t="shared" si="1"/>
        <v>150.66666666666666</v>
      </c>
    </row>
    <row r="64" spans="1:6" ht="15" customHeight="1" x14ac:dyDescent="0.25">
      <c r="A64" s="95">
        <f t="shared" si="2"/>
        <v>44000</v>
      </c>
      <c r="B64" s="76">
        <f>IF(ISNUMBER(_xlfn.XLOOKUP(A64,鑽量!$A:$A,鑽量!$K:$K,,1,2)),_xlfn.XLOOKUP(A64,鑽量!$A:$A,鑽量!$K:$K,,1,2),NA())</f>
        <v>18440</v>
      </c>
      <c r="C64" s="417">
        <f t="shared" si="0"/>
        <v>153.66666666666666</v>
      </c>
      <c r="D64" s="417" t="e">
        <f>IF(ISNUMBER(_xlfn.XLOOKUP(A64,抽卷!$A:$A,抽卷!$K:$K,,1,2)),_xlfn.XLOOKUP(A64,抽卷!$A:$A,抽卷!$K:$K,,1,2),NA())</f>
        <v>#N/A</v>
      </c>
      <c r="E64" s="417" t="e">
        <f>IF(ISNUMBER(_xlfn.XLOOKUP(A64,抽卷!$A:$A,抽卷!$M:$M,,1,2)),_xlfn.XLOOKUP(A64,抽卷!$A:$A,抽卷!$M:$M,,1,2),NA())</f>
        <v>#N/A</v>
      </c>
      <c r="F64" s="70">
        <f t="shared" si="1"/>
        <v>153.66666666666666</v>
      </c>
    </row>
    <row r="65" spans="1:6" ht="15" customHeight="1" x14ac:dyDescent="0.25">
      <c r="A65" s="95">
        <f t="shared" si="2"/>
        <v>44001</v>
      </c>
      <c r="B65" s="76">
        <f>IF(ISNUMBER(_xlfn.XLOOKUP(A65,鑽量!$A:$A,鑽量!$K:$K,,1,2)),_xlfn.XLOOKUP(A65,鑽量!$A:$A,鑽量!$K:$K,,1,2),NA())</f>
        <v>20490</v>
      </c>
      <c r="C65" s="417">
        <f t="shared" si="0"/>
        <v>170.75</v>
      </c>
      <c r="D65" s="417" t="e">
        <f>IF(ISNUMBER(_xlfn.XLOOKUP(A65,抽卷!$A:$A,抽卷!$K:$K,,1,2)),_xlfn.XLOOKUP(A65,抽卷!$A:$A,抽卷!$K:$K,,1,2),NA())</f>
        <v>#N/A</v>
      </c>
      <c r="E65" s="417" t="e">
        <f>IF(ISNUMBER(_xlfn.XLOOKUP(A65,抽卷!$A:$A,抽卷!$M:$M,,1,2)),_xlfn.XLOOKUP(A65,抽卷!$A:$A,抽卷!$M:$M,,1,2),NA())</f>
        <v>#N/A</v>
      </c>
      <c r="F65" s="70">
        <f t="shared" si="1"/>
        <v>170.75</v>
      </c>
    </row>
    <row r="66" spans="1:6" ht="15" customHeight="1" x14ac:dyDescent="0.25">
      <c r="A66" s="95">
        <f t="shared" si="2"/>
        <v>44002</v>
      </c>
      <c r="B66" s="76">
        <f>IF(ISNUMBER(_xlfn.XLOOKUP(A66,鑽量!$A:$A,鑽量!$K:$K,,1,2)),_xlfn.XLOOKUP(A66,鑽量!$A:$A,鑽量!$K:$K,,1,2),NA())</f>
        <v>19490</v>
      </c>
      <c r="C66" s="417">
        <f t="shared" ref="C66:C129" si="3">B66/120</f>
        <v>162.41666666666666</v>
      </c>
      <c r="D66" s="417" t="e">
        <f>IF(ISNUMBER(_xlfn.XLOOKUP(A66,抽卷!$A:$A,抽卷!$K:$K,,1,2)),_xlfn.XLOOKUP(A66,抽卷!$A:$A,抽卷!$K:$K,,1,2),NA())</f>
        <v>#N/A</v>
      </c>
      <c r="E66" s="417" t="e">
        <f>IF(ISNUMBER(_xlfn.XLOOKUP(A66,抽卷!$A:$A,抽卷!$M:$M,,1,2)),_xlfn.XLOOKUP(A66,抽卷!$A:$A,抽卷!$M:$M,,1,2),NA())</f>
        <v>#N/A</v>
      </c>
      <c r="F66" s="70">
        <f t="shared" ref="F66:F129" si="4">IF(ISNA(E66),IF(ISNA(D66),C66,C66+D66),E66+D66+C66)</f>
        <v>162.41666666666666</v>
      </c>
    </row>
    <row r="67" spans="1:6" ht="15" customHeight="1" x14ac:dyDescent="0.25">
      <c r="A67" s="95">
        <f t="shared" si="2"/>
        <v>44003</v>
      </c>
      <c r="B67" s="76">
        <f>IF(ISNUMBER(_xlfn.XLOOKUP(A67,鑽量!$A:$A,鑽量!$K:$K,,1,2)),_xlfn.XLOOKUP(A67,鑽量!$A:$A,鑽量!$K:$K,,1,2),NA())</f>
        <v>20195</v>
      </c>
      <c r="C67" s="417">
        <f t="shared" si="3"/>
        <v>168.29166666666666</v>
      </c>
      <c r="D67" s="417" t="e">
        <f>IF(ISNUMBER(_xlfn.XLOOKUP(A67,抽卷!$A:$A,抽卷!$K:$K,,1,2)),_xlfn.XLOOKUP(A67,抽卷!$A:$A,抽卷!$K:$K,,1,2),NA())</f>
        <v>#N/A</v>
      </c>
      <c r="E67" s="417" t="e">
        <f>IF(ISNUMBER(_xlfn.XLOOKUP(A67,抽卷!$A:$A,抽卷!$M:$M,,1,2)),_xlfn.XLOOKUP(A67,抽卷!$A:$A,抽卷!$M:$M,,1,2),NA())</f>
        <v>#N/A</v>
      </c>
      <c r="F67" s="70">
        <f t="shared" si="4"/>
        <v>168.29166666666666</v>
      </c>
    </row>
    <row r="68" spans="1:6" ht="15" customHeight="1" x14ac:dyDescent="0.25">
      <c r="A68" s="95">
        <f t="shared" si="2"/>
        <v>44004</v>
      </c>
      <c r="B68" s="76">
        <f>IF(ISNUMBER(_xlfn.XLOOKUP(A68,鑽量!$A:$A,鑽量!$K:$K,,1,2)),_xlfn.XLOOKUP(A68,鑽量!$A:$A,鑽量!$K:$K,,1,2),NA())</f>
        <v>20195</v>
      </c>
      <c r="C68" s="417">
        <f t="shared" si="3"/>
        <v>168.29166666666666</v>
      </c>
      <c r="D68" s="417" t="e">
        <f>IF(ISNUMBER(_xlfn.XLOOKUP(A68,抽卷!$A:$A,抽卷!$K:$K,,1,2)),_xlfn.XLOOKUP(A68,抽卷!$A:$A,抽卷!$K:$K,,1,2),NA())</f>
        <v>#N/A</v>
      </c>
      <c r="E68" s="417" t="e">
        <f>IF(ISNUMBER(_xlfn.XLOOKUP(A68,抽卷!$A:$A,抽卷!$M:$M,,1,2)),_xlfn.XLOOKUP(A68,抽卷!$A:$A,抽卷!$M:$M,,1,2),NA())</f>
        <v>#N/A</v>
      </c>
      <c r="F68" s="70">
        <f t="shared" si="4"/>
        <v>168.29166666666666</v>
      </c>
    </row>
    <row r="69" spans="1:6" ht="15" customHeight="1" x14ac:dyDescent="0.25">
      <c r="A69" s="95">
        <f t="shared" si="2"/>
        <v>44005</v>
      </c>
      <c r="B69" s="76">
        <f>IF(ISNUMBER(_xlfn.XLOOKUP(A69,鑽量!$A:$A,鑽量!$K:$K,,1,2)),_xlfn.XLOOKUP(A69,鑽量!$A:$A,鑽量!$K:$K,,1,2),NA())</f>
        <v>20720</v>
      </c>
      <c r="C69" s="417">
        <f t="shared" si="3"/>
        <v>172.66666666666666</v>
      </c>
      <c r="D69" s="417" t="e">
        <f>IF(ISNUMBER(_xlfn.XLOOKUP(A69,抽卷!$A:$A,抽卷!$K:$K,,1,2)),_xlfn.XLOOKUP(A69,抽卷!$A:$A,抽卷!$K:$K,,1,2),NA())</f>
        <v>#N/A</v>
      </c>
      <c r="E69" s="417" t="e">
        <f>IF(ISNUMBER(_xlfn.XLOOKUP(A69,抽卷!$A:$A,抽卷!$M:$M,,1,2)),_xlfn.XLOOKUP(A69,抽卷!$A:$A,抽卷!$M:$M,,1,2),NA())</f>
        <v>#N/A</v>
      </c>
      <c r="F69" s="70">
        <f t="shared" si="4"/>
        <v>172.66666666666666</v>
      </c>
    </row>
    <row r="70" spans="1:6" ht="15" customHeight="1" x14ac:dyDescent="0.25">
      <c r="A70" s="95">
        <f t="shared" ref="A70:A133" si="5">A69+1</f>
        <v>44006</v>
      </c>
      <c r="B70" s="76">
        <f>IF(ISNUMBER(_xlfn.XLOOKUP(A70,鑽量!$A:$A,鑽量!$K:$K,,1,2)),_xlfn.XLOOKUP(A70,鑽量!$A:$A,鑽量!$K:$K,,1,2),NA())</f>
        <v>21045</v>
      </c>
      <c r="C70" s="417">
        <f t="shared" si="3"/>
        <v>175.375</v>
      </c>
      <c r="D70" s="417" t="e">
        <f>IF(ISNUMBER(_xlfn.XLOOKUP(A70,抽卷!$A:$A,抽卷!$K:$K,,1,2)),_xlfn.XLOOKUP(A70,抽卷!$A:$A,抽卷!$K:$K,,1,2),NA())</f>
        <v>#N/A</v>
      </c>
      <c r="E70" s="417" t="e">
        <f>IF(ISNUMBER(_xlfn.XLOOKUP(A70,抽卷!$A:$A,抽卷!$M:$M,,1,2)),_xlfn.XLOOKUP(A70,抽卷!$A:$A,抽卷!$M:$M,,1,2),NA())</f>
        <v>#N/A</v>
      </c>
      <c r="F70" s="70">
        <f t="shared" si="4"/>
        <v>175.375</v>
      </c>
    </row>
    <row r="71" spans="1:6" ht="15" customHeight="1" x14ac:dyDescent="0.25">
      <c r="A71" s="95">
        <f t="shared" si="5"/>
        <v>44007</v>
      </c>
      <c r="B71" s="76">
        <f>IF(ISNUMBER(_xlfn.XLOOKUP(A71,鑽量!$A:$A,鑽量!$K:$K,,1,2)),_xlfn.XLOOKUP(A71,鑽量!$A:$A,鑽量!$K:$K,,1,2),NA())</f>
        <v>21170</v>
      </c>
      <c r="C71" s="417">
        <f t="shared" si="3"/>
        <v>176.41666666666666</v>
      </c>
      <c r="D71" s="417" t="e">
        <f>IF(ISNUMBER(_xlfn.XLOOKUP(A71,抽卷!$A:$A,抽卷!$K:$K,,1,2)),_xlfn.XLOOKUP(A71,抽卷!$A:$A,抽卷!$K:$K,,1,2),NA())</f>
        <v>#N/A</v>
      </c>
      <c r="E71" s="417" t="e">
        <f>IF(ISNUMBER(_xlfn.XLOOKUP(A71,抽卷!$A:$A,抽卷!$M:$M,,1,2)),_xlfn.XLOOKUP(A71,抽卷!$A:$A,抽卷!$M:$M,,1,2),NA())</f>
        <v>#N/A</v>
      </c>
      <c r="F71" s="70">
        <f t="shared" si="4"/>
        <v>176.41666666666666</v>
      </c>
    </row>
    <row r="72" spans="1:6" ht="15" customHeight="1" x14ac:dyDescent="0.25">
      <c r="A72" s="95">
        <f t="shared" si="5"/>
        <v>44008</v>
      </c>
      <c r="B72" s="76">
        <f>IF(ISNUMBER(_xlfn.XLOOKUP(A72,鑽量!$A:$A,鑽量!$K:$K,,1,2)),_xlfn.XLOOKUP(A72,鑽量!$A:$A,鑽量!$K:$K,,1,2),NA())</f>
        <v>22820</v>
      </c>
      <c r="C72" s="417">
        <f t="shared" si="3"/>
        <v>190.16666666666666</v>
      </c>
      <c r="D72" s="417" t="e">
        <f>IF(ISNUMBER(_xlfn.XLOOKUP(A72,抽卷!$A:$A,抽卷!$K:$K,,1,2)),_xlfn.XLOOKUP(A72,抽卷!$A:$A,抽卷!$K:$K,,1,2),NA())</f>
        <v>#N/A</v>
      </c>
      <c r="E72" s="417" t="e">
        <f>IF(ISNUMBER(_xlfn.XLOOKUP(A72,抽卷!$A:$A,抽卷!$M:$M,,1,2)),_xlfn.XLOOKUP(A72,抽卷!$A:$A,抽卷!$M:$M,,1,2),NA())</f>
        <v>#N/A</v>
      </c>
      <c r="F72" s="70">
        <f t="shared" si="4"/>
        <v>190.16666666666666</v>
      </c>
    </row>
    <row r="73" spans="1:6" ht="15" customHeight="1" x14ac:dyDescent="0.25">
      <c r="A73" s="95">
        <f t="shared" si="5"/>
        <v>44009</v>
      </c>
      <c r="B73" s="76">
        <f>IF(ISNUMBER(_xlfn.XLOOKUP(A73,鑽量!$A:$A,鑽量!$K:$K,,1,2)),_xlfn.XLOOKUP(A73,鑽量!$A:$A,鑽量!$K:$K,,1,2),NA())</f>
        <v>22345</v>
      </c>
      <c r="C73" s="417">
        <f t="shared" si="3"/>
        <v>186.20833333333334</v>
      </c>
      <c r="D73" s="417" t="e">
        <f>IF(ISNUMBER(_xlfn.XLOOKUP(A73,抽卷!$A:$A,抽卷!$K:$K,,1,2)),_xlfn.XLOOKUP(A73,抽卷!$A:$A,抽卷!$K:$K,,1,2),NA())</f>
        <v>#N/A</v>
      </c>
      <c r="E73" s="417" t="e">
        <f>IF(ISNUMBER(_xlfn.XLOOKUP(A73,抽卷!$A:$A,抽卷!$M:$M,,1,2)),_xlfn.XLOOKUP(A73,抽卷!$A:$A,抽卷!$M:$M,,1,2),NA())</f>
        <v>#N/A</v>
      </c>
      <c r="F73" s="70">
        <f t="shared" si="4"/>
        <v>186.20833333333334</v>
      </c>
    </row>
    <row r="74" spans="1:6" ht="15" customHeight="1" x14ac:dyDescent="0.25">
      <c r="A74" s="95">
        <f t="shared" si="5"/>
        <v>44010</v>
      </c>
      <c r="B74" s="76">
        <f>IF(ISNUMBER(_xlfn.XLOOKUP(A74,鑽量!$A:$A,鑽量!$K:$K,,1,2)),_xlfn.XLOOKUP(A74,鑽量!$A:$A,鑽量!$K:$K,,1,2),NA())</f>
        <v>22820</v>
      </c>
      <c r="C74" s="417">
        <f t="shared" si="3"/>
        <v>190.16666666666666</v>
      </c>
      <c r="D74" s="417" t="e">
        <f>IF(ISNUMBER(_xlfn.XLOOKUP(A74,抽卷!$A:$A,抽卷!$K:$K,,1,2)),_xlfn.XLOOKUP(A74,抽卷!$A:$A,抽卷!$K:$K,,1,2),NA())</f>
        <v>#N/A</v>
      </c>
      <c r="E74" s="417" t="e">
        <f>IF(ISNUMBER(_xlfn.XLOOKUP(A74,抽卷!$A:$A,抽卷!$M:$M,,1,2)),_xlfn.XLOOKUP(A74,抽卷!$A:$A,抽卷!$M:$M,,1,2),NA())</f>
        <v>#N/A</v>
      </c>
      <c r="F74" s="70">
        <f t="shared" si="4"/>
        <v>190.16666666666666</v>
      </c>
    </row>
    <row r="75" spans="1:6" ht="15" customHeight="1" x14ac:dyDescent="0.25">
      <c r="A75" s="95">
        <f t="shared" si="5"/>
        <v>44011</v>
      </c>
      <c r="B75" s="76">
        <f>IF(ISNUMBER(_xlfn.XLOOKUP(A75,鑽量!$A:$A,鑽量!$K:$K,,1,2)),_xlfn.XLOOKUP(A75,鑽量!$A:$A,鑽量!$K:$K,,1,2),NA())</f>
        <v>16980</v>
      </c>
      <c r="C75" s="417">
        <f t="shared" si="3"/>
        <v>141.5</v>
      </c>
      <c r="D75" s="417" t="e">
        <f>IF(ISNUMBER(_xlfn.XLOOKUP(A75,抽卷!$A:$A,抽卷!$K:$K,,1,2)),_xlfn.XLOOKUP(A75,抽卷!$A:$A,抽卷!$K:$K,,1,2),NA())</f>
        <v>#N/A</v>
      </c>
      <c r="E75" s="417" t="e">
        <f>IF(ISNUMBER(_xlfn.XLOOKUP(A75,抽卷!$A:$A,抽卷!$M:$M,,1,2)),_xlfn.XLOOKUP(A75,抽卷!$A:$A,抽卷!$M:$M,,1,2),NA())</f>
        <v>#N/A</v>
      </c>
      <c r="F75" s="70">
        <f t="shared" si="4"/>
        <v>141.5</v>
      </c>
    </row>
    <row r="76" spans="1:6" ht="15" customHeight="1" x14ac:dyDescent="0.25">
      <c r="A76" s="95">
        <f t="shared" si="5"/>
        <v>44012</v>
      </c>
      <c r="B76" s="76">
        <f>IF(ISNUMBER(_xlfn.XLOOKUP(A76,鑽量!$A:$A,鑽量!$K:$K,,1,2)),_xlfn.XLOOKUP(A76,鑽量!$A:$A,鑽量!$K:$K,,1,2),NA())</f>
        <v>16980</v>
      </c>
      <c r="C76" s="417">
        <f t="shared" si="3"/>
        <v>141.5</v>
      </c>
      <c r="D76" s="417" t="e">
        <f>IF(ISNUMBER(_xlfn.XLOOKUP(A76,抽卷!$A:$A,抽卷!$K:$K,,1,2)),_xlfn.XLOOKUP(A76,抽卷!$A:$A,抽卷!$K:$K,,1,2),NA())</f>
        <v>#N/A</v>
      </c>
      <c r="E76" s="417" t="e">
        <f>IF(ISNUMBER(_xlfn.XLOOKUP(A76,抽卷!$A:$A,抽卷!$M:$M,,1,2)),_xlfn.XLOOKUP(A76,抽卷!$A:$A,抽卷!$M:$M,,1,2),NA())</f>
        <v>#N/A</v>
      </c>
      <c r="F76" s="70">
        <f t="shared" si="4"/>
        <v>141.5</v>
      </c>
    </row>
    <row r="77" spans="1:6" ht="15" customHeight="1" x14ac:dyDescent="0.25">
      <c r="A77" s="95">
        <f t="shared" si="5"/>
        <v>44013</v>
      </c>
      <c r="B77" s="76">
        <f>IF(ISNUMBER(_xlfn.XLOOKUP(A77,鑽量!$A:$A,鑽量!$K:$K,,1,2)),_xlfn.XLOOKUP(A77,鑽量!$A:$A,鑽量!$K:$K,,1,2),NA())</f>
        <v>16530</v>
      </c>
      <c r="C77" s="417">
        <f t="shared" si="3"/>
        <v>137.75</v>
      </c>
      <c r="D77" s="417" t="e">
        <f>IF(ISNUMBER(_xlfn.XLOOKUP(A77,抽卷!$A:$A,抽卷!$K:$K,,1,2)),_xlfn.XLOOKUP(A77,抽卷!$A:$A,抽卷!$K:$K,,1,2),NA())</f>
        <v>#N/A</v>
      </c>
      <c r="E77" s="417" t="e">
        <f>IF(ISNUMBER(_xlfn.XLOOKUP(A77,抽卷!$A:$A,抽卷!$M:$M,,1,2)),_xlfn.XLOOKUP(A77,抽卷!$A:$A,抽卷!$M:$M,,1,2),NA())</f>
        <v>#N/A</v>
      </c>
      <c r="F77" s="70">
        <f t="shared" si="4"/>
        <v>137.75</v>
      </c>
    </row>
    <row r="78" spans="1:6" ht="15" customHeight="1" x14ac:dyDescent="0.25">
      <c r="A78" s="95">
        <f t="shared" si="5"/>
        <v>44014</v>
      </c>
      <c r="B78" s="76">
        <f>IF(ISNUMBER(_xlfn.XLOOKUP(A78,鑽量!$A:$A,鑽量!$K:$K,,1,2)),_xlfn.XLOOKUP(A78,鑽量!$A:$A,鑽量!$K:$K,,1,2),NA())</f>
        <v>16630</v>
      </c>
      <c r="C78" s="417">
        <f t="shared" si="3"/>
        <v>138.58333333333334</v>
      </c>
      <c r="D78" s="417" t="e">
        <f>IF(ISNUMBER(_xlfn.XLOOKUP(A78,抽卷!$A:$A,抽卷!$K:$K,,1,2)),_xlfn.XLOOKUP(A78,抽卷!$A:$A,抽卷!$K:$K,,1,2),NA())</f>
        <v>#N/A</v>
      </c>
      <c r="E78" s="417" t="e">
        <f>IF(ISNUMBER(_xlfn.XLOOKUP(A78,抽卷!$A:$A,抽卷!$M:$M,,1,2)),_xlfn.XLOOKUP(A78,抽卷!$A:$A,抽卷!$M:$M,,1,2),NA())</f>
        <v>#N/A</v>
      </c>
      <c r="F78" s="70">
        <f t="shared" si="4"/>
        <v>138.58333333333334</v>
      </c>
    </row>
    <row r="79" spans="1:6" ht="15" customHeight="1" x14ac:dyDescent="0.25">
      <c r="A79" s="95">
        <f t="shared" si="5"/>
        <v>44015</v>
      </c>
      <c r="B79" s="76">
        <f>IF(ISNUMBER(_xlfn.XLOOKUP(A79,鑽量!$A:$A,鑽量!$K:$K,,1,2)),_xlfn.XLOOKUP(A79,鑽量!$A:$A,鑽量!$K:$K,,1,2),NA())</f>
        <v>16855</v>
      </c>
      <c r="C79" s="417">
        <f t="shared" si="3"/>
        <v>140.45833333333334</v>
      </c>
      <c r="D79" s="417" t="e">
        <f>IF(ISNUMBER(_xlfn.XLOOKUP(A79,抽卷!$A:$A,抽卷!$K:$K,,1,2)),_xlfn.XLOOKUP(A79,抽卷!$A:$A,抽卷!$K:$K,,1,2),NA())</f>
        <v>#N/A</v>
      </c>
      <c r="E79" s="417" t="e">
        <f>IF(ISNUMBER(_xlfn.XLOOKUP(A79,抽卷!$A:$A,抽卷!$M:$M,,1,2)),_xlfn.XLOOKUP(A79,抽卷!$A:$A,抽卷!$M:$M,,1,2),NA())</f>
        <v>#N/A</v>
      </c>
      <c r="F79" s="70">
        <f t="shared" si="4"/>
        <v>140.45833333333334</v>
      </c>
    </row>
    <row r="80" spans="1:6" ht="15" customHeight="1" x14ac:dyDescent="0.25">
      <c r="A80" s="95">
        <f t="shared" si="5"/>
        <v>44016</v>
      </c>
      <c r="B80" s="76">
        <f>IF(ISNUMBER(_xlfn.XLOOKUP(A80,鑽量!$A:$A,鑽量!$K:$K,,1,2)),_xlfn.XLOOKUP(A80,鑽量!$A:$A,鑽量!$K:$K,,1,2),NA())</f>
        <v>16180</v>
      </c>
      <c r="C80" s="417">
        <f t="shared" si="3"/>
        <v>134.83333333333334</v>
      </c>
      <c r="D80" s="417" t="e">
        <f>IF(ISNUMBER(_xlfn.XLOOKUP(A80,抽卷!$A:$A,抽卷!$K:$K,,1,2)),_xlfn.XLOOKUP(A80,抽卷!$A:$A,抽卷!$K:$K,,1,2),NA())</f>
        <v>#N/A</v>
      </c>
      <c r="E80" s="417" t="e">
        <f>IF(ISNUMBER(_xlfn.XLOOKUP(A80,抽卷!$A:$A,抽卷!$M:$M,,1,2)),_xlfn.XLOOKUP(A80,抽卷!$A:$A,抽卷!$M:$M,,1,2),NA())</f>
        <v>#N/A</v>
      </c>
      <c r="F80" s="70">
        <f t="shared" si="4"/>
        <v>134.83333333333334</v>
      </c>
    </row>
    <row r="81" spans="1:6" ht="15" customHeight="1" x14ac:dyDescent="0.25">
      <c r="A81" s="95">
        <f t="shared" si="5"/>
        <v>44017</v>
      </c>
      <c r="B81" s="76">
        <f>IF(ISNUMBER(_xlfn.XLOOKUP(A81,鑽量!$A:$A,鑽量!$K:$K,,1,2)),_xlfn.XLOOKUP(A81,鑽量!$A:$A,鑽量!$K:$K,,1,2),NA())</f>
        <v>16180</v>
      </c>
      <c r="C81" s="417">
        <f t="shared" si="3"/>
        <v>134.83333333333334</v>
      </c>
      <c r="D81" s="417" t="e">
        <f>IF(ISNUMBER(_xlfn.XLOOKUP(A81,抽卷!$A:$A,抽卷!$K:$K,,1,2)),_xlfn.XLOOKUP(A81,抽卷!$A:$A,抽卷!$K:$K,,1,2),NA())</f>
        <v>#N/A</v>
      </c>
      <c r="E81" s="417" t="e">
        <f>IF(ISNUMBER(_xlfn.XLOOKUP(A81,抽卷!$A:$A,抽卷!$M:$M,,1,2)),_xlfn.XLOOKUP(A81,抽卷!$A:$A,抽卷!$M:$M,,1,2),NA())</f>
        <v>#N/A</v>
      </c>
      <c r="F81" s="70">
        <f t="shared" si="4"/>
        <v>134.83333333333334</v>
      </c>
    </row>
    <row r="82" spans="1:6" ht="15" customHeight="1" x14ac:dyDescent="0.25">
      <c r="A82" s="95">
        <f t="shared" si="5"/>
        <v>44018</v>
      </c>
      <c r="B82" s="76">
        <f>IF(ISNUMBER(_xlfn.XLOOKUP(A82,鑽量!$A:$A,鑽量!$K:$K,,1,2)),_xlfn.XLOOKUP(A82,鑽量!$A:$A,鑽量!$K:$K,,1,2),NA())</f>
        <v>16155</v>
      </c>
      <c r="C82" s="417">
        <f t="shared" si="3"/>
        <v>134.625</v>
      </c>
      <c r="D82" s="417" t="e">
        <f>IF(ISNUMBER(_xlfn.XLOOKUP(A82,抽卷!$A:$A,抽卷!$K:$K,,1,2)),_xlfn.XLOOKUP(A82,抽卷!$A:$A,抽卷!$K:$K,,1,2),NA())</f>
        <v>#N/A</v>
      </c>
      <c r="E82" s="417" t="e">
        <f>IF(ISNUMBER(_xlfn.XLOOKUP(A82,抽卷!$A:$A,抽卷!$M:$M,,1,2)),_xlfn.XLOOKUP(A82,抽卷!$A:$A,抽卷!$M:$M,,1,2),NA())</f>
        <v>#N/A</v>
      </c>
      <c r="F82" s="70">
        <f t="shared" si="4"/>
        <v>134.625</v>
      </c>
    </row>
    <row r="83" spans="1:6" ht="15" customHeight="1" x14ac:dyDescent="0.25">
      <c r="A83" s="95">
        <f t="shared" si="5"/>
        <v>44019</v>
      </c>
      <c r="B83" s="76">
        <f>IF(ISNUMBER(_xlfn.XLOOKUP(A83,鑽量!$A:$A,鑽量!$K:$K,,1,2)),_xlfn.XLOOKUP(A83,鑽量!$A:$A,鑽量!$K:$K,,1,2),NA())</f>
        <v>16480</v>
      </c>
      <c r="C83" s="417">
        <f t="shared" si="3"/>
        <v>137.33333333333334</v>
      </c>
      <c r="D83" s="417" t="e">
        <f>IF(ISNUMBER(_xlfn.XLOOKUP(A83,抽卷!$A:$A,抽卷!$K:$K,,1,2)),_xlfn.XLOOKUP(A83,抽卷!$A:$A,抽卷!$K:$K,,1,2),NA())</f>
        <v>#N/A</v>
      </c>
      <c r="E83" s="417" t="e">
        <f>IF(ISNUMBER(_xlfn.XLOOKUP(A83,抽卷!$A:$A,抽卷!$M:$M,,1,2)),_xlfn.XLOOKUP(A83,抽卷!$A:$A,抽卷!$M:$M,,1,2),NA())</f>
        <v>#N/A</v>
      </c>
      <c r="F83" s="70">
        <f t="shared" si="4"/>
        <v>137.33333333333334</v>
      </c>
    </row>
    <row r="84" spans="1:6" ht="15" customHeight="1" x14ac:dyDescent="0.25">
      <c r="A84" s="95">
        <f t="shared" si="5"/>
        <v>44020</v>
      </c>
      <c r="B84" s="76">
        <f>IF(ISNUMBER(_xlfn.XLOOKUP(A84,鑽量!$A:$A,鑽量!$K:$K,,1,2)),_xlfn.XLOOKUP(A84,鑽量!$A:$A,鑽量!$K:$K,,1,2),NA())</f>
        <v>16805</v>
      </c>
      <c r="C84" s="417">
        <f t="shared" si="3"/>
        <v>140.04166666666666</v>
      </c>
      <c r="D84" s="417" t="e">
        <f>IF(ISNUMBER(_xlfn.XLOOKUP(A84,抽卷!$A:$A,抽卷!$K:$K,,1,2)),_xlfn.XLOOKUP(A84,抽卷!$A:$A,抽卷!$K:$K,,1,2),NA())</f>
        <v>#N/A</v>
      </c>
      <c r="E84" s="417" t="e">
        <f>IF(ISNUMBER(_xlfn.XLOOKUP(A84,抽卷!$A:$A,抽卷!$M:$M,,1,2)),_xlfn.XLOOKUP(A84,抽卷!$A:$A,抽卷!$M:$M,,1,2),NA())</f>
        <v>#N/A</v>
      </c>
      <c r="F84" s="70">
        <f t="shared" si="4"/>
        <v>140.04166666666666</v>
      </c>
    </row>
    <row r="85" spans="1:6" ht="15" customHeight="1" x14ac:dyDescent="0.25">
      <c r="A85" s="95">
        <f t="shared" si="5"/>
        <v>44021</v>
      </c>
      <c r="B85" s="76">
        <f>IF(ISNUMBER(_xlfn.XLOOKUP(A85,鑽量!$A:$A,鑽量!$K:$K,,1,2)),_xlfn.XLOOKUP(A85,鑽量!$A:$A,鑽量!$K:$K,,1,2),NA())</f>
        <v>16855</v>
      </c>
      <c r="C85" s="417">
        <f t="shared" si="3"/>
        <v>140.45833333333334</v>
      </c>
      <c r="D85" s="417" t="e">
        <f>IF(ISNUMBER(_xlfn.XLOOKUP(A85,抽卷!$A:$A,抽卷!$K:$K,,1,2)),_xlfn.XLOOKUP(A85,抽卷!$A:$A,抽卷!$K:$K,,1,2),NA())</f>
        <v>#N/A</v>
      </c>
      <c r="E85" s="417" t="e">
        <f>IF(ISNUMBER(_xlfn.XLOOKUP(A85,抽卷!$A:$A,抽卷!$M:$M,,1,2)),_xlfn.XLOOKUP(A85,抽卷!$A:$A,抽卷!$M:$M,,1,2),NA())</f>
        <v>#N/A</v>
      </c>
      <c r="F85" s="70">
        <f t="shared" si="4"/>
        <v>140.45833333333334</v>
      </c>
    </row>
    <row r="86" spans="1:6" ht="15" customHeight="1" x14ac:dyDescent="0.25">
      <c r="A86" s="95">
        <f t="shared" si="5"/>
        <v>44022</v>
      </c>
      <c r="B86" s="76">
        <f>IF(ISNUMBER(_xlfn.XLOOKUP(A86,鑽量!$A:$A,鑽量!$K:$K,,1,2)),_xlfn.XLOOKUP(A86,鑽量!$A:$A,鑽量!$K:$K,,1,2),NA())</f>
        <v>16355</v>
      </c>
      <c r="C86" s="417">
        <f t="shared" si="3"/>
        <v>136.29166666666666</v>
      </c>
      <c r="D86" s="417" t="e">
        <f>IF(ISNUMBER(_xlfn.XLOOKUP(A86,抽卷!$A:$A,抽卷!$K:$K,,1,2)),_xlfn.XLOOKUP(A86,抽卷!$A:$A,抽卷!$K:$K,,1,2),NA())</f>
        <v>#N/A</v>
      </c>
      <c r="E86" s="417" t="e">
        <f>IF(ISNUMBER(_xlfn.XLOOKUP(A86,抽卷!$A:$A,抽卷!$M:$M,,1,2)),_xlfn.XLOOKUP(A86,抽卷!$A:$A,抽卷!$M:$M,,1,2),NA())</f>
        <v>#N/A</v>
      </c>
      <c r="F86" s="70">
        <f t="shared" si="4"/>
        <v>136.29166666666666</v>
      </c>
    </row>
    <row r="87" spans="1:6" ht="15" customHeight="1" x14ac:dyDescent="0.25">
      <c r="A87" s="95">
        <f t="shared" si="5"/>
        <v>44023</v>
      </c>
      <c r="B87" s="76">
        <f>IF(ISNUMBER(_xlfn.XLOOKUP(A87,鑽量!$A:$A,鑽量!$K:$K,,1,2)),_xlfn.XLOOKUP(A87,鑽量!$A:$A,鑽量!$K:$K,,1,2),NA())</f>
        <v>16355</v>
      </c>
      <c r="C87" s="417">
        <f t="shared" si="3"/>
        <v>136.29166666666666</v>
      </c>
      <c r="D87" s="417" t="e">
        <f>IF(ISNUMBER(_xlfn.XLOOKUP(A87,抽卷!$A:$A,抽卷!$K:$K,,1,2)),_xlfn.XLOOKUP(A87,抽卷!$A:$A,抽卷!$K:$K,,1,2),NA())</f>
        <v>#N/A</v>
      </c>
      <c r="E87" s="417" t="e">
        <f>IF(ISNUMBER(_xlfn.XLOOKUP(A87,抽卷!$A:$A,抽卷!$M:$M,,1,2)),_xlfn.XLOOKUP(A87,抽卷!$A:$A,抽卷!$M:$M,,1,2),NA())</f>
        <v>#N/A</v>
      </c>
      <c r="F87" s="70">
        <f t="shared" si="4"/>
        <v>136.29166666666666</v>
      </c>
    </row>
    <row r="88" spans="1:6" ht="15" customHeight="1" x14ac:dyDescent="0.25">
      <c r="A88" s="95">
        <f t="shared" si="5"/>
        <v>44024</v>
      </c>
      <c r="B88" s="76">
        <f>IF(ISNUMBER(_xlfn.XLOOKUP(A88,鑽量!$A:$A,鑽量!$K:$K,,1,2)),_xlfn.XLOOKUP(A88,鑽量!$A:$A,鑽量!$K:$K,,1,2),NA())</f>
        <v>15345</v>
      </c>
      <c r="C88" s="417">
        <f t="shared" si="3"/>
        <v>127.875</v>
      </c>
      <c r="D88" s="417" t="e">
        <f>IF(ISNUMBER(_xlfn.XLOOKUP(A88,抽卷!$A:$A,抽卷!$K:$K,,1,2)),_xlfn.XLOOKUP(A88,抽卷!$A:$A,抽卷!$K:$K,,1,2),NA())</f>
        <v>#N/A</v>
      </c>
      <c r="E88" s="417" t="e">
        <f>IF(ISNUMBER(_xlfn.XLOOKUP(A88,抽卷!$A:$A,抽卷!$M:$M,,1,2)),_xlfn.XLOOKUP(A88,抽卷!$A:$A,抽卷!$M:$M,,1,2),NA())</f>
        <v>#N/A</v>
      </c>
      <c r="F88" s="70">
        <f t="shared" si="4"/>
        <v>127.875</v>
      </c>
    </row>
    <row r="89" spans="1:6" ht="15" customHeight="1" x14ac:dyDescent="0.25">
      <c r="A89" s="95">
        <f t="shared" si="5"/>
        <v>44025</v>
      </c>
      <c r="B89" s="76">
        <f>IF(ISNUMBER(_xlfn.XLOOKUP(A89,鑽量!$A:$A,鑽量!$K:$K,,1,2)),_xlfn.XLOOKUP(A89,鑽量!$A:$A,鑽量!$K:$K,,1,2),NA())</f>
        <v>16500</v>
      </c>
      <c r="C89" s="417">
        <f t="shared" si="3"/>
        <v>137.5</v>
      </c>
      <c r="D89" s="417" t="e">
        <f>IF(ISNUMBER(_xlfn.XLOOKUP(A89,抽卷!$A:$A,抽卷!$K:$K,,1,2)),_xlfn.XLOOKUP(A89,抽卷!$A:$A,抽卷!$K:$K,,1,2),NA())</f>
        <v>#N/A</v>
      </c>
      <c r="E89" s="417" t="e">
        <f>IF(ISNUMBER(_xlfn.XLOOKUP(A89,抽卷!$A:$A,抽卷!$M:$M,,1,2)),_xlfn.XLOOKUP(A89,抽卷!$A:$A,抽卷!$M:$M,,1,2),NA())</f>
        <v>#N/A</v>
      </c>
      <c r="F89" s="70">
        <f t="shared" si="4"/>
        <v>137.5</v>
      </c>
    </row>
    <row r="90" spans="1:6" ht="15" customHeight="1" x14ac:dyDescent="0.25">
      <c r="A90" s="95">
        <f t="shared" si="5"/>
        <v>44026</v>
      </c>
      <c r="B90" s="76">
        <f>IF(ISNUMBER(_xlfn.XLOOKUP(A90,鑽量!$A:$A,鑽量!$K:$K,,1,2)),_xlfn.XLOOKUP(A90,鑽量!$A:$A,鑽量!$K:$K,,1,2),NA())</f>
        <v>16500</v>
      </c>
      <c r="C90" s="417">
        <f t="shared" si="3"/>
        <v>137.5</v>
      </c>
      <c r="D90" s="417" t="e">
        <f>IF(ISNUMBER(_xlfn.XLOOKUP(A90,抽卷!$A:$A,抽卷!$K:$K,,1,2)),_xlfn.XLOOKUP(A90,抽卷!$A:$A,抽卷!$K:$K,,1,2),NA())</f>
        <v>#N/A</v>
      </c>
      <c r="E90" s="417" t="e">
        <f>IF(ISNUMBER(_xlfn.XLOOKUP(A90,抽卷!$A:$A,抽卷!$M:$M,,1,2)),_xlfn.XLOOKUP(A90,抽卷!$A:$A,抽卷!$M:$M,,1,2),NA())</f>
        <v>#N/A</v>
      </c>
      <c r="F90" s="70">
        <f t="shared" si="4"/>
        <v>137.5</v>
      </c>
    </row>
    <row r="91" spans="1:6" ht="15" customHeight="1" x14ac:dyDescent="0.25">
      <c r="A91" s="95">
        <f t="shared" si="5"/>
        <v>44027</v>
      </c>
      <c r="B91" s="76">
        <f>IF(ISNUMBER(_xlfn.XLOOKUP(A91,鑽量!$A:$A,鑽量!$K:$K,,1,2)),_xlfn.XLOOKUP(A91,鑽量!$A:$A,鑽量!$K:$K,,1,2),NA())</f>
        <v>16440</v>
      </c>
      <c r="C91" s="417">
        <f t="shared" si="3"/>
        <v>137</v>
      </c>
      <c r="D91" s="417" t="e">
        <f>IF(ISNUMBER(_xlfn.XLOOKUP(A91,抽卷!$A:$A,抽卷!$K:$K,,1,2)),_xlfn.XLOOKUP(A91,抽卷!$A:$A,抽卷!$K:$K,,1,2),NA())</f>
        <v>#N/A</v>
      </c>
      <c r="E91" s="417" t="e">
        <f>IF(ISNUMBER(_xlfn.XLOOKUP(A91,抽卷!$A:$A,抽卷!$M:$M,,1,2)),_xlfn.XLOOKUP(A91,抽卷!$A:$A,抽卷!$M:$M,,1,2),NA())</f>
        <v>#N/A</v>
      </c>
      <c r="F91" s="70">
        <f t="shared" si="4"/>
        <v>137</v>
      </c>
    </row>
    <row r="92" spans="1:6" ht="15" customHeight="1" x14ac:dyDescent="0.25">
      <c r="A92" s="95">
        <f t="shared" si="5"/>
        <v>44028</v>
      </c>
      <c r="B92" s="76">
        <f>IF(ISNUMBER(_xlfn.XLOOKUP(A92,鑽量!$A:$A,鑽量!$K:$K,,1,2)),_xlfn.XLOOKUP(A92,鑽量!$A:$A,鑽量!$K:$K,,1,2),NA())</f>
        <v>16715</v>
      </c>
      <c r="C92" s="417">
        <f t="shared" si="3"/>
        <v>139.29166666666666</v>
      </c>
      <c r="D92" s="417" t="e">
        <f>IF(ISNUMBER(_xlfn.XLOOKUP(A92,抽卷!$A:$A,抽卷!$K:$K,,1,2)),_xlfn.XLOOKUP(A92,抽卷!$A:$A,抽卷!$K:$K,,1,2),NA())</f>
        <v>#N/A</v>
      </c>
      <c r="E92" s="417" t="e">
        <f>IF(ISNUMBER(_xlfn.XLOOKUP(A92,抽卷!$A:$A,抽卷!$M:$M,,1,2)),_xlfn.XLOOKUP(A92,抽卷!$A:$A,抽卷!$M:$M,,1,2),NA())</f>
        <v>#N/A</v>
      </c>
      <c r="F92" s="70">
        <f t="shared" si="4"/>
        <v>139.29166666666666</v>
      </c>
    </row>
    <row r="93" spans="1:6" ht="15" customHeight="1" x14ac:dyDescent="0.25">
      <c r="A93" s="95">
        <f t="shared" si="5"/>
        <v>44029</v>
      </c>
      <c r="B93" s="76">
        <f>IF(ISNUMBER(_xlfn.XLOOKUP(A93,鑽量!$A:$A,鑽量!$K:$K,,1,2)),_xlfn.XLOOKUP(A93,鑽量!$A:$A,鑽量!$K:$K,,1,2),NA())</f>
        <v>16715</v>
      </c>
      <c r="C93" s="417">
        <f t="shared" si="3"/>
        <v>139.29166666666666</v>
      </c>
      <c r="D93" s="417" t="e">
        <f>IF(ISNUMBER(_xlfn.XLOOKUP(A93,抽卷!$A:$A,抽卷!$K:$K,,1,2)),_xlfn.XLOOKUP(A93,抽卷!$A:$A,抽卷!$K:$K,,1,2),NA())</f>
        <v>#N/A</v>
      </c>
      <c r="E93" s="417" t="e">
        <f>IF(ISNUMBER(_xlfn.XLOOKUP(A93,抽卷!$A:$A,抽卷!$M:$M,,1,2)),_xlfn.XLOOKUP(A93,抽卷!$A:$A,抽卷!$M:$M,,1,2),NA())</f>
        <v>#N/A</v>
      </c>
      <c r="F93" s="70">
        <f t="shared" si="4"/>
        <v>139.29166666666666</v>
      </c>
    </row>
    <row r="94" spans="1:6" ht="15" customHeight="1" x14ac:dyDescent="0.25">
      <c r="A94" s="95">
        <f t="shared" si="5"/>
        <v>44030</v>
      </c>
      <c r="B94" s="76">
        <f>IF(ISNUMBER(_xlfn.XLOOKUP(A94,鑽量!$A:$A,鑽量!$K:$K,,1,2)),_xlfn.XLOOKUP(A94,鑽量!$A:$A,鑽量!$K:$K,,1,2),NA())</f>
        <v>16715</v>
      </c>
      <c r="C94" s="417">
        <f t="shared" si="3"/>
        <v>139.29166666666666</v>
      </c>
      <c r="D94" s="417" t="e">
        <f>IF(ISNUMBER(_xlfn.XLOOKUP(A94,抽卷!$A:$A,抽卷!$K:$K,,1,2)),_xlfn.XLOOKUP(A94,抽卷!$A:$A,抽卷!$K:$K,,1,2),NA())</f>
        <v>#N/A</v>
      </c>
      <c r="E94" s="417" t="e">
        <f>IF(ISNUMBER(_xlfn.XLOOKUP(A94,抽卷!$A:$A,抽卷!$M:$M,,1,2)),_xlfn.XLOOKUP(A94,抽卷!$A:$A,抽卷!$M:$M,,1,2),NA())</f>
        <v>#N/A</v>
      </c>
      <c r="F94" s="70">
        <f t="shared" si="4"/>
        <v>139.29166666666666</v>
      </c>
    </row>
    <row r="95" spans="1:6" ht="15" customHeight="1" x14ac:dyDescent="0.25">
      <c r="A95" s="95">
        <f t="shared" si="5"/>
        <v>44031</v>
      </c>
      <c r="B95" s="76">
        <f>IF(ISNUMBER(_xlfn.XLOOKUP(A95,鑽量!$A:$A,鑽量!$K:$K,,1,2)),_xlfn.XLOOKUP(A95,鑽量!$A:$A,鑽量!$K:$K,,1,2),NA())</f>
        <v>15325</v>
      </c>
      <c r="C95" s="417">
        <f t="shared" si="3"/>
        <v>127.70833333333333</v>
      </c>
      <c r="D95" s="417" t="e">
        <f>IF(ISNUMBER(_xlfn.XLOOKUP(A95,抽卷!$A:$A,抽卷!$K:$K,,1,2)),_xlfn.XLOOKUP(A95,抽卷!$A:$A,抽卷!$K:$K,,1,2),NA())</f>
        <v>#N/A</v>
      </c>
      <c r="E95" s="417" t="e">
        <f>IF(ISNUMBER(_xlfn.XLOOKUP(A95,抽卷!$A:$A,抽卷!$M:$M,,1,2)),_xlfn.XLOOKUP(A95,抽卷!$A:$A,抽卷!$M:$M,,1,2),NA())</f>
        <v>#N/A</v>
      </c>
      <c r="F95" s="70">
        <f t="shared" si="4"/>
        <v>127.70833333333333</v>
      </c>
    </row>
    <row r="96" spans="1:6" ht="15" customHeight="1" x14ac:dyDescent="0.25">
      <c r="A96" s="95">
        <f t="shared" si="5"/>
        <v>44032</v>
      </c>
      <c r="B96" s="76">
        <f>IF(ISNUMBER(_xlfn.XLOOKUP(A96,鑽量!$A:$A,鑽量!$K:$K,,1,2)),_xlfn.XLOOKUP(A96,鑽量!$A:$A,鑽量!$K:$K,,1,2),NA())</f>
        <v>17350</v>
      </c>
      <c r="C96" s="417">
        <f t="shared" si="3"/>
        <v>144.58333333333334</v>
      </c>
      <c r="D96" s="417" t="e">
        <f>IF(ISNUMBER(_xlfn.XLOOKUP(A96,抽卷!$A:$A,抽卷!$K:$K,,1,2)),_xlfn.XLOOKUP(A96,抽卷!$A:$A,抽卷!$K:$K,,1,2),NA())</f>
        <v>#N/A</v>
      </c>
      <c r="E96" s="417" t="e">
        <f>IF(ISNUMBER(_xlfn.XLOOKUP(A96,抽卷!$A:$A,抽卷!$M:$M,,1,2)),_xlfn.XLOOKUP(A96,抽卷!$A:$A,抽卷!$M:$M,,1,2),NA())</f>
        <v>#N/A</v>
      </c>
      <c r="F96" s="70">
        <f t="shared" si="4"/>
        <v>144.58333333333334</v>
      </c>
    </row>
    <row r="97" spans="1:6" ht="15" customHeight="1" x14ac:dyDescent="0.25">
      <c r="A97" s="95">
        <f t="shared" si="5"/>
        <v>44033</v>
      </c>
      <c r="B97" s="76">
        <f>IF(ISNUMBER(_xlfn.XLOOKUP(A97,鑽量!$A:$A,鑽量!$K:$K,,1,2)),_xlfn.XLOOKUP(A97,鑽量!$A:$A,鑽量!$K:$K,,1,2),NA())</f>
        <v>17350</v>
      </c>
      <c r="C97" s="417">
        <f t="shared" si="3"/>
        <v>144.58333333333334</v>
      </c>
      <c r="D97" s="417" t="e">
        <f>IF(ISNUMBER(_xlfn.XLOOKUP(A97,抽卷!$A:$A,抽卷!$K:$K,,1,2)),_xlfn.XLOOKUP(A97,抽卷!$A:$A,抽卷!$K:$K,,1,2),NA())</f>
        <v>#N/A</v>
      </c>
      <c r="E97" s="417" t="e">
        <f>IF(ISNUMBER(_xlfn.XLOOKUP(A97,抽卷!$A:$A,抽卷!$M:$M,,1,2)),_xlfn.XLOOKUP(A97,抽卷!$A:$A,抽卷!$M:$M,,1,2),NA())</f>
        <v>#N/A</v>
      </c>
      <c r="F97" s="70">
        <f t="shared" si="4"/>
        <v>144.58333333333334</v>
      </c>
    </row>
    <row r="98" spans="1:6" ht="15" customHeight="1" x14ac:dyDescent="0.25">
      <c r="A98" s="95">
        <f t="shared" si="5"/>
        <v>44034</v>
      </c>
      <c r="B98" s="76">
        <f>IF(ISNUMBER(_xlfn.XLOOKUP(A98,鑽量!$A:$A,鑽量!$K:$K,,1,2)),_xlfn.XLOOKUP(A98,鑽量!$A:$A,鑽量!$K:$K,,1,2),NA())</f>
        <v>15830</v>
      </c>
      <c r="C98" s="417">
        <f t="shared" si="3"/>
        <v>131.91666666666666</v>
      </c>
      <c r="D98" s="417" t="e">
        <f>IF(ISNUMBER(_xlfn.XLOOKUP(A98,抽卷!$A:$A,抽卷!$K:$K,,1,2)),_xlfn.XLOOKUP(A98,抽卷!$A:$A,抽卷!$K:$K,,1,2),NA())</f>
        <v>#N/A</v>
      </c>
      <c r="E98" s="417" t="e">
        <f>IF(ISNUMBER(_xlfn.XLOOKUP(A98,抽卷!$A:$A,抽卷!$M:$M,,1,2)),_xlfn.XLOOKUP(A98,抽卷!$A:$A,抽卷!$M:$M,,1,2),NA())</f>
        <v>#N/A</v>
      </c>
      <c r="F98" s="70">
        <f t="shared" si="4"/>
        <v>131.91666666666666</v>
      </c>
    </row>
    <row r="99" spans="1:6" ht="15" customHeight="1" x14ac:dyDescent="0.25">
      <c r="A99" s="95">
        <f t="shared" si="5"/>
        <v>44035</v>
      </c>
      <c r="B99" s="76">
        <f>IF(ISNUMBER(_xlfn.XLOOKUP(A99,鑽量!$A:$A,鑽量!$K:$K,,1,2)),_xlfn.XLOOKUP(A99,鑽量!$A:$A,鑽量!$K:$K,,1,2),NA())</f>
        <v>15830</v>
      </c>
      <c r="C99" s="417">
        <f t="shared" si="3"/>
        <v>131.91666666666666</v>
      </c>
      <c r="D99" s="417" t="e">
        <f>IF(ISNUMBER(_xlfn.XLOOKUP(A99,抽卷!$A:$A,抽卷!$K:$K,,1,2)),_xlfn.XLOOKUP(A99,抽卷!$A:$A,抽卷!$K:$K,,1,2),NA())</f>
        <v>#N/A</v>
      </c>
      <c r="E99" s="417" t="e">
        <f>IF(ISNUMBER(_xlfn.XLOOKUP(A99,抽卷!$A:$A,抽卷!$M:$M,,1,2)),_xlfn.XLOOKUP(A99,抽卷!$A:$A,抽卷!$M:$M,,1,2),NA())</f>
        <v>#N/A</v>
      </c>
      <c r="F99" s="70">
        <f t="shared" si="4"/>
        <v>131.91666666666666</v>
      </c>
    </row>
    <row r="100" spans="1:6" ht="15" customHeight="1" x14ac:dyDescent="0.25">
      <c r="A100" s="95">
        <f t="shared" si="5"/>
        <v>44036</v>
      </c>
      <c r="B100" s="76">
        <f>IF(ISNUMBER(_xlfn.XLOOKUP(A100,鑽量!$A:$A,鑽量!$K:$K,,1,2)),_xlfn.XLOOKUP(A100,鑽量!$A:$A,鑽量!$K:$K,,1,2),NA())</f>
        <v>15955</v>
      </c>
      <c r="C100" s="417">
        <f t="shared" si="3"/>
        <v>132.95833333333334</v>
      </c>
      <c r="D100" s="417" t="e">
        <f>IF(ISNUMBER(_xlfn.XLOOKUP(A100,抽卷!$A:$A,抽卷!$K:$K,,1,2)),_xlfn.XLOOKUP(A100,抽卷!$A:$A,抽卷!$K:$K,,1,2),NA())</f>
        <v>#N/A</v>
      </c>
      <c r="E100" s="417" t="e">
        <f>IF(ISNUMBER(_xlfn.XLOOKUP(A100,抽卷!$A:$A,抽卷!$M:$M,,1,2)),_xlfn.XLOOKUP(A100,抽卷!$A:$A,抽卷!$M:$M,,1,2),NA())</f>
        <v>#N/A</v>
      </c>
      <c r="F100" s="70">
        <f t="shared" si="4"/>
        <v>132.95833333333334</v>
      </c>
    </row>
    <row r="101" spans="1:6" ht="15" customHeight="1" x14ac:dyDescent="0.25">
      <c r="A101" s="95">
        <f t="shared" si="5"/>
        <v>44037</v>
      </c>
      <c r="B101" s="76">
        <f>IF(ISNUMBER(_xlfn.XLOOKUP(A101,鑽量!$A:$A,鑽量!$K:$K,,1,2)),_xlfn.XLOOKUP(A101,鑽量!$A:$A,鑽量!$K:$K,,1,2),NA())</f>
        <v>15605</v>
      </c>
      <c r="C101" s="417">
        <f t="shared" si="3"/>
        <v>130.04166666666666</v>
      </c>
      <c r="D101" s="417" t="e">
        <f>IF(ISNUMBER(_xlfn.XLOOKUP(A101,抽卷!$A:$A,抽卷!$K:$K,,1,2)),_xlfn.XLOOKUP(A101,抽卷!$A:$A,抽卷!$K:$K,,1,2),NA())</f>
        <v>#N/A</v>
      </c>
      <c r="E101" s="417" t="e">
        <f>IF(ISNUMBER(_xlfn.XLOOKUP(A101,抽卷!$A:$A,抽卷!$M:$M,,1,2)),_xlfn.XLOOKUP(A101,抽卷!$A:$A,抽卷!$M:$M,,1,2),NA())</f>
        <v>#N/A</v>
      </c>
      <c r="F101" s="70">
        <f t="shared" si="4"/>
        <v>130.04166666666666</v>
      </c>
    </row>
    <row r="102" spans="1:6" ht="15" customHeight="1" x14ac:dyDescent="0.25">
      <c r="A102" s="95">
        <f t="shared" si="5"/>
        <v>44038</v>
      </c>
      <c r="B102" s="76">
        <f>IF(ISNUMBER(_xlfn.XLOOKUP(A102,鑽量!$A:$A,鑽量!$K:$K,,1,2)),_xlfn.XLOOKUP(A102,鑽量!$A:$A,鑽量!$K:$K,,1,2),NA())</f>
        <v>15605</v>
      </c>
      <c r="C102" s="417">
        <f t="shared" si="3"/>
        <v>130.04166666666666</v>
      </c>
      <c r="D102" s="417" t="e">
        <f>IF(ISNUMBER(_xlfn.XLOOKUP(A102,抽卷!$A:$A,抽卷!$K:$K,,1,2)),_xlfn.XLOOKUP(A102,抽卷!$A:$A,抽卷!$K:$K,,1,2),NA())</f>
        <v>#N/A</v>
      </c>
      <c r="E102" s="417" t="e">
        <f>IF(ISNUMBER(_xlfn.XLOOKUP(A102,抽卷!$A:$A,抽卷!$M:$M,,1,2)),_xlfn.XLOOKUP(A102,抽卷!$A:$A,抽卷!$M:$M,,1,2),NA())</f>
        <v>#N/A</v>
      </c>
      <c r="F102" s="70">
        <f t="shared" si="4"/>
        <v>130.04166666666666</v>
      </c>
    </row>
    <row r="103" spans="1:6" ht="15" customHeight="1" x14ac:dyDescent="0.25">
      <c r="A103" s="95">
        <f t="shared" si="5"/>
        <v>44039</v>
      </c>
      <c r="B103" s="76">
        <f>IF(ISNUMBER(_xlfn.XLOOKUP(A103,鑽量!$A:$A,鑽量!$K:$K,,1,2)),_xlfn.XLOOKUP(A103,鑽量!$A:$A,鑽量!$K:$K,,1,2),NA())</f>
        <v>13980</v>
      </c>
      <c r="C103" s="417">
        <f t="shared" si="3"/>
        <v>116.5</v>
      </c>
      <c r="D103" s="417" t="e">
        <f>IF(ISNUMBER(_xlfn.XLOOKUP(A103,抽卷!$A:$A,抽卷!$K:$K,,1,2)),_xlfn.XLOOKUP(A103,抽卷!$A:$A,抽卷!$K:$K,,1,2),NA())</f>
        <v>#N/A</v>
      </c>
      <c r="E103" s="417" t="e">
        <f>IF(ISNUMBER(_xlfn.XLOOKUP(A103,抽卷!$A:$A,抽卷!$M:$M,,1,2)),_xlfn.XLOOKUP(A103,抽卷!$A:$A,抽卷!$M:$M,,1,2),NA())</f>
        <v>#N/A</v>
      </c>
      <c r="F103" s="70">
        <f t="shared" si="4"/>
        <v>116.5</v>
      </c>
    </row>
    <row r="104" spans="1:6" ht="15" customHeight="1" x14ac:dyDescent="0.25">
      <c r="A104" s="95">
        <f t="shared" si="5"/>
        <v>44040</v>
      </c>
      <c r="B104" s="76">
        <f>IF(ISNUMBER(_xlfn.XLOOKUP(A104,鑽量!$A:$A,鑽量!$K:$K,,1,2)),_xlfn.XLOOKUP(A104,鑽量!$A:$A,鑽量!$K:$K,,1,2),NA())</f>
        <v>14855</v>
      </c>
      <c r="C104" s="417">
        <f t="shared" si="3"/>
        <v>123.79166666666667</v>
      </c>
      <c r="D104" s="417" t="e">
        <f>IF(ISNUMBER(_xlfn.XLOOKUP(A104,抽卷!$A:$A,抽卷!$K:$K,,1,2)),_xlfn.XLOOKUP(A104,抽卷!$A:$A,抽卷!$K:$K,,1,2),NA())</f>
        <v>#N/A</v>
      </c>
      <c r="E104" s="417" t="e">
        <f>IF(ISNUMBER(_xlfn.XLOOKUP(A104,抽卷!$A:$A,抽卷!$M:$M,,1,2)),_xlfn.XLOOKUP(A104,抽卷!$A:$A,抽卷!$M:$M,,1,2),NA())</f>
        <v>#N/A</v>
      </c>
      <c r="F104" s="70">
        <f t="shared" si="4"/>
        <v>123.79166666666667</v>
      </c>
    </row>
    <row r="105" spans="1:6" ht="15" customHeight="1" x14ac:dyDescent="0.25">
      <c r="A105" s="95">
        <f t="shared" si="5"/>
        <v>44041</v>
      </c>
      <c r="B105" s="76">
        <f>IF(ISNUMBER(_xlfn.XLOOKUP(A105,鑽量!$A:$A,鑽量!$K:$K,,1,2)),_xlfn.XLOOKUP(A105,鑽量!$A:$A,鑽量!$K:$K,,1,2),NA())</f>
        <v>14855</v>
      </c>
      <c r="C105" s="417">
        <f t="shared" si="3"/>
        <v>123.79166666666667</v>
      </c>
      <c r="D105" s="417" t="e">
        <f>IF(ISNUMBER(_xlfn.XLOOKUP(A105,抽卷!$A:$A,抽卷!$K:$K,,1,2)),_xlfn.XLOOKUP(A105,抽卷!$A:$A,抽卷!$K:$K,,1,2),NA())</f>
        <v>#N/A</v>
      </c>
      <c r="E105" s="417" t="e">
        <f>IF(ISNUMBER(_xlfn.XLOOKUP(A105,抽卷!$A:$A,抽卷!$M:$M,,1,2)),_xlfn.XLOOKUP(A105,抽卷!$A:$A,抽卷!$M:$M,,1,2),NA())</f>
        <v>#N/A</v>
      </c>
      <c r="F105" s="70">
        <f t="shared" si="4"/>
        <v>123.79166666666667</v>
      </c>
    </row>
    <row r="106" spans="1:6" ht="15" customHeight="1" x14ac:dyDescent="0.25">
      <c r="A106" s="95">
        <f t="shared" si="5"/>
        <v>44042</v>
      </c>
      <c r="B106" s="76">
        <f>IF(ISNUMBER(_xlfn.XLOOKUP(A106,鑽量!$A:$A,鑽量!$K:$K,,1,2)),_xlfn.XLOOKUP(A106,鑽量!$A:$A,鑽量!$K:$K,,1,2),NA())</f>
        <v>14855</v>
      </c>
      <c r="C106" s="417">
        <f t="shared" si="3"/>
        <v>123.79166666666667</v>
      </c>
      <c r="D106" s="417" t="e">
        <f>IF(ISNUMBER(_xlfn.XLOOKUP(A106,抽卷!$A:$A,抽卷!$K:$K,,1,2)),_xlfn.XLOOKUP(A106,抽卷!$A:$A,抽卷!$K:$K,,1,2),NA())</f>
        <v>#N/A</v>
      </c>
      <c r="E106" s="417" t="e">
        <f>IF(ISNUMBER(_xlfn.XLOOKUP(A106,抽卷!$A:$A,抽卷!$M:$M,,1,2)),_xlfn.XLOOKUP(A106,抽卷!$A:$A,抽卷!$M:$M,,1,2),NA())</f>
        <v>#N/A</v>
      </c>
      <c r="F106" s="70">
        <f t="shared" si="4"/>
        <v>123.79166666666667</v>
      </c>
    </row>
    <row r="107" spans="1:6" ht="15" customHeight="1" x14ac:dyDescent="0.25">
      <c r="A107" s="95">
        <f t="shared" si="5"/>
        <v>44043</v>
      </c>
      <c r="B107" s="76">
        <f>IF(ISNUMBER(_xlfn.XLOOKUP(A107,鑽量!$A:$A,鑽量!$K:$K,,1,2)),_xlfn.XLOOKUP(A107,鑽量!$A:$A,鑽量!$K:$K,,1,2),NA())</f>
        <v>15665</v>
      </c>
      <c r="C107" s="417">
        <f t="shared" si="3"/>
        <v>130.54166666666666</v>
      </c>
      <c r="D107" s="417" t="e">
        <f>IF(ISNUMBER(_xlfn.XLOOKUP(A107,抽卷!$A:$A,抽卷!$K:$K,,1,2)),_xlfn.XLOOKUP(A107,抽卷!$A:$A,抽卷!$K:$K,,1,2),NA())</f>
        <v>#N/A</v>
      </c>
      <c r="E107" s="417" t="e">
        <f>IF(ISNUMBER(_xlfn.XLOOKUP(A107,抽卷!$A:$A,抽卷!$M:$M,,1,2)),_xlfn.XLOOKUP(A107,抽卷!$A:$A,抽卷!$M:$M,,1,2),NA())</f>
        <v>#N/A</v>
      </c>
      <c r="F107" s="70">
        <f t="shared" si="4"/>
        <v>130.54166666666666</v>
      </c>
    </row>
    <row r="108" spans="1:6" ht="15" customHeight="1" x14ac:dyDescent="0.25">
      <c r="A108" s="95">
        <f t="shared" si="5"/>
        <v>44044</v>
      </c>
      <c r="B108" s="76">
        <f>IF(ISNUMBER(_xlfn.XLOOKUP(A108,鑽量!$A:$A,鑽量!$K:$K,,1,2)),_xlfn.XLOOKUP(A108,鑽量!$A:$A,鑽量!$K:$K,,1,2),NA())</f>
        <v>15665</v>
      </c>
      <c r="C108" s="417">
        <f t="shared" si="3"/>
        <v>130.54166666666666</v>
      </c>
      <c r="D108" s="417" t="e">
        <f>IF(ISNUMBER(_xlfn.XLOOKUP(A108,抽卷!$A:$A,抽卷!$K:$K,,1,2)),_xlfn.XLOOKUP(A108,抽卷!$A:$A,抽卷!$K:$K,,1,2),NA())</f>
        <v>#N/A</v>
      </c>
      <c r="E108" s="417" t="e">
        <f>IF(ISNUMBER(_xlfn.XLOOKUP(A108,抽卷!$A:$A,抽卷!$M:$M,,1,2)),_xlfn.XLOOKUP(A108,抽卷!$A:$A,抽卷!$M:$M,,1,2),NA())</f>
        <v>#N/A</v>
      </c>
      <c r="F108" s="70">
        <f t="shared" si="4"/>
        <v>130.54166666666666</v>
      </c>
    </row>
    <row r="109" spans="1:6" ht="15" customHeight="1" x14ac:dyDescent="0.25">
      <c r="A109" s="95">
        <f t="shared" si="5"/>
        <v>44045</v>
      </c>
      <c r="B109" s="76">
        <f>IF(ISNUMBER(_xlfn.XLOOKUP(A109,鑽量!$A:$A,鑽量!$K:$K,,1,2)),_xlfn.XLOOKUP(A109,鑽量!$A:$A,鑽量!$K:$K,,1,2),NA())</f>
        <v>15765</v>
      </c>
      <c r="C109" s="417">
        <f t="shared" si="3"/>
        <v>131.375</v>
      </c>
      <c r="D109" s="417" t="e">
        <f>IF(ISNUMBER(_xlfn.XLOOKUP(A109,抽卷!$A:$A,抽卷!$K:$K,,1,2)),_xlfn.XLOOKUP(A109,抽卷!$A:$A,抽卷!$K:$K,,1,2),NA())</f>
        <v>#N/A</v>
      </c>
      <c r="E109" s="417" t="e">
        <f>IF(ISNUMBER(_xlfn.XLOOKUP(A109,抽卷!$A:$A,抽卷!$M:$M,,1,2)),_xlfn.XLOOKUP(A109,抽卷!$A:$A,抽卷!$M:$M,,1,2),NA())</f>
        <v>#N/A</v>
      </c>
      <c r="F109" s="70">
        <f t="shared" si="4"/>
        <v>131.375</v>
      </c>
    </row>
    <row r="110" spans="1:6" ht="15" customHeight="1" x14ac:dyDescent="0.25">
      <c r="A110" s="95">
        <f t="shared" si="5"/>
        <v>44046</v>
      </c>
      <c r="B110" s="76">
        <f>IF(ISNUMBER(_xlfn.XLOOKUP(A110,鑽量!$A:$A,鑽量!$K:$K,,1,2)),_xlfn.XLOOKUP(A110,鑽量!$A:$A,鑽量!$K:$K,,1,2),NA())</f>
        <v>16290</v>
      </c>
      <c r="C110" s="417">
        <f t="shared" si="3"/>
        <v>135.75</v>
      </c>
      <c r="D110" s="417" t="e">
        <f>IF(ISNUMBER(_xlfn.XLOOKUP(A110,抽卷!$A:$A,抽卷!$K:$K,,1,2)),_xlfn.XLOOKUP(A110,抽卷!$A:$A,抽卷!$K:$K,,1,2),NA())</f>
        <v>#N/A</v>
      </c>
      <c r="E110" s="417" t="e">
        <f>IF(ISNUMBER(_xlfn.XLOOKUP(A110,抽卷!$A:$A,抽卷!$M:$M,,1,2)),_xlfn.XLOOKUP(A110,抽卷!$A:$A,抽卷!$M:$M,,1,2),NA())</f>
        <v>#N/A</v>
      </c>
      <c r="F110" s="70">
        <f t="shared" si="4"/>
        <v>135.75</v>
      </c>
    </row>
    <row r="111" spans="1:6" ht="15" customHeight="1" x14ac:dyDescent="0.25">
      <c r="A111" s="95">
        <f t="shared" si="5"/>
        <v>44047</v>
      </c>
      <c r="B111" s="76">
        <f>IF(ISNUMBER(_xlfn.XLOOKUP(A111,鑽量!$A:$A,鑽量!$K:$K,,1,2)),_xlfn.XLOOKUP(A111,鑽量!$A:$A,鑽量!$K:$K,,1,2),NA())</f>
        <v>16290</v>
      </c>
      <c r="C111" s="417">
        <f t="shared" si="3"/>
        <v>135.75</v>
      </c>
      <c r="D111" s="417" t="e">
        <f>IF(ISNUMBER(_xlfn.XLOOKUP(A111,抽卷!$A:$A,抽卷!$K:$K,,1,2)),_xlfn.XLOOKUP(A111,抽卷!$A:$A,抽卷!$K:$K,,1,2),NA())</f>
        <v>#N/A</v>
      </c>
      <c r="E111" s="417" t="e">
        <f>IF(ISNUMBER(_xlfn.XLOOKUP(A111,抽卷!$A:$A,抽卷!$M:$M,,1,2)),_xlfn.XLOOKUP(A111,抽卷!$A:$A,抽卷!$M:$M,,1,2),NA())</f>
        <v>#N/A</v>
      </c>
      <c r="F111" s="70">
        <f t="shared" si="4"/>
        <v>135.75</v>
      </c>
    </row>
    <row r="112" spans="1:6" ht="15" customHeight="1" x14ac:dyDescent="0.25">
      <c r="A112" s="95">
        <f t="shared" si="5"/>
        <v>44048</v>
      </c>
      <c r="B112" s="76">
        <f>IF(ISNUMBER(_xlfn.XLOOKUP(A112,鑽量!$A:$A,鑽量!$K:$K,,1,2)),_xlfn.XLOOKUP(A112,鑽量!$A:$A,鑽量!$K:$K,,1,2),NA())</f>
        <v>16090</v>
      </c>
      <c r="C112" s="417">
        <f t="shared" si="3"/>
        <v>134.08333333333334</v>
      </c>
      <c r="D112" s="417" t="e">
        <f>IF(ISNUMBER(_xlfn.XLOOKUP(A112,抽卷!$A:$A,抽卷!$K:$K,,1,2)),_xlfn.XLOOKUP(A112,抽卷!$A:$A,抽卷!$K:$K,,1,2),NA())</f>
        <v>#N/A</v>
      </c>
      <c r="E112" s="417" t="e">
        <f>IF(ISNUMBER(_xlfn.XLOOKUP(A112,抽卷!$A:$A,抽卷!$M:$M,,1,2)),_xlfn.XLOOKUP(A112,抽卷!$A:$A,抽卷!$M:$M,,1,2),NA())</f>
        <v>#N/A</v>
      </c>
      <c r="F112" s="70">
        <f t="shared" si="4"/>
        <v>134.08333333333334</v>
      </c>
    </row>
    <row r="113" spans="1:6" ht="15" customHeight="1" x14ac:dyDescent="0.25">
      <c r="A113" s="95">
        <f t="shared" si="5"/>
        <v>44049</v>
      </c>
      <c r="B113" s="76">
        <f>IF(ISNUMBER(_xlfn.XLOOKUP(A113,鑽量!$A:$A,鑽量!$K:$K,,1,2)),_xlfn.XLOOKUP(A113,鑽量!$A:$A,鑽量!$K:$K,,1,2),NA())</f>
        <v>16265</v>
      </c>
      <c r="C113" s="417">
        <f t="shared" si="3"/>
        <v>135.54166666666666</v>
      </c>
      <c r="D113" s="417" t="e">
        <f>IF(ISNUMBER(_xlfn.XLOOKUP(A113,抽卷!$A:$A,抽卷!$K:$K,,1,2)),_xlfn.XLOOKUP(A113,抽卷!$A:$A,抽卷!$K:$K,,1,2),NA())</f>
        <v>#N/A</v>
      </c>
      <c r="E113" s="417" t="e">
        <f>IF(ISNUMBER(_xlfn.XLOOKUP(A113,抽卷!$A:$A,抽卷!$M:$M,,1,2)),_xlfn.XLOOKUP(A113,抽卷!$A:$A,抽卷!$M:$M,,1,2),NA())</f>
        <v>#N/A</v>
      </c>
      <c r="F113" s="70">
        <f t="shared" si="4"/>
        <v>135.54166666666666</v>
      </c>
    </row>
    <row r="114" spans="1:6" ht="15" customHeight="1" x14ac:dyDescent="0.25">
      <c r="A114" s="95">
        <f t="shared" si="5"/>
        <v>44050</v>
      </c>
      <c r="B114" s="76">
        <f>IF(ISNUMBER(_xlfn.XLOOKUP(A114,鑽量!$A:$A,鑽量!$K:$K,,1,2)),_xlfn.XLOOKUP(A114,鑽量!$A:$A,鑽量!$K:$K,,1,2),NA())</f>
        <v>16265</v>
      </c>
      <c r="C114" s="417">
        <f t="shared" si="3"/>
        <v>135.54166666666666</v>
      </c>
      <c r="D114" s="417" t="e">
        <f>IF(ISNUMBER(_xlfn.XLOOKUP(A114,抽卷!$A:$A,抽卷!$K:$K,,1,2)),_xlfn.XLOOKUP(A114,抽卷!$A:$A,抽卷!$K:$K,,1,2),NA())</f>
        <v>#N/A</v>
      </c>
      <c r="E114" s="417" t="e">
        <f>IF(ISNUMBER(_xlfn.XLOOKUP(A114,抽卷!$A:$A,抽卷!$M:$M,,1,2)),_xlfn.XLOOKUP(A114,抽卷!$A:$A,抽卷!$M:$M,,1,2),NA())</f>
        <v>#N/A</v>
      </c>
      <c r="F114" s="70">
        <f t="shared" si="4"/>
        <v>135.54166666666666</v>
      </c>
    </row>
    <row r="115" spans="1:6" ht="15" customHeight="1" x14ac:dyDescent="0.25">
      <c r="A115" s="95">
        <f t="shared" si="5"/>
        <v>44051</v>
      </c>
      <c r="B115" s="76">
        <f>IF(ISNUMBER(_xlfn.XLOOKUP(A115,鑽量!$A:$A,鑽量!$K:$K,,1,2)),_xlfn.XLOOKUP(A115,鑽量!$A:$A,鑽量!$K:$K,,1,2),NA())</f>
        <v>15765</v>
      </c>
      <c r="C115" s="417">
        <f t="shared" si="3"/>
        <v>131.375</v>
      </c>
      <c r="D115" s="417" t="e">
        <f>IF(ISNUMBER(_xlfn.XLOOKUP(A115,抽卷!$A:$A,抽卷!$K:$K,,1,2)),_xlfn.XLOOKUP(A115,抽卷!$A:$A,抽卷!$K:$K,,1,2),NA())</f>
        <v>#N/A</v>
      </c>
      <c r="E115" s="417" t="e">
        <f>IF(ISNUMBER(_xlfn.XLOOKUP(A115,抽卷!$A:$A,抽卷!$M:$M,,1,2)),_xlfn.XLOOKUP(A115,抽卷!$A:$A,抽卷!$M:$M,,1,2),NA())</f>
        <v>#N/A</v>
      </c>
      <c r="F115" s="70">
        <f t="shared" si="4"/>
        <v>131.375</v>
      </c>
    </row>
    <row r="116" spans="1:6" ht="15" customHeight="1" x14ac:dyDescent="0.25">
      <c r="A116" s="95">
        <f t="shared" si="5"/>
        <v>44052</v>
      </c>
      <c r="B116" s="76">
        <f>IF(ISNUMBER(_xlfn.XLOOKUP(A116,鑽量!$A:$A,鑽量!$K:$K,,1,2)),_xlfn.XLOOKUP(A116,鑽量!$A:$A,鑽量!$K:$K,,1,2),NA())</f>
        <v>15865</v>
      </c>
      <c r="C116" s="417">
        <f t="shared" si="3"/>
        <v>132.20833333333334</v>
      </c>
      <c r="D116" s="417" t="e">
        <f>IF(ISNUMBER(_xlfn.XLOOKUP(A116,抽卷!$A:$A,抽卷!$K:$K,,1,2)),_xlfn.XLOOKUP(A116,抽卷!$A:$A,抽卷!$K:$K,,1,2),NA())</f>
        <v>#N/A</v>
      </c>
      <c r="E116" s="417" t="e">
        <f>IF(ISNUMBER(_xlfn.XLOOKUP(A116,抽卷!$A:$A,抽卷!$M:$M,,1,2)),_xlfn.XLOOKUP(A116,抽卷!$A:$A,抽卷!$M:$M,,1,2),NA())</f>
        <v>#N/A</v>
      </c>
      <c r="F116" s="70">
        <f t="shared" si="4"/>
        <v>132.20833333333334</v>
      </c>
    </row>
    <row r="117" spans="1:6" ht="15" customHeight="1" x14ac:dyDescent="0.25">
      <c r="A117" s="95">
        <f t="shared" si="5"/>
        <v>44053</v>
      </c>
      <c r="B117" s="76">
        <f>IF(ISNUMBER(_xlfn.XLOOKUP(A117,鑽量!$A:$A,鑽量!$K:$K,,1,2)),_xlfn.XLOOKUP(A117,鑽量!$A:$A,鑽量!$K:$K,,1,2),NA())</f>
        <v>16040</v>
      </c>
      <c r="C117" s="417">
        <f t="shared" si="3"/>
        <v>133.66666666666666</v>
      </c>
      <c r="D117" s="417" t="e">
        <f>IF(ISNUMBER(_xlfn.XLOOKUP(A117,抽卷!$A:$A,抽卷!$K:$K,,1,2)),_xlfn.XLOOKUP(A117,抽卷!$A:$A,抽卷!$K:$K,,1,2),NA())</f>
        <v>#N/A</v>
      </c>
      <c r="E117" s="417" t="e">
        <f>IF(ISNUMBER(_xlfn.XLOOKUP(A117,抽卷!$A:$A,抽卷!$M:$M,,1,2)),_xlfn.XLOOKUP(A117,抽卷!$A:$A,抽卷!$M:$M,,1,2),NA())</f>
        <v>#N/A</v>
      </c>
      <c r="F117" s="70">
        <f t="shared" si="4"/>
        <v>133.66666666666666</v>
      </c>
    </row>
    <row r="118" spans="1:6" ht="15" customHeight="1" x14ac:dyDescent="0.25">
      <c r="A118" s="95">
        <f t="shared" si="5"/>
        <v>44054</v>
      </c>
      <c r="B118" s="76">
        <f>IF(ISNUMBER(_xlfn.XLOOKUP(A118,鑽量!$A:$A,鑽量!$K:$K,,1,2)),_xlfn.XLOOKUP(A118,鑽量!$A:$A,鑽量!$K:$K,,1,2),NA())</f>
        <v>15730</v>
      </c>
      <c r="C118" s="417">
        <f t="shared" si="3"/>
        <v>131.08333333333334</v>
      </c>
      <c r="D118" s="417" t="e">
        <f>IF(ISNUMBER(_xlfn.XLOOKUP(A118,抽卷!$A:$A,抽卷!$K:$K,,1,2)),_xlfn.XLOOKUP(A118,抽卷!$A:$A,抽卷!$K:$K,,1,2),NA())</f>
        <v>#N/A</v>
      </c>
      <c r="E118" s="417" t="e">
        <f>IF(ISNUMBER(_xlfn.XLOOKUP(A118,抽卷!$A:$A,抽卷!$M:$M,,1,2)),_xlfn.XLOOKUP(A118,抽卷!$A:$A,抽卷!$M:$M,,1,2),NA())</f>
        <v>#N/A</v>
      </c>
      <c r="F118" s="70">
        <f t="shared" si="4"/>
        <v>131.08333333333334</v>
      </c>
    </row>
    <row r="119" spans="1:6" ht="15" customHeight="1" x14ac:dyDescent="0.25">
      <c r="A119" s="95">
        <f t="shared" si="5"/>
        <v>44055</v>
      </c>
      <c r="B119" s="76">
        <f>IF(ISNUMBER(_xlfn.XLOOKUP(A119,鑽量!$A:$A,鑽量!$K:$K,,1,2)),_xlfn.XLOOKUP(A119,鑽量!$A:$A,鑽量!$K:$K,,1,2),NA())</f>
        <v>15730</v>
      </c>
      <c r="C119" s="417">
        <f t="shared" si="3"/>
        <v>131.08333333333334</v>
      </c>
      <c r="D119" s="417" t="e">
        <f>IF(ISNUMBER(_xlfn.XLOOKUP(A119,抽卷!$A:$A,抽卷!$K:$K,,1,2)),_xlfn.XLOOKUP(A119,抽卷!$A:$A,抽卷!$K:$K,,1,2),NA())</f>
        <v>#N/A</v>
      </c>
      <c r="E119" s="417" t="e">
        <f>IF(ISNUMBER(_xlfn.XLOOKUP(A119,抽卷!$A:$A,抽卷!$M:$M,,1,2)),_xlfn.XLOOKUP(A119,抽卷!$A:$A,抽卷!$M:$M,,1,2),NA())</f>
        <v>#N/A</v>
      </c>
      <c r="F119" s="70">
        <f t="shared" si="4"/>
        <v>131.08333333333334</v>
      </c>
    </row>
    <row r="120" spans="1:6" ht="15" customHeight="1" x14ac:dyDescent="0.25">
      <c r="A120" s="95">
        <f t="shared" si="5"/>
        <v>44056</v>
      </c>
      <c r="B120" s="76">
        <f>IF(ISNUMBER(_xlfn.XLOOKUP(A120,鑽量!$A:$A,鑽量!$K:$K,,1,2)),_xlfn.XLOOKUP(A120,鑽量!$A:$A,鑽量!$K:$K,,1,2),NA())</f>
        <v>15730</v>
      </c>
      <c r="C120" s="417">
        <f t="shared" si="3"/>
        <v>131.08333333333334</v>
      </c>
      <c r="D120" s="417" t="e">
        <f>IF(ISNUMBER(_xlfn.XLOOKUP(A120,抽卷!$A:$A,抽卷!$K:$K,,1,2)),_xlfn.XLOOKUP(A120,抽卷!$A:$A,抽卷!$K:$K,,1,2),NA())</f>
        <v>#N/A</v>
      </c>
      <c r="E120" s="417" t="e">
        <f>IF(ISNUMBER(_xlfn.XLOOKUP(A120,抽卷!$A:$A,抽卷!$M:$M,,1,2)),_xlfn.XLOOKUP(A120,抽卷!$A:$A,抽卷!$M:$M,,1,2),NA())</f>
        <v>#N/A</v>
      </c>
      <c r="F120" s="70">
        <f t="shared" si="4"/>
        <v>131.08333333333334</v>
      </c>
    </row>
    <row r="121" spans="1:6" ht="15" customHeight="1" x14ac:dyDescent="0.25">
      <c r="A121" s="95">
        <f t="shared" si="5"/>
        <v>44057</v>
      </c>
      <c r="B121" s="76">
        <f>IF(ISNUMBER(_xlfn.XLOOKUP(A121,鑽量!$A:$A,鑽量!$K:$K,,1,2)),_xlfn.XLOOKUP(A121,鑽量!$A:$A,鑽量!$K:$K,,1,2),NA())</f>
        <v>15730</v>
      </c>
      <c r="C121" s="417">
        <f t="shared" si="3"/>
        <v>131.08333333333334</v>
      </c>
      <c r="D121" s="417" t="e">
        <f>IF(ISNUMBER(_xlfn.XLOOKUP(A121,抽卷!$A:$A,抽卷!$K:$K,,1,2)),_xlfn.XLOOKUP(A121,抽卷!$A:$A,抽卷!$K:$K,,1,2),NA())</f>
        <v>#N/A</v>
      </c>
      <c r="E121" s="417" t="e">
        <f>IF(ISNUMBER(_xlfn.XLOOKUP(A121,抽卷!$A:$A,抽卷!$M:$M,,1,2)),_xlfn.XLOOKUP(A121,抽卷!$A:$A,抽卷!$M:$M,,1,2),NA())</f>
        <v>#N/A</v>
      </c>
      <c r="F121" s="70">
        <f t="shared" si="4"/>
        <v>131.08333333333334</v>
      </c>
    </row>
    <row r="122" spans="1:6" ht="15" customHeight="1" x14ac:dyDescent="0.25">
      <c r="A122" s="95">
        <f t="shared" si="5"/>
        <v>44058</v>
      </c>
      <c r="B122" s="76">
        <f>IF(ISNUMBER(_xlfn.XLOOKUP(A122,鑽量!$A:$A,鑽量!$K:$K,,1,2)),_xlfn.XLOOKUP(A122,鑽量!$A:$A,鑽量!$K:$K,,1,2),NA())</f>
        <v>15790</v>
      </c>
      <c r="C122" s="417">
        <f t="shared" si="3"/>
        <v>131.58333333333334</v>
      </c>
      <c r="D122" s="417" t="e">
        <f>IF(ISNUMBER(_xlfn.XLOOKUP(A122,抽卷!$A:$A,抽卷!$K:$K,,1,2)),_xlfn.XLOOKUP(A122,抽卷!$A:$A,抽卷!$K:$K,,1,2),NA())</f>
        <v>#N/A</v>
      </c>
      <c r="E122" s="417" t="e">
        <f>IF(ISNUMBER(_xlfn.XLOOKUP(A122,抽卷!$A:$A,抽卷!$M:$M,,1,2)),_xlfn.XLOOKUP(A122,抽卷!$A:$A,抽卷!$M:$M,,1,2),NA())</f>
        <v>#N/A</v>
      </c>
      <c r="F122" s="70">
        <f t="shared" si="4"/>
        <v>131.58333333333334</v>
      </c>
    </row>
    <row r="123" spans="1:6" ht="15" customHeight="1" x14ac:dyDescent="0.25">
      <c r="A123" s="95">
        <f t="shared" si="5"/>
        <v>44059</v>
      </c>
      <c r="B123" s="76">
        <f>IF(ISNUMBER(_xlfn.XLOOKUP(A123,鑽量!$A:$A,鑽量!$K:$K,,1,2)),_xlfn.XLOOKUP(A123,鑽量!$A:$A,鑽量!$K:$K,,1,2),NA())</f>
        <v>16080</v>
      </c>
      <c r="C123" s="417">
        <f t="shared" si="3"/>
        <v>134</v>
      </c>
      <c r="D123" s="417" t="e">
        <f>IF(ISNUMBER(_xlfn.XLOOKUP(A123,抽卷!$A:$A,抽卷!$K:$K,,1,2)),_xlfn.XLOOKUP(A123,抽卷!$A:$A,抽卷!$K:$K,,1,2),NA())</f>
        <v>#N/A</v>
      </c>
      <c r="E123" s="417" t="e">
        <f>IF(ISNUMBER(_xlfn.XLOOKUP(A123,抽卷!$A:$A,抽卷!$M:$M,,1,2)),_xlfn.XLOOKUP(A123,抽卷!$A:$A,抽卷!$M:$M,,1,2),NA())</f>
        <v>#N/A</v>
      </c>
      <c r="F123" s="70">
        <f t="shared" si="4"/>
        <v>134</v>
      </c>
    </row>
    <row r="124" spans="1:6" ht="15" customHeight="1" x14ac:dyDescent="0.25">
      <c r="A124" s="95">
        <f t="shared" si="5"/>
        <v>44060</v>
      </c>
      <c r="B124" s="76">
        <f>IF(ISNUMBER(_xlfn.XLOOKUP(A124,鑽量!$A:$A,鑽量!$K:$K,,1,2)),_xlfn.XLOOKUP(A124,鑽量!$A:$A,鑽量!$K:$K,,1,2),NA())</f>
        <v>16520</v>
      </c>
      <c r="C124" s="417">
        <f t="shared" si="3"/>
        <v>137.66666666666666</v>
      </c>
      <c r="D124" s="417" t="e">
        <f>IF(ISNUMBER(_xlfn.XLOOKUP(A124,抽卷!$A:$A,抽卷!$K:$K,,1,2)),_xlfn.XLOOKUP(A124,抽卷!$A:$A,抽卷!$K:$K,,1,2),NA())</f>
        <v>#N/A</v>
      </c>
      <c r="E124" s="417" t="e">
        <f>IF(ISNUMBER(_xlfn.XLOOKUP(A124,抽卷!$A:$A,抽卷!$M:$M,,1,2)),_xlfn.XLOOKUP(A124,抽卷!$A:$A,抽卷!$M:$M,,1,2),NA())</f>
        <v>#N/A</v>
      </c>
      <c r="F124" s="70">
        <f t="shared" si="4"/>
        <v>137.66666666666666</v>
      </c>
    </row>
    <row r="125" spans="1:6" ht="15" customHeight="1" x14ac:dyDescent="0.25">
      <c r="A125" s="95">
        <f t="shared" si="5"/>
        <v>44061</v>
      </c>
      <c r="B125" s="76">
        <f>IF(ISNUMBER(_xlfn.XLOOKUP(A125,鑽量!$A:$A,鑽量!$K:$K,,1,2)),_xlfn.XLOOKUP(A125,鑽量!$A:$A,鑽量!$K:$K,,1,2),NA())</f>
        <v>18780</v>
      </c>
      <c r="C125" s="417">
        <f t="shared" si="3"/>
        <v>156.5</v>
      </c>
      <c r="D125" s="417" t="e">
        <f>IF(ISNUMBER(_xlfn.XLOOKUP(A125,抽卷!$A:$A,抽卷!$K:$K,,1,2)),_xlfn.XLOOKUP(A125,抽卷!$A:$A,抽卷!$K:$K,,1,2),NA())</f>
        <v>#N/A</v>
      </c>
      <c r="E125" s="417" t="e">
        <f>IF(ISNUMBER(_xlfn.XLOOKUP(A125,抽卷!$A:$A,抽卷!$M:$M,,1,2)),_xlfn.XLOOKUP(A125,抽卷!$A:$A,抽卷!$M:$M,,1,2),NA())</f>
        <v>#N/A</v>
      </c>
      <c r="F125" s="70">
        <f t="shared" si="4"/>
        <v>156.5</v>
      </c>
    </row>
    <row r="126" spans="1:6" ht="15" customHeight="1" x14ac:dyDescent="0.25">
      <c r="A126" s="95">
        <f t="shared" si="5"/>
        <v>44062</v>
      </c>
      <c r="B126" s="76">
        <f>IF(ISNUMBER(_xlfn.XLOOKUP(A126,鑽量!$A:$A,鑽量!$K:$K,,1,2)),_xlfn.XLOOKUP(A126,鑽量!$A:$A,鑽量!$K:$K,,1,2),NA())</f>
        <v>17845</v>
      </c>
      <c r="C126" s="417">
        <f t="shared" si="3"/>
        <v>148.70833333333334</v>
      </c>
      <c r="D126" s="417" t="e">
        <f>IF(ISNUMBER(_xlfn.XLOOKUP(A126,抽卷!$A:$A,抽卷!$K:$K,,1,2)),_xlfn.XLOOKUP(A126,抽卷!$A:$A,抽卷!$K:$K,,1,2),NA())</f>
        <v>#N/A</v>
      </c>
      <c r="E126" s="417" t="e">
        <f>IF(ISNUMBER(_xlfn.XLOOKUP(A126,抽卷!$A:$A,抽卷!$M:$M,,1,2)),_xlfn.XLOOKUP(A126,抽卷!$A:$A,抽卷!$M:$M,,1,2),NA())</f>
        <v>#N/A</v>
      </c>
      <c r="F126" s="70">
        <f t="shared" si="4"/>
        <v>148.70833333333334</v>
      </c>
    </row>
    <row r="127" spans="1:6" ht="15" customHeight="1" x14ac:dyDescent="0.25">
      <c r="A127" s="95">
        <f t="shared" si="5"/>
        <v>44063</v>
      </c>
      <c r="B127" s="76">
        <f>IF(ISNUMBER(_xlfn.XLOOKUP(A127,鑽量!$A:$A,鑽量!$K:$K,,1,2)),_xlfn.XLOOKUP(A127,鑽量!$A:$A,鑽量!$K:$K,,1,2),NA())</f>
        <v>14470</v>
      </c>
      <c r="C127" s="417">
        <f t="shared" si="3"/>
        <v>120.58333333333333</v>
      </c>
      <c r="D127" s="417" t="e">
        <f>IF(ISNUMBER(_xlfn.XLOOKUP(A127,抽卷!$A:$A,抽卷!$K:$K,,1,2)),_xlfn.XLOOKUP(A127,抽卷!$A:$A,抽卷!$K:$K,,1,2),NA())</f>
        <v>#N/A</v>
      </c>
      <c r="E127" s="417" t="e">
        <f>IF(ISNUMBER(_xlfn.XLOOKUP(A127,抽卷!$A:$A,抽卷!$M:$M,,1,2)),_xlfn.XLOOKUP(A127,抽卷!$A:$A,抽卷!$M:$M,,1,2),NA())</f>
        <v>#N/A</v>
      </c>
      <c r="F127" s="70">
        <f t="shared" si="4"/>
        <v>120.58333333333333</v>
      </c>
    </row>
    <row r="128" spans="1:6" ht="15" customHeight="1" x14ac:dyDescent="0.25">
      <c r="A128" s="95">
        <f t="shared" si="5"/>
        <v>44064</v>
      </c>
      <c r="B128" s="76">
        <f>IF(ISNUMBER(_xlfn.XLOOKUP(A128,鑽量!$A:$A,鑽量!$K:$K,,1,2)),_xlfn.XLOOKUP(A128,鑽量!$A:$A,鑽量!$K:$K,,1,2),NA())</f>
        <v>14695</v>
      </c>
      <c r="C128" s="417">
        <f t="shared" si="3"/>
        <v>122.45833333333333</v>
      </c>
      <c r="D128" s="417" t="e">
        <f>IF(ISNUMBER(_xlfn.XLOOKUP(A128,抽卷!$A:$A,抽卷!$K:$K,,1,2)),_xlfn.XLOOKUP(A128,抽卷!$A:$A,抽卷!$K:$K,,1,2),NA())</f>
        <v>#N/A</v>
      </c>
      <c r="E128" s="417" t="e">
        <f>IF(ISNUMBER(_xlfn.XLOOKUP(A128,抽卷!$A:$A,抽卷!$M:$M,,1,2)),_xlfn.XLOOKUP(A128,抽卷!$A:$A,抽卷!$M:$M,,1,2),NA())</f>
        <v>#N/A</v>
      </c>
      <c r="F128" s="70">
        <f t="shared" si="4"/>
        <v>122.45833333333333</v>
      </c>
    </row>
    <row r="129" spans="1:6" ht="15" customHeight="1" x14ac:dyDescent="0.25">
      <c r="A129" s="95">
        <f t="shared" si="5"/>
        <v>44065</v>
      </c>
      <c r="B129" s="76">
        <f>IF(ISNUMBER(_xlfn.XLOOKUP(A129,鑽量!$A:$A,鑽量!$K:$K,,1,2)),_xlfn.XLOOKUP(A129,鑽量!$A:$A,鑽量!$K:$K,,1,2),NA())</f>
        <v>14520</v>
      </c>
      <c r="C129" s="417">
        <f t="shared" si="3"/>
        <v>121</v>
      </c>
      <c r="D129" s="417" t="e">
        <f>IF(ISNUMBER(_xlfn.XLOOKUP(A129,抽卷!$A:$A,抽卷!$K:$K,,1,2)),_xlfn.XLOOKUP(A129,抽卷!$A:$A,抽卷!$K:$K,,1,2),NA())</f>
        <v>#N/A</v>
      </c>
      <c r="E129" s="417" t="e">
        <f>IF(ISNUMBER(_xlfn.XLOOKUP(A129,抽卷!$A:$A,抽卷!$M:$M,,1,2)),_xlfn.XLOOKUP(A129,抽卷!$A:$A,抽卷!$M:$M,,1,2),NA())</f>
        <v>#N/A</v>
      </c>
      <c r="F129" s="70">
        <f t="shared" si="4"/>
        <v>121</v>
      </c>
    </row>
    <row r="130" spans="1:6" ht="15" customHeight="1" x14ac:dyDescent="0.25">
      <c r="A130" s="95">
        <f t="shared" si="5"/>
        <v>44066</v>
      </c>
      <c r="B130" s="76">
        <f>IF(ISNUMBER(_xlfn.XLOOKUP(A130,鑽量!$A:$A,鑽量!$K:$K,,1,2)),_xlfn.XLOOKUP(A130,鑽量!$A:$A,鑽量!$K:$K,,1,2),NA())</f>
        <v>14520</v>
      </c>
      <c r="C130" s="417">
        <f t="shared" ref="C130:C193" si="6">B130/120</f>
        <v>121</v>
      </c>
      <c r="D130" s="417" t="e">
        <f>IF(ISNUMBER(_xlfn.XLOOKUP(A130,抽卷!$A:$A,抽卷!$K:$K,,1,2)),_xlfn.XLOOKUP(A130,抽卷!$A:$A,抽卷!$K:$K,,1,2),NA())</f>
        <v>#N/A</v>
      </c>
      <c r="E130" s="417" t="e">
        <f>IF(ISNUMBER(_xlfn.XLOOKUP(A130,抽卷!$A:$A,抽卷!$M:$M,,1,2)),_xlfn.XLOOKUP(A130,抽卷!$A:$A,抽卷!$M:$M,,1,2),NA())</f>
        <v>#N/A</v>
      </c>
      <c r="F130" s="70">
        <f t="shared" ref="F130:F185" si="7">IF(ISNA(E130),IF(ISNA(D130),C130,C130+D130),E130+D130+C130)</f>
        <v>121</v>
      </c>
    </row>
    <row r="131" spans="1:6" ht="15" customHeight="1" x14ac:dyDescent="0.25">
      <c r="A131" s="95">
        <f t="shared" si="5"/>
        <v>44067</v>
      </c>
      <c r="B131" s="76">
        <f>IF(ISNUMBER(_xlfn.XLOOKUP(A131,鑽量!$A:$A,鑽量!$K:$K,,1,2)),_xlfn.XLOOKUP(A131,鑽量!$A:$A,鑽量!$K:$K,,1,2),NA())</f>
        <v>14295</v>
      </c>
      <c r="C131" s="417">
        <f t="shared" si="6"/>
        <v>119.125</v>
      </c>
      <c r="D131" s="417" t="e">
        <f>IF(ISNUMBER(_xlfn.XLOOKUP(A131,抽卷!$A:$A,抽卷!$K:$K,,1,2)),_xlfn.XLOOKUP(A131,抽卷!$A:$A,抽卷!$K:$K,,1,2),NA())</f>
        <v>#N/A</v>
      </c>
      <c r="E131" s="417" t="e">
        <f>IF(ISNUMBER(_xlfn.XLOOKUP(A131,抽卷!$A:$A,抽卷!$M:$M,,1,2)),_xlfn.XLOOKUP(A131,抽卷!$A:$A,抽卷!$M:$M,,1,2),NA())</f>
        <v>#N/A</v>
      </c>
      <c r="F131" s="70">
        <f t="shared" si="7"/>
        <v>119.125</v>
      </c>
    </row>
    <row r="132" spans="1:6" ht="15" customHeight="1" x14ac:dyDescent="0.25">
      <c r="A132" s="95">
        <f t="shared" si="5"/>
        <v>44068</v>
      </c>
      <c r="B132" s="76">
        <f>IF(ISNUMBER(_xlfn.XLOOKUP(A132,鑽量!$A:$A,鑽量!$K:$K,,1,2)),_xlfn.XLOOKUP(A132,鑽量!$A:$A,鑽量!$K:$K,,1,2),NA())</f>
        <v>14020</v>
      </c>
      <c r="C132" s="417">
        <f t="shared" si="6"/>
        <v>116.83333333333333</v>
      </c>
      <c r="D132" s="417" t="e">
        <f>IF(ISNUMBER(_xlfn.XLOOKUP(A132,抽卷!$A:$A,抽卷!$K:$K,,1,2)),_xlfn.XLOOKUP(A132,抽卷!$A:$A,抽卷!$K:$K,,1,2),NA())</f>
        <v>#N/A</v>
      </c>
      <c r="E132" s="417" t="e">
        <f>IF(ISNUMBER(_xlfn.XLOOKUP(A132,抽卷!$A:$A,抽卷!$M:$M,,1,2)),_xlfn.XLOOKUP(A132,抽卷!$A:$A,抽卷!$M:$M,,1,2),NA())</f>
        <v>#N/A</v>
      </c>
      <c r="F132" s="70">
        <f t="shared" si="7"/>
        <v>116.83333333333333</v>
      </c>
    </row>
    <row r="133" spans="1:6" ht="15" customHeight="1" x14ac:dyDescent="0.25">
      <c r="A133" s="95">
        <f t="shared" si="5"/>
        <v>44069</v>
      </c>
      <c r="B133" s="76">
        <f>IF(ISNUMBER(_xlfn.XLOOKUP(A133,鑽量!$A:$A,鑽量!$K:$K,,1,2)),_xlfn.XLOOKUP(A133,鑽量!$A:$A,鑽量!$K:$K,,1,2),NA())</f>
        <v>16120</v>
      </c>
      <c r="C133" s="417">
        <f t="shared" si="6"/>
        <v>134.33333333333334</v>
      </c>
      <c r="D133" s="417" t="e">
        <f>IF(ISNUMBER(_xlfn.XLOOKUP(A133,抽卷!$A:$A,抽卷!$K:$K,,1,2)),_xlfn.XLOOKUP(A133,抽卷!$A:$A,抽卷!$K:$K,,1,2),NA())</f>
        <v>#N/A</v>
      </c>
      <c r="E133" s="417" t="e">
        <f>IF(ISNUMBER(_xlfn.XLOOKUP(A133,抽卷!$A:$A,抽卷!$M:$M,,1,2)),_xlfn.XLOOKUP(A133,抽卷!$A:$A,抽卷!$M:$M,,1,2),NA())</f>
        <v>#N/A</v>
      </c>
      <c r="F133" s="70">
        <f t="shared" si="7"/>
        <v>134.33333333333334</v>
      </c>
    </row>
    <row r="134" spans="1:6" ht="15" customHeight="1" x14ac:dyDescent="0.25">
      <c r="A134" s="95">
        <f t="shared" ref="A134:A197" si="8">A133+1</f>
        <v>44070</v>
      </c>
      <c r="B134" s="76">
        <f>IF(ISNUMBER(_xlfn.XLOOKUP(A134,鑽量!$A:$A,鑽量!$K:$K,,1,2)),_xlfn.XLOOKUP(A134,鑽量!$A:$A,鑽量!$K:$K,,1,2),NA())</f>
        <v>16120</v>
      </c>
      <c r="C134" s="417">
        <f t="shared" si="6"/>
        <v>134.33333333333334</v>
      </c>
      <c r="D134" s="417" t="e">
        <f>IF(ISNUMBER(_xlfn.XLOOKUP(A134,抽卷!$A:$A,抽卷!$K:$K,,1,2)),_xlfn.XLOOKUP(A134,抽卷!$A:$A,抽卷!$K:$K,,1,2),NA())</f>
        <v>#N/A</v>
      </c>
      <c r="E134" s="417" t="e">
        <f>IF(ISNUMBER(_xlfn.XLOOKUP(A134,抽卷!$A:$A,抽卷!$M:$M,,1,2)),_xlfn.XLOOKUP(A134,抽卷!$A:$A,抽卷!$M:$M,,1,2),NA())</f>
        <v>#N/A</v>
      </c>
      <c r="F134" s="70">
        <f t="shared" si="7"/>
        <v>134.33333333333334</v>
      </c>
    </row>
    <row r="135" spans="1:6" ht="15" customHeight="1" x14ac:dyDescent="0.25">
      <c r="A135" s="95">
        <f t="shared" si="8"/>
        <v>44071</v>
      </c>
      <c r="B135" s="76">
        <f>IF(ISNUMBER(_xlfn.XLOOKUP(A135,鑽量!$A:$A,鑽量!$K:$K,,1,2)),_xlfn.XLOOKUP(A135,鑽量!$A:$A,鑽量!$K:$K,,1,2),NA())</f>
        <v>16120</v>
      </c>
      <c r="C135" s="417">
        <f t="shared" si="6"/>
        <v>134.33333333333334</v>
      </c>
      <c r="D135" s="417" t="e">
        <f>IF(ISNUMBER(_xlfn.XLOOKUP(A135,抽卷!$A:$A,抽卷!$K:$K,,1,2)),_xlfn.XLOOKUP(A135,抽卷!$A:$A,抽卷!$K:$K,,1,2),NA())</f>
        <v>#N/A</v>
      </c>
      <c r="E135" s="417" t="e">
        <f>IF(ISNUMBER(_xlfn.XLOOKUP(A135,抽卷!$A:$A,抽卷!$M:$M,,1,2)),_xlfn.XLOOKUP(A135,抽卷!$A:$A,抽卷!$M:$M,,1,2),NA())</f>
        <v>#N/A</v>
      </c>
      <c r="F135" s="70">
        <f t="shared" si="7"/>
        <v>134.33333333333334</v>
      </c>
    </row>
    <row r="136" spans="1:6" ht="15" customHeight="1" x14ac:dyDescent="0.25">
      <c r="A136" s="95">
        <f t="shared" si="8"/>
        <v>44072</v>
      </c>
      <c r="B136" s="76">
        <f>IF(ISNUMBER(_xlfn.XLOOKUP(A136,鑽量!$A:$A,鑽量!$K:$K,,1,2)),_xlfn.XLOOKUP(A136,鑽量!$A:$A,鑽量!$K:$K,,1,2),NA())</f>
        <v>14195</v>
      </c>
      <c r="C136" s="417">
        <f t="shared" si="6"/>
        <v>118.29166666666667</v>
      </c>
      <c r="D136" s="417" t="e">
        <f>IF(ISNUMBER(_xlfn.XLOOKUP(A136,抽卷!$A:$A,抽卷!$K:$K,,1,2)),_xlfn.XLOOKUP(A136,抽卷!$A:$A,抽卷!$K:$K,,1,2),NA())</f>
        <v>#N/A</v>
      </c>
      <c r="E136" s="417" t="e">
        <f>IF(ISNUMBER(_xlfn.XLOOKUP(A136,抽卷!$A:$A,抽卷!$M:$M,,1,2)),_xlfn.XLOOKUP(A136,抽卷!$A:$A,抽卷!$M:$M,,1,2),NA())</f>
        <v>#N/A</v>
      </c>
      <c r="F136" s="70">
        <f t="shared" si="7"/>
        <v>118.29166666666667</v>
      </c>
    </row>
    <row r="137" spans="1:6" ht="15" customHeight="1" x14ac:dyDescent="0.25">
      <c r="A137" s="95">
        <f t="shared" si="8"/>
        <v>44073</v>
      </c>
      <c r="B137" s="76">
        <f>IF(ISNUMBER(_xlfn.XLOOKUP(A137,鑽量!$A:$A,鑽量!$K:$K,,1,2)),_xlfn.XLOOKUP(A137,鑽量!$A:$A,鑽量!$K:$K,,1,2),NA())</f>
        <v>14195</v>
      </c>
      <c r="C137" s="417">
        <f t="shared" si="6"/>
        <v>118.29166666666667</v>
      </c>
      <c r="D137" s="417" t="e">
        <f>IF(ISNUMBER(_xlfn.XLOOKUP(A137,抽卷!$A:$A,抽卷!$K:$K,,1,2)),_xlfn.XLOOKUP(A137,抽卷!$A:$A,抽卷!$K:$K,,1,2),NA())</f>
        <v>#N/A</v>
      </c>
      <c r="E137" s="417" t="e">
        <f>IF(ISNUMBER(_xlfn.XLOOKUP(A137,抽卷!$A:$A,抽卷!$M:$M,,1,2)),_xlfn.XLOOKUP(A137,抽卷!$A:$A,抽卷!$M:$M,,1,2),NA())</f>
        <v>#N/A</v>
      </c>
      <c r="F137" s="70">
        <f t="shared" si="7"/>
        <v>118.29166666666667</v>
      </c>
    </row>
    <row r="138" spans="1:6" ht="15" customHeight="1" x14ac:dyDescent="0.25">
      <c r="A138" s="95">
        <f t="shared" si="8"/>
        <v>44074</v>
      </c>
      <c r="B138" s="76">
        <f>IF(ISNUMBER(_xlfn.XLOOKUP(A138,鑽量!$A:$A,鑽量!$K:$K,,1,2)),_xlfn.XLOOKUP(A138,鑽量!$A:$A,鑽量!$K:$K,,1,2),NA())</f>
        <v>13610</v>
      </c>
      <c r="C138" s="417">
        <f t="shared" si="6"/>
        <v>113.41666666666667</v>
      </c>
      <c r="D138" s="417" t="e">
        <f>IF(ISNUMBER(_xlfn.XLOOKUP(A138,抽卷!$A:$A,抽卷!$K:$K,,1,2)),_xlfn.XLOOKUP(A138,抽卷!$A:$A,抽卷!$K:$K,,1,2),NA())</f>
        <v>#N/A</v>
      </c>
      <c r="E138" s="417" t="e">
        <f>IF(ISNUMBER(_xlfn.XLOOKUP(A138,抽卷!$A:$A,抽卷!$M:$M,,1,2)),_xlfn.XLOOKUP(A138,抽卷!$A:$A,抽卷!$M:$M,,1,2),NA())</f>
        <v>#N/A</v>
      </c>
      <c r="F138" s="70">
        <f t="shared" si="7"/>
        <v>113.41666666666667</v>
      </c>
    </row>
    <row r="139" spans="1:6" ht="15" customHeight="1" x14ac:dyDescent="0.25">
      <c r="A139" s="95">
        <f t="shared" si="8"/>
        <v>44075</v>
      </c>
      <c r="B139" s="76">
        <f>IF(ISNUMBER(_xlfn.XLOOKUP(A139,鑽量!$A:$A,鑽量!$K:$K,,1,2)),_xlfn.XLOOKUP(A139,鑽量!$A:$A,鑽量!$K:$K,,1,2),NA())</f>
        <v>13610</v>
      </c>
      <c r="C139" s="417">
        <f t="shared" si="6"/>
        <v>113.41666666666667</v>
      </c>
      <c r="D139" s="417" t="e">
        <f>IF(ISNUMBER(_xlfn.XLOOKUP(A139,抽卷!$A:$A,抽卷!$K:$K,,1,2)),_xlfn.XLOOKUP(A139,抽卷!$A:$A,抽卷!$K:$K,,1,2),NA())</f>
        <v>#N/A</v>
      </c>
      <c r="E139" s="417" t="e">
        <f>IF(ISNUMBER(_xlfn.XLOOKUP(A139,抽卷!$A:$A,抽卷!$M:$M,,1,2)),_xlfn.XLOOKUP(A139,抽卷!$A:$A,抽卷!$M:$M,,1,2),NA())</f>
        <v>#N/A</v>
      </c>
      <c r="F139" s="70">
        <f t="shared" si="7"/>
        <v>113.41666666666667</v>
      </c>
    </row>
    <row r="140" spans="1:6" ht="15" customHeight="1" x14ac:dyDescent="0.25">
      <c r="A140" s="95">
        <f t="shared" si="8"/>
        <v>44076</v>
      </c>
      <c r="B140" s="76">
        <f>IF(ISNUMBER(_xlfn.XLOOKUP(A140,鑽量!$A:$A,鑽量!$K:$K,,1,2)),_xlfn.XLOOKUP(A140,鑽量!$A:$A,鑽量!$K:$K,,1,2),NA())</f>
        <v>13840</v>
      </c>
      <c r="C140" s="417">
        <f t="shared" si="6"/>
        <v>115.33333333333333</v>
      </c>
      <c r="D140" s="417" t="e">
        <f>IF(ISNUMBER(_xlfn.XLOOKUP(A140,抽卷!$A:$A,抽卷!$K:$K,,1,2)),_xlfn.XLOOKUP(A140,抽卷!$A:$A,抽卷!$K:$K,,1,2),NA())</f>
        <v>#N/A</v>
      </c>
      <c r="E140" s="417" t="e">
        <f>IF(ISNUMBER(_xlfn.XLOOKUP(A140,抽卷!$A:$A,抽卷!$M:$M,,1,2)),_xlfn.XLOOKUP(A140,抽卷!$A:$A,抽卷!$M:$M,,1,2),NA())</f>
        <v>#N/A</v>
      </c>
      <c r="F140" s="70">
        <f t="shared" si="7"/>
        <v>115.33333333333333</v>
      </c>
    </row>
    <row r="141" spans="1:6" ht="15" customHeight="1" x14ac:dyDescent="0.25">
      <c r="A141" s="95">
        <f t="shared" si="8"/>
        <v>44077</v>
      </c>
      <c r="B141" s="76">
        <f>IF(ISNUMBER(_xlfn.XLOOKUP(A141,鑽量!$A:$A,鑽量!$K:$K,,1,2)),_xlfn.XLOOKUP(A141,鑽量!$A:$A,鑽量!$K:$K,,1,2),NA())</f>
        <v>13415</v>
      </c>
      <c r="C141" s="417">
        <f t="shared" si="6"/>
        <v>111.79166666666667</v>
      </c>
      <c r="D141" s="417" t="e">
        <f>IF(ISNUMBER(_xlfn.XLOOKUP(A141,抽卷!$A:$A,抽卷!$K:$K,,1,2)),_xlfn.XLOOKUP(A141,抽卷!$A:$A,抽卷!$K:$K,,1,2),NA())</f>
        <v>#N/A</v>
      </c>
      <c r="E141" s="417" t="e">
        <f>IF(ISNUMBER(_xlfn.XLOOKUP(A141,抽卷!$A:$A,抽卷!$M:$M,,1,2)),_xlfn.XLOOKUP(A141,抽卷!$A:$A,抽卷!$M:$M,,1,2),NA())</f>
        <v>#N/A</v>
      </c>
      <c r="F141" s="70">
        <f t="shared" si="7"/>
        <v>111.79166666666667</v>
      </c>
    </row>
    <row r="142" spans="1:6" ht="15" customHeight="1" x14ac:dyDescent="0.25">
      <c r="A142" s="95">
        <f t="shared" si="8"/>
        <v>44078</v>
      </c>
      <c r="B142" s="76">
        <f>IF(ISNUMBER(_xlfn.XLOOKUP(A142,鑽量!$A:$A,鑽量!$K:$K,,1,2)),_xlfn.XLOOKUP(A142,鑽量!$A:$A,鑽量!$K:$K,,1,2),NA())</f>
        <v>13515</v>
      </c>
      <c r="C142" s="417">
        <f t="shared" si="6"/>
        <v>112.625</v>
      </c>
      <c r="D142" s="417" t="e">
        <f>IF(ISNUMBER(_xlfn.XLOOKUP(A142,抽卷!$A:$A,抽卷!$K:$K,,1,2)),_xlfn.XLOOKUP(A142,抽卷!$A:$A,抽卷!$K:$K,,1,2),NA())</f>
        <v>#N/A</v>
      </c>
      <c r="E142" s="417" t="e">
        <f>IF(ISNUMBER(_xlfn.XLOOKUP(A142,抽卷!$A:$A,抽卷!$M:$M,,1,2)),_xlfn.XLOOKUP(A142,抽卷!$A:$A,抽卷!$M:$M,,1,2),NA())</f>
        <v>#N/A</v>
      </c>
      <c r="F142" s="70">
        <f t="shared" si="7"/>
        <v>112.625</v>
      </c>
    </row>
    <row r="143" spans="1:6" ht="15" customHeight="1" x14ac:dyDescent="0.25">
      <c r="A143" s="95">
        <f t="shared" si="8"/>
        <v>44079</v>
      </c>
      <c r="B143" s="76">
        <f>IF(ISNUMBER(_xlfn.XLOOKUP(A143,鑽量!$A:$A,鑽量!$K:$K,,1,2)),_xlfn.XLOOKUP(A143,鑽量!$A:$A,鑽量!$K:$K,,1,2),NA())</f>
        <v>13315</v>
      </c>
      <c r="C143" s="417">
        <f t="shared" si="6"/>
        <v>110.95833333333333</v>
      </c>
      <c r="D143" s="417" t="e">
        <f>IF(ISNUMBER(_xlfn.XLOOKUP(A143,抽卷!$A:$A,抽卷!$K:$K,,1,2)),_xlfn.XLOOKUP(A143,抽卷!$A:$A,抽卷!$K:$K,,1,2),NA())</f>
        <v>#N/A</v>
      </c>
      <c r="E143" s="417" t="e">
        <f>IF(ISNUMBER(_xlfn.XLOOKUP(A143,抽卷!$A:$A,抽卷!$M:$M,,1,2)),_xlfn.XLOOKUP(A143,抽卷!$A:$A,抽卷!$M:$M,,1,2),NA())</f>
        <v>#N/A</v>
      </c>
      <c r="F143" s="70">
        <f t="shared" si="7"/>
        <v>110.95833333333333</v>
      </c>
    </row>
    <row r="144" spans="1:6" ht="15" customHeight="1" x14ac:dyDescent="0.25">
      <c r="A144" s="95">
        <f t="shared" si="8"/>
        <v>44080</v>
      </c>
      <c r="B144" s="76">
        <f>IF(ISNUMBER(_xlfn.XLOOKUP(A144,鑽量!$A:$A,鑽量!$K:$K,,1,2)),_xlfn.XLOOKUP(A144,鑽量!$A:$A,鑽量!$K:$K,,1,2),NA())</f>
        <v>13315</v>
      </c>
      <c r="C144" s="417">
        <f t="shared" si="6"/>
        <v>110.95833333333333</v>
      </c>
      <c r="D144" s="417" t="e">
        <f>IF(ISNUMBER(_xlfn.XLOOKUP(A144,抽卷!$A:$A,抽卷!$K:$K,,1,2)),_xlfn.XLOOKUP(A144,抽卷!$A:$A,抽卷!$K:$K,,1,2),NA())</f>
        <v>#N/A</v>
      </c>
      <c r="E144" s="417" t="e">
        <f>IF(ISNUMBER(_xlfn.XLOOKUP(A144,抽卷!$A:$A,抽卷!$M:$M,,1,2)),_xlfn.XLOOKUP(A144,抽卷!$A:$A,抽卷!$M:$M,,1,2),NA())</f>
        <v>#N/A</v>
      </c>
      <c r="F144" s="70">
        <f t="shared" si="7"/>
        <v>110.95833333333333</v>
      </c>
    </row>
    <row r="145" spans="1:6" ht="15" customHeight="1" x14ac:dyDescent="0.25">
      <c r="A145" s="95">
        <f t="shared" si="8"/>
        <v>44081</v>
      </c>
      <c r="B145" s="76">
        <f>IF(ISNUMBER(_xlfn.XLOOKUP(A145,鑽量!$A:$A,鑽量!$K:$K,,1,2)),_xlfn.XLOOKUP(A145,鑽量!$A:$A,鑽量!$K:$K,,1,2),NA())</f>
        <v>13215</v>
      </c>
      <c r="C145" s="417">
        <f t="shared" si="6"/>
        <v>110.125</v>
      </c>
      <c r="D145" s="417" t="e">
        <f>IF(ISNUMBER(_xlfn.XLOOKUP(A145,抽卷!$A:$A,抽卷!$K:$K,,1,2)),_xlfn.XLOOKUP(A145,抽卷!$A:$A,抽卷!$K:$K,,1,2),NA())</f>
        <v>#N/A</v>
      </c>
      <c r="E145" s="417" t="e">
        <f>IF(ISNUMBER(_xlfn.XLOOKUP(A145,抽卷!$A:$A,抽卷!$M:$M,,1,2)),_xlfn.XLOOKUP(A145,抽卷!$A:$A,抽卷!$M:$M,,1,2),NA())</f>
        <v>#N/A</v>
      </c>
      <c r="F145" s="70">
        <f t="shared" si="7"/>
        <v>110.125</v>
      </c>
    </row>
    <row r="146" spans="1:6" ht="15" customHeight="1" x14ac:dyDescent="0.25">
      <c r="A146" s="95">
        <f t="shared" si="8"/>
        <v>44082</v>
      </c>
      <c r="B146" s="76">
        <f>IF(ISNUMBER(_xlfn.XLOOKUP(A146,鑽量!$A:$A,鑽量!$K:$K,,1,2)),_xlfn.XLOOKUP(A146,鑽量!$A:$A,鑽量!$K:$K,,1,2),NA())</f>
        <v>13590</v>
      </c>
      <c r="C146" s="417">
        <f t="shared" si="6"/>
        <v>113.25</v>
      </c>
      <c r="D146" s="417" t="e">
        <f>IF(ISNUMBER(_xlfn.XLOOKUP(A146,抽卷!$A:$A,抽卷!$K:$K,,1,2)),_xlfn.XLOOKUP(A146,抽卷!$A:$A,抽卷!$K:$K,,1,2),NA())</f>
        <v>#N/A</v>
      </c>
      <c r="E146" s="417" t="e">
        <f>IF(ISNUMBER(_xlfn.XLOOKUP(A146,抽卷!$A:$A,抽卷!$M:$M,,1,2)),_xlfn.XLOOKUP(A146,抽卷!$A:$A,抽卷!$M:$M,,1,2),NA())</f>
        <v>#N/A</v>
      </c>
      <c r="F146" s="70">
        <f t="shared" si="7"/>
        <v>113.25</v>
      </c>
    </row>
    <row r="147" spans="1:6" ht="15" customHeight="1" x14ac:dyDescent="0.25">
      <c r="A147" s="95">
        <f t="shared" si="8"/>
        <v>44083</v>
      </c>
      <c r="B147" s="76">
        <f>IF(ISNUMBER(_xlfn.XLOOKUP(A147,鑽量!$A:$A,鑽量!$K:$K,,1,2)),_xlfn.XLOOKUP(A147,鑽量!$A:$A,鑽量!$K:$K,,1,2),NA())</f>
        <v>13540</v>
      </c>
      <c r="C147" s="417">
        <f t="shared" si="6"/>
        <v>112.83333333333333</v>
      </c>
      <c r="D147" s="417" t="e">
        <f>IF(ISNUMBER(_xlfn.XLOOKUP(A147,抽卷!$A:$A,抽卷!$K:$K,,1,2)),_xlfn.XLOOKUP(A147,抽卷!$A:$A,抽卷!$K:$K,,1,2),NA())</f>
        <v>#N/A</v>
      </c>
      <c r="E147" s="417" t="e">
        <f>IF(ISNUMBER(_xlfn.XLOOKUP(A147,抽卷!$A:$A,抽卷!$M:$M,,1,2)),_xlfn.XLOOKUP(A147,抽卷!$A:$A,抽卷!$M:$M,,1,2),NA())</f>
        <v>#N/A</v>
      </c>
      <c r="F147" s="70">
        <f t="shared" si="7"/>
        <v>112.83333333333333</v>
      </c>
    </row>
    <row r="148" spans="1:6" ht="15" customHeight="1" x14ac:dyDescent="0.25">
      <c r="A148" s="95">
        <f t="shared" si="8"/>
        <v>44084</v>
      </c>
      <c r="B148" s="76">
        <f>IF(ISNUMBER(_xlfn.XLOOKUP(A148,鑽量!$A:$A,鑽量!$K:$K,,1,2)),_xlfn.XLOOKUP(A148,鑽量!$A:$A,鑽量!$K:$K,,1,2),NA())</f>
        <v>13465</v>
      </c>
      <c r="C148" s="417">
        <f t="shared" si="6"/>
        <v>112.20833333333333</v>
      </c>
      <c r="D148" s="417" t="e">
        <f>IF(ISNUMBER(_xlfn.XLOOKUP(A148,抽卷!$A:$A,抽卷!$K:$K,,1,2)),_xlfn.XLOOKUP(A148,抽卷!$A:$A,抽卷!$K:$K,,1,2),NA())</f>
        <v>#N/A</v>
      </c>
      <c r="E148" s="417" t="e">
        <f>IF(ISNUMBER(_xlfn.XLOOKUP(A148,抽卷!$A:$A,抽卷!$M:$M,,1,2)),_xlfn.XLOOKUP(A148,抽卷!$A:$A,抽卷!$M:$M,,1,2),NA())</f>
        <v>#N/A</v>
      </c>
      <c r="F148" s="70">
        <f t="shared" si="7"/>
        <v>112.20833333333333</v>
      </c>
    </row>
    <row r="149" spans="1:6" ht="15" customHeight="1" x14ac:dyDescent="0.25">
      <c r="A149" s="95">
        <f t="shared" si="8"/>
        <v>44085</v>
      </c>
      <c r="B149" s="76">
        <f>IF(ISNUMBER(_xlfn.XLOOKUP(A149,鑽量!$A:$A,鑽量!$K:$K,,1,2)),_xlfn.XLOOKUP(A149,鑽量!$A:$A,鑽量!$K:$K,,1,2),NA())</f>
        <v>14345</v>
      </c>
      <c r="C149" s="417">
        <f t="shared" si="6"/>
        <v>119.54166666666667</v>
      </c>
      <c r="D149" s="417" t="e">
        <f>IF(ISNUMBER(_xlfn.XLOOKUP(A149,抽卷!$A:$A,抽卷!$K:$K,,1,2)),_xlfn.XLOOKUP(A149,抽卷!$A:$A,抽卷!$K:$K,,1,2),NA())</f>
        <v>#N/A</v>
      </c>
      <c r="E149" s="417" t="e">
        <f>IF(ISNUMBER(_xlfn.XLOOKUP(A149,抽卷!$A:$A,抽卷!$M:$M,,1,2)),_xlfn.XLOOKUP(A149,抽卷!$A:$A,抽卷!$M:$M,,1,2),NA())</f>
        <v>#N/A</v>
      </c>
      <c r="F149" s="70">
        <f t="shared" si="7"/>
        <v>119.54166666666667</v>
      </c>
    </row>
    <row r="150" spans="1:6" ht="15" customHeight="1" x14ac:dyDescent="0.25">
      <c r="A150" s="95">
        <f t="shared" si="8"/>
        <v>44086</v>
      </c>
      <c r="B150" s="76">
        <f>IF(ISNUMBER(_xlfn.XLOOKUP(A150,鑽量!$A:$A,鑽量!$K:$K,,1,2)),_xlfn.XLOOKUP(A150,鑽量!$A:$A,鑽量!$K:$K,,1,2),NA())</f>
        <v>14345</v>
      </c>
      <c r="C150" s="417">
        <f t="shared" si="6"/>
        <v>119.54166666666667</v>
      </c>
      <c r="D150" s="417" t="e">
        <f>IF(ISNUMBER(_xlfn.XLOOKUP(A150,抽卷!$A:$A,抽卷!$K:$K,,1,2)),_xlfn.XLOOKUP(A150,抽卷!$A:$A,抽卷!$K:$K,,1,2),NA())</f>
        <v>#N/A</v>
      </c>
      <c r="E150" s="417" t="e">
        <f>IF(ISNUMBER(_xlfn.XLOOKUP(A150,抽卷!$A:$A,抽卷!$M:$M,,1,2)),_xlfn.XLOOKUP(A150,抽卷!$A:$A,抽卷!$M:$M,,1,2),NA())</f>
        <v>#N/A</v>
      </c>
      <c r="F150" s="70">
        <f t="shared" si="7"/>
        <v>119.54166666666667</v>
      </c>
    </row>
    <row r="151" spans="1:6" ht="15" customHeight="1" x14ac:dyDescent="0.25">
      <c r="A151" s="95">
        <f t="shared" si="8"/>
        <v>44087</v>
      </c>
      <c r="B151" s="76">
        <f>IF(ISNUMBER(_xlfn.XLOOKUP(A151,鑽量!$A:$A,鑽量!$K:$K,,1,2)),_xlfn.XLOOKUP(A151,鑽量!$A:$A,鑽量!$K:$K,,1,2),NA())</f>
        <v>13035</v>
      </c>
      <c r="C151" s="417">
        <f t="shared" si="6"/>
        <v>108.625</v>
      </c>
      <c r="D151" s="417" t="e">
        <f>IF(ISNUMBER(_xlfn.XLOOKUP(A151,抽卷!$A:$A,抽卷!$K:$K,,1,2)),_xlfn.XLOOKUP(A151,抽卷!$A:$A,抽卷!$K:$K,,1,2),NA())</f>
        <v>#N/A</v>
      </c>
      <c r="E151" s="417" t="e">
        <f>IF(ISNUMBER(_xlfn.XLOOKUP(A151,抽卷!$A:$A,抽卷!$M:$M,,1,2)),_xlfn.XLOOKUP(A151,抽卷!$A:$A,抽卷!$M:$M,,1,2),NA())</f>
        <v>#N/A</v>
      </c>
      <c r="F151" s="70">
        <f t="shared" si="7"/>
        <v>108.625</v>
      </c>
    </row>
    <row r="152" spans="1:6" ht="15" customHeight="1" x14ac:dyDescent="0.25">
      <c r="A152" s="95">
        <f t="shared" si="8"/>
        <v>44088</v>
      </c>
      <c r="B152" s="76">
        <f>IF(ISNUMBER(_xlfn.XLOOKUP(A152,鑽量!$A:$A,鑽量!$K:$K,,1,2)),_xlfn.XLOOKUP(A152,鑽量!$A:$A,鑽量!$K:$K,,1,2),NA())</f>
        <v>13265</v>
      </c>
      <c r="C152" s="417">
        <f t="shared" si="6"/>
        <v>110.54166666666667</v>
      </c>
      <c r="D152" s="417" t="e">
        <f>IF(ISNUMBER(_xlfn.XLOOKUP(A152,抽卷!$A:$A,抽卷!$K:$K,,1,2)),_xlfn.XLOOKUP(A152,抽卷!$A:$A,抽卷!$K:$K,,1,2),NA())</f>
        <v>#N/A</v>
      </c>
      <c r="E152" s="417" t="e">
        <f>IF(ISNUMBER(_xlfn.XLOOKUP(A152,抽卷!$A:$A,抽卷!$M:$M,,1,2)),_xlfn.XLOOKUP(A152,抽卷!$A:$A,抽卷!$M:$M,,1,2),NA())</f>
        <v>#N/A</v>
      </c>
      <c r="F152" s="70">
        <f t="shared" si="7"/>
        <v>110.54166666666667</v>
      </c>
    </row>
    <row r="153" spans="1:6" ht="15" customHeight="1" x14ac:dyDescent="0.25">
      <c r="A153" s="95">
        <f t="shared" si="8"/>
        <v>44089</v>
      </c>
      <c r="B153" s="76">
        <f>IF(ISNUMBER(_xlfn.XLOOKUP(A153,鑽量!$A:$A,鑽量!$K:$K,,1,2)),_xlfn.XLOOKUP(A153,鑽量!$A:$A,鑽量!$K:$K,,1,2),NA())</f>
        <v>13265</v>
      </c>
      <c r="C153" s="417">
        <f t="shared" si="6"/>
        <v>110.54166666666667</v>
      </c>
      <c r="D153" s="417" t="e">
        <f>IF(ISNUMBER(_xlfn.XLOOKUP(A153,抽卷!$A:$A,抽卷!$K:$K,,1,2)),_xlfn.XLOOKUP(A153,抽卷!$A:$A,抽卷!$K:$K,,1,2),NA())</f>
        <v>#N/A</v>
      </c>
      <c r="E153" s="417" t="e">
        <f>IF(ISNUMBER(_xlfn.XLOOKUP(A153,抽卷!$A:$A,抽卷!$M:$M,,1,2)),_xlfn.XLOOKUP(A153,抽卷!$A:$A,抽卷!$M:$M,,1,2),NA())</f>
        <v>#N/A</v>
      </c>
      <c r="F153" s="70">
        <f t="shared" si="7"/>
        <v>110.54166666666667</v>
      </c>
    </row>
    <row r="154" spans="1:6" ht="15" customHeight="1" x14ac:dyDescent="0.25">
      <c r="A154" s="95">
        <f t="shared" si="8"/>
        <v>44090</v>
      </c>
      <c r="B154" s="76">
        <f>IF(ISNUMBER(_xlfn.XLOOKUP(A154,鑽量!$A:$A,鑽量!$K:$K,,1,2)),_xlfn.XLOOKUP(A154,鑽量!$A:$A,鑽量!$K:$K,,1,2),NA())</f>
        <v>13625</v>
      </c>
      <c r="C154" s="417">
        <f t="shared" si="6"/>
        <v>113.54166666666667</v>
      </c>
      <c r="D154" s="417" t="e">
        <f>IF(ISNUMBER(_xlfn.XLOOKUP(A154,抽卷!$A:$A,抽卷!$K:$K,,1,2)),_xlfn.XLOOKUP(A154,抽卷!$A:$A,抽卷!$K:$K,,1,2),NA())</f>
        <v>#N/A</v>
      </c>
      <c r="E154" s="417" t="e">
        <f>IF(ISNUMBER(_xlfn.XLOOKUP(A154,抽卷!$A:$A,抽卷!$M:$M,,1,2)),_xlfn.XLOOKUP(A154,抽卷!$A:$A,抽卷!$M:$M,,1,2),NA())</f>
        <v>#N/A</v>
      </c>
      <c r="F154" s="70">
        <f t="shared" si="7"/>
        <v>113.54166666666667</v>
      </c>
    </row>
    <row r="155" spans="1:6" ht="15" customHeight="1" x14ac:dyDescent="0.25">
      <c r="A155" s="95">
        <f t="shared" si="8"/>
        <v>44091</v>
      </c>
      <c r="B155" s="76">
        <f>IF(ISNUMBER(_xlfn.XLOOKUP(A155,鑽量!$A:$A,鑽量!$K:$K,,1,2)),_xlfn.XLOOKUP(A155,鑽量!$A:$A,鑽量!$K:$K,,1,2),NA())</f>
        <v>10155</v>
      </c>
      <c r="C155" s="417">
        <f t="shared" si="6"/>
        <v>84.625</v>
      </c>
      <c r="D155" s="417" t="e">
        <f>IF(ISNUMBER(_xlfn.XLOOKUP(A155,抽卷!$A:$A,抽卷!$K:$K,,1,2)),_xlfn.XLOOKUP(A155,抽卷!$A:$A,抽卷!$K:$K,,1,2),NA())</f>
        <v>#N/A</v>
      </c>
      <c r="E155" s="417" t="e">
        <f>IF(ISNUMBER(_xlfn.XLOOKUP(A155,抽卷!$A:$A,抽卷!$M:$M,,1,2)),_xlfn.XLOOKUP(A155,抽卷!$A:$A,抽卷!$M:$M,,1,2),NA())</f>
        <v>#N/A</v>
      </c>
      <c r="F155" s="70">
        <f t="shared" si="7"/>
        <v>84.625</v>
      </c>
    </row>
    <row r="156" spans="1:6" ht="15" customHeight="1" x14ac:dyDescent="0.25">
      <c r="A156" s="95">
        <f t="shared" si="8"/>
        <v>44092</v>
      </c>
      <c r="B156" s="76">
        <f>IF(ISNUMBER(_xlfn.XLOOKUP(A156,鑽量!$A:$A,鑽量!$K:$K,,1,2)),_xlfn.XLOOKUP(A156,鑽量!$A:$A,鑽量!$K:$K,,1,2),NA())</f>
        <v>10215</v>
      </c>
      <c r="C156" s="417">
        <f t="shared" si="6"/>
        <v>85.125</v>
      </c>
      <c r="D156" s="417" t="e">
        <f>IF(ISNUMBER(_xlfn.XLOOKUP(A156,抽卷!$A:$A,抽卷!$K:$K,,1,2)),_xlfn.XLOOKUP(A156,抽卷!$A:$A,抽卷!$K:$K,,1,2),NA())</f>
        <v>#N/A</v>
      </c>
      <c r="E156" s="417" t="e">
        <f>IF(ISNUMBER(_xlfn.XLOOKUP(A156,抽卷!$A:$A,抽卷!$M:$M,,1,2)),_xlfn.XLOOKUP(A156,抽卷!$A:$A,抽卷!$M:$M,,1,2),NA())</f>
        <v>#N/A</v>
      </c>
      <c r="F156" s="70">
        <f t="shared" si="7"/>
        <v>85.125</v>
      </c>
    </row>
    <row r="157" spans="1:6" ht="15" customHeight="1" x14ac:dyDescent="0.25">
      <c r="A157" s="95">
        <f t="shared" si="8"/>
        <v>44093</v>
      </c>
      <c r="B157" s="76">
        <f>IF(ISNUMBER(_xlfn.XLOOKUP(A157,鑽量!$A:$A,鑽量!$K:$K,,1,2)),_xlfn.XLOOKUP(A157,鑽量!$A:$A,鑽量!$K:$K,,1,2),NA())</f>
        <v>10150</v>
      </c>
      <c r="C157" s="417">
        <f t="shared" si="6"/>
        <v>84.583333333333329</v>
      </c>
      <c r="D157" s="417" t="e">
        <f>IF(ISNUMBER(_xlfn.XLOOKUP(A157,抽卷!$A:$A,抽卷!$K:$K,,1,2)),_xlfn.XLOOKUP(A157,抽卷!$A:$A,抽卷!$K:$K,,1,2),NA())</f>
        <v>#N/A</v>
      </c>
      <c r="E157" s="417" t="e">
        <f>IF(ISNUMBER(_xlfn.XLOOKUP(A157,抽卷!$A:$A,抽卷!$M:$M,,1,2)),_xlfn.XLOOKUP(A157,抽卷!$A:$A,抽卷!$M:$M,,1,2),NA())</f>
        <v>#N/A</v>
      </c>
      <c r="F157" s="70">
        <f t="shared" si="7"/>
        <v>84.583333333333329</v>
      </c>
    </row>
    <row r="158" spans="1:6" ht="15" customHeight="1" x14ac:dyDescent="0.25">
      <c r="A158" s="95">
        <f t="shared" si="8"/>
        <v>44094</v>
      </c>
      <c r="B158" s="76">
        <f>IF(ISNUMBER(_xlfn.XLOOKUP(A158,鑽量!$A:$A,鑽量!$K:$K,,1,2)),_xlfn.XLOOKUP(A158,鑽量!$A:$A,鑽量!$K:$K,,1,2),NA())</f>
        <v>9560</v>
      </c>
      <c r="C158" s="417">
        <f t="shared" si="6"/>
        <v>79.666666666666671</v>
      </c>
      <c r="D158" s="417" t="e">
        <f>IF(ISNUMBER(_xlfn.XLOOKUP(A158,抽卷!$A:$A,抽卷!$K:$K,,1,2)),_xlfn.XLOOKUP(A158,抽卷!$A:$A,抽卷!$K:$K,,1,2),NA())</f>
        <v>#N/A</v>
      </c>
      <c r="E158" s="417" t="e">
        <f>IF(ISNUMBER(_xlfn.XLOOKUP(A158,抽卷!$A:$A,抽卷!$M:$M,,1,2)),_xlfn.XLOOKUP(A158,抽卷!$A:$A,抽卷!$M:$M,,1,2),NA())</f>
        <v>#N/A</v>
      </c>
      <c r="F158" s="70">
        <f t="shared" si="7"/>
        <v>79.666666666666671</v>
      </c>
    </row>
    <row r="159" spans="1:6" ht="15" customHeight="1" x14ac:dyDescent="0.25">
      <c r="A159" s="95">
        <f t="shared" si="8"/>
        <v>44095</v>
      </c>
      <c r="B159" s="76">
        <f>IF(ISNUMBER(_xlfn.XLOOKUP(A159,鑽量!$A:$A,鑽量!$K:$K,,1,2)),_xlfn.XLOOKUP(A159,鑽量!$A:$A,鑽量!$K:$K,,1,2),NA())</f>
        <v>10910</v>
      </c>
      <c r="C159" s="417">
        <f t="shared" si="6"/>
        <v>90.916666666666671</v>
      </c>
      <c r="D159" s="417" t="e">
        <f>IF(ISNUMBER(_xlfn.XLOOKUP(A159,抽卷!$A:$A,抽卷!$K:$K,,1,2)),_xlfn.XLOOKUP(A159,抽卷!$A:$A,抽卷!$K:$K,,1,2),NA())</f>
        <v>#N/A</v>
      </c>
      <c r="E159" s="417" t="e">
        <f>IF(ISNUMBER(_xlfn.XLOOKUP(A159,抽卷!$A:$A,抽卷!$M:$M,,1,2)),_xlfn.XLOOKUP(A159,抽卷!$A:$A,抽卷!$M:$M,,1,2),NA())</f>
        <v>#N/A</v>
      </c>
      <c r="F159" s="70">
        <f t="shared" si="7"/>
        <v>90.916666666666671</v>
      </c>
    </row>
    <row r="160" spans="1:6" ht="15" customHeight="1" x14ac:dyDescent="0.25">
      <c r="A160" s="95">
        <f t="shared" si="8"/>
        <v>44096</v>
      </c>
      <c r="B160" s="76">
        <f>IF(ISNUMBER(_xlfn.XLOOKUP(A160,鑽量!$A:$A,鑽量!$K:$K,,1,2)),_xlfn.XLOOKUP(A160,鑽量!$A:$A,鑽量!$K:$K,,1,2),NA())</f>
        <v>10310</v>
      </c>
      <c r="C160" s="417">
        <f t="shared" si="6"/>
        <v>85.916666666666671</v>
      </c>
      <c r="D160" s="417" t="e">
        <f>IF(ISNUMBER(_xlfn.XLOOKUP(A160,抽卷!$A:$A,抽卷!$K:$K,,1,2)),_xlfn.XLOOKUP(A160,抽卷!$A:$A,抽卷!$K:$K,,1,2),NA())</f>
        <v>#N/A</v>
      </c>
      <c r="E160" s="417" t="e">
        <f>IF(ISNUMBER(_xlfn.XLOOKUP(A160,抽卷!$A:$A,抽卷!$M:$M,,1,2)),_xlfn.XLOOKUP(A160,抽卷!$A:$A,抽卷!$M:$M,,1,2),NA())</f>
        <v>#N/A</v>
      </c>
      <c r="F160" s="70">
        <f t="shared" si="7"/>
        <v>85.916666666666671</v>
      </c>
    </row>
    <row r="161" spans="1:6" ht="15" customHeight="1" x14ac:dyDescent="0.25">
      <c r="A161" s="95">
        <f t="shared" si="8"/>
        <v>44097</v>
      </c>
      <c r="B161" s="76">
        <f>IF(ISNUMBER(_xlfn.XLOOKUP(A161,鑽量!$A:$A,鑽量!$K:$K,,1,2)),_xlfn.XLOOKUP(A161,鑽量!$A:$A,鑽量!$K:$K,,1,2),NA())</f>
        <v>10135</v>
      </c>
      <c r="C161" s="417">
        <f t="shared" si="6"/>
        <v>84.458333333333329</v>
      </c>
      <c r="D161" s="417" t="e">
        <f>IF(ISNUMBER(_xlfn.XLOOKUP(A161,抽卷!$A:$A,抽卷!$K:$K,,1,2)),_xlfn.XLOOKUP(A161,抽卷!$A:$A,抽卷!$K:$K,,1,2),NA())</f>
        <v>#N/A</v>
      </c>
      <c r="E161" s="417" t="e">
        <f>IF(ISNUMBER(_xlfn.XLOOKUP(A161,抽卷!$A:$A,抽卷!$M:$M,,1,2)),_xlfn.XLOOKUP(A161,抽卷!$A:$A,抽卷!$M:$M,,1,2),NA())</f>
        <v>#N/A</v>
      </c>
      <c r="F161" s="70">
        <f t="shared" si="7"/>
        <v>84.458333333333329</v>
      </c>
    </row>
    <row r="162" spans="1:6" ht="15" customHeight="1" x14ac:dyDescent="0.25">
      <c r="A162" s="95">
        <f t="shared" si="8"/>
        <v>44098</v>
      </c>
      <c r="B162" s="76">
        <f>IF(ISNUMBER(_xlfn.XLOOKUP(A162,鑽量!$A:$A,鑽量!$K:$K,,1,2)),_xlfn.XLOOKUP(A162,鑽量!$A:$A,鑽量!$K:$K,,1,2),NA())</f>
        <v>10210</v>
      </c>
      <c r="C162" s="417">
        <f t="shared" si="6"/>
        <v>85.083333333333329</v>
      </c>
      <c r="D162" s="417" t="e">
        <f>IF(ISNUMBER(_xlfn.XLOOKUP(A162,抽卷!$A:$A,抽卷!$K:$K,,1,2)),_xlfn.XLOOKUP(A162,抽卷!$A:$A,抽卷!$K:$K,,1,2),NA())</f>
        <v>#N/A</v>
      </c>
      <c r="E162" s="417" t="e">
        <f>IF(ISNUMBER(_xlfn.XLOOKUP(A162,抽卷!$A:$A,抽卷!$M:$M,,1,2)),_xlfn.XLOOKUP(A162,抽卷!$A:$A,抽卷!$M:$M,,1,2),NA())</f>
        <v>#N/A</v>
      </c>
      <c r="F162" s="70">
        <f t="shared" si="7"/>
        <v>85.083333333333329</v>
      </c>
    </row>
    <row r="163" spans="1:6" ht="15" customHeight="1" x14ac:dyDescent="0.25">
      <c r="A163" s="95">
        <f t="shared" si="8"/>
        <v>44099</v>
      </c>
      <c r="B163" s="76">
        <f>IF(ISNUMBER(_xlfn.XLOOKUP(A163,鑽量!$A:$A,鑽量!$K:$K,,1,2)),_xlfn.XLOOKUP(A163,鑽量!$A:$A,鑽量!$K:$K,,1,2),NA())</f>
        <v>11575</v>
      </c>
      <c r="C163" s="417">
        <f t="shared" si="6"/>
        <v>96.458333333333329</v>
      </c>
      <c r="D163" s="417" t="e">
        <f>IF(ISNUMBER(_xlfn.XLOOKUP(A163,抽卷!$A:$A,抽卷!$K:$K,,1,2)),_xlfn.XLOOKUP(A163,抽卷!$A:$A,抽卷!$K:$K,,1,2),NA())</f>
        <v>#N/A</v>
      </c>
      <c r="E163" s="417" t="e">
        <f>IF(ISNUMBER(_xlfn.XLOOKUP(A163,抽卷!$A:$A,抽卷!$M:$M,,1,2)),_xlfn.XLOOKUP(A163,抽卷!$A:$A,抽卷!$M:$M,,1,2),NA())</f>
        <v>#N/A</v>
      </c>
      <c r="F163" s="70">
        <f t="shared" si="7"/>
        <v>96.458333333333329</v>
      </c>
    </row>
    <row r="164" spans="1:6" ht="15" customHeight="1" x14ac:dyDescent="0.25">
      <c r="A164" s="95">
        <f t="shared" si="8"/>
        <v>44100</v>
      </c>
      <c r="B164" s="76">
        <f>IF(ISNUMBER(_xlfn.XLOOKUP(A164,鑽量!$A:$A,鑽量!$K:$K,,1,2)),_xlfn.XLOOKUP(A164,鑽量!$A:$A,鑽量!$K:$K,,1,2),NA())</f>
        <v>11960</v>
      </c>
      <c r="C164" s="417">
        <f t="shared" si="6"/>
        <v>99.666666666666671</v>
      </c>
      <c r="D164" s="417" t="e">
        <f>IF(ISNUMBER(_xlfn.XLOOKUP(A164,抽卷!$A:$A,抽卷!$K:$K,,1,2)),_xlfn.XLOOKUP(A164,抽卷!$A:$A,抽卷!$K:$K,,1,2),NA())</f>
        <v>#N/A</v>
      </c>
      <c r="E164" s="417" t="e">
        <f>IF(ISNUMBER(_xlfn.XLOOKUP(A164,抽卷!$A:$A,抽卷!$M:$M,,1,2)),_xlfn.XLOOKUP(A164,抽卷!$A:$A,抽卷!$M:$M,,1,2),NA())</f>
        <v>#N/A</v>
      </c>
      <c r="F164" s="70">
        <f t="shared" si="7"/>
        <v>99.666666666666671</v>
      </c>
    </row>
    <row r="165" spans="1:6" ht="15" customHeight="1" x14ac:dyDescent="0.25">
      <c r="A165" s="95">
        <f t="shared" si="8"/>
        <v>44101</v>
      </c>
      <c r="B165" s="76">
        <f>IF(ISNUMBER(_xlfn.XLOOKUP(A165,鑽量!$A:$A,鑽量!$K:$K,,1,2)),_xlfn.XLOOKUP(A165,鑽量!$A:$A,鑽量!$K:$K,,1,2),NA())</f>
        <v>11960</v>
      </c>
      <c r="C165" s="417">
        <f t="shared" si="6"/>
        <v>99.666666666666671</v>
      </c>
      <c r="D165" s="417" t="e">
        <f>IF(ISNUMBER(_xlfn.XLOOKUP(A165,抽卷!$A:$A,抽卷!$K:$K,,1,2)),_xlfn.XLOOKUP(A165,抽卷!$A:$A,抽卷!$K:$K,,1,2),NA())</f>
        <v>#N/A</v>
      </c>
      <c r="E165" s="417" t="e">
        <f>IF(ISNUMBER(_xlfn.XLOOKUP(A165,抽卷!$A:$A,抽卷!$M:$M,,1,2)),_xlfn.XLOOKUP(A165,抽卷!$A:$A,抽卷!$M:$M,,1,2),NA())</f>
        <v>#N/A</v>
      </c>
      <c r="F165" s="70">
        <f t="shared" si="7"/>
        <v>99.666666666666671</v>
      </c>
    </row>
    <row r="166" spans="1:6" ht="15" customHeight="1" x14ac:dyDescent="0.25">
      <c r="A166" s="95">
        <f t="shared" si="8"/>
        <v>44102</v>
      </c>
      <c r="B166" s="76">
        <f>IF(ISNUMBER(_xlfn.XLOOKUP(A166,鑽量!$A:$A,鑽量!$K:$K,,1,2)),_xlfn.XLOOKUP(A166,鑽量!$A:$A,鑽量!$K:$K,,1,2),NA())</f>
        <v>9835</v>
      </c>
      <c r="C166" s="417">
        <f t="shared" si="6"/>
        <v>81.958333333333329</v>
      </c>
      <c r="D166" s="417" t="e">
        <f>IF(ISNUMBER(_xlfn.XLOOKUP(A166,抽卷!$A:$A,抽卷!$K:$K,,1,2)),_xlfn.XLOOKUP(A166,抽卷!$A:$A,抽卷!$K:$K,,1,2),NA())</f>
        <v>#N/A</v>
      </c>
      <c r="E166" s="417" t="e">
        <f>IF(ISNUMBER(_xlfn.XLOOKUP(A166,抽卷!$A:$A,抽卷!$M:$M,,1,2)),_xlfn.XLOOKUP(A166,抽卷!$A:$A,抽卷!$M:$M,,1,2),NA())</f>
        <v>#N/A</v>
      </c>
      <c r="F166" s="70">
        <f t="shared" si="7"/>
        <v>81.958333333333329</v>
      </c>
    </row>
    <row r="167" spans="1:6" ht="15" customHeight="1" x14ac:dyDescent="0.25">
      <c r="A167" s="95">
        <f t="shared" si="8"/>
        <v>44103</v>
      </c>
      <c r="B167" s="76">
        <f>IF(ISNUMBER(_xlfn.XLOOKUP(A167,鑽量!$A:$A,鑽量!$K:$K,,1,2)),_xlfn.XLOOKUP(A167,鑽量!$A:$A,鑽量!$K:$K,,1,2),NA())</f>
        <v>9835</v>
      </c>
      <c r="C167" s="417">
        <f t="shared" si="6"/>
        <v>81.958333333333329</v>
      </c>
      <c r="D167" s="417" t="e">
        <f>IF(ISNUMBER(_xlfn.XLOOKUP(A167,抽卷!$A:$A,抽卷!$K:$K,,1,2)),_xlfn.XLOOKUP(A167,抽卷!$A:$A,抽卷!$K:$K,,1,2),NA())</f>
        <v>#N/A</v>
      </c>
      <c r="E167" s="417" t="e">
        <f>IF(ISNUMBER(_xlfn.XLOOKUP(A167,抽卷!$A:$A,抽卷!$M:$M,,1,2)),_xlfn.XLOOKUP(A167,抽卷!$A:$A,抽卷!$M:$M,,1,2),NA())</f>
        <v>#N/A</v>
      </c>
      <c r="F167" s="70">
        <f t="shared" si="7"/>
        <v>81.958333333333329</v>
      </c>
    </row>
    <row r="168" spans="1:6" ht="15" customHeight="1" x14ac:dyDescent="0.25">
      <c r="A168" s="95">
        <f t="shared" si="8"/>
        <v>44104</v>
      </c>
      <c r="B168" s="76">
        <f>IF(ISNUMBER(_xlfn.XLOOKUP(A168,鑽量!$A:$A,鑽量!$K:$K,,1,2)),_xlfn.XLOOKUP(A168,鑽量!$A:$A,鑽量!$K:$K,,1,2),NA())</f>
        <v>10745</v>
      </c>
      <c r="C168" s="417">
        <f t="shared" si="6"/>
        <v>89.541666666666671</v>
      </c>
      <c r="D168" s="417" t="e">
        <f>IF(ISNUMBER(_xlfn.XLOOKUP(A168,抽卷!$A:$A,抽卷!$K:$K,,1,2)),_xlfn.XLOOKUP(A168,抽卷!$A:$A,抽卷!$K:$K,,1,2),NA())</f>
        <v>#N/A</v>
      </c>
      <c r="E168" s="417" t="e">
        <f>IF(ISNUMBER(_xlfn.XLOOKUP(A168,抽卷!$A:$A,抽卷!$M:$M,,1,2)),_xlfn.XLOOKUP(A168,抽卷!$A:$A,抽卷!$M:$M,,1,2),NA())</f>
        <v>#N/A</v>
      </c>
      <c r="F168" s="70">
        <f t="shared" si="7"/>
        <v>89.541666666666671</v>
      </c>
    </row>
    <row r="169" spans="1:6" ht="15" customHeight="1" x14ac:dyDescent="0.25">
      <c r="A169" s="95">
        <f t="shared" si="8"/>
        <v>44105</v>
      </c>
      <c r="B169" s="76">
        <f>IF(ISNUMBER(_xlfn.XLOOKUP(A169,鑽量!$A:$A,鑽量!$K:$K,,1,2)),_xlfn.XLOOKUP(A169,鑽量!$A:$A,鑽量!$K:$K,,1,2),NA())</f>
        <v>11420</v>
      </c>
      <c r="C169" s="417">
        <f t="shared" si="6"/>
        <v>95.166666666666671</v>
      </c>
      <c r="D169" s="417" t="e">
        <f>IF(ISNUMBER(_xlfn.XLOOKUP(A169,抽卷!$A:$A,抽卷!$K:$K,,1,2)),_xlfn.XLOOKUP(A169,抽卷!$A:$A,抽卷!$K:$K,,1,2),NA())</f>
        <v>#N/A</v>
      </c>
      <c r="E169" s="417" t="e">
        <f>IF(ISNUMBER(_xlfn.XLOOKUP(A169,抽卷!$A:$A,抽卷!$M:$M,,1,2)),_xlfn.XLOOKUP(A169,抽卷!$A:$A,抽卷!$M:$M,,1,2),NA())</f>
        <v>#N/A</v>
      </c>
      <c r="F169" s="70">
        <f t="shared" si="7"/>
        <v>95.166666666666671</v>
      </c>
    </row>
    <row r="170" spans="1:6" ht="15" customHeight="1" x14ac:dyDescent="0.25">
      <c r="A170" s="95">
        <f t="shared" si="8"/>
        <v>44106</v>
      </c>
      <c r="B170" s="76">
        <f>IF(ISNUMBER(_xlfn.XLOOKUP(A170,鑽量!$A:$A,鑽量!$K:$K,,1,2)),_xlfn.XLOOKUP(A170,鑽量!$A:$A,鑽量!$K:$K,,1,2),NA())</f>
        <v>13960</v>
      </c>
      <c r="C170" s="417">
        <f t="shared" si="6"/>
        <v>116.33333333333333</v>
      </c>
      <c r="D170" s="417" t="e">
        <f>IF(ISNUMBER(_xlfn.XLOOKUP(A170,抽卷!$A:$A,抽卷!$K:$K,,1,2)),_xlfn.XLOOKUP(A170,抽卷!$A:$A,抽卷!$K:$K,,1,2),NA())</f>
        <v>#N/A</v>
      </c>
      <c r="E170" s="417" t="e">
        <f>IF(ISNUMBER(_xlfn.XLOOKUP(A170,抽卷!$A:$A,抽卷!$M:$M,,1,2)),_xlfn.XLOOKUP(A170,抽卷!$A:$A,抽卷!$M:$M,,1,2),NA())</f>
        <v>#N/A</v>
      </c>
      <c r="F170" s="70">
        <f t="shared" si="7"/>
        <v>116.33333333333333</v>
      </c>
    </row>
    <row r="171" spans="1:6" ht="15" customHeight="1" x14ac:dyDescent="0.25">
      <c r="A171" s="95">
        <f t="shared" si="8"/>
        <v>44107</v>
      </c>
      <c r="B171" s="76">
        <f>IF(ISNUMBER(_xlfn.XLOOKUP(A171,鑽量!$A:$A,鑽量!$K:$K,,1,2)),_xlfn.XLOOKUP(A171,鑽量!$A:$A,鑽量!$K:$K,,1,2),NA())</f>
        <v>13430</v>
      </c>
      <c r="C171" s="417">
        <f t="shared" si="6"/>
        <v>111.91666666666667</v>
      </c>
      <c r="D171" s="417" t="e">
        <f>IF(ISNUMBER(_xlfn.XLOOKUP(A171,抽卷!$A:$A,抽卷!$K:$K,,1,2)),_xlfn.XLOOKUP(A171,抽卷!$A:$A,抽卷!$K:$K,,1,2),NA())</f>
        <v>#N/A</v>
      </c>
      <c r="E171" s="417" t="e">
        <f>IF(ISNUMBER(_xlfn.XLOOKUP(A171,抽卷!$A:$A,抽卷!$M:$M,,1,2)),_xlfn.XLOOKUP(A171,抽卷!$A:$A,抽卷!$M:$M,,1,2),NA())</f>
        <v>#N/A</v>
      </c>
      <c r="F171" s="70">
        <f t="shared" si="7"/>
        <v>111.91666666666667</v>
      </c>
    </row>
    <row r="172" spans="1:6" ht="15" customHeight="1" x14ac:dyDescent="0.25">
      <c r="A172" s="95">
        <f t="shared" si="8"/>
        <v>44108</v>
      </c>
      <c r="B172" s="76">
        <f>IF(ISNUMBER(_xlfn.XLOOKUP(A172,鑽量!$A:$A,鑽量!$K:$K,,1,2)),_xlfn.XLOOKUP(A172,鑽量!$A:$A,鑽量!$K:$K,,1,2),NA())</f>
        <v>13430</v>
      </c>
      <c r="C172" s="417">
        <f t="shared" si="6"/>
        <v>111.91666666666667</v>
      </c>
      <c r="D172" s="417" t="e">
        <f>IF(ISNUMBER(_xlfn.XLOOKUP(A172,抽卷!$A:$A,抽卷!$K:$K,,1,2)),_xlfn.XLOOKUP(A172,抽卷!$A:$A,抽卷!$K:$K,,1,2),NA())</f>
        <v>#N/A</v>
      </c>
      <c r="E172" s="417" t="e">
        <f>IF(ISNUMBER(_xlfn.XLOOKUP(A172,抽卷!$A:$A,抽卷!$M:$M,,1,2)),_xlfn.XLOOKUP(A172,抽卷!$A:$A,抽卷!$M:$M,,1,2),NA())</f>
        <v>#N/A</v>
      </c>
      <c r="F172" s="70">
        <f t="shared" si="7"/>
        <v>111.91666666666667</v>
      </c>
    </row>
    <row r="173" spans="1:6" ht="15" customHeight="1" x14ac:dyDescent="0.25">
      <c r="A173" s="95">
        <f t="shared" si="8"/>
        <v>44109</v>
      </c>
      <c r="B173" s="76">
        <f>IF(ISNUMBER(_xlfn.XLOOKUP(A173,鑽量!$A:$A,鑽量!$K:$K,,1,2)),_xlfn.XLOOKUP(A173,鑽量!$A:$A,鑽量!$K:$K,,1,2),NA())</f>
        <v>14330</v>
      </c>
      <c r="C173" s="417">
        <f t="shared" si="6"/>
        <v>119.41666666666667</v>
      </c>
      <c r="D173" s="417" t="e">
        <f>IF(ISNUMBER(_xlfn.XLOOKUP(A173,抽卷!$A:$A,抽卷!$K:$K,,1,2)),_xlfn.XLOOKUP(A173,抽卷!$A:$A,抽卷!$K:$K,,1,2),NA())</f>
        <v>#N/A</v>
      </c>
      <c r="E173" s="417" t="e">
        <f>IF(ISNUMBER(_xlfn.XLOOKUP(A173,抽卷!$A:$A,抽卷!$M:$M,,1,2)),_xlfn.XLOOKUP(A173,抽卷!$A:$A,抽卷!$M:$M,,1,2),NA())</f>
        <v>#N/A</v>
      </c>
      <c r="F173" s="70">
        <f t="shared" si="7"/>
        <v>119.41666666666667</v>
      </c>
    </row>
    <row r="174" spans="1:6" ht="15" customHeight="1" x14ac:dyDescent="0.25">
      <c r="A174" s="95">
        <f t="shared" si="8"/>
        <v>44110</v>
      </c>
      <c r="B174" s="76">
        <f>IF(ISNUMBER(_xlfn.XLOOKUP(A174,鑽量!$A:$A,鑽量!$K:$K,,1,2)),_xlfn.XLOOKUP(A174,鑽量!$A:$A,鑽量!$K:$K,,1,2),NA())</f>
        <v>14330</v>
      </c>
      <c r="C174" s="417">
        <f t="shared" si="6"/>
        <v>119.41666666666667</v>
      </c>
      <c r="D174" s="417" t="e">
        <f>IF(ISNUMBER(_xlfn.XLOOKUP(A174,抽卷!$A:$A,抽卷!$K:$K,,1,2)),_xlfn.XLOOKUP(A174,抽卷!$A:$A,抽卷!$K:$K,,1,2),NA())</f>
        <v>#N/A</v>
      </c>
      <c r="E174" s="417" t="e">
        <f>IF(ISNUMBER(_xlfn.XLOOKUP(A174,抽卷!$A:$A,抽卷!$M:$M,,1,2)),_xlfn.XLOOKUP(A174,抽卷!$A:$A,抽卷!$M:$M,,1,2),NA())</f>
        <v>#N/A</v>
      </c>
      <c r="F174" s="70">
        <f t="shared" si="7"/>
        <v>119.41666666666667</v>
      </c>
    </row>
    <row r="175" spans="1:6" ht="15" customHeight="1" x14ac:dyDescent="0.25">
      <c r="A175" s="95">
        <f t="shared" si="8"/>
        <v>44111</v>
      </c>
      <c r="B175" s="76">
        <f>IF(ISNUMBER(_xlfn.XLOOKUP(A175,鑽量!$A:$A,鑽量!$K:$K,,1,2)),_xlfn.XLOOKUP(A175,鑽量!$A:$A,鑽量!$K:$K,,1,2),NA())</f>
        <v>16390</v>
      </c>
      <c r="C175" s="417">
        <f t="shared" si="6"/>
        <v>136.58333333333334</v>
      </c>
      <c r="D175" s="417" t="e">
        <f>IF(ISNUMBER(_xlfn.XLOOKUP(A175,抽卷!$A:$A,抽卷!$K:$K,,1,2)),_xlfn.XLOOKUP(A175,抽卷!$A:$A,抽卷!$K:$K,,1,2),NA())</f>
        <v>#N/A</v>
      </c>
      <c r="E175" s="417" t="e">
        <f>IF(ISNUMBER(_xlfn.XLOOKUP(A175,抽卷!$A:$A,抽卷!$M:$M,,1,2)),_xlfn.XLOOKUP(A175,抽卷!$A:$A,抽卷!$M:$M,,1,2),NA())</f>
        <v>#N/A</v>
      </c>
      <c r="F175" s="70">
        <f t="shared" si="7"/>
        <v>136.58333333333334</v>
      </c>
    </row>
    <row r="176" spans="1:6" ht="15" customHeight="1" x14ac:dyDescent="0.25">
      <c r="A176" s="95">
        <f t="shared" si="8"/>
        <v>44112</v>
      </c>
      <c r="B176" s="76">
        <f>IF(ISNUMBER(_xlfn.XLOOKUP(A176,鑽量!$A:$A,鑽量!$K:$K,,1,2)),_xlfn.XLOOKUP(A176,鑽量!$A:$A,鑽量!$K:$K,,1,2),NA())</f>
        <v>16665</v>
      </c>
      <c r="C176" s="417">
        <f t="shared" si="6"/>
        <v>138.875</v>
      </c>
      <c r="D176" s="417" t="e">
        <f>IF(ISNUMBER(_xlfn.XLOOKUP(A176,抽卷!$A:$A,抽卷!$K:$K,,1,2)),_xlfn.XLOOKUP(A176,抽卷!$A:$A,抽卷!$K:$K,,1,2),NA())</f>
        <v>#N/A</v>
      </c>
      <c r="E176" s="417" t="e">
        <f>IF(ISNUMBER(_xlfn.XLOOKUP(A176,抽卷!$A:$A,抽卷!$M:$M,,1,2)),_xlfn.XLOOKUP(A176,抽卷!$A:$A,抽卷!$M:$M,,1,2),NA())</f>
        <v>#N/A</v>
      </c>
      <c r="F176" s="70">
        <f t="shared" si="7"/>
        <v>138.875</v>
      </c>
    </row>
    <row r="177" spans="1:6" ht="15" customHeight="1" x14ac:dyDescent="0.25">
      <c r="A177" s="95">
        <f t="shared" si="8"/>
        <v>44113</v>
      </c>
      <c r="B177" s="76">
        <f>IF(ISNUMBER(_xlfn.XLOOKUP(A177,鑽量!$A:$A,鑽量!$K:$K,,1,2)),_xlfn.XLOOKUP(A177,鑽量!$A:$A,鑽量!$K:$K,,1,2),NA())</f>
        <v>16400</v>
      </c>
      <c r="C177" s="417">
        <f t="shared" si="6"/>
        <v>136.66666666666666</v>
      </c>
      <c r="D177" s="417" t="e">
        <f>IF(ISNUMBER(_xlfn.XLOOKUP(A177,抽卷!$A:$A,抽卷!$K:$K,,1,2)),_xlfn.XLOOKUP(A177,抽卷!$A:$A,抽卷!$K:$K,,1,2),NA())</f>
        <v>#N/A</v>
      </c>
      <c r="E177" s="417" t="e">
        <f>IF(ISNUMBER(_xlfn.XLOOKUP(A177,抽卷!$A:$A,抽卷!$M:$M,,1,2)),_xlfn.XLOOKUP(A177,抽卷!$A:$A,抽卷!$M:$M,,1,2),NA())</f>
        <v>#N/A</v>
      </c>
      <c r="F177" s="70">
        <f t="shared" si="7"/>
        <v>136.66666666666666</v>
      </c>
    </row>
    <row r="178" spans="1:6" ht="15" customHeight="1" x14ac:dyDescent="0.25">
      <c r="A178" s="95">
        <f t="shared" si="8"/>
        <v>44114</v>
      </c>
      <c r="B178" s="76">
        <f>IF(ISNUMBER(_xlfn.XLOOKUP(A178,鑽量!$A:$A,鑽量!$K:$K,,1,2)),_xlfn.XLOOKUP(A178,鑽量!$A:$A,鑽量!$K:$K,,1,2),NA())</f>
        <v>16400</v>
      </c>
      <c r="C178" s="417">
        <f t="shared" si="6"/>
        <v>136.66666666666666</v>
      </c>
      <c r="D178" s="417" t="e">
        <f>IF(ISNUMBER(_xlfn.XLOOKUP(A178,抽卷!$A:$A,抽卷!$K:$K,,1,2)),_xlfn.XLOOKUP(A178,抽卷!$A:$A,抽卷!$K:$K,,1,2),NA())</f>
        <v>#N/A</v>
      </c>
      <c r="E178" s="417" t="e">
        <f>IF(ISNUMBER(_xlfn.XLOOKUP(A178,抽卷!$A:$A,抽卷!$M:$M,,1,2)),_xlfn.XLOOKUP(A178,抽卷!$A:$A,抽卷!$M:$M,,1,2),NA())</f>
        <v>#N/A</v>
      </c>
      <c r="F178" s="70">
        <f t="shared" si="7"/>
        <v>136.66666666666666</v>
      </c>
    </row>
    <row r="179" spans="1:6" ht="15" customHeight="1" x14ac:dyDescent="0.25">
      <c r="A179" s="95">
        <f t="shared" si="8"/>
        <v>44115</v>
      </c>
      <c r="B179" s="76">
        <f>IF(ISNUMBER(_xlfn.XLOOKUP(A179,鑽量!$A:$A,鑽量!$K:$K,,1,2)),_xlfn.XLOOKUP(A179,鑽量!$A:$A,鑽量!$K:$K,,1,2),NA())</f>
        <v>16425</v>
      </c>
      <c r="C179" s="417">
        <f t="shared" si="6"/>
        <v>136.875</v>
      </c>
      <c r="D179" s="417" t="e">
        <f>IF(ISNUMBER(_xlfn.XLOOKUP(A179,抽卷!$A:$A,抽卷!$K:$K,,1,2)),_xlfn.XLOOKUP(A179,抽卷!$A:$A,抽卷!$K:$K,,1,2),NA())</f>
        <v>#N/A</v>
      </c>
      <c r="E179" s="417" t="e">
        <f>IF(ISNUMBER(_xlfn.XLOOKUP(A179,抽卷!$A:$A,抽卷!$M:$M,,1,2)),_xlfn.XLOOKUP(A179,抽卷!$A:$A,抽卷!$M:$M,,1,2),NA())</f>
        <v>#N/A</v>
      </c>
      <c r="F179" s="70">
        <f t="shared" si="7"/>
        <v>136.875</v>
      </c>
    </row>
    <row r="180" spans="1:6" ht="15" customHeight="1" x14ac:dyDescent="0.25">
      <c r="A180" s="95">
        <f t="shared" si="8"/>
        <v>44116</v>
      </c>
      <c r="B180" s="76">
        <f>IF(ISNUMBER(_xlfn.XLOOKUP(A180,鑽量!$A:$A,鑽量!$K:$K,,1,2)),_xlfn.XLOOKUP(A180,鑽量!$A:$A,鑽量!$K:$K,,1,2),NA())</f>
        <v>15745</v>
      </c>
      <c r="C180" s="417">
        <f t="shared" si="6"/>
        <v>131.20833333333334</v>
      </c>
      <c r="D180" s="417" t="e">
        <f>IF(ISNUMBER(_xlfn.XLOOKUP(A180,抽卷!$A:$A,抽卷!$K:$K,,1,2)),_xlfn.XLOOKUP(A180,抽卷!$A:$A,抽卷!$K:$K,,1,2),NA())</f>
        <v>#N/A</v>
      </c>
      <c r="E180" s="417" t="e">
        <f>IF(ISNUMBER(_xlfn.XLOOKUP(A180,抽卷!$A:$A,抽卷!$M:$M,,1,2)),_xlfn.XLOOKUP(A180,抽卷!$A:$A,抽卷!$M:$M,,1,2),NA())</f>
        <v>#N/A</v>
      </c>
      <c r="F180" s="70">
        <f t="shared" si="7"/>
        <v>131.20833333333334</v>
      </c>
    </row>
    <row r="181" spans="1:6" ht="15" customHeight="1" x14ac:dyDescent="0.25">
      <c r="A181" s="95">
        <f t="shared" si="8"/>
        <v>44117</v>
      </c>
      <c r="B181" s="76">
        <f>IF(ISNUMBER(_xlfn.XLOOKUP(A181,鑽量!$A:$A,鑽量!$K:$K,,1,2)),_xlfn.XLOOKUP(A181,鑽量!$A:$A,鑽量!$K:$K,,1,2),NA())</f>
        <v>16415</v>
      </c>
      <c r="C181" s="417">
        <f t="shared" si="6"/>
        <v>136.79166666666666</v>
      </c>
      <c r="D181" s="417" t="e">
        <f>IF(ISNUMBER(_xlfn.XLOOKUP(A181,抽卷!$A:$A,抽卷!$K:$K,,1,2)),_xlfn.XLOOKUP(A181,抽卷!$A:$A,抽卷!$K:$K,,1,2),NA())</f>
        <v>#N/A</v>
      </c>
      <c r="E181" s="417" t="e">
        <f>IF(ISNUMBER(_xlfn.XLOOKUP(A181,抽卷!$A:$A,抽卷!$M:$M,,1,2)),_xlfn.XLOOKUP(A181,抽卷!$A:$A,抽卷!$M:$M,,1,2),NA())</f>
        <v>#N/A</v>
      </c>
      <c r="F181" s="70">
        <f t="shared" si="7"/>
        <v>136.79166666666666</v>
      </c>
    </row>
    <row r="182" spans="1:6" ht="15" customHeight="1" x14ac:dyDescent="0.25">
      <c r="A182" s="95">
        <f t="shared" si="8"/>
        <v>44118</v>
      </c>
      <c r="B182" s="76">
        <f>IF(ISNUMBER(_xlfn.XLOOKUP(A182,鑽量!$A:$A,鑽量!$K:$K,,1,2)),_xlfn.XLOOKUP(A182,鑽量!$A:$A,鑽量!$K:$K,,1,2),NA())</f>
        <v>16830</v>
      </c>
      <c r="C182" s="417">
        <f t="shared" si="6"/>
        <v>140.25</v>
      </c>
      <c r="D182" s="417" t="e">
        <f>IF(ISNUMBER(_xlfn.XLOOKUP(A182,抽卷!$A:$A,抽卷!$K:$K,,1,2)),_xlfn.XLOOKUP(A182,抽卷!$A:$A,抽卷!$K:$K,,1,2),NA())</f>
        <v>#N/A</v>
      </c>
      <c r="E182" s="417" t="e">
        <f>IF(ISNUMBER(_xlfn.XLOOKUP(A182,抽卷!$A:$A,抽卷!$M:$M,,1,2)),_xlfn.XLOOKUP(A182,抽卷!$A:$A,抽卷!$M:$M,,1,2),NA())</f>
        <v>#N/A</v>
      </c>
      <c r="F182" s="70">
        <f t="shared" si="7"/>
        <v>140.25</v>
      </c>
    </row>
    <row r="183" spans="1:6" ht="15" customHeight="1" x14ac:dyDescent="0.25">
      <c r="A183" s="95">
        <f t="shared" si="8"/>
        <v>44119</v>
      </c>
      <c r="B183" s="76">
        <f>IF(ISNUMBER(_xlfn.XLOOKUP(A183,鑽量!$A:$A,鑽量!$K:$K,,1,2)),_xlfn.XLOOKUP(A183,鑽量!$A:$A,鑽量!$K:$K,,1,2),NA())</f>
        <v>16830</v>
      </c>
      <c r="C183" s="417">
        <f t="shared" si="6"/>
        <v>140.25</v>
      </c>
      <c r="D183" s="417" t="e">
        <f>IF(ISNUMBER(_xlfn.XLOOKUP(A183,抽卷!$A:$A,抽卷!$K:$K,,1,2)),_xlfn.XLOOKUP(A183,抽卷!$A:$A,抽卷!$K:$K,,1,2),NA())</f>
        <v>#N/A</v>
      </c>
      <c r="E183" s="417" t="e">
        <f>IF(ISNUMBER(_xlfn.XLOOKUP(A183,抽卷!$A:$A,抽卷!$M:$M,,1,2)),_xlfn.XLOOKUP(A183,抽卷!$A:$A,抽卷!$M:$M,,1,2),NA())</f>
        <v>#N/A</v>
      </c>
      <c r="F183" s="70">
        <f t="shared" si="7"/>
        <v>140.25</v>
      </c>
    </row>
    <row r="184" spans="1:6" ht="15" customHeight="1" x14ac:dyDescent="0.25">
      <c r="A184" s="95">
        <f t="shared" si="8"/>
        <v>44120</v>
      </c>
      <c r="B184" s="76">
        <f>IF(ISNUMBER(_xlfn.XLOOKUP(A184,鑽量!$A:$A,鑽量!$K:$K,,1,2)),_xlfn.XLOOKUP(A184,鑽量!$A:$A,鑽量!$K:$K,,1,2),NA())</f>
        <v>16300</v>
      </c>
      <c r="C184" s="417">
        <f t="shared" si="6"/>
        <v>135.83333333333334</v>
      </c>
      <c r="D184" s="417" t="e">
        <f>IF(ISNUMBER(_xlfn.XLOOKUP(A184,抽卷!$A:$A,抽卷!$K:$K,,1,2)),_xlfn.XLOOKUP(A184,抽卷!$A:$A,抽卷!$K:$K,,1,2),NA())</f>
        <v>#N/A</v>
      </c>
      <c r="E184" s="417" t="e">
        <f>IF(ISNUMBER(_xlfn.XLOOKUP(A184,抽卷!$A:$A,抽卷!$M:$M,,1,2)),_xlfn.XLOOKUP(A184,抽卷!$A:$A,抽卷!$M:$M,,1,2),NA())</f>
        <v>#N/A</v>
      </c>
      <c r="F184" s="70">
        <f t="shared" si="7"/>
        <v>135.83333333333334</v>
      </c>
    </row>
    <row r="185" spans="1:6" ht="15" customHeight="1" x14ac:dyDescent="0.25">
      <c r="A185" s="95">
        <f t="shared" si="8"/>
        <v>44121</v>
      </c>
      <c r="B185" s="76">
        <f>IF(ISNUMBER(_xlfn.XLOOKUP(A185,鑽量!$A:$A,鑽量!$K:$K,,1,2)),_xlfn.XLOOKUP(A185,鑽量!$A:$A,鑽量!$K:$K,,1,2),NA())</f>
        <v>16790</v>
      </c>
      <c r="C185" s="417">
        <f t="shared" si="6"/>
        <v>139.91666666666666</v>
      </c>
      <c r="D185" s="417" t="e">
        <f>IF(ISNUMBER(_xlfn.XLOOKUP(A185,抽卷!$A:$A,抽卷!$K:$K,,1,2)),_xlfn.XLOOKUP(A185,抽卷!$A:$A,抽卷!$K:$K,,1,2),NA())</f>
        <v>#N/A</v>
      </c>
      <c r="E185" s="417" t="e">
        <f>IF(ISNUMBER(_xlfn.XLOOKUP(A185,抽卷!$A:$A,抽卷!$M:$M,,1,2)),_xlfn.XLOOKUP(A185,抽卷!$A:$A,抽卷!$M:$M,,1,2),NA())</f>
        <v>#N/A</v>
      </c>
      <c r="F185" s="70">
        <f t="shared" si="7"/>
        <v>139.91666666666666</v>
      </c>
    </row>
    <row r="186" spans="1:6" ht="15" customHeight="1" x14ac:dyDescent="0.25">
      <c r="A186" s="95">
        <f t="shared" si="8"/>
        <v>44122</v>
      </c>
      <c r="B186" s="76">
        <f>IF(ISNUMBER(_xlfn.XLOOKUP(A186,鑽量!$A:$A,鑽量!$K:$K,,1,2)),_xlfn.XLOOKUP(A186,鑽量!$A:$A,鑽量!$K:$K,,1,2),NA())</f>
        <v>17210</v>
      </c>
      <c r="C186" s="417">
        <f t="shared" si="6"/>
        <v>143.41666666666666</v>
      </c>
      <c r="D186" s="417">
        <f>IF(ISNUMBER(_xlfn.XLOOKUP(A186,抽卷!$A:$A,抽卷!$K:$K,,1,2)),_xlfn.XLOOKUP(A186,抽卷!$A:$A,抽卷!$K:$K,,1,2),NA())</f>
        <v>133</v>
      </c>
      <c r="E186" s="417" t="e">
        <f>IF(ISNUMBER(_xlfn.XLOOKUP(A186,抽卷!$A:$A,抽卷!$M:$M,,1,2)),_xlfn.XLOOKUP(A186,抽卷!$A:$A,抽卷!$M:$M,,1,2),NA())</f>
        <v>#N/A</v>
      </c>
      <c r="F186" s="70">
        <f>IF(ISNA(E186),IF(ISNA(D186),C186,C186+D186),E186+D186+C186)</f>
        <v>276.41666666666663</v>
      </c>
    </row>
    <row r="187" spans="1:6" ht="15" customHeight="1" x14ac:dyDescent="0.25">
      <c r="A187" s="95">
        <f t="shared" si="8"/>
        <v>44123</v>
      </c>
      <c r="B187" s="76">
        <f>IF(ISNUMBER(_xlfn.XLOOKUP(A187,鑽量!$A:$A,鑽量!$K:$K,,1,2)),_xlfn.XLOOKUP(A187,鑽量!$A:$A,鑽量!$K:$K,,1,2),NA())</f>
        <v>17150</v>
      </c>
      <c r="C187" s="417">
        <f t="shared" si="6"/>
        <v>142.91666666666666</v>
      </c>
      <c r="D187" s="417">
        <f>IF(ISNUMBER(_xlfn.XLOOKUP(A187,抽卷!$A:$A,抽卷!$K:$K,,1,2)),_xlfn.XLOOKUP(A187,抽卷!$A:$A,抽卷!$K:$K,,1,2),NA())</f>
        <v>132</v>
      </c>
      <c r="E187" s="417" t="e">
        <f>IF(ISNUMBER(_xlfn.XLOOKUP(A187,抽卷!$A:$A,抽卷!$M:$M,,1,2)),_xlfn.XLOOKUP(A187,抽卷!$A:$A,抽卷!$M:$M,,1,2),NA())</f>
        <v>#N/A</v>
      </c>
      <c r="F187" s="70">
        <f t="shared" ref="F187:F250" si="9">IF(ISNA(E187),IF(ISNA(D187),C187,C187+D187),E187+D187+C187)</f>
        <v>274.91666666666663</v>
      </c>
    </row>
    <row r="188" spans="1:6" ht="15" customHeight="1" x14ac:dyDescent="0.25">
      <c r="A188" s="95">
        <f t="shared" si="8"/>
        <v>44124</v>
      </c>
      <c r="B188" s="76">
        <f>IF(ISNUMBER(_xlfn.XLOOKUP(A188,鑽量!$A:$A,鑽量!$K:$K,,1,2)),_xlfn.XLOOKUP(A188,鑽量!$A:$A,鑽量!$K:$K,,1,2),NA())</f>
        <v>19615</v>
      </c>
      <c r="C188" s="417">
        <f t="shared" si="6"/>
        <v>163.45833333333334</v>
      </c>
      <c r="D188" s="417">
        <f>IF(ISNUMBER(_xlfn.XLOOKUP(A188,抽卷!$A:$A,抽卷!$K:$K,,1,2)),_xlfn.XLOOKUP(A188,抽卷!$A:$A,抽卷!$K:$K,,1,2),NA())</f>
        <v>141</v>
      </c>
      <c r="E188" s="417" t="e">
        <f>IF(ISNUMBER(_xlfn.XLOOKUP(A188,抽卷!$A:$A,抽卷!$M:$M,,1,2)),_xlfn.XLOOKUP(A188,抽卷!$A:$A,抽卷!$M:$M,,1,2),NA())</f>
        <v>#N/A</v>
      </c>
      <c r="F188" s="70">
        <f t="shared" si="9"/>
        <v>304.45833333333337</v>
      </c>
    </row>
    <row r="189" spans="1:6" ht="15" customHeight="1" x14ac:dyDescent="0.25">
      <c r="A189" s="95">
        <f t="shared" si="8"/>
        <v>44125</v>
      </c>
      <c r="B189" s="76">
        <f>IF(ISNUMBER(_xlfn.XLOOKUP(A189,鑽量!$A:$A,鑽量!$K:$K,,1,2)),_xlfn.XLOOKUP(A189,鑽量!$A:$A,鑽量!$K:$K,,1,2),NA())</f>
        <v>18155</v>
      </c>
      <c r="C189" s="417">
        <f t="shared" si="6"/>
        <v>151.29166666666666</v>
      </c>
      <c r="D189" s="417">
        <f>IF(ISNUMBER(_xlfn.XLOOKUP(A189,抽卷!$A:$A,抽卷!$K:$K,,1,2)),_xlfn.XLOOKUP(A189,抽卷!$A:$A,抽卷!$K:$K,,1,2),NA())</f>
        <v>118</v>
      </c>
      <c r="E189" s="417" t="e">
        <f>IF(ISNUMBER(_xlfn.XLOOKUP(A189,抽卷!$A:$A,抽卷!$M:$M,,1,2)),_xlfn.XLOOKUP(A189,抽卷!$A:$A,抽卷!$M:$M,,1,2),NA())</f>
        <v>#N/A</v>
      </c>
      <c r="F189" s="70">
        <f t="shared" si="9"/>
        <v>269.29166666666663</v>
      </c>
    </row>
    <row r="190" spans="1:6" ht="15" customHeight="1" x14ac:dyDescent="0.25">
      <c r="A190" s="95">
        <f t="shared" si="8"/>
        <v>44126</v>
      </c>
      <c r="B190" s="76">
        <f>IF(ISNUMBER(_xlfn.XLOOKUP(A190,鑽量!$A:$A,鑽量!$K:$K,,1,2)),_xlfn.XLOOKUP(A190,鑽量!$A:$A,鑽量!$K:$K,,1,2),NA())</f>
        <v>18705</v>
      </c>
      <c r="C190" s="417">
        <f t="shared" si="6"/>
        <v>155.875</v>
      </c>
      <c r="D190" s="417">
        <f>IF(ISNUMBER(_xlfn.XLOOKUP(A190,抽卷!$A:$A,抽卷!$K:$K,,1,2)),_xlfn.XLOOKUP(A190,抽卷!$A:$A,抽卷!$K:$K,,1,2),NA())</f>
        <v>128</v>
      </c>
      <c r="E190" s="417" t="e">
        <f>IF(ISNUMBER(_xlfn.XLOOKUP(A190,抽卷!$A:$A,抽卷!$M:$M,,1,2)),_xlfn.XLOOKUP(A190,抽卷!$A:$A,抽卷!$M:$M,,1,2),NA())</f>
        <v>#N/A</v>
      </c>
      <c r="F190" s="70">
        <f t="shared" si="9"/>
        <v>283.875</v>
      </c>
    </row>
    <row r="191" spans="1:6" ht="15" customHeight="1" x14ac:dyDescent="0.25">
      <c r="A191" s="95">
        <f t="shared" si="8"/>
        <v>44127</v>
      </c>
      <c r="B191" s="76">
        <f>IF(ISNUMBER(_xlfn.XLOOKUP(A191,鑽量!$A:$A,鑽量!$K:$K,,1,2)),_xlfn.XLOOKUP(A191,鑽量!$A:$A,鑽量!$K:$K,,1,2),NA())</f>
        <v>18480</v>
      </c>
      <c r="C191" s="417">
        <f t="shared" si="6"/>
        <v>154</v>
      </c>
      <c r="D191" s="417">
        <f>IF(ISNUMBER(_xlfn.XLOOKUP(A191,抽卷!$A:$A,抽卷!$K:$K,,1,2)),_xlfn.XLOOKUP(A191,抽卷!$A:$A,抽卷!$K:$K,,1,2),NA())</f>
        <v>122</v>
      </c>
      <c r="E191" s="417" t="e">
        <f>IF(ISNUMBER(_xlfn.XLOOKUP(A191,抽卷!$A:$A,抽卷!$M:$M,,1,2)),_xlfn.XLOOKUP(A191,抽卷!$A:$A,抽卷!$M:$M,,1,2),NA())</f>
        <v>#N/A</v>
      </c>
      <c r="F191" s="70">
        <f t="shared" si="9"/>
        <v>276</v>
      </c>
    </row>
    <row r="192" spans="1:6" ht="15" customHeight="1" x14ac:dyDescent="0.25">
      <c r="A192" s="95">
        <f t="shared" si="8"/>
        <v>44128</v>
      </c>
      <c r="B192" s="76">
        <f>IF(ISNUMBER(_xlfn.XLOOKUP(A192,鑽量!$A:$A,鑽量!$K:$K,,1,2)),_xlfn.XLOOKUP(A192,鑽量!$A:$A,鑽量!$K:$K,,1,2),NA())</f>
        <v>18505</v>
      </c>
      <c r="C192" s="417">
        <f t="shared" si="6"/>
        <v>154.20833333333334</v>
      </c>
      <c r="D192" s="417">
        <f>IF(ISNUMBER(_xlfn.XLOOKUP(A192,抽卷!$A:$A,抽卷!$K:$K,,1,2)),_xlfn.XLOOKUP(A192,抽卷!$A:$A,抽卷!$K:$K,,1,2),NA())</f>
        <v>120</v>
      </c>
      <c r="E192" s="417" t="e">
        <f>IF(ISNUMBER(_xlfn.XLOOKUP(A192,抽卷!$A:$A,抽卷!$M:$M,,1,2)),_xlfn.XLOOKUP(A192,抽卷!$A:$A,抽卷!$M:$M,,1,2),NA())</f>
        <v>#N/A</v>
      </c>
      <c r="F192" s="70">
        <f t="shared" si="9"/>
        <v>274.20833333333337</v>
      </c>
    </row>
    <row r="193" spans="1:6" ht="15" customHeight="1" x14ac:dyDescent="0.25">
      <c r="A193" s="95">
        <f t="shared" si="8"/>
        <v>44129</v>
      </c>
      <c r="B193" s="76">
        <f>IF(ISNUMBER(_xlfn.XLOOKUP(A193,鑽量!$A:$A,鑽量!$K:$K,,1,2)),_xlfn.XLOOKUP(A193,鑽量!$A:$A,鑽量!$K:$K,,1,2),NA())</f>
        <v>17155</v>
      </c>
      <c r="C193" s="417">
        <f t="shared" si="6"/>
        <v>142.95833333333334</v>
      </c>
      <c r="D193" s="417">
        <f>IF(ISNUMBER(_xlfn.XLOOKUP(A193,抽卷!$A:$A,抽卷!$K:$K,,1,2)),_xlfn.XLOOKUP(A193,抽卷!$A:$A,抽卷!$K:$K,,1,2),NA())</f>
        <v>103</v>
      </c>
      <c r="E193" s="417" t="e">
        <f>IF(ISNUMBER(_xlfn.XLOOKUP(A193,抽卷!$A:$A,抽卷!$M:$M,,1,2)),_xlfn.XLOOKUP(A193,抽卷!$A:$A,抽卷!$M:$M,,1,2),NA())</f>
        <v>#N/A</v>
      </c>
      <c r="F193" s="70">
        <f t="shared" si="9"/>
        <v>245.95833333333334</v>
      </c>
    </row>
    <row r="194" spans="1:6" ht="15" customHeight="1" x14ac:dyDescent="0.25">
      <c r="A194" s="95">
        <f t="shared" si="8"/>
        <v>44130</v>
      </c>
      <c r="B194" s="76">
        <f>IF(ISNUMBER(_xlfn.XLOOKUP(A194,鑽量!$A:$A,鑽量!$K:$K,,1,2)),_xlfn.XLOOKUP(A194,鑽量!$A:$A,鑽量!$K:$K,,1,2),NA())</f>
        <v>17155</v>
      </c>
      <c r="C194" s="417">
        <f t="shared" ref="C194:C257" si="10">B194/120</f>
        <v>142.95833333333334</v>
      </c>
      <c r="D194" s="417">
        <f>IF(ISNUMBER(_xlfn.XLOOKUP(A194,抽卷!$A:$A,抽卷!$K:$K,,1,2)),_xlfn.XLOOKUP(A194,抽卷!$A:$A,抽卷!$K:$K,,1,2),NA())</f>
        <v>103</v>
      </c>
      <c r="E194" s="417" t="e">
        <f>IF(ISNUMBER(_xlfn.XLOOKUP(A194,抽卷!$A:$A,抽卷!$M:$M,,1,2)),_xlfn.XLOOKUP(A194,抽卷!$A:$A,抽卷!$M:$M,,1,2),NA())</f>
        <v>#N/A</v>
      </c>
      <c r="F194" s="70">
        <f t="shared" si="9"/>
        <v>245.95833333333334</v>
      </c>
    </row>
    <row r="195" spans="1:6" ht="15" customHeight="1" x14ac:dyDescent="0.25">
      <c r="A195" s="95">
        <f t="shared" si="8"/>
        <v>44131</v>
      </c>
      <c r="B195" s="76">
        <f>IF(ISNUMBER(_xlfn.XLOOKUP(A195,鑽量!$A:$A,鑽量!$K:$K,,1,2)),_xlfn.XLOOKUP(A195,鑽量!$A:$A,鑽量!$K:$K,,1,2),NA())</f>
        <v>17430</v>
      </c>
      <c r="C195" s="417">
        <f t="shared" si="10"/>
        <v>145.25</v>
      </c>
      <c r="D195" s="417">
        <f>IF(ISNUMBER(_xlfn.XLOOKUP(A195,抽卷!$A:$A,抽卷!$K:$K,,1,2)),_xlfn.XLOOKUP(A195,抽卷!$A:$A,抽卷!$K:$K,,1,2),NA())</f>
        <v>109</v>
      </c>
      <c r="E195" s="417" t="e">
        <f>IF(ISNUMBER(_xlfn.XLOOKUP(A195,抽卷!$A:$A,抽卷!$M:$M,,1,2)),_xlfn.XLOOKUP(A195,抽卷!$A:$A,抽卷!$M:$M,,1,2),NA())</f>
        <v>#N/A</v>
      </c>
      <c r="F195" s="70">
        <f t="shared" si="9"/>
        <v>254.25</v>
      </c>
    </row>
    <row r="196" spans="1:6" ht="15" customHeight="1" x14ac:dyDescent="0.25">
      <c r="A196" s="95">
        <f t="shared" si="8"/>
        <v>44132</v>
      </c>
      <c r="B196" s="76">
        <f>IF(ISNUMBER(_xlfn.XLOOKUP(A196,鑽量!$A:$A,鑽量!$K:$K,,1,2)),_xlfn.XLOOKUP(A196,鑽量!$A:$A,鑽量!$K:$K,,1,2),NA())</f>
        <v>17480</v>
      </c>
      <c r="C196" s="417">
        <f t="shared" si="10"/>
        <v>145.66666666666666</v>
      </c>
      <c r="D196" s="417">
        <f>IF(ISNUMBER(_xlfn.XLOOKUP(A196,抽卷!$A:$A,抽卷!$K:$K,,1,2)),_xlfn.XLOOKUP(A196,抽卷!$A:$A,抽卷!$K:$K,,1,2),NA())</f>
        <v>112</v>
      </c>
      <c r="E196" s="417" t="e">
        <f>IF(ISNUMBER(_xlfn.XLOOKUP(A196,抽卷!$A:$A,抽卷!$M:$M,,1,2)),_xlfn.XLOOKUP(A196,抽卷!$A:$A,抽卷!$M:$M,,1,2),NA())</f>
        <v>#N/A</v>
      </c>
      <c r="F196" s="70">
        <f t="shared" si="9"/>
        <v>257.66666666666663</v>
      </c>
    </row>
    <row r="197" spans="1:6" ht="15" customHeight="1" x14ac:dyDescent="0.25">
      <c r="A197" s="95">
        <f t="shared" si="8"/>
        <v>44133</v>
      </c>
      <c r="B197" s="76">
        <f>IF(ISNUMBER(_xlfn.XLOOKUP(A197,鑽量!$A:$A,鑽量!$K:$K,,1,2)),_xlfn.XLOOKUP(A197,鑽量!$A:$A,鑽量!$K:$K,,1,2),NA())</f>
        <v>17355</v>
      </c>
      <c r="C197" s="417">
        <f t="shared" si="10"/>
        <v>144.625</v>
      </c>
      <c r="D197" s="417">
        <f>IF(ISNUMBER(_xlfn.XLOOKUP(A197,抽卷!$A:$A,抽卷!$K:$K,,1,2)),_xlfn.XLOOKUP(A197,抽卷!$A:$A,抽卷!$K:$K,,1,2),NA())</f>
        <v>122</v>
      </c>
      <c r="E197" s="417" t="e">
        <f>IF(ISNUMBER(_xlfn.XLOOKUP(A197,抽卷!$A:$A,抽卷!$M:$M,,1,2)),_xlfn.XLOOKUP(A197,抽卷!$A:$A,抽卷!$M:$M,,1,2),NA())</f>
        <v>#N/A</v>
      </c>
      <c r="F197" s="70">
        <f t="shared" si="9"/>
        <v>266.625</v>
      </c>
    </row>
    <row r="198" spans="1:6" ht="15" customHeight="1" x14ac:dyDescent="0.25">
      <c r="A198" s="95">
        <f t="shared" ref="A198:A261" si="11">A197+1</f>
        <v>44134</v>
      </c>
      <c r="B198" s="76">
        <f>IF(ISNUMBER(_xlfn.XLOOKUP(A198,鑽量!$A:$A,鑽量!$K:$K,,1,2)),_xlfn.XLOOKUP(A198,鑽量!$A:$A,鑽量!$K:$K,,1,2),NA())</f>
        <v>17355</v>
      </c>
      <c r="C198" s="417">
        <f t="shared" si="10"/>
        <v>144.625</v>
      </c>
      <c r="D198" s="417">
        <f>IF(ISNUMBER(_xlfn.XLOOKUP(A198,抽卷!$A:$A,抽卷!$K:$K,,1,2)),_xlfn.XLOOKUP(A198,抽卷!$A:$A,抽卷!$K:$K,,1,2),NA())</f>
        <v>122</v>
      </c>
      <c r="E198" s="417" t="e">
        <f>IF(ISNUMBER(_xlfn.XLOOKUP(A198,抽卷!$A:$A,抽卷!$M:$M,,1,2)),_xlfn.XLOOKUP(A198,抽卷!$A:$A,抽卷!$M:$M,,1,2),NA())</f>
        <v>#N/A</v>
      </c>
      <c r="F198" s="70">
        <f t="shared" si="9"/>
        <v>266.625</v>
      </c>
    </row>
    <row r="199" spans="1:6" ht="15" customHeight="1" x14ac:dyDescent="0.25">
      <c r="A199" s="95">
        <f t="shared" si="11"/>
        <v>44135</v>
      </c>
      <c r="B199" s="76">
        <f>IF(ISNUMBER(_xlfn.XLOOKUP(A199,鑽量!$A:$A,鑽量!$K:$K,,1,2)),_xlfn.XLOOKUP(A199,鑽量!$A:$A,鑽量!$K:$K,,1,2),NA())</f>
        <v>15845</v>
      </c>
      <c r="C199" s="417">
        <f t="shared" si="10"/>
        <v>132.04166666666666</v>
      </c>
      <c r="D199" s="417">
        <f>IF(ISNUMBER(_xlfn.XLOOKUP(A199,抽卷!$A:$A,抽卷!$K:$K,,1,2)),_xlfn.XLOOKUP(A199,抽卷!$A:$A,抽卷!$K:$K,,1,2),NA())</f>
        <v>103</v>
      </c>
      <c r="E199" s="417" t="e">
        <f>IF(ISNUMBER(_xlfn.XLOOKUP(A199,抽卷!$A:$A,抽卷!$M:$M,,1,2)),_xlfn.XLOOKUP(A199,抽卷!$A:$A,抽卷!$M:$M,,1,2),NA())</f>
        <v>#N/A</v>
      </c>
      <c r="F199" s="70">
        <f t="shared" si="9"/>
        <v>235.04166666666666</v>
      </c>
    </row>
    <row r="200" spans="1:6" ht="15" customHeight="1" x14ac:dyDescent="0.25">
      <c r="A200" s="95">
        <f t="shared" si="11"/>
        <v>44136</v>
      </c>
      <c r="B200" s="76">
        <f>IF(ISNUMBER(_xlfn.XLOOKUP(A200,鑽量!$A:$A,鑽量!$K:$K,,1,2)),_xlfn.XLOOKUP(A200,鑽量!$A:$A,鑽量!$K:$K,,1,2),NA())</f>
        <v>13355</v>
      </c>
      <c r="C200" s="417">
        <f t="shared" si="10"/>
        <v>111.29166666666667</v>
      </c>
      <c r="D200" s="417">
        <f>IF(ISNUMBER(_xlfn.XLOOKUP(A200,抽卷!$A:$A,抽卷!$K:$K,,1,2)),_xlfn.XLOOKUP(A200,抽卷!$A:$A,抽卷!$K:$K,,1,2),NA())</f>
        <v>83</v>
      </c>
      <c r="E200" s="417" t="e">
        <f>IF(ISNUMBER(_xlfn.XLOOKUP(A200,抽卷!$A:$A,抽卷!$M:$M,,1,2)),_xlfn.XLOOKUP(A200,抽卷!$A:$A,抽卷!$M:$M,,1,2),NA())</f>
        <v>#N/A</v>
      </c>
      <c r="F200" s="70">
        <f t="shared" si="9"/>
        <v>194.29166666666669</v>
      </c>
    </row>
    <row r="201" spans="1:6" ht="15" customHeight="1" x14ac:dyDescent="0.25">
      <c r="A201" s="95">
        <f t="shared" si="11"/>
        <v>44137</v>
      </c>
      <c r="B201" s="76">
        <f>IF(ISNUMBER(_xlfn.XLOOKUP(A201,鑽量!$A:$A,鑽量!$K:$K,,1,2)),_xlfn.XLOOKUP(A201,鑽量!$A:$A,鑽量!$K:$K,,1,2),NA())</f>
        <v>13745</v>
      </c>
      <c r="C201" s="417">
        <f t="shared" si="10"/>
        <v>114.54166666666667</v>
      </c>
      <c r="D201" s="417">
        <f>IF(ISNUMBER(_xlfn.XLOOKUP(A201,抽卷!$A:$A,抽卷!$K:$K,,1,2)),_xlfn.XLOOKUP(A201,抽卷!$A:$A,抽卷!$K:$K,,1,2),NA())</f>
        <v>78</v>
      </c>
      <c r="E201" s="417" t="e">
        <f>IF(ISNUMBER(_xlfn.XLOOKUP(A201,抽卷!$A:$A,抽卷!$M:$M,,1,2)),_xlfn.XLOOKUP(A201,抽卷!$A:$A,抽卷!$M:$M,,1,2),NA())</f>
        <v>#N/A</v>
      </c>
      <c r="F201" s="70">
        <f t="shared" si="9"/>
        <v>192.54166666666669</v>
      </c>
    </row>
    <row r="202" spans="1:6" ht="15" customHeight="1" x14ac:dyDescent="0.25">
      <c r="A202" s="95">
        <f t="shared" si="11"/>
        <v>44138</v>
      </c>
      <c r="B202" s="76">
        <f>IF(ISNUMBER(_xlfn.XLOOKUP(A202,鑽量!$A:$A,鑽量!$K:$K,,1,2)),_xlfn.XLOOKUP(A202,鑽量!$A:$A,鑽量!$K:$K,,1,2),NA())</f>
        <v>13795</v>
      </c>
      <c r="C202" s="417">
        <f t="shared" si="10"/>
        <v>114.95833333333333</v>
      </c>
      <c r="D202" s="417">
        <f>IF(ISNUMBER(_xlfn.XLOOKUP(A202,抽卷!$A:$A,抽卷!$K:$K,,1,2)),_xlfn.XLOOKUP(A202,抽卷!$A:$A,抽卷!$K:$K,,1,2),NA())</f>
        <v>79</v>
      </c>
      <c r="E202" s="417" t="e">
        <f>IF(ISNUMBER(_xlfn.XLOOKUP(A202,抽卷!$A:$A,抽卷!$M:$M,,1,2)),_xlfn.XLOOKUP(A202,抽卷!$A:$A,抽卷!$M:$M,,1,2),NA())</f>
        <v>#N/A</v>
      </c>
      <c r="F202" s="70">
        <f t="shared" si="9"/>
        <v>193.95833333333331</v>
      </c>
    </row>
    <row r="203" spans="1:6" ht="15" customHeight="1" x14ac:dyDescent="0.25">
      <c r="A203" s="95">
        <f t="shared" si="11"/>
        <v>44139</v>
      </c>
      <c r="B203" s="76">
        <f>IF(ISNUMBER(_xlfn.XLOOKUP(A203,鑽量!$A:$A,鑽量!$K:$K,,1,2)),_xlfn.XLOOKUP(A203,鑽量!$A:$A,鑽量!$K:$K,,1,2),NA())</f>
        <v>13695</v>
      </c>
      <c r="C203" s="417">
        <f t="shared" si="10"/>
        <v>114.125</v>
      </c>
      <c r="D203" s="417">
        <f>IF(ISNUMBER(_xlfn.XLOOKUP(A203,抽卷!$A:$A,抽卷!$K:$K,,1,2)),_xlfn.XLOOKUP(A203,抽卷!$A:$A,抽卷!$K:$K,,1,2),NA())</f>
        <v>76</v>
      </c>
      <c r="E203" s="417" t="e">
        <f>IF(ISNUMBER(_xlfn.XLOOKUP(A203,抽卷!$A:$A,抽卷!$M:$M,,1,2)),_xlfn.XLOOKUP(A203,抽卷!$A:$A,抽卷!$M:$M,,1,2),NA())</f>
        <v>#N/A</v>
      </c>
      <c r="F203" s="70">
        <f t="shared" si="9"/>
        <v>190.125</v>
      </c>
    </row>
    <row r="204" spans="1:6" ht="15" customHeight="1" x14ac:dyDescent="0.25">
      <c r="A204" s="95">
        <f t="shared" si="11"/>
        <v>44140</v>
      </c>
      <c r="B204" s="76">
        <f>IF(ISNUMBER(_xlfn.XLOOKUP(A204,鑽量!$A:$A,鑽量!$K:$K,,1,2)),_xlfn.XLOOKUP(A204,鑽量!$A:$A,鑽量!$K:$K,,1,2),NA())</f>
        <v>10335</v>
      </c>
      <c r="C204" s="417">
        <f t="shared" si="10"/>
        <v>86.125</v>
      </c>
      <c r="D204" s="417">
        <f>IF(ISNUMBER(_xlfn.XLOOKUP(A204,抽卷!$A:$A,抽卷!$K:$K,,1,2)),_xlfn.XLOOKUP(A204,抽卷!$A:$A,抽卷!$K:$K,,1,2),NA())</f>
        <v>75</v>
      </c>
      <c r="E204" s="417" t="e">
        <f>IF(ISNUMBER(_xlfn.XLOOKUP(A204,抽卷!$A:$A,抽卷!$M:$M,,1,2)),_xlfn.XLOOKUP(A204,抽卷!$A:$A,抽卷!$M:$M,,1,2),NA())</f>
        <v>#N/A</v>
      </c>
      <c r="F204" s="70">
        <f t="shared" si="9"/>
        <v>161.125</v>
      </c>
    </row>
    <row r="205" spans="1:6" ht="15" customHeight="1" x14ac:dyDescent="0.25">
      <c r="A205" s="95">
        <f t="shared" si="11"/>
        <v>44141</v>
      </c>
      <c r="B205" s="76">
        <f>IF(ISNUMBER(_xlfn.XLOOKUP(A205,鑽量!$A:$A,鑽量!$K:$K,,1,2)),_xlfn.XLOOKUP(A205,鑽量!$A:$A,鑽量!$K:$K,,1,2),NA())</f>
        <v>10560</v>
      </c>
      <c r="C205" s="417">
        <f t="shared" si="10"/>
        <v>88</v>
      </c>
      <c r="D205" s="417">
        <f>IF(ISNUMBER(_xlfn.XLOOKUP(A205,抽卷!$A:$A,抽卷!$K:$K,,1,2)),_xlfn.XLOOKUP(A205,抽卷!$A:$A,抽卷!$K:$K,,1,2),NA())</f>
        <v>74</v>
      </c>
      <c r="E205" s="417" t="e">
        <f>IF(ISNUMBER(_xlfn.XLOOKUP(A205,抽卷!$A:$A,抽卷!$M:$M,,1,2)),_xlfn.XLOOKUP(A205,抽卷!$A:$A,抽卷!$M:$M,,1,2),NA())</f>
        <v>#N/A</v>
      </c>
      <c r="F205" s="70">
        <f t="shared" si="9"/>
        <v>162</v>
      </c>
    </row>
    <row r="206" spans="1:6" ht="15" customHeight="1" x14ac:dyDescent="0.25">
      <c r="A206" s="95">
        <f t="shared" si="11"/>
        <v>44142</v>
      </c>
      <c r="B206" s="76">
        <f>IF(ISNUMBER(_xlfn.XLOOKUP(A206,鑽量!$A:$A,鑽量!$K:$K,,1,2)),_xlfn.XLOOKUP(A206,鑽量!$A:$A,鑽量!$K:$K,,1,2),NA())</f>
        <v>10560</v>
      </c>
      <c r="C206" s="417">
        <f t="shared" si="10"/>
        <v>88</v>
      </c>
      <c r="D206" s="417">
        <f>IF(ISNUMBER(_xlfn.XLOOKUP(A206,抽卷!$A:$A,抽卷!$K:$K,,1,2)),_xlfn.XLOOKUP(A206,抽卷!$A:$A,抽卷!$K:$K,,1,2),NA())</f>
        <v>74</v>
      </c>
      <c r="E206" s="417" t="e">
        <f>IF(ISNUMBER(_xlfn.XLOOKUP(A206,抽卷!$A:$A,抽卷!$M:$M,,1,2)),_xlfn.XLOOKUP(A206,抽卷!$A:$A,抽卷!$M:$M,,1,2),NA())</f>
        <v>#N/A</v>
      </c>
      <c r="F206" s="70">
        <f t="shared" si="9"/>
        <v>162</v>
      </c>
    </row>
    <row r="207" spans="1:6" ht="15" customHeight="1" x14ac:dyDescent="0.25">
      <c r="A207" s="95">
        <f t="shared" si="11"/>
        <v>44143</v>
      </c>
      <c r="B207" s="76">
        <f>IF(ISNUMBER(_xlfn.XLOOKUP(A207,鑽量!$A:$A,鑽量!$K:$K,,1,2)),_xlfn.XLOOKUP(A207,鑽量!$A:$A,鑽量!$K:$K,,1,2),NA())</f>
        <v>10510</v>
      </c>
      <c r="C207" s="417">
        <f t="shared" si="10"/>
        <v>87.583333333333329</v>
      </c>
      <c r="D207" s="417">
        <f>IF(ISNUMBER(_xlfn.XLOOKUP(A207,抽卷!$A:$A,抽卷!$K:$K,,1,2)),_xlfn.XLOOKUP(A207,抽卷!$A:$A,抽卷!$K:$K,,1,2),NA())</f>
        <v>73</v>
      </c>
      <c r="E207" s="417" t="e">
        <f>IF(ISNUMBER(_xlfn.XLOOKUP(A207,抽卷!$A:$A,抽卷!$M:$M,,1,2)),_xlfn.XLOOKUP(A207,抽卷!$A:$A,抽卷!$M:$M,,1,2),NA())</f>
        <v>#N/A</v>
      </c>
      <c r="F207" s="70">
        <f t="shared" si="9"/>
        <v>160.58333333333331</v>
      </c>
    </row>
    <row r="208" spans="1:6" ht="15" customHeight="1" x14ac:dyDescent="0.25">
      <c r="A208" s="95">
        <f t="shared" si="11"/>
        <v>44144</v>
      </c>
      <c r="B208" s="76">
        <f>IF(ISNUMBER(_xlfn.XLOOKUP(A208,鑽量!$A:$A,鑽量!$K:$K,,1,2)),_xlfn.XLOOKUP(A208,鑽量!$A:$A,鑽量!$K:$K,,1,2),NA())</f>
        <v>10450</v>
      </c>
      <c r="C208" s="417">
        <f t="shared" si="10"/>
        <v>87.083333333333329</v>
      </c>
      <c r="D208" s="417">
        <f>IF(ISNUMBER(_xlfn.XLOOKUP(A208,抽卷!$A:$A,抽卷!$K:$K,,1,2)),_xlfn.XLOOKUP(A208,抽卷!$A:$A,抽卷!$K:$K,,1,2),NA())</f>
        <v>72</v>
      </c>
      <c r="E208" s="417" t="e">
        <f>IF(ISNUMBER(_xlfn.XLOOKUP(A208,抽卷!$A:$A,抽卷!$M:$M,,1,2)),_xlfn.XLOOKUP(A208,抽卷!$A:$A,抽卷!$M:$M,,1,2),NA())</f>
        <v>#N/A</v>
      </c>
      <c r="F208" s="70">
        <f t="shared" si="9"/>
        <v>159.08333333333331</v>
      </c>
    </row>
    <row r="209" spans="1:6" ht="15" customHeight="1" x14ac:dyDescent="0.25">
      <c r="A209" s="95">
        <f t="shared" si="11"/>
        <v>44145</v>
      </c>
      <c r="B209" s="76">
        <f>IF(ISNUMBER(_xlfn.XLOOKUP(A209,鑽量!$A:$A,鑽量!$K:$K,,1,2)),_xlfn.XLOOKUP(A209,鑽量!$A:$A,鑽量!$K:$K,,1,2),NA())</f>
        <v>10790</v>
      </c>
      <c r="C209" s="417">
        <f t="shared" si="10"/>
        <v>89.916666666666671</v>
      </c>
      <c r="D209" s="417">
        <f>IF(ISNUMBER(_xlfn.XLOOKUP(A209,抽卷!$A:$A,抽卷!$K:$K,,1,2)),_xlfn.XLOOKUP(A209,抽卷!$A:$A,抽卷!$K:$K,,1,2),NA())</f>
        <v>73</v>
      </c>
      <c r="E209" s="417" t="e">
        <f>IF(ISNUMBER(_xlfn.XLOOKUP(A209,抽卷!$A:$A,抽卷!$M:$M,,1,2)),_xlfn.XLOOKUP(A209,抽卷!$A:$A,抽卷!$M:$M,,1,2),NA())</f>
        <v>#N/A</v>
      </c>
      <c r="F209" s="70">
        <f t="shared" si="9"/>
        <v>162.91666666666669</v>
      </c>
    </row>
    <row r="210" spans="1:6" ht="15" customHeight="1" x14ac:dyDescent="0.25">
      <c r="A210" s="95">
        <f t="shared" si="11"/>
        <v>44146</v>
      </c>
      <c r="B210" s="76">
        <f>IF(ISNUMBER(_xlfn.XLOOKUP(A210,鑽量!$A:$A,鑽量!$K:$K,,1,2)),_xlfn.XLOOKUP(A210,鑽量!$A:$A,鑽量!$K:$K,,1,2),NA())</f>
        <v>10195</v>
      </c>
      <c r="C210" s="417">
        <f t="shared" si="10"/>
        <v>84.958333333333329</v>
      </c>
      <c r="D210" s="417">
        <f>IF(ISNUMBER(_xlfn.XLOOKUP(A210,抽卷!$A:$A,抽卷!$K:$K,,1,2)),_xlfn.XLOOKUP(A210,抽卷!$A:$A,抽卷!$K:$K,,1,2),NA())</f>
        <v>72</v>
      </c>
      <c r="E210" s="417" t="e">
        <f>IF(ISNUMBER(_xlfn.XLOOKUP(A210,抽卷!$A:$A,抽卷!$M:$M,,1,2)),_xlfn.XLOOKUP(A210,抽卷!$A:$A,抽卷!$M:$M,,1,2),NA())</f>
        <v>#N/A</v>
      </c>
      <c r="F210" s="70">
        <f t="shared" si="9"/>
        <v>156.95833333333331</v>
      </c>
    </row>
    <row r="211" spans="1:6" ht="15" customHeight="1" x14ac:dyDescent="0.25">
      <c r="A211" s="95">
        <f t="shared" si="11"/>
        <v>44147</v>
      </c>
      <c r="B211" s="76">
        <f>IF(ISNUMBER(_xlfn.XLOOKUP(A211,鑽量!$A:$A,鑽量!$K:$K,,1,2)),_xlfn.XLOOKUP(A211,鑽量!$A:$A,鑽量!$K:$K,,1,2),NA())</f>
        <v>10170</v>
      </c>
      <c r="C211" s="417">
        <f t="shared" si="10"/>
        <v>84.75</v>
      </c>
      <c r="D211" s="417">
        <f>IF(ISNUMBER(_xlfn.XLOOKUP(A211,抽卷!$A:$A,抽卷!$K:$K,,1,2)),_xlfn.XLOOKUP(A211,抽卷!$A:$A,抽卷!$K:$K,,1,2),NA())</f>
        <v>71</v>
      </c>
      <c r="E211" s="417" t="e">
        <f>IF(ISNUMBER(_xlfn.XLOOKUP(A211,抽卷!$A:$A,抽卷!$M:$M,,1,2)),_xlfn.XLOOKUP(A211,抽卷!$A:$A,抽卷!$M:$M,,1,2),NA())</f>
        <v>#N/A</v>
      </c>
      <c r="F211" s="70">
        <f t="shared" si="9"/>
        <v>155.75</v>
      </c>
    </row>
    <row r="212" spans="1:6" ht="15" customHeight="1" x14ac:dyDescent="0.25">
      <c r="A212" s="95">
        <f t="shared" si="11"/>
        <v>44148</v>
      </c>
      <c r="B212" s="76">
        <f>IF(ISNUMBER(_xlfn.XLOOKUP(A212,鑽量!$A:$A,鑽量!$K:$K,,1,2)),_xlfn.XLOOKUP(A212,鑽量!$A:$A,鑽量!$K:$K,,1,2),NA())</f>
        <v>9345</v>
      </c>
      <c r="C212" s="417">
        <f t="shared" si="10"/>
        <v>77.875</v>
      </c>
      <c r="D212" s="417">
        <f>IF(ISNUMBER(_xlfn.XLOOKUP(A212,抽卷!$A:$A,抽卷!$K:$K,,1,2)),_xlfn.XLOOKUP(A212,抽卷!$A:$A,抽卷!$K:$K,,1,2),NA())</f>
        <v>71</v>
      </c>
      <c r="E212" s="417" t="e">
        <f>IF(ISNUMBER(_xlfn.XLOOKUP(A212,抽卷!$A:$A,抽卷!$M:$M,,1,2)),_xlfn.XLOOKUP(A212,抽卷!$A:$A,抽卷!$M:$M,,1,2),NA())</f>
        <v>#N/A</v>
      </c>
      <c r="F212" s="70">
        <f t="shared" si="9"/>
        <v>148.875</v>
      </c>
    </row>
    <row r="213" spans="1:6" ht="15" customHeight="1" x14ac:dyDescent="0.25">
      <c r="A213" s="95">
        <f t="shared" si="11"/>
        <v>44149</v>
      </c>
      <c r="B213" s="76">
        <f>IF(ISNUMBER(_xlfn.XLOOKUP(A213,鑽量!$A:$A,鑽量!$K:$K,,1,2)),_xlfn.XLOOKUP(A213,鑽量!$A:$A,鑽量!$K:$K,,1,2),NA())</f>
        <v>9345</v>
      </c>
      <c r="C213" s="417">
        <f t="shared" si="10"/>
        <v>77.875</v>
      </c>
      <c r="D213" s="417">
        <f>IF(ISNUMBER(_xlfn.XLOOKUP(A213,抽卷!$A:$A,抽卷!$K:$K,,1,2)),_xlfn.XLOOKUP(A213,抽卷!$A:$A,抽卷!$K:$K,,1,2),NA())</f>
        <v>71</v>
      </c>
      <c r="E213" s="417" t="e">
        <f>IF(ISNUMBER(_xlfn.XLOOKUP(A213,抽卷!$A:$A,抽卷!$M:$M,,1,2)),_xlfn.XLOOKUP(A213,抽卷!$A:$A,抽卷!$M:$M,,1,2),NA())</f>
        <v>#N/A</v>
      </c>
      <c r="F213" s="70">
        <f t="shared" si="9"/>
        <v>148.875</v>
      </c>
    </row>
    <row r="214" spans="1:6" ht="15" customHeight="1" x14ac:dyDescent="0.25">
      <c r="A214" s="95">
        <f t="shared" si="11"/>
        <v>44150</v>
      </c>
      <c r="B214" s="76">
        <f>IF(ISNUMBER(_xlfn.XLOOKUP(A214,鑽量!$A:$A,鑽量!$K:$K,,1,2)),_xlfn.XLOOKUP(A214,鑽量!$A:$A,鑽量!$K:$K,,1,2),NA())</f>
        <v>10105</v>
      </c>
      <c r="C214" s="417">
        <f t="shared" si="10"/>
        <v>84.208333333333329</v>
      </c>
      <c r="D214" s="417">
        <f>IF(ISNUMBER(_xlfn.XLOOKUP(A214,抽卷!$A:$A,抽卷!$K:$K,,1,2)),_xlfn.XLOOKUP(A214,抽卷!$A:$A,抽卷!$K:$K,,1,2),NA())</f>
        <v>73</v>
      </c>
      <c r="E214" s="417" t="e">
        <f>IF(ISNUMBER(_xlfn.XLOOKUP(A214,抽卷!$A:$A,抽卷!$M:$M,,1,2)),_xlfn.XLOOKUP(A214,抽卷!$A:$A,抽卷!$M:$M,,1,2),NA())</f>
        <v>#N/A</v>
      </c>
      <c r="F214" s="70">
        <f t="shared" si="9"/>
        <v>157.20833333333331</v>
      </c>
    </row>
    <row r="215" spans="1:6" ht="15" customHeight="1" x14ac:dyDescent="0.25">
      <c r="A215" s="95">
        <f t="shared" si="11"/>
        <v>44151</v>
      </c>
      <c r="B215" s="76">
        <f>IF(ISNUMBER(_xlfn.XLOOKUP(A215,鑽量!$A:$A,鑽量!$K:$K,,1,2)),_xlfn.XLOOKUP(A215,鑽量!$A:$A,鑽量!$K:$K,,1,2),NA())</f>
        <v>10720</v>
      </c>
      <c r="C215" s="417">
        <f t="shared" si="10"/>
        <v>89.333333333333329</v>
      </c>
      <c r="D215" s="417">
        <f>IF(ISNUMBER(_xlfn.XLOOKUP(A215,抽卷!$A:$A,抽卷!$K:$K,,1,2)),_xlfn.XLOOKUP(A215,抽卷!$A:$A,抽卷!$K:$K,,1,2),NA())</f>
        <v>82</v>
      </c>
      <c r="E215" s="417" t="e">
        <f>IF(ISNUMBER(_xlfn.XLOOKUP(A215,抽卷!$A:$A,抽卷!$M:$M,,1,2)),_xlfn.XLOOKUP(A215,抽卷!$A:$A,抽卷!$M:$M,,1,2),NA())</f>
        <v>#N/A</v>
      </c>
      <c r="F215" s="70">
        <f t="shared" si="9"/>
        <v>171.33333333333331</v>
      </c>
    </row>
    <row r="216" spans="1:6" ht="15" customHeight="1" x14ac:dyDescent="0.25">
      <c r="A216" s="95">
        <f t="shared" si="11"/>
        <v>44152</v>
      </c>
      <c r="B216" s="76">
        <f>IF(ISNUMBER(_xlfn.XLOOKUP(A216,鑽量!$A:$A,鑽量!$K:$K,,1,2)),_xlfn.XLOOKUP(A216,鑽量!$A:$A,鑽量!$K:$K,,1,2),NA())</f>
        <v>9850</v>
      </c>
      <c r="C216" s="417">
        <f t="shared" si="10"/>
        <v>82.083333333333329</v>
      </c>
      <c r="D216" s="417">
        <f>IF(ISNUMBER(_xlfn.XLOOKUP(A216,抽卷!$A:$A,抽卷!$K:$K,,1,2)),_xlfn.XLOOKUP(A216,抽卷!$A:$A,抽卷!$K:$K,,1,2),NA())</f>
        <v>87</v>
      </c>
      <c r="E216" s="417" t="e">
        <f>IF(ISNUMBER(_xlfn.XLOOKUP(A216,抽卷!$A:$A,抽卷!$M:$M,,1,2)),_xlfn.XLOOKUP(A216,抽卷!$A:$A,抽卷!$M:$M,,1,2),NA())</f>
        <v>#N/A</v>
      </c>
      <c r="F216" s="70">
        <f t="shared" si="9"/>
        <v>169.08333333333331</v>
      </c>
    </row>
    <row r="217" spans="1:6" ht="15" customHeight="1" x14ac:dyDescent="0.25">
      <c r="A217" s="95">
        <f t="shared" si="11"/>
        <v>44153</v>
      </c>
      <c r="B217" s="76">
        <f>IF(ISNUMBER(_xlfn.XLOOKUP(A217,鑽量!$A:$A,鑽量!$K:$K,,1,2)),_xlfn.XLOOKUP(A217,鑽量!$A:$A,鑽量!$K:$K,,1,2),NA())</f>
        <v>7700</v>
      </c>
      <c r="C217" s="417">
        <f t="shared" si="10"/>
        <v>64.166666666666671</v>
      </c>
      <c r="D217" s="417">
        <f>IF(ISNUMBER(_xlfn.XLOOKUP(A217,抽卷!$A:$A,抽卷!$K:$K,,1,2)),_xlfn.XLOOKUP(A217,抽卷!$A:$A,抽卷!$K:$K,,1,2),NA())</f>
        <v>80</v>
      </c>
      <c r="E217" s="417" t="e">
        <f>IF(ISNUMBER(_xlfn.XLOOKUP(A217,抽卷!$A:$A,抽卷!$M:$M,,1,2)),_xlfn.XLOOKUP(A217,抽卷!$A:$A,抽卷!$M:$M,,1,2),NA())</f>
        <v>#N/A</v>
      </c>
      <c r="F217" s="70">
        <f t="shared" si="9"/>
        <v>144.16666666666669</v>
      </c>
    </row>
    <row r="218" spans="1:6" ht="15" customHeight="1" x14ac:dyDescent="0.25">
      <c r="A218" s="95">
        <f t="shared" si="11"/>
        <v>44154</v>
      </c>
      <c r="B218" s="76">
        <f>IF(ISNUMBER(_xlfn.XLOOKUP(A218,鑽量!$A:$A,鑽量!$K:$K,,1,2)),_xlfn.XLOOKUP(A218,鑽量!$A:$A,鑽量!$K:$K,,1,2),NA())</f>
        <v>7775</v>
      </c>
      <c r="C218" s="417">
        <f t="shared" si="10"/>
        <v>64.791666666666671</v>
      </c>
      <c r="D218" s="417">
        <f>IF(ISNUMBER(_xlfn.XLOOKUP(A218,抽卷!$A:$A,抽卷!$K:$K,,1,2)),_xlfn.XLOOKUP(A218,抽卷!$A:$A,抽卷!$K:$K,,1,2),NA())</f>
        <v>80</v>
      </c>
      <c r="E218" s="417" t="e">
        <f>IF(ISNUMBER(_xlfn.XLOOKUP(A218,抽卷!$A:$A,抽卷!$M:$M,,1,2)),_xlfn.XLOOKUP(A218,抽卷!$A:$A,抽卷!$M:$M,,1,2),NA())</f>
        <v>#N/A</v>
      </c>
      <c r="F218" s="70">
        <f t="shared" si="9"/>
        <v>144.79166666666669</v>
      </c>
    </row>
    <row r="219" spans="1:6" ht="15" customHeight="1" x14ac:dyDescent="0.25">
      <c r="A219" s="95">
        <f t="shared" si="11"/>
        <v>44155</v>
      </c>
      <c r="B219" s="76">
        <f>IF(ISNUMBER(_xlfn.XLOOKUP(A219,鑽量!$A:$A,鑽量!$K:$K,,1,2)),_xlfn.XLOOKUP(A219,鑽量!$A:$A,鑽量!$K:$K,,1,2),NA())</f>
        <v>7900</v>
      </c>
      <c r="C219" s="417">
        <f t="shared" si="10"/>
        <v>65.833333333333329</v>
      </c>
      <c r="D219" s="417">
        <f>IF(ISNUMBER(_xlfn.XLOOKUP(A219,抽卷!$A:$A,抽卷!$K:$K,,1,2)),_xlfn.XLOOKUP(A219,抽卷!$A:$A,抽卷!$K:$K,,1,2),NA())</f>
        <v>80</v>
      </c>
      <c r="E219" s="417" t="e">
        <f>IF(ISNUMBER(_xlfn.XLOOKUP(A219,抽卷!$A:$A,抽卷!$M:$M,,1,2)),_xlfn.XLOOKUP(A219,抽卷!$A:$A,抽卷!$M:$M,,1,2),NA())</f>
        <v>#N/A</v>
      </c>
      <c r="F219" s="70">
        <f t="shared" si="9"/>
        <v>145.83333333333331</v>
      </c>
    </row>
    <row r="220" spans="1:6" ht="15" customHeight="1" x14ac:dyDescent="0.25">
      <c r="A220" s="95">
        <f t="shared" si="11"/>
        <v>44156</v>
      </c>
      <c r="B220" s="76">
        <f>IF(ISNUMBER(_xlfn.XLOOKUP(A220,鑽量!$A:$A,鑽量!$K:$K,,1,2)),_xlfn.XLOOKUP(A220,鑽量!$A:$A,鑽量!$K:$K,,1,2),NA())</f>
        <v>7600</v>
      </c>
      <c r="C220" s="417">
        <f t="shared" si="10"/>
        <v>63.333333333333336</v>
      </c>
      <c r="D220" s="417">
        <f>IF(ISNUMBER(_xlfn.XLOOKUP(A220,抽卷!$A:$A,抽卷!$K:$K,,1,2)),_xlfn.XLOOKUP(A220,抽卷!$A:$A,抽卷!$K:$K,,1,2),NA())</f>
        <v>70</v>
      </c>
      <c r="E220" s="417" t="e">
        <f>IF(ISNUMBER(_xlfn.XLOOKUP(A220,抽卷!$A:$A,抽卷!$M:$M,,1,2)),_xlfn.XLOOKUP(A220,抽卷!$A:$A,抽卷!$M:$M,,1,2),NA())</f>
        <v>#N/A</v>
      </c>
      <c r="F220" s="70">
        <f t="shared" si="9"/>
        <v>133.33333333333334</v>
      </c>
    </row>
    <row r="221" spans="1:6" ht="15" customHeight="1" x14ac:dyDescent="0.25">
      <c r="A221" s="95">
        <f t="shared" si="11"/>
        <v>44157</v>
      </c>
      <c r="B221" s="76">
        <f>IF(ISNUMBER(_xlfn.XLOOKUP(A221,鑽量!$A:$A,鑽量!$K:$K,,1,2)),_xlfn.XLOOKUP(A221,鑽量!$A:$A,鑽量!$K:$K,,1,2),NA())</f>
        <v>7325</v>
      </c>
      <c r="C221" s="417">
        <f t="shared" si="10"/>
        <v>61.041666666666664</v>
      </c>
      <c r="D221" s="417">
        <f>IF(ISNUMBER(_xlfn.XLOOKUP(A221,抽卷!$A:$A,抽卷!$K:$K,,1,2)),_xlfn.XLOOKUP(A221,抽卷!$A:$A,抽卷!$K:$K,,1,2),NA())</f>
        <v>70</v>
      </c>
      <c r="E221" s="417" t="e">
        <f>IF(ISNUMBER(_xlfn.XLOOKUP(A221,抽卷!$A:$A,抽卷!$M:$M,,1,2)),_xlfn.XLOOKUP(A221,抽卷!$A:$A,抽卷!$M:$M,,1,2),NA())</f>
        <v>#N/A</v>
      </c>
      <c r="F221" s="70">
        <f t="shared" si="9"/>
        <v>131.04166666666666</v>
      </c>
    </row>
    <row r="222" spans="1:6" ht="15" customHeight="1" x14ac:dyDescent="0.25">
      <c r="A222" s="95">
        <f t="shared" si="11"/>
        <v>44158</v>
      </c>
      <c r="B222" s="76">
        <f>IF(ISNUMBER(_xlfn.XLOOKUP(A222,鑽量!$A:$A,鑽量!$K:$K,,1,2)),_xlfn.XLOOKUP(A222,鑽量!$A:$A,鑽量!$K:$K,,1,2),NA())</f>
        <v>7325</v>
      </c>
      <c r="C222" s="417">
        <f t="shared" si="10"/>
        <v>61.041666666666664</v>
      </c>
      <c r="D222" s="417">
        <f>IF(ISNUMBER(_xlfn.XLOOKUP(A222,抽卷!$A:$A,抽卷!$K:$K,,1,2)),_xlfn.XLOOKUP(A222,抽卷!$A:$A,抽卷!$K:$K,,1,2),NA())</f>
        <v>71</v>
      </c>
      <c r="E222" s="417" t="e">
        <f>IF(ISNUMBER(_xlfn.XLOOKUP(A222,抽卷!$A:$A,抽卷!$M:$M,,1,2)),_xlfn.XLOOKUP(A222,抽卷!$A:$A,抽卷!$M:$M,,1,2),NA())</f>
        <v>#N/A</v>
      </c>
      <c r="F222" s="70">
        <f t="shared" si="9"/>
        <v>132.04166666666666</v>
      </c>
    </row>
    <row r="223" spans="1:6" ht="15" customHeight="1" x14ac:dyDescent="0.25">
      <c r="A223" s="95">
        <f t="shared" si="11"/>
        <v>44159</v>
      </c>
      <c r="B223" s="76">
        <f>IF(ISNUMBER(_xlfn.XLOOKUP(A223,鑽量!$A:$A,鑽量!$K:$K,,1,2)),_xlfn.XLOOKUP(A223,鑽量!$A:$A,鑽量!$K:$K,,1,2),NA())</f>
        <v>7225</v>
      </c>
      <c r="C223" s="417">
        <f t="shared" si="10"/>
        <v>60.208333333333336</v>
      </c>
      <c r="D223" s="417">
        <f>IF(ISNUMBER(_xlfn.XLOOKUP(A223,抽卷!$A:$A,抽卷!$K:$K,,1,2)),_xlfn.XLOOKUP(A223,抽卷!$A:$A,抽卷!$K:$K,,1,2),NA())</f>
        <v>70</v>
      </c>
      <c r="E223" s="417" t="e">
        <f>IF(ISNUMBER(_xlfn.XLOOKUP(A223,抽卷!$A:$A,抽卷!$M:$M,,1,2)),_xlfn.XLOOKUP(A223,抽卷!$A:$A,抽卷!$M:$M,,1,2),NA())</f>
        <v>#N/A</v>
      </c>
      <c r="F223" s="70">
        <f t="shared" si="9"/>
        <v>130.20833333333334</v>
      </c>
    </row>
    <row r="224" spans="1:6" ht="15" customHeight="1" x14ac:dyDescent="0.25">
      <c r="A224" s="95">
        <f t="shared" si="11"/>
        <v>44160</v>
      </c>
      <c r="B224" s="76">
        <f>IF(ISNUMBER(_xlfn.XLOOKUP(A224,鑽量!$A:$A,鑽量!$K:$K,,1,2)),_xlfn.XLOOKUP(A224,鑽量!$A:$A,鑽量!$K:$K,,1,2),NA())</f>
        <v>7385</v>
      </c>
      <c r="C224" s="417">
        <f t="shared" si="10"/>
        <v>61.541666666666664</v>
      </c>
      <c r="D224" s="417">
        <f>IF(ISNUMBER(_xlfn.XLOOKUP(A224,抽卷!$A:$A,抽卷!$K:$K,,1,2)),_xlfn.XLOOKUP(A224,抽卷!$A:$A,抽卷!$K:$K,,1,2),NA())</f>
        <v>70</v>
      </c>
      <c r="E224" s="417" t="e">
        <f>IF(ISNUMBER(_xlfn.XLOOKUP(A224,抽卷!$A:$A,抽卷!$M:$M,,1,2)),_xlfn.XLOOKUP(A224,抽卷!$A:$A,抽卷!$M:$M,,1,2),NA())</f>
        <v>#N/A</v>
      </c>
      <c r="F224" s="70">
        <f t="shared" si="9"/>
        <v>131.54166666666666</v>
      </c>
    </row>
    <row r="225" spans="1:6" ht="15" customHeight="1" x14ac:dyDescent="0.25">
      <c r="A225" s="95">
        <f t="shared" si="11"/>
        <v>44161</v>
      </c>
      <c r="B225" s="76">
        <f>IF(ISNUMBER(_xlfn.XLOOKUP(A225,鑽量!$A:$A,鑽量!$K:$K,,1,2)),_xlfn.XLOOKUP(A225,鑽量!$A:$A,鑽量!$K:$K,,1,2),NA())</f>
        <v>7735</v>
      </c>
      <c r="C225" s="417">
        <f t="shared" si="10"/>
        <v>64.458333333333329</v>
      </c>
      <c r="D225" s="417">
        <f>IF(ISNUMBER(_xlfn.XLOOKUP(A225,抽卷!$A:$A,抽卷!$K:$K,,1,2)),_xlfn.XLOOKUP(A225,抽卷!$A:$A,抽卷!$K:$K,,1,2),NA())</f>
        <v>70</v>
      </c>
      <c r="E225" s="417" t="e">
        <f>IF(ISNUMBER(_xlfn.XLOOKUP(A225,抽卷!$A:$A,抽卷!$M:$M,,1,2)),_xlfn.XLOOKUP(A225,抽卷!$A:$A,抽卷!$M:$M,,1,2),NA())</f>
        <v>#N/A</v>
      </c>
      <c r="F225" s="70">
        <f t="shared" si="9"/>
        <v>134.45833333333331</v>
      </c>
    </row>
    <row r="226" spans="1:6" ht="15" customHeight="1" x14ac:dyDescent="0.25">
      <c r="A226" s="95">
        <f t="shared" si="11"/>
        <v>44162</v>
      </c>
      <c r="B226" s="76">
        <f>IF(ISNUMBER(_xlfn.XLOOKUP(A226,鑽量!$A:$A,鑽量!$K:$K,,1,2)),_xlfn.XLOOKUP(A226,鑽量!$A:$A,鑽量!$K:$K,,1,2),NA())</f>
        <v>7030</v>
      </c>
      <c r="C226" s="417">
        <f t="shared" si="10"/>
        <v>58.583333333333336</v>
      </c>
      <c r="D226" s="417">
        <f>IF(ISNUMBER(_xlfn.XLOOKUP(A226,抽卷!$A:$A,抽卷!$K:$K,,1,2)),_xlfn.XLOOKUP(A226,抽卷!$A:$A,抽卷!$K:$K,,1,2),NA())</f>
        <v>55</v>
      </c>
      <c r="E226" s="417" t="e">
        <f>IF(ISNUMBER(_xlfn.XLOOKUP(A226,抽卷!$A:$A,抽卷!$M:$M,,1,2)),_xlfn.XLOOKUP(A226,抽卷!$A:$A,抽卷!$M:$M,,1,2),NA())</f>
        <v>#N/A</v>
      </c>
      <c r="F226" s="70">
        <f t="shared" si="9"/>
        <v>113.58333333333334</v>
      </c>
    </row>
    <row r="227" spans="1:6" ht="15" customHeight="1" x14ac:dyDescent="0.25">
      <c r="A227" s="95">
        <f t="shared" si="11"/>
        <v>44163</v>
      </c>
      <c r="B227" s="76">
        <f>IF(ISNUMBER(_xlfn.XLOOKUP(A227,鑽量!$A:$A,鑽量!$K:$K,,1,2)),_xlfn.XLOOKUP(A227,鑽量!$A:$A,鑽量!$K:$K,,1,2),NA())</f>
        <v>7605</v>
      </c>
      <c r="C227" s="417">
        <f t="shared" si="10"/>
        <v>63.375</v>
      </c>
      <c r="D227" s="417">
        <f>IF(ISNUMBER(_xlfn.XLOOKUP(A227,抽卷!$A:$A,抽卷!$K:$K,,1,2)),_xlfn.XLOOKUP(A227,抽卷!$A:$A,抽卷!$K:$K,,1,2),NA())</f>
        <v>60</v>
      </c>
      <c r="E227" s="417" t="e">
        <f>IF(ISNUMBER(_xlfn.XLOOKUP(A227,抽卷!$A:$A,抽卷!$M:$M,,1,2)),_xlfn.XLOOKUP(A227,抽卷!$A:$A,抽卷!$M:$M,,1,2),NA())</f>
        <v>#N/A</v>
      </c>
      <c r="F227" s="70">
        <f t="shared" si="9"/>
        <v>123.375</v>
      </c>
    </row>
    <row r="228" spans="1:6" ht="15" customHeight="1" x14ac:dyDescent="0.25">
      <c r="A228" s="95">
        <f t="shared" si="11"/>
        <v>44164</v>
      </c>
      <c r="B228" s="76">
        <f>IF(ISNUMBER(_xlfn.XLOOKUP(A228,鑽量!$A:$A,鑽量!$K:$K,,1,2)),_xlfn.XLOOKUP(A228,鑽量!$A:$A,鑽量!$K:$K,,1,2),NA())</f>
        <v>7605</v>
      </c>
      <c r="C228" s="417">
        <f t="shared" si="10"/>
        <v>63.375</v>
      </c>
      <c r="D228" s="417">
        <f>IF(ISNUMBER(_xlfn.XLOOKUP(A228,抽卷!$A:$A,抽卷!$K:$K,,1,2)),_xlfn.XLOOKUP(A228,抽卷!$A:$A,抽卷!$K:$K,,1,2),NA())</f>
        <v>45</v>
      </c>
      <c r="E228" s="417" t="e">
        <f>IF(ISNUMBER(_xlfn.XLOOKUP(A228,抽卷!$A:$A,抽卷!$M:$M,,1,2)),_xlfn.XLOOKUP(A228,抽卷!$A:$A,抽卷!$M:$M,,1,2),NA())</f>
        <v>#N/A</v>
      </c>
      <c r="F228" s="70">
        <f t="shared" si="9"/>
        <v>108.375</v>
      </c>
    </row>
    <row r="229" spans="1:6" ht="15" customHeight="1" x14ac:dyDescent="0.25">
      <c r="A229" s="95">
        <f t="shared" si="11"/>
        <v>44165</v>
      </c>
      <c r="B229" s="76">
        <f>IF(ISNUMBER(_xlfn.XLOOKUP(A229,鑽量!$A:$A,鑽量!$K:$K,,1,2)),_xlfn.XLOOKUP(A229,鑽量!$A:$A,鑽量!$K:$K,,1,2),NA())</f>
        <v>7405</v>
      </c>
      <c r="C229" s="417">
        <f t="shared" si="10"/>
        <v>61.708333333333336</v>
      </c>
      <c r="D229" s="417">
        <f>IF(ISNUMBER(_xlfn.XLOOKUP(A229,抽卷!$A:$A,抽卷!$K:$K,,1,2)),_xlfn.XLOOKUP(A229,抽卷!$A:$A,抽卷!$K:$K,,1,2),NA())</f>
        <v>45</v>
      </c>
      <c r="E229" s="417" t="e">
        <f>IF(ISNUMBER(_xlfn.XLOOKUP(A229,抽卷!$A:$A,抽卷!$M:$M,,1,2)),_xlfn.XLOOKUP(A229,抽卷!$A:$A,抽卷!$M:$M,,1,2),NA())</f>
        <v>#N/A</v>
      </c>
      <c r="F229" s="70">
        <f t="shared" si="9"/>
        <v>106.70833333333334</v>
      </c>
    </row>
    <row r="230" spans="1:6" ht="15" customHeight="1" x14ac:dyDescent="0.25">
      <c r="A230" s="95">
        <f t="shared" si="11"/>
        <v>44166</v>
      </c>
      <c r="B230" s="76">
        <f>IF(ISNUMBER(_xlfn.XLOOKUP(A230,鑽量!$A:$A,鑽量!$K:$K,,1,2)),_xlfn.XLOOKUP(A230,鑽量!$A:$A,鑽量!$K:$K,,1,2),NA())</f>
        <v>8650</v>
      </c>
      <c r="C230" s="417">
        <f t="shared" si="10"/>
        <v>72.083333333333329</v>
      </c>
      <c r="D230" s="417">
        <f>IF(ISNUMBER(_xlfn.XLOOKUP(A230,抽卷!$A:$A,抽卷!$K:$K,,1,2)),_xlfn.XLOOKUP(A230,抽卷!$A:$A,抽卷!$K:$K,,1,2),NA())</f>
        <v>72</v>
      </c>
      <c r="E230" s="417" t="e">
        <f>IF(ISNUMBER(_xlfn.XLOOKUP(A230,抽卷!$A:$A,抽卷!$M:$M,,1,2)),_xlfn.XLOOKUP(A230,抽卷!$A:$A,抽卷!$M:$M,,1,2),NA())</f>
        <v>#N/A</v>
      </c>
      <c r="F230" s="70">
        <f t="shared" si="9"/>
        <v>144.08333333333331</v>
      </c>
    </row>
    <row r="231" spans="1:6" ht="15" customHeight="1" x14ac:dyDescent="0.25">
      <c r="A231" s="95">
        <f t="shared" si="11"/>
        <v>44167</v>
      </c>
      <c r="B231" s="76">
        <f>IF(ISNUMBER(_xlfn.XLOOKUP(A231,鑽量!$A:$A,鑽量!$K:$K,,1,2)),_xlfn.XLOOKUP(A231,鑽量!$A:$A,鑽量!$K:$K,,1,2),NA())</f>
        <v>9100</v>
      </c>
      <c r="C231" s="417">
        <f t="shared" si="10"/>
        <v>75.833333333333329</v>
      </c>
      <c r="D231" s="417">
        <f>IF(ISNUMBER(_xlfn.XLOOKUP(A231,抽卷!$A:$A,抽卷!$K:$K,,1,2)),_xlfn.XLOOKUP(A231,抽卷!$A:$A,抽卷!$K:$K,,1,2),NA())</f>
        <v>72</v>
      </c>
      <c r="E231" s="417" t="e">
        <f>IF(ISNUMBER(_xlfn.XLOOKUP(A231,抽卷!$A:$A,抽卷!$M:$M,,1,2)),_xlfn.XLOOKUP(A231,抽卷!$A:$A,抽卷!$M:$M,,1,2),NA())</f>
        <v>#N/A</v>
      </c>
      <c r="F231" s="70">
        <f t="shared" si="9"/>
        <v>147.83333333333331</v>
      </c>
    </row>
    <row r="232" spans="1:6" ht="15" customHeight="1" x14ac:dyDescent="0.25">
      <c r="A232" s="95">
        <f t="shared" si="11"/>
        <v>44168</v>
      </c>
      <c r="B232" s="76">
        <f>IF(ISNUMBER(_xlfn.XLOOKUP(A232,鑽量!$A:$A,鑽量!$K:$K,,1,2)),_xlfn.XLOOKUP(A232,鑽量!$A:$A,鑽量!$K:$K,,1,2),NA())</f>
        <v>8635</v>
      </c>
      <c r="C232" s="417">
        <f t="shared" si="10"/>
        <v>71.958333333333329</v>
      </c>
      <c r="D232" s="417">
        <f>IF(ISNUMBER(_xlfn.XLOOKUP(A232,抽卷!$A:$A,抽卷!$K:$K,,1,2)),_xlfn.XLOOKUP(A232,抽卷!$A:$A,抽卷!$K:$K,,1,2),NA())</f>
        <v>80</v>
      </c>
      <c r="E232" s="417" t="e">
        <f>IF(ISNUMBER(_xlfn.XLOOKUP(A232,抽卷!$A:$A,抽卷!$M:$M,,1,2)),_xlfn.XLOOKUP(A232,抽卷!$A:$A,抽卷!$M:$M,,1,2),NA())</f>
        <v>#N/A</v>
      </c>
      <c r="F232" s="70">
        <f t="shared" si="9"/>
        <v>151.95833333333331</v>
      </c>
    </row>
    <row r="233" spans="1:6" ht="15" customHeight="1" x14ac:dyDescent="0.25">
      <c r="A233" s="95">
        <f t="shared" si="11"/>
        <v>44169</v>
      </c>
      <c r="B233" s="76">
        <f>IF(ISNUMBER(_xlfn.XLOOKUP(A233,鑽量!$A:$A,鑽量!$K:$K,,1,2)),_xlfn.XLOOKUP(A233,鑽量!$A:$A,鑽量!$K:$K,,1,2),NA())</f>
        <v>9085</v>
      </c>
      <c r="C233" s="417">
        <f t="shared" si="10"/>
        <v>75.708333333333329</v>
      </c>
      <c r="D233" s="417">
        <f>IF(ISNUMBER(_xlfn.XLOOKUP(A233,抽卷!$A:$A,抽卷!$K:$K,,1,2)),_xlfn.XLOOKUP(A233,抽卷!$A:$A,抽卷!$K:$K,,1,2),NA())</f>
        <v>80</v>
      </c>
      <c r="E233" s="417" t="e">
        <f>IF(ISNUMBER(_xlfn.XLOOKUP(A233,抽卷!$A:$A,抽卷!$M:$M,,1,2)),_xlfn.XLOOKUP(A233,抽卷!$A:$A,抽卷!$M:$M,,1,2),NA())</f>
        <v>#N/A</v>
      </c>
      <c r="F233" s="70">
        <f t="shared" si="9"/>
        <v>155.70833333333331</v>
      </c>
    </row>
    <row r="234" spans="1:6" ht="15" customHeight="1" x14ac:dyDescent="0.25">
      <c r="A234" s="95">
        <f t="shared" si="11"/>
        <v>44170</v>
      </c>
      <c r="B234" s="76">
        <f>IF(ISNUMBER(_xlfn.XLOOKUP(A234,鑽量!$A:$A,鑽量!$K:$K,,1,2)),_xlfn.XLOOKUP(A234,鑽量!$A:$A,鑽量!$K:$K,,1,2),NA())</f>
        <v>10810</v>
      </c>
      <c r="C234" s="417">
        <f t="shared" si="10"/>
        <v>90.083333333333329</v>
      </c>
      <c r="D234" s="417">
        <f>IF(ISNUMBER(_xlfn.XLOOKUP(A234,抽卷!$A:$A,抽卷!$K:$K,,1,2)),_xlfn.XLOOKUP(A234,抽卷!$A:$A,抽卷!$K:$K,,1,2),NA())</f>
        <v>80</v>
      </c>
      <c r="E234" s="417" t="e">
        <f>IF(ISNUMBER(_xlfn.XLOOKUP(A234,抽卷!$A:$A,抽卷!$M:$M,,1,2)),_xlfn.XLOOKUP(A234,抽卷!$A:$A,抽卷!$M:$M,,1,2),NA())</f>
        <v>#N/A</v>
      </c>
      <c r="F234" s="70">
        <f t="shared" si="9"/>
        <v>170.08333333333331</v>
      </c>
    </row>
    <row r="235" spans="1:6" ht="15" customHeight="1" x14ac:dyDescent="0.25">
      <c r="A235" s="95">
        <f t="shared" si="11"/>
        <v>44171</v>
      </c>
      <c r="B235" s="76">
        <f>IF(ISNUMBER(_xlfn.XLOOKUP(A235,鑽量!$A:$A,鑽量!$K:$K,,1,2)),_xlfn.XLOOKUP(A235,鑽量!$A:$A,鑽量!$K:$K,,1,2),NA())</f>
        <v>11085</v>
      </c>
      <c r="C235" s="417">
        <f t="shared" si="10"/>
        <v>92.375</v>
      </c>
      <c r="D235" s="417">
        <f>IF(ISNUMBER(_xlfn.XLOOKUP(A235,抽卷!$A:$A,抽卷!$K:$K,,1,2)),_xlfn.XLOOKUP(A235,抽卷!$A:$A,抽卷!$K:$K,,1,2),NA())</f>
        <v>80</v>
      </c>
      <c r="E235" s="417" t="e">
        <f>IF(ISNUMBER(_xlfn.XLOOKUP(A235,抽卷!$A:$A,抽卷!$M:$M,,1,2)),_xlfn.XLOOKUP(A235,抽卷!$A:$A,抽卷!$M:$M,,1,2),NA())</f>
        <v>#N/A</v>
      </c>
      <c r="F235" s="70">
        <f t="shared" si="9"/>
        <v>172.375</v>
      </c>
    </row>
    <row r="236" spans="1:6" ht="15" customHeight="1" x14ac:dyDescent="0.25">
      <c r="A236" s="95">
        <f t="shared" si="11"/>
        <v>44172</v>
      </c>
      <c r="B236" s="76">
        <f>IF(ISNUMBER(_xlfn.XLOOKUP(A236,鑽量!$A:$A,鑽量!$K:$K,,1,2)),_xlfn.XLOOKUP(A236,鑽量!$A:$A,鑽量!$K:$K,,1,2),NA())</f>
        <v>10335</v>
      </c>
      <c r="C236" s="417">
        <f t="shared" si="10"/>
        <v>86.125</v>
      </c>
      <c r="D236" s="417">
        <f>IF(ISNUMBER(_xlfn.XLOOKUP(A236,抽卷!$A:$A,抽卷!$K:$K,,1,2)),_xlfn.XLOOKUP(A236,抽卷!$A:$A,抽卷!$K:$K,,1,2),NA())</f>
        <v>80</v>
      </c>
      <c r="E236" s="417" t="e">
        <f>IF(ISNUMBER(_xlfn.XLOOKUP(A236,抽卷!$A:$A,抽卷!$M:$M,,1,2)),_xlfn.XLOOKUP(A236,抽卷!$A:$A,抽卷!$M:$M,,1,2),NA())</f>
        <v>#N/A</v>
      </c>
      <c r="F236" s="70">
        <f t="shared" si="9"/>
        <v>166.125</v>
      </c>
    </row>
    <row r="237" spans="1:6" ht="15" customHeight="1" x14ac:dyDescent="0.25">
      <c r="A237" s="95">
        <f t="shared" si="11"/>
        <v>44173</v>
      </c>
      <c r="B237" s="76">
        <f>IF(ISNUMBER(_xlfn.XLOOKUP(A237,鑽量!$A:$A,鑽量!$K:$K,,1,2)),_xlfn.XLOOKUP(A237,鑽量!$A:$A,鑽量!$K:$K,,1,2),NA())</f>
        <v>10335</v>
      </c>
      <c r="C237" s="417">
        <f t="shared" si="10"/>
        <v>86.125</v>
      </c>
      <c r="D237" s="417">
        <f>IF(ISNUMBER(_xlfn.XLOOKUP(A237,抽卷!$A:$A,抽卷!$K:$K,,1,2)),_xlfn.XLOOKUP(A237,抽卷!$A:$A,抽卷!$K:$K,,1,2),NA())</f>
        <v>80</v>
      </c>
      <c r="E237" s="417" t="e">
        <f>IF(ISNUMBER(_xlfn.XLOOKUP(A237,抽卷!$A:$A,抽卷!$M:$M,,1,2)),_xlfn.XLOOKUP(A237,抽卷!$A:$A,抽卷!$M:$M,,1,2),NA())</f>
        <v>#N/A</v>
      </c>
      <c r="F237" s="70">
        <f t="shared" si="9"/>
        <v>166.125</v>
      </c>
    </row>
    <row r="238" spans="1:6" ht="15" customHeight="1" x14ac:dyDescent="0.25">
      <c r="A238" s="95">
        <f t="shared" si="11"/>
        <v>44174</v>
      </c>
      <c r="B238" s="76">
        <f>IF(ISNUMBER(_xlfn.XLOOKUP(A238,鑽量!$A:$A,鑽量!$K:$K,,1,2)),_xlfn.XLOOKUP(A238,鑽量!$A:$A,鑽量!$K:$K,,1,2),NA())</f>
        <v>10385</v>
      </c>
      <c r="C238" s="417">
        <f t="shared" si="10"/>
        <v>86.541666666666671</v>
      </c>
      <c r="D238" s="417">
        <f>IF(ISNUMBER(_xlfn.XLOOKUP(A238,抽卷!$A:$A,抽卷!$K:$K,,1,2)),_xlfn.XLOOKUP(A238,抽卷!$A:$A,抽卷!$K:$K,,1,2),NA())</f>
        <v>80</v>
      </c>
      <c r="E238" s="417" t="e">
        <f>IF(ISNUMBER(_xlfn.XLOOKUP(A238,抽卷!$A:$A,抽卷!$M:$M,,1,2)),_xlfn.XLOOKUP(A238,抽卷!$A:$A,抽卷!$M:$M,,1,2),NA())</f>
        <v>#N/A</v>
      </c>
      <c r="F238" s="70">
        <f t="shared" si="9"/>
        <v>166.54166666666669</v>
      </c>
    </row>
    <row r="239" spans="1:6" ht="15" customHeight="1" x14ac:dyDescent="0.25">
      <c r="A239" s="95">
        <f t="shared" si="11"/>
        <v>44175</v>
      </c>
      <c r="B239" s="76">
        <f>IF(ISNUMBER(_xlfn.XLOOKUP(A239,鑽量!$A:$A,鑽量!$K:$K,,1,2)),_xlfn.XLOOKUP(A239,鑽量!$A:$A,鑽量!$K:$K,,1,2),NA())</f>
        <v>9970</v>
      </c>
      <c r="C239" s="417">
        <f t="shared" si="10"/>
        <v>83.083333333333329</v>
      </c>
      <c r="D239" s="417">
        <f>IF(ISNUMBER(_xlfn.XLOOKUP(A239,抽卷!$A:$A,抽卷!$K:$K,,1,2)),_xlfn.XLOOKUP(A239,抽卷!$A:$A,抽卷!$K:$K,,1,2),NA())</f>
        <v>78</v>
      </c>
      <c r="E239" s="417" t="e">
        <f>IF(ISNUMBER(_xlfn.XLOOKUP(A239,抽卷!$A:$A,抽卷!$M:$M,,1,2)),_xlfn.XLOOKUP(A239,抽卷!$A:$A,抽卷!$M:$M,,1,2),NA())</f>
        <v>#N/A</v>
      </c>
      <c r="F239" s="70">
        <f t="shared" si="9"/>
        <v>161.08333333333331</v>
      </c>
    </row>
    <row r="240" spans="1:6" ht="15" customHeight="1" x14ac:dyDescent="0.25">
      <c r="A240" s="95">
        <f t="shared" si="11"/>
        <v>44176</v>
      </c>
      <c r="B240" s="76">
        <f>IF(ISNUMBER(_xlfn.XLOOKUP(A240,鑽量!$A:$A,鑽量!$K:$K,,1,2)),_xlfn.XLOOKUP(A240,鑽量!$A:$A,鑽量!$K:$K,,1,2),NA())</f>
        <v>10020</v>
      </c>
      <c r="C240" s="417">
        <f t="shared" si="10"/>
        <v>83.5</v>
      </c>
      <c r="D240" s="417">
        <f>IF(ISNUMBER(_xlfn.XLOOKUP(A240,抽卷!$A:$A,抽卷!$K:$K,,1,2)),_xlfn.XLOOKUP(A240,抽卷!$A:$A,抽卷!$K:$K,,1,2),NA())</f>
        <v>78</v>
      </c>
      <c r="E240" s="417" t="e">
        <f>IF(ISNUMBER(_xlfn.XLOOKUP(A240,抽卷!$A:$A,抽卷!$M:$M,,1,2)),_xlfn.XLOOKUP(A240,抽卷!$A:$A,抽卷!$M:$M,,1,2),NA())</f>
        <v>#N/A</v>
      </c>
      <c r="F240" s="70">
        <f t="shared" si="9"/>
        <v>161.5</v>
      </c>
    </row>
    <row r="241" spans="1:6" ht="15" customHeight="1" x14ac:dyDescent="0.25">
      <c r="A241" s="95">
        <f t="shared" si="11"/>
        <v>44177</v>
      </c>
      <c r="B241" s="76">
        <f>IF(ISNUMBER(_xlfn.XLOOKUP(A241,鑽量!$A:$A,鑽量!$K:$K,,1,2)),_xlfn.XLOOKUP(A241,鑽量!$A:$A,鑽量!$K:$K,,1,2),NA())</f>
        <v>9760</v>
      </c>
      <c r="C241" s="417">
        <f t="shared" si="10"/>
        <v>81.333333333333329</v>
      </c>
      <c r="D241" s="417">
        <f>IF(ISNUMBER(_xlfn.XLOOKUP(A241,抽卷!$A:$A,抽卷!$K:$K,,1,2)),_xlfn.XLOOKUP(A241,抽卷!$A:$A,抽卷!$K:$K,,1,2),NA())</f>
        <v>77</v>
      </c>
      <c r="E241" s="417" t="e">
        <f>IF(ISNUMBER(_xlfn.XLOOKUP(A241,抽卷!$A:$A,抽卷!$M:$M,,1,2)),_xlfn.XLOOKUP(A241,抽卷!$A:$A,抽卷!$M:$M,,1,2),NA())</f>
        <v>#N/A</v>
      </c>
      <c r="F241" s="70">
        <f t="shared" si="9"/>
        <v>158.33333333333331</v>
      </c>
    </row>
    <row r="242" spans="1:6" ht="15" customHeight="1" x14ac:dyDescent="0.25">
      <c r="A242" s="95">
        <f t="shared" si="11"/>
        <v>44178</v>
      </c>
      <c r="B242" s="76">
        <f>IF(ISNUMBER(_xlfn.XLOOKUP(A242,鑽量!$A:$A,鑽量!$K:$K,,1,2)),_xlfn.XLOOKUP(A242,鑽量!$A:$A,鑽量!$K:$K,,1,2),NA())</f>
        <v>9810</v>
      </c>
      <c r="C242" s="417">
        <f t="shared" si="10"/>
        <v>81.75</v>
      </c>
      <c r="D242" s="417">
        <f>IF(ISNUMBER(_xlfn.XLOOKUP(A242,抽卷!$A:$A,抽卷!$K:$K,,1,2)),_xlfn.XLOOKUP(A242,抽卷!$A:$A,抽卷!$K:$K,,1,2),NA())</f>
        <v>77</v>
      </c>
      <c r="E242" s="417" t="e">
        <f>IF(ISNUMBER(_xlfn.XLOOKUP(A242,抽卷!$A:$A,抽卷!$M:$M,,1,2)),_xlfn.XLOOKUP(A242,抽卷!$A:$A,抽卷!$M:$M,,1,2),NA())</f>
        <v>#N/A</v>
      </c>
      <c r="F242" s="70">
        <f t="shared" si="9"/>
        <v>158.75</v>
      </c>
    </row>
    <row r="243" spans="1:6" ht="15" customHeight="1" x14ac:dyDescent="0.25">
      <c r="A243" s="95">
        <f t="shared" si="11"/>
        <v>44179</v>
      </c>
      <c r="B243" s="76">
        <f>IF(ISNUMBER(_xlfn.XLOOKUP(A243,鑽量!$A:$A,鑽量!$K:$K,,1,2)),_xlfn.XLOOKUP(A243,鑽量!$A:$A,鑽量!$K:$K,,1,2),NA())</f>
        <v>10555</v>
      </c>
      <c r="C243" s="417">
        <f t="shared" si="10"/>
        <v>87.958333333333329</v>
      </c>
      <c r="D243" s="417">
        <f>IF(ISNUMBER(_xlfn.XLOOKUP(A243,抽卷!$A:$A,抽卷!$K:$K,,1,2)),_xlfn.XLOOKUP(A243,抽卷!$A:$A,抽卷!$K:$K,,1,2),NA())</f>
        <v>78</v>
      </c>
      <c r="E243" s="417" t="e">
        <f>IF(ISNUMBER(_xlfn.XLOOKUP(A243,抽卷!$A:$A,抽卷!$M:$M,,1,2)),_xlfn.XLOOKUP(A243,抽卷!$A:$A,抽卷!$M:$M,,1,2),NA())</f>
        <v>#N/A</v>
      </c>
      <c r="F243" s="70">
        <f t="shared" si="9"/>
        <v>165.95833333333331</v>
      </c>
    </row>
    <row r="244" spans="1:6" ht="15" customHeight="1" x14ac:dyDescent="0.25">
      <c r="A244" s="95">
        <f t="shared" si="11"/>
        <v>44180</v>
      </c>
      <c r="B244" s="76">
        <f>IF(ISNUMBER(_xlfn.XLOOKUP(A244,鑽量!$A:$A,鑽量!$K:$K,,1,2)),_xlfn.XLOOKUP(A244,鑽量!$A:$A,鑽量!$K:$K,,1,2),NA())</f>
        <v>10565</v>
      </c>
      <c r="C244" s="417">
        <f t="shared" si="10"/>
        <v>88.041666666666671</v>
      </c>
      <c r="D244" s="417">
        <f>IF(ISNUMBER(_xlfn.XLOOKUP(A244,抽卷!$A:$A,抽卷!$K:$K,,1,2)),_xlfn.XLOOKUP(A244,抽卷!$A:$A,抽卷!$K:$K,,1,2),NA())</f>
        <v>74</v>
      </c>
      <c r="E244" s="417" t="e">
        <f>IF(ISNUMBER(_xlfn.XLOOKUP(A244,抽卷!$A:$A,抽卷!$M:$M,,1,2)),_xlfn.XLOOKUP(A244,抽卷!$A:$A,抽卷!$M:$M,,1,2),NA())</f>
        <v>#N/A</v>
      </c>
      <c r="F244" s="70">
        <f t="shared" si="9"/>
        <v>162.04166666666669</v>
      </c>
    </row>
    <row r="245" spans="1:6" ht="15" customHeight="1" x14ac:dyDescent="0.25">
      <c r="A245" s="95">
        <f t="shared" si="11"/>
        <v>44181</v>
      </c>
      <c r="B245" s="76">
        <f>IF(ISNUMBER(_xlfn.XLOOKUP(A245,鑽量!$A:$A,鑽量!$K:$K,,1,2)),_xlfn.XLOOKUP(A245,鑽量!$A:$A,鑽量!$K:$K,,1,2),NA())</f>
        <v>12035</v>
      </c>
      <c r="C245" s="417">
        <f t="shared" si="10"/>
        <v>100.29166666666667</v>
      </c>
      <c r="D245" s="417">
        <f>IF(ISNUMBER(_xlfn.XLOOKUP(A245,抽卷!$A:$A,抽卷!$K:$K,,1,2)),_xlfn.XLOOKUP(A245,抽卷!$A:$A,抽卷!$K:$K,,1,2),NA())</f>
        <v>75</v>
      </c>
      <c r="E245" s="417" t="e">
        <f>IF(ISNUMBER(_xlfn.XLOOKUP(A245,抽卷!$A:$A,抽卷!$M:$M,,1,2)),_xlfn.XLOOKUP(A245,抽卷!$A:$A,抽卷!$M:$M,,1,2),NA())</f>
        <v>#N/A</v>
      </c>
      <c r="F245" s="70">
        <f t="shared" si="9"/>
        <v>175.29166666666669</v>
      </c>
    </row>
    <row r="246" spans="1:6" ht="15" customHeight="1" x14ac:dyDescent="0.25">
      <c r="A246" s="95">
        <f t="shared" si="11"/>
        <v>44182</v>
      </c>
      <c r="B246" s="76">
        <f>IF(ISNUMBER(_xlfn.XLOOKUP(A246,鑽量!$A:$A,鑽量!$K:$K,,1,2)),_xlfn.XLOOKUP(A246,鑽量!$A:$A,鑽量!$K:$K,,1,2),NA())</f>
        <v>11330</v>
      </c>
      <c r="C246" s="417">
        <f t="shared" si="10"/>
        <v>94.416666666666671</v>
      </c>
      <c r="D246" s="417">
        <f>IF(ISNUMBER(_xlfn.XLOOKUP(A246,抽卷!$A:$A,抽卷!$K:$K,,1,2)),_xlfn.XLOOKUP(A246,抽卷!$A:$A,抽卷!$K:$K,,1,2),NA())</f>
        <v>59</v>
      </c>
      <c r="E246" s="417" t="e">
        <f>IF(ISNUMBER(_xlfn.XLOOKUP(A246,抽卷!$A:$A,抽卷!$M:$M,,1,2)),_xlfn.XLOOKUP(A246,抽卷!$A:$A,抽卷!$M:$M,,1,2),NA())</f>
        <v>#N/A</v>
      </c>
      <c r="F246" s="70">
        <f t="shared" si="9"/>
        <v>153.41666666666669</v>
      </c>
    </row>
    <row r="247" spans="1:6" ht="15" customHeight="1" x14ac:dyDescent="0.25">
      <c r="A247" s="95">
        <f t="shared" si="11"/>
        <v>44183</v>
      </c>
      <c r="B247" s="76">
        <f>IF(ISNUMBER(_xlfn.XLOOKUP(A247,鑽量!$A:$A,鑽量!$K:$K,,1,2)),_xlfn.XLOOKUP(A247,鑽量!$A:$A,鑽量!$K:$K,,1,2),NA())</f>
        <v>11460</v>
      </c>
      <c r="C247" s="417">
        <f t="shared" si="10"/>
        <v>95.5</v>
      </c>
      <c r="D247" s="417">
        <f>IF(ISNUMBER(_xlfn.XLOOKUP(A247,抽卷!$A:$A,抽卷!$K:$K,,1,2)),_xlfn.XLOOKUP(A247,抽卷!$A:$A,抽卷!$K:$K,,1,2),NA())</f>
        <v>60</v>
      </c>
      <c r="E247" s="417" t="e">
        <f>IF(ISNUMBER(_xlfn.XLOOKUP(A247,抽卷!$A:$A,抽卷!$M:$M,,1,2)),_xlfn.XLOOKUP(A247,抽卷!$A:$A,抽卷!$M:$M,,1,2),NA())</f>
        <v>#N/A</v>
      </c>
      <c r="F247" s="70">
        <f t="shared" si="9"/>
        <v>155.5</v>
      </c>
    </row>
    <row r="248" spans="1:6" ht="15" customHeight="1" x14ac:dyDescent="0.25">
      <c r="A248" s="95">
        <f t="shared" si="11"/>
        <v>44184</v>
      </c>
      <c r="B248" s="76">
        <f>IF(ISNUMBER(_xlfn.XLOOKUP(A248,鑽量!$A:$A,鑽量!$K:$K,,1,2)),_xlfn.XLOOKUP(A248,鑽量!$A:$A,鑽量!$K:$K,,1,2),NA())</f>
        <v>12000</v>
      </c>
      <c r="C248" s="417">
        <f t="shared" si="10"/>
        <v>100</v>
      </c>
      <c r="D248" s="417">
        <f>IF(ISNUMBER(_xlfn.XLOOKUP(A248,抽卷!$A:$A,抽卷!$K:$K,,1,2)),_xlfn.XLOOKUP(A248,抽卷!$A:$A,抽卷!$K:$K,,1,2),NA())</f>
        <v>61</v>
      </c>
      <c r="E248" s="417" t="e">
        <f>IF(ISNUMBER(_xlfn.XLOOKUP(A248,抽卷!$A:$A,抽卷!$M:$M,,1,2)),_xlfn.XLOOKUP(A248,抽卷!$A:$A,抽卷!$M:$M,,1,2),NA())</f>
        <v>#N/A</v>
      </c>
      <c r="F248" s="70">
        <f t="shared" si="9"/>
        <v>161</v>
      </c>
    </row>
    <row r="249" spans="1:6" ht="15" customHeight="1" x14ac:dyDescent="0.25">
      <c r="A249" s="95">
        <f t="shared" si="11"/>
        <v>44185</v>
      </c>
      <c r="B249" s="76">
        <f>IF(ISNUMBER(_xlfn.XLOOKUP(A249,鑽量!$A:$A,鑽量!$K:$K,,1,2)),_xlfn.XLOOKUP(A249,鑽量!$A:$A,鑽量!$K:$K,,1,2),NA())</f>
        <v>11855</v>
      </c>
      <c r="C249" s="417">
        <f t="shared" si="10"/>
        <v>98.791666666666671</v>
      </c>
      <c r="D249" s="417">
        <f>IF(ISNUMBER(_xlfn.XLOOKUP(A249,抽卷!$A:$A,抽卷!$K:$K,,1,2)),_xlfn.XLOOKUP(A249,抽卷!$A:$A,抽卷!$K:$K,,1,2),NA())</f>
        <v>59</v>
      </c>
      <c r="E249" s="417" t="e">
        <f>IF(ISNUMBER(_xlfn.XLOOKUP(A249,抽卷!$A:$A,抽卷!$M:$M,,1,2)),_xlfn.XLOOKUP(A249,抽卷!$A:$A,抽卷!$M:$M,,1,2),NA())</f>
        <v>#N/A</v>
      </c>
      <c r="F249" s="70">
        <f t="shared" si="9"/>
        <v>157.79166666666669</v>
      </c>
    </row>
    <row r="250" spans="1:6" ht="15" customHeight="1" x14ac:dyDescent="0.25">
      <c r="A250" s="95">
        <f t="shared" si="11"/>
        <v>44186</v>
      </c>
      <c r="B250" s="76">
        <f>IF(ISNUMBER(_xlfn.XLOOKUP(A250,鑽量!$A:$A,鑽量!$K:$K,,1,2)),_xlfn.XLOOKUP(A250,鑽量!$A:$A,鑽量!$K:$K,,1,2),NA())</f>
        <v>12905</v>
      </c>
      <c r="C250" s="417">
        <f t="shared" si="10"/>
        <v>107.54166666666667</v>
      </c>
      <c r="D250" s="417">
        <f>IF(ISNUMBER(_xlfn.XLOOKUP(A250,抽卷!$A:$A,抽卷!$K:$K,,1,2)),_xlfn.XLOOKUP(A250,抽卷!$A:$A,抽卷!$K:$K,,1,2),NA())</f>
        <v>65</v>
      </c>
      <c r="E250" s="417" t="e">
        <f>IF(ISNUMBER(_xlfn.XLOOKUP(A250,抽卷!$A:$A,抽卷!$M:$M,,1,2)),_xlfn.XLOOKUP(A250,抽卷!$A:$A,抽卷!$M:$M,,1,2),NA())</f>
        <v>#N/A</v>
      </c>
      <c r="F250" s="70">
        <f t="shared" si="9"/>
        <v>172.54166666666669</v>
      </c>
    </row>
    <row r="251" spans="1:6" ht="15" customHeight="1" x14ac:dyDescent="0.25">
      <c r="A251" s="95">
        <f t="shared" si="11"/>
        <v>44187</v>
      </c>
      <c r="B251" s="76">
        <f>IF(ISNUMBER(_xlfn.XLOOKUP(A251,鑽量!$A:$A,鑽量!$K:$K,,1,2)),_xlfn.XLOOKUP(A251,鑽量!$A:$A,鑽量!$K:$K,,1,2),NA())</f>
        <v>12590</v>
      </c>
      <c r="C251" s="417">
        <f t="shared" si="10"/>
        <v>104.91666666666667</v>
      </c>
      <c r="D251" s="417">
        <f>IF(ISNUMBER(_xlfn.XLOOKUP(A251,抽卷!$A:$A,抽卷!$K:$K,,1,2)),_xlfn.XLOOKUP(A251,抽卷!$A:$A,抽卷!$K:$K,,1,2),NA())</f>
        <v>76</v>
      </c>
      <c r="E251" s="417" t="e">
        <f>IF(ISNUMBER(_xlfn.XLOOKUP(A251,抽卷!$A:$A,抽卷!$M:$M,,1,2)),_xlfn.XLOOKUP(A251,抽卷!$A:$A,抽卷!$M:$M,,1,2),NA())</f>
        <v>#N/A</v>
      </c>
      <c r="F251" s="70">
        <f t="shared" ref="F251:F314" si="12">IF(ISNA(E251),IF(ISNA(D251),C251,C251+D251),E251+D251+C251)</f>
        <v>180.91666666666669</v>
      </c>
    </row>
    <row r="252" spans="1:6" ht="15" customHeight="1" x14ac:dyDescent="0.25">
      <c r="A252" s="95">
        <f t="shared" si="11"/>
        <v>44188</v>
      </c>
      <c r="B252" s="76">
        <f>IF(ISNUMBER(_xlfn.XLOOKUP(A252,鑽量!$A:$A,鑽量!$K:$K,,1,2)),_xlfn.XLOOKUP(A252,鑽量!$A:$A,鑽量!$K:$K,,1,2),NA())</f>
        <v>12825</v>
      </c>
      <c r="C252" s="417">
        <f t="shared" si="10"/>
        <v>106.875</v>
      </c>
      <c r="D252" s="417">
        <f>IF(ISNUMBER(_xlfn.XLOOKUP(A252,抽卷!$A:$A,抽卷!$K:$K,,1,2)),_xlfn.XLOOKUP(A252,抽卷!$A:$A,抽卷!$K:$K,,1,2),NA())</f>
        <v>76</v>
      </c>
      <c r="E252" s="417" t="e">
        <f>IF(ISNUMBER(_xlfn.XLOOKUP(A252,抽卷!$A:$A,抽卷!$M:$M,,1,2)),_xlfn.XLOOKUP(A252,抽卷!$A:$A,抽卷!$M:$M,,1,2),NA())</f>
        <v>#N/A</v>
      </c>
      <c r="F252" s="70">
        <f t="shared" si="12"/>
        <v>182.875</v>
      </c>
    </row>
    <row r="253" spans="1:6" ht="15" customHeight="1" x14ac:dyDescent="0.25">
      <c r="A253" s="95">
        <f t="shared" si="11"/>
        <v>44189</v>
      </c>
      <c r="B253" s="76">
        <f>IF(ISNUMBER(_xlfn.XLOOKUP(A253,鑽量!$A:$A,鑽量!$K:$K,,1,2)),_xlfn.XLOOKUP(A253,鑽量!$A:$A,鑽量!$K:$K,,1,2),NA())</f>
        <v>12735</v>
      </c>
      <c r="C253" s="417">
        <f t="shared" si="10"/>
        <v>106.125</v>
      </c>
      <c r="D253" s="417">
        <f>IF(ISNUMBER(_xlfn.XLOOKUP(A253,抽卷!$A:$A,抽卷!$K:$K,,1,2)),_xlfn.XLOOKUP(A253,抽卷!$A:$A,抽卷!$K:$K,,1,2),NA())</f>
        <v>88</v>
      </c>
      <c r="E253" s="417" t="e">
        <f>IF(ISNUMBER(_xlfn.XLOOKUP(A253,抽卷!$A:$A,抽卷!$M:$M,,1,2)),_xlfn.XLOOKUP(A253,抽卷!$A:$A,抽卷!$M:$M,,1,2),NA())</f>
        <v>#N/A</v>
      </c>
      <c r="F253" s="70">
        <f t="shared" si="12"/>
        <v>194.125</v>
      </c>
    </row>
    <row r="254" spans="1:6" ht="15" customHeight="1" x14ac:dyDescent="0.25">
      <c r="A254" s="95">
        <f t="shared" si="11"/>
        <v>44190</v>
      </c>
      <c r="B254" s="76">
        <f>IF(ISNUMBER(_xlfn.XLOOKUP(A254,鑽量!$A:$A,鑽量!$K:$K,,1,2)),_xlfn.XLOOKUP(A254,鑽量!$A:$A,鑽量!$K:$K,,1,2),NA())</f>
        <v>14645</v>
      </c>
      <c r="C254" s="417">
        <f t="shared" si="10"/>
        <v>122.04166666666667</v>
      </c>
      <c r="D254" s="417">
        <f>IF(ISNUMBER(_xlfn.XLOOKUP(A254,抽卷!$A:$A,抽卷!$K:$K,,1,2)),_xlfn.XLOOKUP(A254,抽卷!$A:$A,抽卷!$K:$K,,1,2),NA())</f>
        <v>88</v>
      </c>
      <c r="E254" s="417" t="e">
        <f>IF(ISNUMBER(_xlfn.XLOOKUP(A254,抽卷!$A:$A,抽卷!$M:$M,,1,2)),_xlfn.XLOOKUP(A254,抽卷!$A:$A,抽卷!$M:$M,,1,2),NA())</f>
        <v>#N/A</v>
      </c>
      <c r="F254" s="70">
        <f t="shared" si="12"/>
        <v>210.04166666666669</v>
      </c>
    </row>
    <row r="255" spans="1:6" ht="15" customHeight="1" x14ac:dyDescent="0.25">
      <c r="A255" s="95">
        <f t="shared" si="11"/>
        <v>44191</v>
      </c>
      <c r="B255" s="76">
        <f>IF(ISNUMBER(_xlfn.XLOOKUP(A255,鑽量!$A:$A,鑽量!$K:$K,,1,2)),_xlfn.XLOOKUP(A255,鑽量!$A:$A,鑽量!$K:$K,,1,2),NA())</f>
        <v>14060</v>
      </c>
      <c r="C255" s="417">
        <f t="shared" si="10"/>
        <v>117.16666666666667</v>
      </c>
      <c r="D255" s="417">
        <f>IF(ISNUMBER(_xlfn.XLOOKUP(A255,抽卷!$A:$A,抽卷!$K:$K,,1,2)),_xlfn.XLOOKUP(A255,抽卷!$A:$A,抽卷!$K:$K,,1,2),NA())</f>
        <v>78</v>
      </c>
      <c r="E255" s="417" t="e">
        <f>IF(ISNUMBER(_xlfn.XLOOKUP(A255,抽卷!$A:$A,抽卷!$M:$M,,1,2)),_xlfn.XLOOKUP(A255,抽卷!$A:$A,抽卷!$M:$M,,1,2),NA())</f>
        <v>#N/A</v>
      </c>
      <c r="F255" s="70">
        <f t="shared" si="12"/>
        <v>195.16666666666669</v>
      </c>
    </row>
    <row r="256" spans="1:6" ht="15" customHeight="1" x14ac:dyDescent="0.25">
      <c r="A256" s="95">
        <f t="shared" si="11"/>
        <v>44192</v>
      </c>
      <c r="B256" s="76">
        <f>IF(ISNUMBER(_xlfn.XLOOKUP(A256,鑽量!$A:$A,鑽量!$K:$K,,1,2)),_xlfn.XLOOKUP(A256,鑽量!$A:$A,鑽量!$K:$K,,1,2),NA())</f>
        <v>14060</v>
      </c>
      <c r="C256" s="417">
        <f t="shared" si="10"/>
        <v>117.16666666666667</v>
      </c>
      <c r="D256" s="417">
        <f>IF(ISNUMBER(_xlfn.XLOOKUP(A256,抽卷!$A:$A,抽卷!$K:$K,,1,2)),_xlfn.XLOOKUP(A256,抽卷!$A:$A,抽卷!$K:$K,,1,2),NA())</f>
        <v>78</v>
      </c>
      <c r="E256" s="417" t="e">
        <f>IF(ISNUMBER(_xlfn.XLOOKUP(A256,抽卷!$A:$A,抽卷!$M:$M,,1,2)),_xlfn.XLOOKUP(A256,抽卷!$A:$A,抽卷!$M:$M,,1,2),NA())</f>
        <v>#N/A</v>
      </c>
      <c r="F256" s="70">
        <f t="shared" si="12"/>
        <v>195.16666666666669</v>
      </c>
    </row>
    <row r="257" spans="1:6" ht="15" customHeight="1" x14ac:dyDescent="0.25">
      <c r="A257" s="95">
        <f t="shared" si="11"/>
        <v>44193</v>
      </c>
      <c r="B257" s="76">
        <f>IF(ISNUMBER(_xlfn.XLOOKUP(A257,鑽量!$A:$A,鑽量!$K:$K,,1,2)),_xlfn.XLOOKUP(A257,鑽量!$A:$A,鑽量!$K:$K,,1,2),NA())</f>
        <v>13755</v>
      </c>
      <c r="C257" s="417">
        <f t="shared" si="10"/>
        <v>114.625</v>
      </c>
      <c r="D257" s="417">
        <f>IF(ISNUMBER(_xlfn.XLOOKUP(A257,抽卷!$A:$A,抽卷!$K:$K,,1,2)),_xlfn.XLOOKUP(A257,抽卷!$A:$A,抽卷!$K:$K,,1,2),NA())</f>
        <v>73</v>
      </c>
      <c r="E257" s="417" t="e">
        <f>IF(ISNUMBER(_xlfn.XLOOKUP(A257,抽卷!$A:$A,抽卷!$M:$M,,1,2)),_xlfn.XLOOKUP(A257,抽卷!$A:$A,抽卷!$M:$M,,1,2),NA())</f>
        <v>#N/A</v>
      </c>
      <c r="F257" s="70">
        <f t="shared" si="12"/>
        <v>187.625</v>
      </c>
    </row>
    <row r="258" spans="1:6" ht="15" customHeight="1" x14ac:dyDescent="0.25">
      <c r="A258" s="95">
        <f t="shared" si="11"/>
        <v>44194</v>
      </c>
      <c r="B258" s="76">
        <f>IF(ISNUMBER(_xlfn.XLOOKUP(A258,鑽量!$A:$A,鑽量!$K:$K,,1,2)),_xlfn.XLOOKUP(A258,鑽量!$A:$A,鑽量!$K:$K,,1,2),NA())</f>
        <v>13305</v>
      </c>
      <c r="C258" s="417">
        <f t="shared" ref="C258:C302" si="13">B258/120</f>
        <v>110.875</v>
      </c>
      <c r="D258" s="417">
        <f>IF(ISNUMBER(_xlfn.XLOOKUP(A258,抽卷!$A:$A,抽卷!$K:$K,,1,2)),_xlfn.XLOOKUP(A258,抽卷!$A:$A,抽卷!$K:$K,,1,2),NA())</f>
        <v>78</v>
      </c>
      <c r="E258" s="417" t="e">
        <f>IF(ISNUMBER(_xlfn.XLOOKUP(A258,抽卷!$A:$A,抽卷!$M:$M,,1,2)),_xlfn.XLOOKUP(A258,抽卷!$A:$A,抽卷!$M:$M,,1,2),NA())</f>
        <v>#N/A</v>
      </c>
      <c r="F258" s="70">
        <f t="shared" si="12"/>
        <v>188.875</v>
      </c>
    </row>
    <row r="259" spans="1:6" ht="15" customHeight="1" x14ac:dyDescent="0.25">
      <c r="A259" s="95">
        <f t="shared" si="11"/>
        <v>44195</v>
      </c>
      <c r="B259" s="76">
        <f>IF(ISNUMBER(_xlfn.XLOOKUP(A259,鑽量!$A:$A,鑽量!$K:$K,,1,2)),_xlfn.XLOOKUP(A259,鑽量!$A:$A,鑽量!$K:$K,,1,2),NA())</f>
        <v>12730</v>
      </c>
      <c r="C259" s="417">
        <f t="shared" si="13"/>
        <v>106.08333333333333</v>
      </c>
      <c r="D259" s="417">
        <f>IF(ISNUMBER(_xlfn.XLOOKUP(A259,抽卷!$A:$A,抽卷!$K:$K,,1,2)),_xlfn.XLOOKUP(A259,抽卷!$A:$A,抽卷!$K:$K,,1,2),NA())</f>
        <v>61</v>
      </c>
      <c r="E259" s="417" t="e">
        <f>IF(ISNUMBER(_xlfn.XLOOKUP(A259,抽卷!$A:$A,抽卷!$M:$M,,1,2)),_xlfn.XLOOKUP(A259,抽卷!$A:$A,抽卷!$M:$M,,1,2),NA())</f>
        <v>#N/A</v>
      </c>
      <c r="F259" s="70">
        <f t="shared" si="12"/>
        <v>167.08333333333331</v>
      </c>
    </row>
    <row r="260" spans="1:6" ht="15" customHeight="1" x14ac:dyDescent="0.25">
      <c r="A260" s="95">
        <f t="shared" si="11"/>
        <v>44196</v>
      </c>
      <c r="B260" s="76">
        <f>IF(ISNUMBER(_xlfn.XLOOKUP(A260,鑽量!$A:$A,鑽量!$K:$K,,1,2)),_xlfn.XLOOKUP(A260,鑽量!$A:$A,鑽量!$K:$K,,1,2),NA())</f>
        <v>12730</v>
      </c>
      <c r="C260" s="417">
        <f t="shared" si="13"/>
        <v>106.08333333333333</v>
      </c>
      <c r="D260" s="417">
        <f>IF(ISNUMBER(_xlfn.XLOOKUP(A260,抽卷!$A:$A,抽卷!$K:$K,,1,2)),_xlfn.XLOOKUP(A260,抽卷!$A:$A,抽卷!$K:$K,,1,2),NA())</f>
        <v>61</v>
      </c>
      <c r="E260" s="417" t="e">
        <f>IF(ISNUMBER(_xlfn.XLOOKUP(A260,抽卷!$A:$A,抽卷!$M:$M,,1,2)),_xlfn.XLOOKUP(A260,抽卷!$A:$A,抽卷!$M:$M,,1,2),NA())</f>
        <v>#N/A</v>
      </c>
      <c r="F260" s="70">
        <f t="shared" si="12"/>
        <v>167.08333333333331</v>
      </c>
    </row>
    <row r="261" spans="1:6" ht="15" customHeight="1" x14ac:dyDescent="0.25">
      <c r="A261" s="95">
        <f t="shared" si="11"/>
        <v>44197</v>
      </c>
      <c r="B261" s="76">
        <f>IF(ISNUMBER(_xlfn.XLOOKUP(A261,鑽量!$A:$A,鑽量!$K:$K,,1,2)),_xlfn.XLOOKUP(A261,鑽量!$A:$A,鑽量!$K:$K,,1,2),NA())</f>
        <v>14635</v>
      </c>
      <c r="C261" s="417">
        <f t="shared" si="13"/>
        <v>121.95833333333333</v>
      </c>
      <c r="D261" s="417">
        <f>IF(ISNUMBER(_xlfn.XLOOKUP(A261,抽卷!$A:$A,抽卷!$K:$K,,1,2)),_xlfn.XLOOKUP(A261,抽卷!$A:$A,抽卷!$K:$K,,1,2),NA())</f>
        <v>109</v>
      </c>
      <c r="E261" s="417" t="e">
        <f>IF(ISNUMBER(_xlfn.XLOOKUP(A261,抽卷!$A:$A,抽卷!$M:$M,,1,2)),_xlfn.XLOOKUP(A261,抽卷!$A:$A,抽卷!$M:$M,,1,2),NA())</f>
        <v>#N/A</v>
      </c>
      <c r="F261" s="70">
        <f t="shared" si="12"/>
        <v>230.95833333333331</v>
      </c>
    </row>
    <row r="262" spans="1:6" ht="15" customHeight="1" x14ac:dyDescent="0.25">
      <c r="A262" s="95">
        <f t="shared" ref="A262:A325" si="14">A261+1</f>
        <v>44198</v>
      </c>
      <c r="B262" s="76">
        <f>IF(ISNUMBER(_xlfn.XLOOKUP(A262,鑽量!$A:$A,鑽量!$K:$K,,1,2)),_xlfn.XLOOKUP(A262,鑽量!$A:$A,鑽量!$K:$K,,1,2),NA())</f>
        <v>14185</v>
      </c>
      <c r="C262" s="417">
        <f t="shared" si="13"/>
        <v>118.20833333333333</v>
      </c>
      <c r="D262" s="417">
        <f>IF(ISNUMBER(_xlfn.XLOOKUP(A262,抽卷!$A:$A,抽卷!$K:$K,,1,2)),_xlfn.XLOOKUP(A262,抽卷!$A:$A,抽卷!$K:$K,,1,2),NA())</f>
        <v>101</v>
      </c>
      <c r="E262" s="417" t="e">
        <f>IF(ISNUMBER(_xlfn.XLOOKUP(A262,抽卷!$A:$A,抽卷!$M:$M,,1,2)),_xlfn.XLOOKUP(A262,抽卷!$A:$A,抽卷!$M:$M,,1,2),NA())</f>
        <v>#N/A</v>
      </c>
      <c r="F262" s="70">
        <f t="shared" si="12"/>
        <v>219.20833333333331</v>
      </c>
    </row>
    <row r="263" spans="1:6" ht="15" customHeight="1" x14ac:dyDescent="0.25">
      <c r="A263" s="95">
        <f t="shared" si="14"/>
        <v>44199</v>
      </c>
      <c r="B263" s="76">
        <f>IF(ISNUMBER(_xlfn.XLOOKUP(A263,鑽量!$A:$A,鑽量!$K:$K,,1,2)),_xlfn.XLOOKUP(A263,鑽量!$A:$A,鑽量!$K:$K,,1,2),NA())</f>
        <v>14185</v>
      </c>
      <c r="C263" s="417">
        <f t="shared" si="13"/>
        <v>118.20833333333333</v>
      </c>
      <c r="D263" s="417">
        <f>IF(ISNUMBER(_xlfn.XLOOKUP(A263,抽卷!$A:$A,抽卷!$K:$K,,1,2)),_xlfn.XLOOKUP(A263,抽卷!$A:$A,抽卷!$K:$K,,1,2),NA())</f>
        <v>101</v>
      </c>
      <c r="E263" s="417" t="e">
        <f>IF(ISNUMBER(_xlfn.XLOOKUP(A263,抽卷!$A:$A,抽卷!$M:$M,,1,2)),_xlfn.XLOOKUP(A263,抽卷!$A:$A,抽卷!$M:$M,,1,2),NA())</f>
        <v>#N/A</v>
      </c>
      <c r="F263" s="70">
        <f t="shared" si="12"/>
        <v>219.20833333333331</v>
      </c>
    </row>
    <row r="264" spans="1:6" ht="15" customHeight="1" x14ac:dyDescent="0.25">
      <c r="A264" s="95">
        <f t="shared" si="14"/>
        <v>44200</v>
      </c>
      <c r="B264" s="76">
        <f>IF(ISNUMBER(_xlfn.XLOOKUP(A264,鑽量!$A:$A,鑽量!$K:$K,,1,2)),_xlfn.XLOOKUP(A264,鑽量!$A:$A,鑽量!$K:$K,,1,2),NA())</f>
        <v>12085</v>
      </c>
      <c r="C264" s="417">
        <f t="shared" si="13"/>
        <v>100.70833333333333</v>
      </c>
      <c r="D264" s="417">
        <f>IF(ISNUMBER(_xlfn.XLOOKUP(A264,抽卷!$A:$A,抽卷!$K:$K,,1,2)),_xlfn.XLOOKUP(A264,抽卷!$A:$A,抽卷!$K:$K,,1,2),NA())</f>
        <v>111</v>
      </c>
      <c r="E264" s="417" t="e">
        <f>IF(ISNUMBER(_xlfn.XLOOKUP(A264,抽卷!$A:$A,抽卷!$M:$M,,1,2)),_xlfn.XLOOKUP(A264,抽卷!$A:$A,抽卷!$M:$M,,1,2),NA())</f>
        <v>#N/A</v>
      </c>
      <c r="F264" s="70">
        <f t="shared" si="12"/>
        <v>211.70833333333331</v>
      </c>
    </row>
    <row r="265" spans="1:6" ht="15" customHeight="1" x14ac:dyDescent="0.25">
      <c r="A265" s="95">
        <f t="shared" si="14"/>
        <v>44201</v>
      </c>
      <c r="B265" s="76">
        <f>IF(ISNUMBER(_xlfn.XLOOKUP(A265,鑽量!$A:$A,鑽量!$K:$K,,1,2)),_xlfn.XLOOKUP(A265,鑽量!$A:$A,鑽量!$K:$K,,1,2),NA())</f>
        <v>12085</v>
      </c>
      <c r="C265" s="417">
        <f t="shared" si="13"/>
        <v>100.70833333333333</v>
      </c>
      <c r="D265" s="417">
        <f>IF(ISNUMBER(_xlfn.XLOOKUP(A265,抽卷!$A:$A,抽卷!$K:$K,,1,2)),_xlfn.XLOOKUP(A265,抽卷!$A:$A,抽卷!$K:$K,,1,2),NA())</f>
        <v>111</v>
      </c>
      <c r="E265" s="417" t="e">
        <f>IF(ISNUMBER(_xlfn.XLOOKUP(A265,抽卷!$A:$A,抽卷!$M:$M,,1,2)),_xlfn.XLOOKUP(A265,抽卷!$A:$A,抽卷!$M:$M,,1,2),NA())</f>
        <v>#N/A</v>
      </c>
      <c r="F265" s="70">
        <f t="shared" si="12"/>
        <v>211.70833333333331</v>
      </c>
    </row>
    <row r="266" spans="1:6" ht="15" customHeight="1" x14ac:dyDescent="0.25">
      <c r="A266" s="95">
        <f t="shared" si="14"/>
        <v>44202</v>
      </c>
      <c r="B266" s="76">
        <f>IF(ISNUMBER(_xlfn.XLOOKUP(A266,鑽量!$A:$A,鑽量!$K:$K,,1,2)),_xlfn.XLOOKUP(A266,鑽量!$A:$A,鑽量!$K:$K,,1,2),NA())</f>
        <v>12360</v>
      </c>
      <c r="C266" s="417">
        <f t="shared" si="13"/>
        <v>103</v>
      </c>
      <c r="D266" s="417">
        <f>IF(ISNUMBER(_xlfn.XLOOKUP(A266,抽卷!$A:$A,抽卷!$K:$K,,1,2)),_xlfn.XLOOKUP(A266,抽卷!$A:$A,抽卷!$K:$K,,1,2),NA())</f>
        <v>111</v>
      </c>
      <c r="E266" s="417" t="e">
        <f>IF(ISNUMBER(_xlfn.XLOOKUP(A266,抽卷!$A:$A,抽卷!$M:$M,,1,2)),_xlfn.XLOOKUP(A266,抽卷!$A:$A,抽卷!$M:$M,,1,2),NA())</f>
        <v>#N/A</v>
      </c>
      <c r="F266" s="70">
        <f t="shared" si="12"/>
        <v>214</v>
      </c>
    </row>
    <row r="267" spans="1:6" ht="15" customHeight="1" x14ac:dyDescent="0.25">
      <c r="A267" s="95">
        <f t="shared" si="14"/>
        <v>44203</v>
      </c>
      <c r="B267" s="76">
        <f>IF(ISNUMBER(_xlfn.XLOOKUP(A267,鑽量!$A:$A,鑽量!$K:$K,,1,2)),_xlfn.XLOOKUP(A267,鑽量!$A:$A,鑽量!$K:$K,,1,2),NA())</f>
        <v>12785</v>
      </c>
      <c r="C267" s="417">
        <f t="shared" si="13"/>
        <v>106.54166666666667</v>
      </c>
      <c r="D267" s="417">
        <f>IF(ISNUMBER(_xlfn.XLOOKUP(A267,抽卷!$A:$A,抽卷!$K:$K,,1,2)),_xlfn.XLOOKUP(A267,抽卷!$A:$A,抽卷!$K:$K,,1,2),NA())</f>
        <v>111</v>
      </c>
      <c r="E267" s="417" t="e">
        <f>IF(ISNUMBER(_xlfn.XLOOKUP(A267,抽卷!$A:$A,抽卷!$M:$M,,1,2)),_xlfn.XLOOKUP(A267,抽卷!$A:$A,抽卷!$M:$M,,1,2),NA())</f>
        <v>#N/A</v>
      </c>
      <c r="F267" s="70">
        <f t="shared" si="12"/>
        <v>217.54166666666669</v>
      </c>
    </row>
    <row r="268" spans="1:6" ht="15" customHeight="1" x14ac:dyDescent="0.25">
      <c r="A268" s="95">
        <f t="shared" si="14"/>
        <v>44204</v>
      </c>
      <c r="B268" s="76">
        <f>IF(ISNUMBER(_xlfn.XLOOKUP(A268,鑽量!$A:$A,鑽量!$K:$K,,1,2)),_xlfn.XLOOKUP(A268,鑽量!$A:$A,鑽量!$K:$K,,1,2),NA())</f>
        <v>12735</v>
      </c>
      <c r="C268" s="417">
        <f t="shared" si="13"/>
        <v>106.125</v>
      </c>
      <c r="D268" s="417">
        <f>IF(ISNUMBER(_xlfn.XLOOKUP(A268,抽卷!$A:$A,抽卷!$K:$K,,1,2)),_xlfn.XLOOKUP(A268,抽卷!$A:$A,抽卷!$K:$K,,1,2),NA())</f>
        <v>111</v>
      </c>
      <c r="E268" s="417" t="e">
        <f>IF(ISNUMBER(_xlfn.XLOOKUP(A268,抽卷!$A:$A,抽卷!$M:$M,,1,2)),_xlfn.XLOOKUP(A268,抽卷!$A:$A,抽卷!$M:$M,,1,2),NA())</f>
        <v>#N/A</v>
      </c>
      <c r="F268" s="70">
        <f t="shared" si="12"/>
        <v>217.125</v>
      </c>
    </row>
    <row r="269" spans="1:6" ht="15" customHeight="1" x14ac:dyDescent="0.25">
      <c r="A269" s="95">
        <f t="shared" si="14"/>
        <v>44205</v>
      </c>
      <c r="B269" s="76">
        <f>IF(ISNUMBER(_xlfn.XLOOKUP(A269,鑽量!$A:$A,鑽量!$K:$K,,1,2)),_xlfn.XLOOKUP(A269,鑽量!$A:$A,鑽量!$K:$K,,1,2),NA())</f>
        <v>13135</v>
      </c>
      <c r="C269" s="417">
        <f t="shared" si="13"/>
        <v>109.45833333333333</v>
      </c>
      <c r="D269" s="417">
        <f>IF(ISNUMBER(_xlfn.XLOOKUP(A269,抽卷!$A:$A,抽卷!$K:$K,,1,2)),_xlfn.XLOOKUP(A269,抽卷!$A:$A,抽卷!$K:$K,,1,2),NA())</f>
        <v>111</v>
      </c>
      <c r="E269" s="417" t="e">
        <f>IF(ISNUMBER(_xlfn.XLOOKUP(A269,抽卷!$A:$A,抽卷!$M:$M,,1,2)),_xlfn.XLOOKUP(A269,抽卷!$A:$A,抽卷!$M:$M,,1,2),NA())</f>
        <v>#N/A</v>
      </c>
      <c r="F269" s="70">
        <f t="shared" si="12"/>
        <v>220.45833333333331</v>
      </c>
    </row>
    <row r="270" spans="1:6" ht="15" customHeight="1" x14ac:dyDescent="0.25">
      <c r="A270" s="95">
        <f t="shared" si="14"/>
        <v>44206</v>
      </c>
      <c r="B270" s="76">
        <f>IF(ISNUMBER(_xlfn.XLOOKUP(A270,鑽量!$A:$A,鑽量!$K:$K,,1,2)),_xlfn.XLOOKUP(A270,鑽量!$A:$A,鑽量!$K:$K,,1,2),NA())</f>
        <v>13135</v>
      </c>
      <c r="C270" s="417">
        <f t="shared" si="13"/>
        <v>109.45833333333333</v>
      </c>
      <c r="D270" s="417">
        <f>IF(ISNUMBER(_xlfn.XLOOKUP(A270,抽卷!$A:$A,抽卷!$K:$K,,1,2)),_xlfn.XLOOKUP(A270,抽卷!$A:$A,抽卷!$K:$K,,1,2),NA())</f>
        <v>111</v>
      </c>
      <c r="E270" s="417" t="e">
        <f>IF(ISNUMBER(_xlfn.XLOOKUP(A270,抽卷!$A:$A,抽卷!$M:$M,,1,2)),_xlfn.XLOOKUP(A270,抽卷!$A:$A,抽卷!$M:$M,,1,2),NA())</f>
        <v>#N/A</v>
      </c>
      <c r="F270" s="70">
        <f t="shared" si="12"/>
        <v>220.45833333333331</v>
      </c>
    </row>
    <row r="271" spans="1:6" ht="15" customHeight="1" x14ac:dyDescent="0.25">
      <c r="A271" s="95">
        <f t="shared" si="14"/>
        <v>44207</v>
      </c>
      <c r="B271" s="76">
        <f>IF(ISNUMBER(_xlfn.XLOOKUP(A271,鑽量!$A:$A,鑽量!$K:$K,,1,2)),_xlfn.XLOOKUP(A271,鑽量!$A:$A,鑽量!$K:$K,,1,2),NA())</f>
        <v>13135</v>
      </c>
      <c r="C271" s="417">
        <f t="shared" si="13"/>
        <v>109.45833333333333</v>
      </c>
      <c r="D271" s="417">
        <f>IF(ISNUMBER(_xlfn.XLOOKUP(A271,抽卷!$A:$A,抽卷!$K:$K,,1,2)),_xlfn.XLOOKUP(A271,抽卷!$A:$A,抽卷!$K:$K,,1,2),NA())</f>
        <v>111</v>
      </c>
      <c r="E271" s="417" t="e">
        <f>IF(ISNUMBER(_xlfn.XLOOKUP(A271,抽卷!$A:$A,抽卷!$M:$M,,1,2)),_xlfn.XLOOKUP(A271,抽卷!$A:$A,抽卷!$M:$M,,1,2),NA())</f>
        <v>#N/A</v>
      </c>
      <c r="F271" s="70">
        <f t="shared" si="12"/>
        <v>220.45833333333331</v>
      </c>
    </row>
    <row r="272" spans="1:6" ht="15" customHeight="1" x14ac:dyDescent="0.25">
      <c r="A272" s="95">
        <f t="shared" si="14"/>
        <v>44208</v>
      </c>
      <c r="B272" s="76">
        <f>IF(ISNUMBER(_xlfn.XLOOKUP(A272,鑽量!$A:$A,鑽量!$K:$K,,1,2)),_xlfn.XLOOKUP(A272,鑽量!$A:$A,鑽量!$K:$K,,1,2),NA())</f>
        <v>13135</v>
      </c>
      <c r="C272" s="417">
        <f t="shared" si="13"/>
        <v>109.45833333333333</v>
      </c>
      <c r="D272" s="417">
        <f>IF(ISNUMBER(_xlfn.XLOOKUP(A272,抽卷!$A:$A,抽卷!$K:$K,,1,2)),_xlfn.XLOOKUP(A272,抽卷!$A:$A,抽卷!$K:$K,,1,2),NA())</f>
        <v>111</v>
      </c>
      <c r="E272" s="417" t="e">
        <f>IF(ISNUMBER(_xlfn.XLOOKUP(A272,抽卷!$A:$A,抽卷!$M:$M,,1,2)),_xlfn.XLOOKUP(A272,抽卷!$A:$A,抽卷!$M:$M,,1,2),NA())</f>
        <v>#N/A</v>
      </c>
      <c r="F272" s="70">
        <f t="shared" si="12"/>
        <v>220.45833333333331</v>
      </c>
    </row>
    <row r="273" spans="1:6" ht="15" customHeight="1" x14ac:dyDescent="0.25">
      <c r="A273" s="95">
        <f t="shared" si="14"/>
        <v>44209</v>
      </c>
      <c r="B273" s="76">
        <f>IF(ISNUMBER(_xlfn.XLOOKUP(A273,鑽量!$A:$A,鑽量!$K:$K,,1,2)),_xlfn.XLOOKUP(A273,鑽量!$A:$A,鑽量!$K:$K,,1,2),NA())</f>
        <v>13055</v>
      </c>
      <c r="C273" s="417">
        <f t="shared" si="13"/>
        <v>108.79166666666667</v>
      </c>
      <c r="D273" s="417">
        <f>IF(ISNUMBER(_xlfn.XLOOKUP(A273,抽卷!$A:$A,抽卷!$K:$K,,1,2)),_xlfn.XLOOKUP(A273,抽卷!$A:$A,抽卷!$K:$K,,1,2),NA())</f>
        <v>111</v>
      </c>
      <c r="E273" s="417" t="e">
        <f>IF(ISNUMBER(_xlfn.XLOOKUP(A273,抽卷!$A:$A,抽卷!$M:$M,,1,2)),_xlfn.XLOOKUP(A273,抽卷!$A:$A,抽卷!$M:$M,,1,2),NA())</f>
        <v>#N/A</v>
      </c>
      <c r="F273" s="70">
        <f t="shared" si="12"/>
        <v>219.79166666666669</v>
      </c>
    </row>
    <row r="274" spans="1:6" ht="15" customHeight="1" x14ac:dyDescent="0.25">
      <c r="A274" s="95">
        <f t="shared" si="14"/>
        <v>44210</v>
      </c>
      <c r="B274" s="76">
        <f>IF(ISNUMBER(_xlfn.XLOOKUP(A274,鑽量!$A:$A,鑽量!$K:$K,,1,2)),_xlfn.XLOOKUP(A274,鑽量!$A:$A,鑽量!$K:$K,,1,2),NA())</f>
        <v>13055</v>
      </c>
      <c r="C274" s="417">
        <f t="shared" si="13"/>
        <v>108.79166666666667</v>
      </c>
      <c r="D274" s="417">
        <f>IF(ISNUMBER(_xlfn.XLOOKUP(A274,抽卷!$A:$A,抽卷!$K:$K,,1,2)),_xlfn.XLOOKUP(A274,抽卷!$A:$A,抽卷!$K:$K,,1,2),NA())</f>
        <v>111</v>
      </c>
      <c r="E274" s="417" t="e">
        <f>IF(ISNUMBER(_xlfn.XLOOKUP(A274,抽卷!$A:$A,抽卷!$M:$M,,1,2)),_xlfn.XLOOKUP(A274,抽卷!$A:$A,抽卷!$M:$M,,1,2),NA())</f>
        <v>#N/A</v>
      </c>
      <c r="F274" s="70">
        <f t="shared" si="12"/>
        <v>219.79166666666669</v>
      </c>
    </row>
    <row r="275" spans="1:6" ht="15" customHeight="1" x14ac:dyDescent="0.25">
      <c r="A275" s="95">
        <f t="shared" si="14"/>
        <v>44211</v>
      </c>
      <c r="B275" s="76">
        <f>IF(ISNUMBER(_xlfn.XLOOKUP(A275,鑽量!$A:$A,鑽量!$K:$K,,1,2)),_xlfn.XLOOKUP(A275,鑽量!$A:$A,鑽量!$K:$K,,1,2),NA())</f>
        <v>13855</v>
      </c>
      <c r="C275" s="417">
        <f t="shared" si="13"/>
        <v>115.45833333333333</v>
      </c>
      <c r="D275" s="417">
        <f>IF(ISNUMBER(_xlfn.XLOOKUP(A275,抽卷!$A:$A,抽卷!$K:$K,,1,2)),_xlfn.XLOOKUP(A275,抽卷!$A:$A,抽卷!$K:$K,,1,2),NA())</f>
        <v>114</v>
      </c>
      <c r="E275" s="417" t="e">
        <f>IF(ISNUMBER(_xlfn.XLOOKUP(A275,抽卷!$A:$A,抽卷!$M:$M,,1,2)),_xlfn.XLOOKUP(A275,抽卷!$A:$A,抽卷!$M:$M,,1,2),NA())</f>
        <v>#N/A</v>
      </c>
      <c r="F275" s="70">
        <f t="shared" si="12"/>
        <v>229.45833333333331</v>
      </c>
    </row>
    <row r="276" spans="1:6" ht="15" customHeight="1" x14ac:dyDescent="0.25">
      <c r="A276" s="95">
        <f t="shared" si="14"/>
        <v>44212</v>
      </c>
      <c r="B276" s="76">
        <f>IF(ISNUMBER(_xlfn.XLOOKUP(A276,鑽量!$A:$A,鑽量!$K:$K,,1,2)),_xlfn.XLOOKUP(A276,鑽量!$A:$A,鑽量!$K:$K,,1,2),NA())</f>
        <v>12295</v>
      </c>
      <c r="C276" s="417">
        <f t="shared" si="13"/>
        <v>102.45833333333333</v>
      </c>
      <c r="D276" s="417">
        <f>IF(ISNUMBER(_xlfn.XLOOKUP(A276,抽卷!$A:$A,抽卷!$K:$K,,1,2)),_xlfn.XLOOKUP(A276,抽卷!$A:$A,抽卷!$K:$K,,1,2),NA())</f>
        <v>113</v>
      </c>
      <c r="E276" s="417" t="e">
        <f>IF(ISNUMBER(_xlfn.XLOOKUP(A276,抽卷!$A:$A,抽卷!$M:$M,,1,2)),_xlfn.XLOOKUP(A276,抽卷!$A:$A,抽卷!$M:$M,,1,2),NA())</f>
        <v>#N/A</v>
      </c>
      <c r="F276" s="70">
        <f t="shared" si="12"/>
        <v>215.45833333333331</v>
      </c>
    </row>
    <row r="277" spans="1:6" ht="15" customHeight="1" x14ac:dyDescent="0.25">
      <c r="A277" s="95">
        <f t="shared" si="14"/>
        <v>44213</v>
      </c>
      <c r="B277" s="76">
        <f>IF(ISNUMBER(_xlfn.XLOOKUP(A277,鑽量!$A:$A,鑽量!$K:$K,,1,2)),_xlfn.XLOOKUP(A277,鑽量!$A:$A,鑽量!$K:$K,,1,2),NA())</f>
        <v>11985</v>
      </c>
      <c r="C277" s="417">
        <f t="shared" si="13"/>
        <v>99.875</v>
      </c>
      <c r="D277" s="417">
        <f>IF(ISNUMBER(_xlfn.XLOOKUP(A277,抽卷!$A:$A,抽卷!$K:$K,,1,2)),_xlfn.XLOOKUP(A277,抽卷!$A:$A,抽卷!$K:$K,,1,2),NA())</f>
        <v>113</v>
      </c>
      <c r="E277" s="417" t="e">
        <f>IF(ISNUMBER(_xlfn.XLOOKUP(A277,抽卷!$A:$A,抽卷!$M:$M,,1,2)),_xlfn.XLOOKUP(A277,抽卷!$A:$A,抽卷!$M:$M,,1,2),NA())</f>
        <v>#N/A</v>
      </c>
      <c r="F277" s="70">
        <f t="shared" si="12"/>
        <v>212.875</v>
      </c>
    </row>
    <row r="278" spans="1:6" ht="15" customHeight="1" x14ac:dyDescent="0.25">
      <c r="A278" s="95">
        <f t="shared" si="14"/>
        <v>44214</v>
      </c>
      <c r="B278" s="76">
        <f>IF(ISNUMBER(_xlfn.XLOOKUP(A278,鑽量!$A:$A,鑽量!$K:$K,,1,2)),_xlfn.XLOOKUP(A278,鑽量!$A:$A,鑽量!$K:$K,,1,2),NA())</f>
        <v>11705</v>
      </c>
      <c r="C278" s="417">
        <f t="shared" si="13"/>
        <v>97.541666666666671</v>
      </c>
      <c r="D278" s="417">
        <f>IF(ISNUMBER(_xlfn.XLOOKUP(A278,抽卷!$A:$A,抽卷!$K:$K,,1,2)),_xlfn.XLOOKUP(A278,抽卷!$A:$A,抽卷!$K:$K,,1,2),NA())</f>
        <v>113</v>
      </c>
      <c r="E278" s="417" t="e">
        <f>IF(ISNUMBER(_xlfn.XLOOKUP(A278,抽卷!$A:$A,抽卷!$M:$M,,1,2)),_xlfn.XLOOKUP(A278,抽卷!$A:$A,抽卷!$M:$M,,1,2),NA())</f>
        <v>#N/A</v>
      </c>
      <c r="F278" s="70">
        <f t="shared" si="12"/>
        <v>210.54166666666669</v>
      </c>
    </row>
    <row r="279" spans="1:6" ht="15" customHeight="1" x14ac:dyDescent="0.25">
      <c r="A279" s="95">
        <f t="shared" si="14"/>
        <v>44215</v>
      </c>
      <c r="B279" s="76">
        <f>IF(ISNUMBER(_xlfn.XLOOKUP(A279,鑽量!$A:$A,鑽量!$K:$K,,1,2)),_xlfn.XLOOKUP(A279,鑽量!$A:$A,鑽量!$K:$K,,1,2),NA())</f>
        <v>11095</v>
      </c>
      <c r="C279" s="417">
        <f t="shared" si="13"/>
        <v>92.458333333333329</v>
      </c>
      <c r="D279" s="417">
        <f>IF(ISNUMBER(_xlfn.XLOOKUP(A279,抽卷!$A:$A,抽卷!$K:$K,,1,2)),_xlfn.XLOOKUP(A279,抽卷!$A:$A,抽卷!$K:$K,,1,2),NA())</f>
        <v>112</v>
      </c>
      <c r="E279" s="417" t="e">
        <f>IF(ISNUMBER(_xlfn.XLOOKUP(A279,抽卷!$A:$A,抽卷!$M:$M,,1,2)),_xlfn.XLOOKUP(A279,抽卷!$A:$A,抽卷!$M:$M,,1,2),NA())</f>
        <v>#N/A</v>
      </c>
      <c r="F279" s="70">
        <f t="shared" si="12"/>
        <v>204.45833333333331</v>
      </c>
    </row>
    <row r="280" spans="1:6" ht="15" customHeight="1" x14ac:dyDescent="0.25">
      <c r="A280" s="95">
        <f t="shared" si="14"/>
        <v>44216</v>
      </c>
      <c r="B280" s="76">
        <f>IF(ISNUMBER(_xlfn.XLOOKUP(A280,鑽量!$A:$A,鑽量!$K:$K,,1,2)),_xlfn.XLOOKUP(A280,鑽量!$A:$A,鑽量!$K:$K,,1,2),NA())</f>
        <v>12465</v>
      </c>
      <c r="C280" s="417">
        <f t="shared" si="13"/>
        <v>103.875</v>
      </c>
      <c r="D280" s="417">
        <f>IF(ISNUMBER(_xlfn.XLOOKUP(A280,抽卷!$A:$A,抽卷!$K:$K,,1,2)),_xlfn.XLOOKUP(A280,抽卷!$A:$A,抽卷!$K:$K,,1,2),NA())</f>
        <v>113</v>
      </c>
      <c r="E280" s="417" t="e">
        <f>IF(ISNUMBER(_xlfn.XLOOKUP(A280,抽卷!$A:$A,抽卷!$M:$M,,1,2)),_xlfn.XLOOKUP(A280,抽卷!$A:$A,抽卷!$M:$M,,1,2),NA())</f>
        <v>#N/A</v>
      </c>
      <c r="F280" s="70">
        <f t="shared" si="12"/>
        <v>216.875</v>
      </c>
    </row>
    <row r="281" spans="1:6" ht="15" customHeight="1" x14ac:dyDescent="0.25">
      <c r="A281" s="95">
        <f t="shared" si="14"/>
        <v>44217</v>
      </c>
      <c r="B281" s="76">
        <f>IF(ISNUMBER(_xlfn.XLOOKUP(A281,鑽量!$A:$A,鑽量!$K:$K,,1,2)),_xlfn.XLOOKUP(A281,鑽量!$A:$A,鑽量!$K:$K,,1,2),NA())</f>
        <v>12090</v>
      </c>
      <c r="C281" s="417">
        <f t="shared" si="13"/>
        <v>100.75</v>
      </c>
      <c r="D281" s="417">
        <f>IF(ISNUMBER(_xlfn.XLOOKUP(A281,抽卷!$A:$A,抽卷!$K:$K,,1,2)),_xlfn.XLOOKUP(A281,抽卷!$A:$A,抽卷!$K:$K,,1,2),NA())</f>
        <v>119</v>
      </c>
      <c r="E281" s="417" t="e">
        <f>IF(ISNUMBER(_xlfn.XLOOKUP(A281,抽卷!$A:$A,抽卷!$M:$M,,1,2)),_xlfn.XLOOKUP(A281,抽卷!$A:$A,抽卷!$M:$M,,1,2),NA())</f>
        <v>#N/A</v>
      </c>
      <c r="F281" s="70">
        <f t="shared" si="12"/>
        <v>219.75</v>
      </c>
    </row>
    <row r="282" spans="1:6" ht="15" customHeight="1" x14ac:dyDescent="0.25">
      <c r="A282" s="95">
        <f t="shared" si="14"/>
        <v>44218</v>
      </c>
      <c r="B282" s="76">
        <f>IF(ISNUMBER(_xlfn.XLOOKUP(A282,鑽量!$A:$A,鑽量!$K:$K,,1,2)),_xlfn.XLOOKUP(A282,鑽量!$A:$A,鑽量!$K:$K,,1,2),NA())</f>
        <v>12080</v>
      </c>
      <c r="C282" s="417">
        <f t="shared" si="13"/>
        <v>100.66666666666667</v>
      </c>
      <c r="D282" s="417">
        <f>IF(ISNUMBER(_xlfn.XLOOKUP(A282,抽卷!$A:$A,抽卷!$K:$K,,1,2)),_xlfn.XLOOKUP(A282,抽卷!$A:$A,抽卷!$K:$K,,1,2),NA())</f>
        <v>113</v>
      </c>
      <c r="E282" s="417">
        <f>IF(ISNUMBER(_xlfn.XLOOKUP(A282,抽卷!$A:$A,抽卷!$M:$M,,1,2)),_xlfn.XLOOKUP(A282,抽卷!$A:$A,抽卷!$M:$M,,1,2),NA())</f>
        <v>0</v>
      </c>
      <c r="F282" s="70">
        <f t="shared" si="12"/>
        <v>213.66666666666669</v>
      </c>
    </row>
    <row r="283" spans="1:6" ht="15" customHeight="1" x14ac:dyDescent="0.25">
      <c r="A283" s="95">
        <f t="shared" si="14"/>
        <v>44219</v>
      </c>
      <c r="B283" s="76">
        <f>IF(ISNUMBER(_xlfn.XLOOKUP(A283,鑽量!$A:$A,鑽量!$K:$K,,1,2)),_xlfn.XLOOKUP(A283,鑽量!$A:$A,鑽量!$K:$K,,1,2),NA())</f>
        <v>11895</v>
      </c>
      <c r="C283" s="417">
        <f t="shared" si="13"/>
        <v>99.125</v>
      </c>
      <c r="D283" s="417">
        <f>IF(ISNUMBER(_xlfn.XLOOKUP(A283,抽卷!$A:$A,抽卷!$K:$K,,1,2)),_xlfn.XLOOKUP(A283,抽卷!$A:$A,抽卷!$K:$K,,1,2),NA())</f>
        <v>113</v>
      </c>
      <c r="E283" s="417">
        <f>IF(ISNUMBER(_xlfn.XLOOKUP(A283,抽卷!$A:$A,抽卷!$M:$M,,1,2)),_xlfn.XLOOKUP(A283,抽卷!$A:$A,抽卷!$M:$M,,1,2),NA())</f>
        <v>0</v>
      </c>
      <c r="F283" s="70">
        <f t="shared" si="12"/>
        <v>212.125</v>
      </c>
    </row>
    <row r="284" spans="1:6" ht="15" customHeight="1" x14ac:dyDescent="0.25">
      <c r="A284" s="95">
        <f t="shared" si="14"/>
        <v>44220</v>
      </c>
      <c r="B284" s="76">
        <f>IF(ISNUMBER(_xlfn.XLOOKUP(A284,鑽量!$A:$A,鑽量!$K:$K,,1,2)),_xlfn.XLOOKUP(A284,鑽量!$A:$A,鑽量!$K:$K,,1,2),NA())</f>
        <v>11910</v>
      </c>
      <c r="C284" s="417">
        <f t="shared" si="13"/>
        <v>99.25</v>
      </c>
      <c r="D284" s="417">
        <f>IF(ISNUMBER(_xlfn.XLOOKUP(A284,抽卷!$A:$A,抽卷!$K:$K,,1,2)),_xlfn.XLOOKUP(A284,抽卷!$A:$A,抽卷!$K:$K,,1,2),NA())</f>
        <v>101</v>
      </c>
      <c r="E284" s="417">
        <f>IF(ISNUMBER(_xlfn.XLOOKUP(A284,抽卷!$A:$A,抽卷!$M:$M,,1,2)),_xlfn.XLOOKUP(A284,抽卷!$A:$A,抽卷!$M:$M,,1,2),NA())</f>
        <v>0</v>
      </c>
      <c r="F284" s="70">
        <f t="shared" si="12"/>
        <v>200.25</v>
      </c>
    </row>
    <row r="285" spans="1:6" ht="15" customHeight="1" x14ac:dyDescent="0.25">
      <c r="A285" s="95">
        <f t="shared" si="14"/>
        <v>44221</v>
      </c>
      <c r="B285" s="76">
        <f>IF(ISNUMBER(_xlfn.XLOOKUP(A285,鑽量!$A:$A,鑽量!$K:$K,,1,2)),_xlfn.XLOOKUP(A285,鑽量!$A:$A,鑽量!$K:$K,,1,2),NA())</f>
        <v>10520</v>
      </c>
      <c r="C285" s="417">
        <f t="shared" si="13"/>
        <v>87.666666666666671</v>
      </c>
      <c r="D285" s="417">
        <f>IF(ISNUMBER(_xlfn.XLOOKUP(A285,抽卷!$A:$A,抽卷!$K:$K,,1,2)),_xlfn.XLOOKUP(A285,抽卷!$A:$A,抽卷!$K:$K,,1,2),NA())</f>
        <v>104</v>
      </c>
      <c r="E285" s="417">
        <f>IF(ISNUMBER(_xlfn.XLOOKUP(A285,抽卷!$A:$A,抽卷!$M:$M,,1,2)),_xlfn.XLOOKUP(A285,抽卷!$A:$A,抽卷!$M:$M,,1,2),NA())</f>
        <v>0</v>
      </c>
      <c r="F285" s="70">
        <f t="shared" si="12"/>
        <v>191.66666666666669</v>
      </c>
    </row>
    <row r="286" spans="1:6" ht="15" customHeight="1" x14ac:dyDescent="0.25">
      <c r="A286" s="95">
        <f t="shared" si="14"/>
        <v>44222</v>
      </c>
      <c r="B286" s="76">
        <f>IF(ISNUMBER(_xlfn.XLOOKUP(A286,鑽量!$A:$A,鑽量!$K:$K,,1,2)),_xlfn.XLOOKUP(A286,鑽量!$A:$A,鑽量!$K:$K,,1,2),NA())</f>
        <v>10505</v>
      </c>
      <c r="C286" s="417">
        <f t="shared" si="13"/>
        <v>87.541666666666671</v>
      </c>
      <c r="D286" s="417">
        <f>IF(ISNUMBER(_xlfn.XLOOKUP(A286,抽卷!$A:$A,抽卷!$K:$K,,1,2)),_xlfn.XLOOKUP(A286,抽卷!$A:$A,抽卷!$K:$K,,1,2),NA())</f>
        <v>104</v>
      </c>
      <c r="E286" s="417">
        <f>IF(ISNUMBER(_xlfn.XLOOKUP(A286,抽卷!$A:$A,抽卷!$M:$M,,1,2)),_xlfn.XLOOKUP(A286,抽卷!$A:$A,抽卷!$M:$M,,1,2),NA())</f>
        <v>0</v>
      </c>
      <c r="F286" s="70">
        <f t="shared" si="12"/>
        <v>191.54166666666669</v>
      </c>
    </row>
    <row r="287" spans="1:6" ht="15" customHeight="1" x14ac:dyDescent="0.25">
      <c r="A287" s="95">
        <f t="shared" si="14"/>
        <v>44223</v>
      </c>
      <c r="B287" s="76">
        <f>IF(ISNUMBER(_xlfn.XLOOKUP(A287,鑽量!$A:$A,鑽量!$K:$K,,1,2)),_xlfn.XLOOKUP(A287,鑽量!$A:$A,鑽量!$K:$K,,1,2),NA())</f>
        <v>11005</v>
      </c>
      <c r="C287" s="417">
        <f t="shared" si="13"/>
        <v>91.708333333333329</v>
      </c>
      <c r="D287" s="417">
        <f>IF(ISNUMBER(_xlfn.XLOOKUP(A287,抽卷!$A:$A,抽卷!$K:$K,,1,2)),_xlfn.XLOOKUP(A287,抽卷!$A:$A,抽卷!$K:$K,,1,2),NA())</f>
        <v>104</v>
      </c>
      <c r="E287" s="417">
        <f>IF(ISNUMBER(_xlfn.XLOOKUP(A287,抽卷!$A:$A,抽卷!$M:$M,,1,2)),_xlfn.XLOOKUP(A287,抽卷!$A:$A,抽卷!$M:$M,,1,2),NA())</f>
        <v>0</v>
      </c>
      <c r="F287" s="70">
        <f t="shared" si="12"/>
        <v>195.70833333333331</v>
      </c>
    </row>
    <row r="288" spans="1:6" ht="15" customHeight="1" x14ac:dyDescent="0.25">
      <c r="A288" s="95">
        <f t="shared" si="14"/>
        <v>44224</v>
      </c>
      <c r="B288" s="76">
        <f>IF(ISNUMBER(_xlfn.XLOOKUP(A288,鑽量!$A:$A,鑽量!$K:$K,,1,2)),_xlfn.XLOOKUP(A288,鑽量!$A:$A,鑽量!$K:$K,,1,2),NA())</f>
        <v>11405</v>
      </c>
      <c r="C288" s="417">
        <f t="shared" si="13"/>
        <v>95.041666666666671</v>
      </c>
      <c r="D288" s="417">
        <f>IF(ISNUMBER(_xlfn.XLOOKUP(A288,抽卷!$A:$A,抽卷!$K:$K,,1,2)),_xlfn.XLOOKUP(A288,抽卷!$A:$A,抽卷!$K:$K,,1,2),NA())</f>
        <v>99</v>
      </c>
      <c r="E288" s="417">
        <f>IF(ISNUMBER(_xlfn.XLOOKUP(A288,抽卷!$A:$A,抽卷!$M:$M,,1,2)),_xlfn.XLOOKUP(A288,抽卷!$A:$A,抽卷!$M:$M,,1,2),NA())</f>
        <v>0</v>
      </c>
      <c r="F288" s="70">
        <f t="shared" si="12"/>
        <v>194.04166666666669</v>
      </c>
    </row>
    <row r="289" spans="1:6" ht="15" customHeight="1" x14ac:dyDescent="0.25">
      <c r="A289" s="95">
        <f t="shared" si="14"/>
        <v>44225</v>
      </c>
      <c r="B289" s="76">
        <f>IF(ISNUMBER(_xlfn.XLOOKUP(A289,鑽量!$A:$A,鑽量!$K:$K,,1,2)),_xlfn.XLOOKUP(A289,鑽量!$A:$A,鑽量!$K:$K,,1,2),NA())</f>
        <v>11970</v>
      </c>
      <c r="C289" s="417">
        <f t="shared" si="13"/>
        <v>99.75</v>
      </c>
      <c r="D289" s="417">
        <f>IF(ISNUMBER(_xlfn.XLOOKUP(A289,抽卷!$A:$A,抽卷!$K:$K,,1,2)),_xlfn.XLOOKUP(A289,抽卷!$A:$A,抽卷!$K:$K,,1,2),NA())</f>
        <v>102</v>
      </c>
      <c r="E289" s="417">
        <f>IF(ISNUMBER(_xlfn.XLOOKUP(A289,抽卷!$A:$A,抽卷!$M:$M,,1,2)),_xlfn.XLOOKUP(A289,抽卷!$A:$A,抽卷!$M:$M,,1,2),NA())</f>
        <v>0</v>
      </c>
      <c r="F289" s="70">
        <f t="shared" si="12"/>
        <v>201.75</v>
      </c>
    </row>
    <row r="290" spans="1:6" ht="15" customHeight="1" x14ac:dyDescent="0.25">
      <c r="A290" s="95">
        <f t="shared" si="14"/>
        <v>44226</v>
      </c>
      <c r="B290" s="76">
        <f>IF(ISNUMBER(_xlfn.XLOOKUP(A290,鑽量!$A:$A,鑽量!$K:$K,,1,2)),_xlfn.XLOOKUP(A290,鑽量!$A:$A,鑽量!$K:$K,,1,2),NA())</f>
        <v>11920</v>
      </c>
      <c r="C290" s="417">
        <f t="shared" si="13"/>
        <v>99.333333333333329</v>
      </c>
      <c r="D290" s="417">
        <f>IF(ISNUMBER(_xlfn.XLOOKUP(A290,抽卷!$A:$A,抽卷!$K:$K,,1,2)),_xlfn.XLOOKUP(A290,抽卷!$A:$A,抽卷!$K:$K,,1,2),NA())</f>
        <v>90</v>
      </c>
      <c r="E290" s="417">
        <f>IF(ISNUMBER(_xlfn.XLOOKUP(A290,抽卷!$A:$A,抽卷!$M:$M,,1,2)),_xlfn.XLOOKUP(A290,抽卷!$A:$A,抽卷!$M:$M,,1,2),NA())</f>
        <v>0</v>
      </c>
      <c r="F290" s="70">
        <f t="shared" si="12"/>
        <v>189.33333333333331</v>
      </c>
    </row>
    <row r="291" spans="1:6" ht="15" customHeight="1" x14ac:dyDescent="0.25">
      <c r="A291" s="95">
        <f t="shared" si="14"/>
        <v>44227</v>
      </c>
      <c r="B291" s="76">
        <f>IF(ISNUMBER(_xlfn.XLOOKUP(A291,鑽量!$A:$A,鑽量!$K:$K,,1,2)),_xlfn.XLOOKUP(A291,鑽量!$A:$A,鑽量!$K:$K,,1,2),NA())</f>
        <v>11920</v>
      </c>
      <c r="C291" s="417">
        <f t="shared" si="13"/>
        <v>99.333333333333329</v>
      </c>
      <c r="D291" s="417">
        <f>IF(ISNUMBER(_xlfn.XLOOKUP(A291,抽卷!$A:$A,抽卷!$K:$K,,1,2)),_xlfn.XLOOKUP(A291,抽卷!$A:$A,抽卷!$K:$K,,1,2),NA())</f>
        <v>97</v>
      </c>
      <c r="E291" s="417">
        <f>IF(ISNUMBER(_xlfn.XLOOKUP(A291,抽卷!$A:$A,抽卷!$M:$M,,1,2)),_xlfn.XLOOKUP(A291,抽卷!$A:$A,抽卷!$M:$M,,1,2),NA())</f>
        <v>10</v>
      </c>
      <c r="F291" s="70">
        <f t="shared" si="12"/>
        <v>206.33333333333331</v>
      </c>
    </row>
    <row r="292" spans="1:6" ht="15" customHeight="1" x14ac:dyDescent="0.25">
      <c r="A292" s="95">
        <f t="shared" si="14"/>
        <v>44228</v>
      </c>
      <c r="B292" s="76">
        <f>IF(ISNUMBER(_xlfn.XLOOKUP(A292,鑽量!$A:$A,鑽量!$K:$K,,1,2)),_xlfn.XLOOKUP(A292,鑽量!$A:$A,鑽量!$K:$K,,1,2),NA())</f>
        <v>10445</v>
      </c>
      <c r="C292" s="417">
        <f t="shared" si="13"/>
        <v>87.041666666666671</v>
      </c>
      <c r="D292" s="417">
        <f>IF(ISNUMBER(_xlfn.XLOOKUP(A292,抽卷!$A:$A,抽卷!$K:$K,,1,2)),_xlfn.XLOOKUP(A292,抽卷!$A:$A,抽卷!$K:$K,,1,2),NA())</f>
        <v>73</v>
      </c>
      <c r="E292" s="417">
        <f>IF(ISNUMBER(_xlfn.XLOOKUP(A292,抽卷!$A:$A,抽卷!$M:$M,,1,2)),_xlfn.XLOOKUP(A292,抽卷!$A:$A,抽卷!$M:$M,,1,2),NA())</f>
        <v>20</v>
      </c>
      <c r="F292" s="70">
        <f t="shared" si="12"/>
        <v>180.04166666666669</v>
      </c>
    </row>
    <row r="293" spans="1:6" ht="15" customHeight="1" x14ac:dyDescent="0.25">
      <c r="A293" s="95">
        <f t="shared" si="14"/>
        <v>44229</v>
      </c>
      <c r="B293" s="76">
        <f>IF(ISNUMBER(_xlfn.XLOOKUP(A293,鑽量!$A:$A,鑽量!$K:$K,,1,2)),_xlfn.XLOOKUP(A293,鑽量!$A:$A,鑽量!$K:$K,,1,2),NA())</f>
        <v>12080</v>
      </c>
      <c r="C293" s="417">
        <f t="shared" si="13"/>
        <v>100.66666666666667</v>
      </c>
      <c r="D293" s="417">
        <f>IF(ISNUMBER(_xlfn.XLOOKUP(A293,抽卷!$A:$A,抽卷!$K:$K,,1,2)),_xlfn.XLOOKUP(A293,抽卷!$A:$A,抽卷!$K:$K,,1,2),NA())</f>
        <v>73</v>
      </c>
      <c r="E293" s="417">
        <f>IF(ISNUMBER(_xlfn.XLOOKUP(A293,抽卷!$A:$A,抽卷!$M:$M,,1,2)),_xlfn.XLOOKUP(A293,抽卷!$A:$A,抽卷!$M:$M,,1,2),NA())</f>
        <v>30</v>
      </c>
      <c r="F293" s="70">
        <f t="shared" si="12"/>
        <v>203.66666666666669</v>
      </c>
    </row>
    <row r="294" spans="1:6" ht="15" customHeight="1" x14ac:dyDescent="0.25">
      <c r="A294" s="95">
        <f t="shared" si="14"/>
        <v>44230</v>
      </c>
      <c r="B294" s="76">
        <f>IF(ISNUMBER(_xlfn.XLOOKUP(A294,鑽量!$A:$A,鑽量!$K:$K,,1,2)),_xlfn.XLOOKUP(A294,鑽量!$A:$A,鑽量!$K:$K,,1,2),NA())</f>
        <v>12030</v>
      </c>
      <c r="C294" s="417">
        <f t="shared" si="13"/>
        <v>100.25</v>
      </c>
      <c r="D294" s="417">
        <f>IF(ISNUMBER(_xlfn.XLOOKUP(A294,抽卷!$A:$A,抽卷!$K:$K,,1,2)),_xlfn.XLOOKUP(A294,抽卷!$A:$A,抽卷!$K:$K,,1,2),NA())</f>
        <v>83</v>
      </c>
      <c r="E294" s="417">
        <f>IF(ISNUMBER(_xlfn.XLOOKUP(A294,抽卷!$A:$A,抽卷!$M:$M,,1,2)),_xlfn.XLOOKUP(A294,抽卷!$A:$A,抽卷!$M:$M,,1,2),NA())</f>
        <v>40</v>
      </c>
      <c r="F294" s="70">
        <f t="shared" si="12"/>
        <v>223.25</v>
      </c>
    </row>
    <row r="295" spans="1:6" ht="15" customHeight="1" x14ac:dyDescent="0.25">
      <c r="A295" s="95">
        <f t="shared" si="14"/>
        <v>44231</v>
      </c>
      <c r="B295" s="76">
        <f>IF(ISNUMBER(_xlfn.XLOOKUP(A295,鑽量!$A:$A,鑽量!$K:$K,,1,2)),_xlfn.XLOOKUP(A295,鑽量!$A:$A,鑽量!$K:$K,,1,2),NA())</f>
        <v>12005</v>
      </c>
      <c r="C295" s="417">
        <f t="shared" si="13"/>
        <v>100.04166666666667</v>
      </c>
      <c r="D295" s="417">
        <f>IF(ISNUMBER(_xlfn.XLOOKUP(A295,抽卷!$A:$A,抽卷!$K:$K,,1,2)),_xlfn.XLOOKUP(A295,抽卷!$A:$A,抽卷!$K:$K,,1,2),NA())</f>
        <v>74</v>
      </c>
      <c r="E295" s="417">
        <f>IF(ISNUMBER(_xlfn.XLOOKUP(A295,抽卷!$A:$A,抽卷!$M:$M,,1,2)),_xlfn.XLOOKUP(A295,抽卷!$A:$A,抽卷!$M:$M,,1,2),NA())</f>
        <v>50</v>
      </c>
      <c r="F295" s="70">
        <f t="shared" si="12"/>
        <v>224.04166666666669</v>
      </c>
    </row>
    <row r="296" spans="1:6" ht="15" customHeight="1" x14ac:dyDescent="0.25">
      <c r="A296" s="95">
        <f t="shared" si="14"/>
        <v>44232</v>
      </c>
      <c r="B296" s="76">
        <f>IF(ISNUMBER(_xlfn.XLOOKUP(A296,鑽量!$A:$A,鑽量!$K:$K,,1,2)),_xlfn.XLOOKUP(A296,鑽量!$A:$A,鑽量!$K:$K,,1,2),NA())</f>
        <v>12540</v>
      </c>
      <c r="C296" s="417">
        <f t="shared" si="13"/>
        <v>104.5</v>
      </c>
      <c r="D296" s="417">
        <f>IF(ISNUMBER(_xlfn.XLOOKUP(A296,抽卷!$A:$A,抽卷!$K:$K,,1,2)),_xlfn.XLOOKUP(A296,抽卷!$A:$A,抽卷!$K:$K,,1,2),NA())</f>
        <v>75</v>
      </c>
      <c r="E296" s="417">
        <f>IF(ISNUMBER(_xlfn.XLOOKUP(A296,抽卷!$A:$A,抽卷!$M:$M,,1,2)),_xlfn.XLOOKUP(A296,抽卷!$A:$A,抽卷!$M:$M,,1,2),NA())</f>
        <v>60</v>
      </c>
      <c r="F296" s="70">
        <f t="shared" si="12"/>
        <v>239.5</v>
      </c>
    </row>
    <row r="297" spans="1:6" ht="15" customHeight="1" x14ac:dyDescent="0.25">
      <c r="A297" s="95">
        <f t="shared" si="14"/>
        <v>44233</v>
      </c>
      <c r="B297" s="76">
        <f>IF(ISNUMBER(_xlfn.XLOOKUP(A297,鑽量!$A:$A,鑽量!$K:$K,,1,2)),_xlfn.XLOOKUP(A297,鑽量!$A:$A,鑽量!$K:$K,,1,2),NA())</f>
        <v>13390</v>
      </c>
      <c r="C297" s="417">
        <f t="shared" si="13"/>
        <v>111.58333333333333</v>
      </c>
      <c r="D297" s="417">
        <f>IF(ISNUMBER(_xlfn.XLOOKUP(A297,抽卷!$A:$A,抽卷!$K:$K,,1,2)),_xlfn.XLOOKUP(A297,抽卷!$A:$A,抽卷!$K:$K,,1,2),NA())</f>
        <v>75</v>
      </c>
      <c r="E297" s="417">
        <f>IF(ISNUMBER(_xlfn.XLOOKUP(A297,抽卷!$A:$A,抽卷!$M:$M,,1,2)),_xlfn.XLOOKUP(A297,抽卷!$A:$A,抽卷!$M:$M,,1,2),NA())</f>
        <v>70</v>
      </c>
      <c r="F297" s="70">
        <f t="shared" si="12"/>
        <v>256.58333333333331</v>
      </c>
    </row>
    <row r="298" spans="1:6" ht="15" customHeight="1" x14ac:dyDescent="0.25">
      <c r="A298" s="95">
        <f t="shared" si="14"/>
        <v>44234</v>
      </c>
      <c r="B298" s="76">
        <f>IF(ISNUMBER(_xlfn.XLOOKUP(A298,鑽量!$A:$A,鑽量!$K:$K,,1,2)),_xlfn.XLOOKUP(A298,鑽量!$A:$A,鑽量!$K:$K,,1,2),NA())</f>
        <v>12890</v>
      </c>
      <c r="C298" s="417">
        <f t="shared" si="13"/>
        <v>107.41666666666667</v>
      </c>
      <c r="D298" s="417">
        <f>IF(ISNUMBER(_xlfn.XLOOKUP(A298,抽卷!$A:$A,抽卷!$K:$K,,1,2)),_xlfn.XLOOKUP(A298,抽卷!$A:$A,抽卷!$K:$K,,1,2),NA())</f>
        <v>77</v>
      </c>
      <c r="E298" s="417">
        <f>IF(ISNUMBER(_xlfn.XLOOKUP(A298,抽卷!$A:$A,抽卷!$M:$M,,1,2)),_xlfn.XLOOKUP(A298,抽卷!$A:$A,抽卷!$M:$M,,1,2),NA())</f>
        <v>70</v>
      </c>
      <c r="F298" s="70">
        <f t="shared" si="12"/>
        <v>254.41666666666669</v>
      </c>
    </row>
    <row r="299" spans="1:6" ht="15" customHeight="1" x14ac:dyDescent="0.25">
      <c r="A299" s="95">
        <f t="shared" si="14"/>
        <v>44235</v>
      </c>
      <c r="B299" s="76">
        <f>IF(ISNUMBER(_xlfn.XLOOKUP(A299,鑽量!$A:$A,鑽量!$K:$K,,1,2)),_xlfn.XLOOKUP(A299,鑽量!$A:$A,鑽量!$K:$K,,1,2),NA())</f>
        <v>12955</v>
      </c>
      <c r="C299" s="417">
        <f t="shared" si="13"/>
        <v>107.95833333333333</v>
      </c>
      <c r="D299" s="417">
        <f>IF(ISNUMBER(_xlfn.XLOOKUP(A299,抽卷!$A:$A,抽卷!$K:$K,,1,2)),_xlfn.XLOOKUP(A299,抽卷!$A:$A,抽卷!$K:$K,,1,2),NA())</f>
        <v>78</v>
      </c>
      <c r="E299" s="417">
        <f>IF(ISNUMBER(_xlfn.XLOOKUP(A299,抽卷!$A:$A,抽卷!$M:$M,,1,2)),_xlfn.XLOOKUP(A299,抽卷!$A:$A,抽卷!$M:$M,,1,2),NA())</f>
        <v>70</v>
      </c>
      <c r="F299" s="70">
        <f t="shared" si="12"/>
        <v>255.95833333333331</v>
      </c>
    </row>
    <row r="300" spans="1:6" ht="15" customHeight="1" x14ac:dyDescent="0.25">
      <c r="A300" s="95">
        <f t="shared" si="14"/>
        <v>44236</v>
      </c>
      <c r="B300" s="76">
        <f>IF(ISNUMBER(_xlfn.XLOOKUP(A300,鑽量!$A:$A,鑽量!$K:$K,,1,2)),_xlfn.XLOOKUP(A300,鑽量!$A:$A,鑽量!$K:$K,,1,2),NA())</f>
        <v>13005</v>
      </c>
      <c r="C300" s="417">
        <f t="shared" si="13"/>
        <v>108.375</v>
      </c>
      <c r="D300" s="417">
        <f>IF(ISNUMBER(_xlfn.XLOOKUP(A300,抽卷!$A:$A,抽卷!$K:$K,,1,2)),_xlfn.XLOOKUP(A300,抽卷!$A:$A,抽卷!$K:$K,,1,2),NA())</f>
        <v>89</v>
      </c>
      <c r="E300" s="417">
        <f>IF(ISNUMBER(_xlfn.XLOOKUP(A300,抽卷!$A:$A,抽卷!$M:$M,,1,2)),_xlfn.XLOOKUP(A300,抽卷!$A:$A,抽卷!$M:$M,,1,2),NA())</f>
        <v>70</v>
      </c>
      <c r="F300" s="70">
        <f t="shared" si="12"/>
        <v>267.375</v>
      </c>
    </row>
    <row r="301" spans="1:6" ht="15" customHeight="1" x14ac:dyDescent="0.25">
      <c r="A301" s="95">
        <f t="shared" si="14"/>
        <v>44237</v>
      </c>
      <c r="B301" s="76">
        <f>IF(ISNUMBER(_xlfn.XLOOKUP(A301,鑽量!$A:$A,鑽量!$K:$K,,1,2)),_xlfn.XLOOKUP(A301,鑽量!$A:$A,鑽量!$K:$K,,1,2),NA())</f>
        <v>13005</v>
      </c>
      <c r="C301" s="417">
        <f t="shared" si="13"/>
        <v>108.375</v>
      </c>
      <c r="D301" s="417">
        <f>IF(ISNUMBER(_xlfn.XLOOKUP(A301,抽卷!$A:$A,抽卷!$K:$K,,1,2)),_xlfn.XLOOKUP(A301,抽卷!$A:$A,抽卷!$K:$K,,1,2),NA())</f>
        <v>90</v>
      </c>
      <c r="E301" s="417">
        <f>IF(ISNUMBER(_xlfn.XLOOKUP(A301,抽卷!$A:$A,抽卷!$M:$M,,1,2)),_xlfn.XLOOKUP(A301,抽卷!$A:$A,抽卷!$M:$M,,1,2),NA())</f>
        <v>70</v>
      </c>
      <c r="F301" s="70">
        <f t="shared" si="12"/>
        <v>268.375</v>
      </c>
    </row>
    <row r="302" spans="1:6" ht="15" customHeight="1" x14ac:dyDescent="0.25">
      <c r="A302" s="95">
        <f t="shared" si="14"/>
        <v>44238</v>
      </c>
      <c r="B302" s="76">
        <f>IF(ISNUMBER(_xlfn.XLOOKUP(A302,鑽量!$A:$A,鑽量!$K:$K,,1,2)),_xlfn.XLOOKUP(A302,鑽量!$A:$A,鑽量!$K:$K,,1,2),NA())</f>
        <v>14255</v>
      </c>
      <c r="C302" s="417">
        <f t="shared" si="13"/>
        <v>118.79166666666667</v>
      </c>
      <c r="D302" s="417">
        <f>IF(ISNUMBER(_xlfn.XLOOKUP(A302,抽卷!$A:$A,抽卷!$K:$K,,1,2)),_xlfn.XLOOKUP(A302,抽卷!$A:$A,抽卷!$K:$K,,1,2),NA())</f>
        <v>91</v>
      </c>
      <c r="E302" s="417">
        <f>IF(ISNUMBER(_xlfn.XLOOKUP(A302,抽卷!$A:$A,抽卷!$M:$M,,1,2)),_xlfn.XLOOKUP(A302,抽卷!$A:$A,抽卷!$M:$M,,1,2),NA())</f>
        <v>70</v>
      </c>
      <c r="F302" s="70">
        <f t="shared" si="12"/>
        <v>279.79166666666669</v>
      </c>
    </row>
    <row r="303" spans="1:6" ht="15" customHeight="1" x14ac:dyDescent="0.25">
      <c r="A303" s="95">
        <f t="shared" si="14"/>
        <v>44239</v>
      </c>
      <c r="B303" s="76">
        <f>IF(ISNUMBER(_xlfn.XLOOKUP(A303,鑽量!$A:$A,鑽量!$K:$K,,1,2)),_xlfn.XLOOKUP(A303,鑽量!$A:$A,鑽量!$K:$K,,1,2),NA())</f>
        <v>14205</v>
      </c>
      <c r="C303" s="417">
        <f t="shared" ref="C303:C366" si="15">B303/120</f>
        <v>118.375</v>
      </c>
      <c r="D303" s="417">
        <f>IF(ISNUMBER(_xlfn.XLOOKUP(A303,抽卷!$A:$A,抽卷!$K:$K,,1,2)),_xlfn.XLOOKUP(A303,抽卷!$A:$A,抽卷!$K:$K,,1,2),NA())</f>
        <v>91</v>
      </c>
      <c r="E303" s="417">
        <f>IF(ISNUMBER(_xlfn.XLOOKUP(A303,抽卷!$A:$A,抽卷!$M:$M,,1,2)),_xlfn.XLOOKUP(A303,抽卷!$A:$A,抽卷!$M:$M,,1,2),NA())</f>
        <v>70</v>
      </c>
      <c r="F303" s="70">
        <f t="shared" si="12"/>
        <v>279.375</v>
      </c>
    </row>
    <row r="304" spans="1:6" ht="15" customHeight="1" x14ac:dyDescent="0.25">
      <c r="A304" s="95">
        <f t="shared" si="14"/>
        <v>44240</v>
      </c>
      <c r="B304" s="76">
        <f>IF(ISNUMBER(_xlfn.XLOOKUP(A304,鑽量!$A:$A,鑽量!$K:$K,,1,2)),_xlfn.XLOOKUP(A304,鑽量!$A:$A,鑽量!$K:$K,,1,2),NA())</f>
        <v>15070</v>
      </c>
      <c r="C304" s="417">
        <f t="shared" si="15"/>
        <v>125.58333333333333</v>
      </c>
      <c r="D304" s="417">
        <f>IF(ISNUMBER(_xlfn.XLOOKUP(A304,抽卷!$A:$A,抽卷!$K:$K,,1,2)),_xlfn.XLOOKUP(A304,抽卷!$A:$A,抽卷!$K:$K,,1,2),NA())</f>
        <v>93</v>
      </c>
      <c r="E304" s="417">
        <f>IF(ISNUMBER(_xlfn.XLOOKUP(A304,抽卷!$A:$A,抽卷!$M:$M,,1,2)),_xlfn.XLOOKUP(A304,抽卷!$A:$A,抽卷!$M:$M,,1,2),NA())</f>
        <v>70</v>
      </c>
      <c r="F304" s="70">
        <f t="shared" si="12"/>
        <v>288.58333333333331</v>
      </c>
    </row>
    <row r="305" spans="1:6" ht="15" customHeight="1" x14ac:dyDescent="0.25">
      <c r="A305" s="95">
        <f t="shared" si="14"/>
        <v>44241</v>
      </c>
      <c r="B305" s="76">
        <f>IF(ISNUMBER(_xlfn.XLOOKUP(A305,鑽量!$A:$A,鑽量!$K:$K,,1,2)),_xlfn.XLOOKUP(A305,鑽量!$A:$A,鑽量!$K:$K,,1,2),NA())</f>
        <v>14660</v>
      </c>
      <c r="C305" s="417">
        <f t="shared" si="15"/>
        <v>122.16666666666667</v>
      </c>
      <c r="D305" s="417">
        <f>IF(ISNUMBER(_xlfn.XLOOKUP(A305,抽卷!$A:$A,抽卷!$K:$K,,1,2)),_xlfn.XLOOKUP(A305,抽卷!$A:$A,抽卷!$K:$K,,1,2),NA())</f>
        <v>91</v>
      </c>
      <c r="E305" s="417">
        <f>IF(ISNUMBER(_xlfn.XLOOKUP(A305,抽卷!$A:$A,抽卷!$M:$M,,1,2)),_xlfn.XLOOKUP(A305,抽卷!$A:$A,抽卷!$M:$M,,1,2),NA())</f>
        <v>70</v>
      </c>
      <c r="F305" s="70">
        <f t="shared" si="12"/>
        <v>283.16666666666669</v>
      </c>
    </row>
    <row r="306" spans="1:6" ht="15" customHeight="1" x14ac:dyDescent="0.25">
      <c r="A306" s="95">
        <f t="shared" si="14"/>
        <v>44242</v>
      </c>
      <c r="B306" s="76">
        <f>IF(ISNUMBER(_xlfn.XLOOKUP(A306,鑽量!$A:$A,鑽量!$K:$K,,1,2)),_xlfn.XLOOKUP(A306,鑽量!$A:$A,鑽量!$K:$K,,1,2),NA())</f>
        <v>15075</v>
      </c>
      <c r="C306" s="417">
        <f t="shared" si="15"/>
        <v>125.625</v>
      </c>
      <c r="D306" s="417">
        <f>IF(ISNUMBER(_xlfn.XLOOKUP(A306,抽卷!$A:$A,抽卷!$K:$K,,1,2)),_xlfn.XLOOKUP(A306,抽卷!$A:$A,抽卷!$K:$K,,1,2),NA())</f>
        <v>103</v>
      </c>
      <c r="E306" s="417">
        <f>IF(ISNUMBER(_xlfn.XLOOKUP(A306,抽卷!$A:$A,抽卷!$M:$M,,1,2)),_xlfn.XLOOKUP(A306,抽卷!$A:$A,抽卷!$M:$M,,1,2),NA())</f>
        <v>70</v>
      </c>
      <c r="F306" s="70">
        <f t="shared" si="12"/>
        <v>298.625</v>
      </c>
    </row>
    <row r="307" spans="1:6" ht="15" customHeight="1" x14ac:dyDescent="0.25">
      <c r="A307" s="95">
        <f t="shared" si="14"/>
        <v>44243</v>
      </c>
      <c r="B307" s="76">
        <f>IF(ISNUMBER(_xlfn.XLOOKUP(A307,鑽量!$A:$A,鑽量!$K:$K,,1,2)),_xlfn.XLOOKUP(A307,鑽量!$A:$A,鑽量!$K:$K,,1,2),NA())</f>
        <v>15075</v>
      </c>
      <c r="C307" s="417">
        <f t="shared" si="15"/>
        <v>125.625</v>
      </c>
      <c r="D307" s="417">
        <f>IF(ISNUMBER(_xlfn.XLOOKUP(A307,抽卷!$A:$A,抽卷!$K:$K,,1,2)),_xlfn.XLOOKUP(A307,抽卷!$A:$A,抽卷!$K:$K,,1,2),NA())</f>
        <v>103</v>
      </c>
      <c r="E307" s="417">
        <f>IF(ISNUMBER(_xlfn.XLOOKUP(A307,抽卷!$A:$A,抽卷!$M:$M,,1,2)),_xlfn.XLOOKUP(A307,抽卷!$A:$A,抽卷!$M:$M,,1,2),NA())</f>
        <v>70</v>
      </c>
      <c r="F307" s="70">
        <f t="shared" si="12"/>
        <v>298.625</v>
      </c>
    </row>
    <row r="308" spans="1:6" ht="15" customHeight="1" x14ac:dyDescent="0.25">
      <c r="A308" s="95">
        <f t="shared" si="14"/>
        <v>44244</v>
      </c>
      <c r="B308" s="76">
        <f>IF(ISNUMBER(_xlfn.XLOOKUP(A308,鑽量!$A:$A,鑽量!$K:$K,,1,2)),_xlfn.XLOOKUP(A308,鑽量!$A:$A,鑽量!$K:$K,,1,2),NA())</f>
        <v>15125</v>
      </c>
      <c r="C308" s="417">
        <f t="shared" si="15"/>
        <v>126.04166666666667</v>
      </c>
      <c r="D308" s="417">
        <f>IF(ISNUMBER(_xlfn.XLOOKUP(A308,抽卷!$A:$A,抽卷!$K:$K,,1,2)),_xlfn.XLOOKUP(A308,抽卷!$A:$A,抽卷!$K:$K,,1,2),NA())</f>
        <v>108</v>
      </c>
      <c r="E308" s="417">
        <f>IF(ISNUMBER(_xlfn.XLOOKUP(A308,抽卷!$A:$A,抽卷!$M:$M,,1,2)),_xlfn.XLOOKUP(A308,抽卷!$A:$A,抽卷!$M:$M,,1,2),NA())</f>
        <v>70</v>
      </c>
      <c r="F308" s="70">
        <f t="shared" si="12"/>
        <v>304.04166666666669</v>
      </c>
    </row>
    <row r="309" spans="1:6" ht="15" customHeight="1" x14ac:dyDescent="0.25">
      <c r="A309" s="95">
        <f t="shared" si="14"/>
        <v>44245</v>
      </c>
      <c r="B309" s="76">
        <f>IF(ISNUMBER(_xlfn.XLOOKUP(A309,鑽量!$A:$A,鑽量!$K:$K,,1,2)),_xlfn.XLOOKUP(A309,鑽量!$A:$A,鑽量!$K:$K,,1,2),NA())</f>
        <v>15260</v>
      </c>
      <c r="C309" s="417">
        <f t="shared" si="15"/>
        <v>127.16666666666667</v>
      </c>
      <c r="D309" s="417">
        <f>IF(ISNUMBER(_xlfn.XLOOKUP(A309,抽卷!$A:$A,抽卷!$K:$K,,1,2)),_xlfn.XLOOKUP(A309,抽卷!$A:$A,抽卷!$K:$K,,1,2),NA())</f>
        <v>108</v>
      </c>
      <c r="E309" s="417">
        <f>IF(ISNUMBER(_xlfn.XLOOKUP(A309,抽卷!$A:$A,抽卷!$M:$M,,1,2)),_xlfn.XLOOKUP(A309,抽卷!$A:$A,抽卷!$M:$M,,1,2),NA())</f>
        <v>70</v>
      </c>
      <c r="F309" s="70">
        <f t="shared" si="12"/>
        <v>305.16666666666669</v>
      </c>
    </row>
    <row r="310" spans="1:6" ht="15" customHeight="1" x14ac:dyDescent="0.25">
      <c r="A310" s="95">
        <f t="shared" si="14"/>
        <v>44246</v>
      </c>
      <c r="B310" s="76">
        <f>IF(ISNUMBER(_xlfn.XLOOKUP(A310,鑽量!$A:$A,鑽量!$K:$K,,1,2)),_xlfn.XLOOKUP(A310,鑽量!$A:$A,鑽量!$K:$K,,1,2),NA())</f>
        <v>14030</v>
      </c>
      <c r="C310" s="417">
        <f t="shared" si="15"/>
        <v>116.91666666666667</v>
      </c>
      <c r="D310" s="417">
        <f>IF(ISNUMBER(_xlfn.XLOOKUP(A310,抽卷!$A:$A,抽卷!$K:$K,,1,2)),_xlfn.XLOOKUP(A310,抽卷!$A:$A,抽卷!$K:$K,,1,2),NA())</f>
        <v>106</v>
      </c>
      <c r="E310" s="417">
        <f>IF(ISNUMBER(_xlfn.XLOOKUP(A310,抽卷!$A:$A,抽卷!$M:$M,,1,2)),_xlfn.XLOOKUP(A310,抽卷!$A:$A,抽卷!$M:$M,,1,2),NA())</f>
        <v>70</v>
      </c>
      <c r="F310" s="70">
        <f t="shared" si="12"/>
        <v>292.91666666666669</v>
      </c>
    </row>
    <row r="311" spans="1:6" ht="15" customHeight="1" x14ac:dyDescent="0.25">
      <c r="A311" s="95">
        <f t="shared" si="14"/>
        <v>44247</v>
      </c>
      <c r="B311" s="76">
        <f>IF(ISNUMBER(_xlfn.XLOOKUP(A311,鑽量!$A:$A,鑽量!$K:$K,,1,2)),_xlfn.XLOOKUP(A311,鑽量!$A:$A,鑽量!$K:$K,,1,2),NA())</f>
        <v>14155</v>
      </c>
      <c r="C311" s="417">
        <f t="shared" si="15"/>
        <v>117.95833333333333</v>
      </c>
      <c r="D311" s="417">
        <f>IF(ISNUMBER(_xlfn.XLOOKUP(A311,抽卷!$A:$A,抽卷!$K:$K,,1,2)),_xlfn.XLOOKUP(A311,抽卷!$A:$A,抽卷!$K:$K,,1,2),NA())</f>
        <v>92</v>
      </c>
      <c r="E311" s="417">
        <f>IF(ISNUMBER(_xlfn.XLOOKUP(A311,抽卷!$A:$A,抽卷!$M:$M,,1,2)),_xlfn.XLOOKUP(A311,抽卷!$A:$A,抽卷!$M:$M,,1,2),NA())</f>
        <v>70</v>
      </c>
      <c r="F311" s="70">
        <f t="shared" si="12"/>
        <v>279.95833333333331</v>
      </c>
    </row>
    <row r="312" spans="1:6" ht="15" customHeight="1" x14ac:dyDescent="0.25">
      <c r="A312" s="95">
        <f t="shared" si="14"/>
        <v>44248</v>
      </c>
      <c r="B312" s="76">
        <f>IF(ISNUMBER(_xlfn.XLOOKUP(A312,鑽量!$A:$A,鑽量!$K:$K,,1,2)),_xlfn.XLOOKUP(A312,鑽量!$A:$A,鑽量!$K:$K,,1,2),NA())</f>
        <v>13480</v>
      </c>
      <c r="C312" s="417">
        <f t="shared" si="15"/>
        <v>112.33333333333333</v>
      </c>
      <c r="D312" s="417">
        <f>IF(ISNUMBER(_xlfn.XLOOKUP(A312,抽卷!$A:$A,抽卷!$K:$K,,1,2)),_xlfn.XLOOKUP(A312,抽卷!$A:$A,抽卷!$K:$K,,1,2),NA())</f>
        <v>92</v>
      </c>
      <c r="E312" s="417">
        <f>IF(ISNUMBER(_xlfn.XLOOKUP(A312,抽卷!$A:$A,抽卷!$M:$M,,1,2)),_xlfn.XLOOKUP(A312,抽卷!$A:$A,抽卷!$M:$M,,1,2),NA())</f>
        <v>70</v>
      </c>
      <c r="F312" s="70">
        <f t="shared" si="12"/>
        <v>274.33333333333331</v>
      </c>
    </row>
    <row r="313" spans="1:6" ht="15" customHeight="1" x14ac:dyDescent="0.25">
      <c r="A313" s="95">
        <f t="shared" si="14"/>
        <v>44249</v>
      </c>
      <c r="B313" s="76">
        <f>IF(ISNUMBER(_xlfn.XLOOKUP(A313,鑽量!$A:$A,鑽量!$K:$K,,1,2)),_xlfn.XLOOKUP(A313,鑽量!$A:$A,鑽量!$K:$K,,1,2),NA())</f>
        <v>13830</v>
      </c>
      <c r="C313" s="417">
        <f t="shared" si="15"/>
        <v>115.25</v>
      </c>
      <c r="D313" s="417">
        <f>IF(ISNUMBER(_xlfn.XLOOKUP(A313,抽卷!$A:$A,抽卷!$K:$K,,1,2)),_xlfn.XLOOKUP(A313,抽卷!$A:$A,抽卷!$K:$K,,1,2),NA())</f>
        <v>93</v>
      </c>
      <c r="E313" s="417">
        <f>IF(ISNUMBER(_xlfn.XLOOKUP(A313,抽卷!$A:$A,抽卷!$M:$M,,1,2)),_xlfn.XLOOKUP(A313,抽卷!$A:$A,抽卷!$M:$M,,1,2),NA())</f>
        <v>70</v>
      </c>
      <c r="F313" s="70">
        <f t="shared" si="12"/>
        <v>278.25</v>
      </c>
    </row>
    <row r="314" spans="1:6" ht="15" customHeight="1" x14ac:dyDescent="0.25">
      <c r="A314" s="95">
        <f t="shared" si="14"/>
        <v>44250</v>
      </c>
      <c r="B314" s="76">
        <f>IF(ISNUMBER(_xlfn.XLOOKUP(A314,鑽量!$A:$A,鑽量!$K:$K,,1,2)),_xlfn.XLOOKUP(A314,鑽量!$A:$A,鑽量!$K:$K,,1,2),NA())</f>
        <v>13880</v>
      </c>
      <c r="C314" s="417">
        <f t="shared" si="15"/>
        <v>115.66666666666667</v>
      </c>
      <c r="D314" s="417">
        <f>IF(ISNUMBER(_xlfn.XLOOKUP(A314,抽卷!$A:$A,抽卷!$K:$K,,1,2)),_xlfn.XLOOKUP(A314,抽卷!$A:$A,抽卷!$K:$K,,1,2),NA())</f>
        <v>92</v>
      </c>
      <c r="E314" s="417">
        <f>IF(ISNUMBER(_xlfn.XLOOKUP(A314,抽卷!$A:$A,抽卷!$M:$M,,1,2)),_xlfn.XLOOKUP(A314,抽卷!$A:$A,抽卷!$M:$M,,1,2),NA())</f>
        <v>70</v>
      </c>
      <c r="F314" s="70">
        <f t="shared" si="12"/>
        <v>277.66666666666669</v>
      </c>
    </row>
    <row r="315" spans="1:6" ht="15" customHeight="1" x14ac:dyDescent="0.25">
      <c r="A315" s="95">
        <f t="shared" si="14"/>
        <v>44251</v>
      </c>
      <c r="B315" s="76">
        <f>IF(ISNUMBER(_xlfn.XLOOKUP(A315,鑽量!$A:$A,鑽量!$K:$K,,1,2)),_xlfn.XLOOKUP(A315,鑽量!$A:$A,鑽量!$K:$K,,1,2),NA())</f>
        <v>14130</v>
      </c>
      <c r="C315" s="417">
        <f t="shared" si="15"/>
        <v>117.75</v>
      </c>
      <c r="D315" s="417">
        <f>IF(ISNUMBER(_xlfn.XLOOKUP(A315,抽卷!$A:$A,抽卷!$K:$K,,1,2)),_xlfn.XLOOKUP(A315,抽卷!$A:$A,抽卷!$K:$K,,1,2),NA())</f>
        <v>92</v>
      </c>
      <c r="E315" s="417">
        <f>IF(ISNUMBER(_xlfn.XLOOKUP(A315,抽卷!$A:$A,抽卷!$M:$M,,1,2)),_xlfn.XLOOKUP(A315,抽卷!$A:$A,抽卷!$M:$M,,1,2),NA())</f>
        <v>70</v>
      </c>
      <c r="F315" s="70">
        <f t="shared" ref="F315:F378" si="16">IF(ISNA(E315),IF(ISNA(D315),C315,C315+D315),E315+D315+C315)</f>
        <v>279.75</v>
      </c>
    </row>
    <row r="316" spans="1:6" ht="15" customHeight="1" x14ac:dyDescent="0.25">
      <c r="A316" s="95">
        <f t="shared" si="14"/>
        <v>44252</v>
      </c>
      <c r="B316" s="76">
        <f>IF(ISNUMBER(_xlfn.XLOOKUP(A316,鑽量!$A:$A,鑽量!$K:$K,,1,2)),_xlfn.XLOOKUP(A316,鑽量!$A:$A,鑽量!$K:$K,,1,2),NA())</f>
        <v>13960</v>
      </c>
      <c r="C316" s="417">
        <f t="shared" si="15"/>
        <v>116.33333333333333</v>
      </c>
      <c r="D316" s="417">
        <f>IF(ISNUMBER(_xlfn.XLOOKUP(A316,抽卷!$A:$A,抽卷!$K:$K,,1,2)),_xlfn.XLOOKUP(A316,抽卷!$A:$A,抽卷!$K:$K,,1,2),NA())</f>
        <v>89</v>
      </c>
      <c r="E316" s="417">
        <f>IF(ISNUMBER(_xlfn.XLOOKUP(A316,抽卷!$A:$A,抽卷!$M:$M,,1,2)),_xlfn.XLOOKUP(A316,抽卷!$A:$A,抽卷!$M:$M,,1,2),NA())</f>
        <v>70</v>
      </c>
      <c r="F316" s="70">
        <f t="shared" si="16"/>
        <v>275.33333333333331</v>
      </c>
    </row>
    <row r="317" spans="1:6" ht="15" customHeight="1" x14ac:dyDescent="0.25">
      <c r="A317" s="95">
        <f t="shared" si="14"/>
        <v>44253</v>
      </c>
      <c r="B317" s="76">
        <f>IF(ISNUMBER(_xlfn.XLOOKUP(A317,鑽量!$A:$A,鑽量!$K:$K,,1,2)),_xlfn.XLOOKUP(A317,鑽量!$A:$A,鑽量!$K:$K,,1,2),NA())</f>
        <v>14160</v>
      </c>
      <c r="C317" s="417">
        <f t="shared" si="15"/>
        <v>118</v>
      </c>
      <c r="D317" s="417">
        <f>IF(ISNUMBER(_xlfn.XLOOKUP(A317,抽卷!$A:$A,抽卷!$K:$K,,1,2)),_xlfn.XLOOKUP(A317,抽卷!$A:$A,抽卷!$K:$K,,1,2),NA())</f>
        <v>89</v>
      </c>
      <c r="E317" s="417">
        <f>IF(ISNUMBER(_xlfn.XLOOKUP(A317,抽卷!$A:$A,抽卷!$M:$M,,1,2)),_xlfn.XLOOKUP(A317,抽卷!$A:$A,抽卷!$M:$M,,1,2),NA())</f>
        <v>70</v>
      </c>
      <c r="F317" s="70">
        <f t="shared" si="16"/>
        <v>277</v>
      </c>
    </row>
    <row r="318" spans="1:6" ht="15" customHeight="1" x14ac:dyDescent="0.25">
      <c r="A318" s="95">
        <f t="shared" si="14"/>
        <v>44254</v>
      </c>
      <c r="B318" s="76">
        <f>IF(ISNUMBER(_xlfn.XLOOKUP(A318,鑽量!$A:$A,鑽量!$K:$K,,1,2)),_xlfn.XLOOKUP(A318,鑽量!$A:$A,鑽量!$K:$K,,1,2),NA())</f>
        <v>13360</v>
      </c>
      <c r="C318" s="417">
        <f t="shared" si="15"/>
        <v>111.33333333333333</v>
      </c>
      <c r="D318" s="417">
        <f>IF(ISNUMBER(_xlfn.XLOOKUP(A318,抽卷!$A:$A,抽卷!$K:$K,,1,2)),_xlfn.XLOOKUP(A318,抽卷!$A:$A,抽卷!$K:$K,,1,2),NA())</f>
        <v>109</v>
      </c>
      <c r="E318" s="417">
        <f>IF(ISNUMBER(_xlfn.XLOOKUP(A318,抽卷!$A:$A,抽卷!$M:$M,,1,2)),_xlfn.XLOOKUP(A318,抽卷!$A:$A,抽卷!$M:$M,,1,2),NA())</f>
        <v>70</v>
      </c>
      <c r="F318" s="70">
        <f t="shared" si="16"/>
        <v>290.33333333333331</v>
      </c>
    </row>
    <row r="319" spans="1:6" ht="15" customHeight="1" x14ac:dyDescent="0.25">
      <c r="A319" s="95">
        <f t="shared" si="14"/>
        <v>44255</v>
      </c>
      <c r="B319" s="76">
        <f>IF(ISNUMBER(_xlfn.XLOOKUP(A319,鑽量!$A:$A,鑽量!$K:$K,,1,2)),_xlfn.XLOOKUP(A319,鑽量!$A:$A,鑽量!$K:$K,,1,2),NA())</f>
        <v>12845</v>
      </c>
      <c r="C319" s="417">
        <f t="shared" si="15"/>
        <v>107.04166666666667</v>
      </c>
      <c r="D319" s="417">
        <f>IF(ISNUMBER(_xlfn.XLOOKUP(A319,抽卷!$A:$A,抽卷!$K:$K,,1,2)),_xlfn.XLOOKUP(A319,抽卷!$A:$A,抽卷!$K:$K,,1,2),NA())</f>
        <v>116</v>
      </c>
      <c r="E319" s="417">
        <f>IF(ISNUMBER(_xlfn.XLOOKUP(A319,抽卷!$A:$A,抽卷!$M:$M,,1,2)),_xlfn.XLOOKUP(A319,抽卷!$A:$A,抽卷!$M:$M,,1,2),NA())</f>
        <v>70</v>
      </c>
      <c r="F319" s="70">
        <f t="shared" si="16"/>
        <v>293.04166666666669</v>
      </c>
    </row>
    <row r="320" spans="1:6" ht="15" customHeight="1" x14ac:dyDescent="0.25">
      <c r="A320" s="95">
        <f t="shared" si="14"/>
        <v>44256</v>
      </c>
      <c r="B320" s="76">
        <f>IF(ISNUMBER(_xlfn.XLOOKUP(A320,鑽量!$A:$A,鑽量!$K:$K,,1,2)),_xlfn.XLOOKUP(A320,鑽量!$A:$A,鑽量!$K:$K,,1,2),NA())</f>
        <v>12670</v>
      </c>
      <c r="C320" s="417">
        <f t="shared" si="15"/>
        <v>105.58333333333333</v>
      </c>
      <c r="D320" s="417">
        <f>IF(ISNUMBER(_xlfn.XLOOKUP(A320,抽卷!$A:$A,抽卷!$K:$K,,1,2)),_xlfn.XLOOKUP(A320,抽卷!$A:$A,抽卷!$K:$K,,1,2),NA())</f>
        <v>121</v>
      </c>
      <c r="E320" s="417">
        <f>IF(ISNUMBER(_xlfn.XLOOKUP(A320,抽卷!$A:$A,抽卷!$M:$M,,1,2)),_xlfn.XLOOKUP(A320,抽卷!$A:$A,抽卷!$M:$M,,1,2),NA())</f>
        <v>70</v>
      </c>
      <c r="F320" s="70">
        <f t="shared" si="16"/>
        <v>296.58333333333331</v>
      </c>
    </row>
    <row r="321" spans="1:6" ht="15" customHeight="1" x14ac:dyDescent="0.25">
      <c r="A321" s="95">
        <f t="shared" si="14"/>
        <v>44257</v>
      </c>
      <c r="B321" s="76">
        <f>IF(ISNUMBER(_xlfn.XLOOKUP(A321,鑽量!$A:$A,鑽量!$K:$K,,1,2)),_xlfn.XLOOKUP(A321,鑽量!$A:$A,鑽量!$K:$K,,1,2),NA())</f>
        <v>12735</v>
      </c>
      <c r="C321" s="417">
        <f t="shared" si="15"/>
        <v>106.125</v>
      </c>
      <c r="D321" s="417">
        <f>IF(ISNUMBER(_xlfn.XLOOKUP(A321,抽卷!$A:$A,抽卷!$K:$K,,1,2)),_xlfn.XLOOKUP(A321,抽卷!$A:$A,抽卷!$K:$K,,1,2),NA())</f>
        <v>114</v>
      </c>
      <c r="E321" s="417">
        <f>IF(ISNUMBER(_xlfn.XLOOKUP(A321,抽卷!$A:$A,抽卷!$M:$M,,1,2)),_xlfn.XLOOKUP(A321,抽卷!$A:$A,抽卷!$M:$M,,1,2),NA())</f>
        <v>60</v>
      </c>
      <c r="F321" s="70">
        <f t="shared" si="16"/>
        <v>280.125</v>
      </c>
    </row>
    <row r="322" spans="1:6" ht="15" customHeight="1" x14ac:dyDescent="0.25">
      <c r="A322" s="95">
        <f t="shared" si="14"/>
        <v>44258</v>
      </c>
      <c r="B322" s="76">
        <f>IF(ISNUMBER(_xlfn.XLOOKUP(A322,鑽量!$A:$A,鑽量!$K:$K,,1,2)),_xlfn.XLOOKUP(A322,鑽量!$A:$A,鑽量!$K:$K,,1,2),NA())</f>
        <v>12110</v>
      </c>
      <c r="C322" s="417">
        <f t="shared" si="15"/>
        <v>100.91666666666667</v>
      </c>
      <c r="D322" s="417">
        <f>IF(ISNUMBER(_xlfn.XLOOKUP(A322,抽卷!$A:$A,抽卷!$K:$K,,1,2)),_xlfn.XLOOKUP(A322,抽卷!$A:$A,抽卷!$K:$K,,1,2),NA())</f>
        <v>109</v>
      </c>
      <c r="E322" s="417">
        <f>IF(ISNUMBER(_xlfn.XLOOKUP(A322,抽卷!$A:$A,抽卷!$M:$M,,1,2)),_xlfn.XLOOKUP(A322,抽卷!$A:$A,抽卷!$M:$M,,1,2),NA())</f>
        <v>60</v>
      </c>
      <c r="F322" s="70">
        <f t="shared" si="16"/>
        <v>269.91666666666669</v>
      </c>
    </row>
    <row r="323" spans="1:6" ht="15" customHeight="1" x14ac:dyDescent="0.25">
      <c r="A323" s="95">
        <f t="shared" si="14"/>
        <v>44259</v>
      </c>
      <c r="B323" s="76">
        <f>IF(ISNUMBER(_xlfn.XLOOKUP(A323,鑽量!$A:$A,鑽量!$K:$K,,1,2)),_xlfn.XLOOKUP(A323,鑽量!$A:$A,鑽量!$K:$K,,1,2),NA())</f>
        <v>10700</v>
      </c>
      <c r="C323" s="417">
        <f t="shared" si="15"/>
        <v>89.166666666666671</v>
      </c>
      <c r="D323" s="417">
        <f>IF(ISNUMBER(_xlfn.XLOOKUP(A323,抽卷!$A:$A,抽卷!$K:$K,,1,2)),_xlfn.XLOOKUP(A323,抽卷!$A:$A,抽卷!$K:$K,,1,2),NA())</f>
        <v>93</v>
      </c>
      <c r="E323" s="417">
        <f>IF(ISNUMBER(_xlfn.XLOOKUP(A323,抽卷!$A:$A,抽卷!$M:$M,,1,2)),_xlfn.XLOOKUP(A323,抽卷!$A:$A,抽卷!$M:$M,,1,2),NA())</f>
        <v>40</v>
      </c>
      <c r="F323" s="70">
        <f t="shared" si="16"/>
        <v>222.16666666666669</v>
      </c>
    </row>
    <row r="324" spans="1:6" ht="15" customHeight="1" x14ac:dyDescent="0.25">
      <c r="A324" s="95">
        <f t="shared" si="14"/>
        <v>44260</v>
      </c>
      <c r="B324" s="76">
        <f>IF(ISNUMBER(_xlfn.XLOOKUP(A324,鑽量!$A:$A,鑽量!$K:$K,,1,2)),_xlfn.XLOOKUP(A324,鑽量!$A:$A,鑽量!$K:$K,,1,2),NA())</f>
        <v>10700</v>
      </c>
      <c r="C324" s="417">
        <f t="shared" si="15"/>
        <v>89.166666666666671</v>
      </c>
      <c r="D324" s="417">
        <f>IF(ISNUMBER(_xlfn.XLOOKUP(A324,抽卷!$A:$A,抽卷!$K:$K,,1,2)),_xlfn.XLOOKUP(A324,抽卷!$A:$A,抽卷!$K:$K,,1,2),NA())</f>
        <v>82</v>
      </c>
      <c r="E324" s="417">
        <f>IF(ISNUMBER(_xlfn.XLOOKUP(A324,抽卷!$A:$A,抽卷!$M:$M,,1,2)),_xlfn.XLOOKUP(A324,抽卷!$A:$A,抽卷!$M:$M,,1,2),NA())</f>
        <v>30</v>
      </c>
      <c r="F324" s="70">
        <f t="shared" si="16"/>
        <v>201.16666666666669</v>
      </c>
    </row>
    <row r="325" spans="1:6" ht="15" customHeight="1" x14ac:dyDescent="0.25">
      <c r="A325" s="95">
        <f t="shared" si="14"/>
        <v>44261</v>
      </c>
      <c r="B325" s="76">
        <f>IF(ISNUMBER(_xlfn.XLOOKUP(A325,鑽量!$A:$A,鑽量!$K:$K,,1,2)),_xlfn.XLOOKUP(A325,鑽量!$A:$A,鑽量!$K:$K,,1,2),NA())</f>
        <v>10525</v>
      </c>
      <c r="C325" s="417">
        <f t="shared" si="15"/>
        <v>87.708333333333329</v>
      </c>
      <c r="D325" s="417">
        <f>IF(ISNUMBER(_xlfn.XLOOKUP(A325,抽卷!$A:$A,抽卷!$K:$K,,1,2)),_xlfn.XLOOKUP(A325,抽卷!$A:$A,抽卷!$K:$K,,1,2),NA())</f>
        <v>81</v>
      </c>
      <c r="E325" s="417">
        <f>IF(ISNUMBER(_xlfn.XLOOKUP(A325,抽卷!$A:$A,抽卷!$M:$M,,1,2)),_xlfn.XLOOKUP(A325,抽卷!$A:$A,抽卷!$M:$M,,1,2),NA())</f>
        <v>20</v>
      </c>
      <c r="F325" s="70">
        <f t="shared" si="16"/>
        <v>188.70833333333331</v>
      </c>
    </row>
    <row r="326" spans="1:6" ht="15" customHeight="1" x14ac:dyDescent="0.25">
      <c r="A326" s="95">
        <f t="shared" ref="A326:A389" si="17">A325+1</f>
        <v>44262</v>
      </c>
      <c r="B326" s="76">
        <f>IF(ISNUMBER(_xlfn.XLOOKUP(A326,鑽量!$A:$A,鑽量!$K:$K,,1,2)),_xlfn.XLOOKUP(A326,鑽量!$A:$A,鑽量!$K:$K,,1,2),NA())</f>
        <v>10515</v>
      </c>
      <c r="C326" s="417">
        <f t="shared" si="15"/>
        <v>87.625</v>
      </c>
      <c r="D326" s="417">
        <f>IF(ISNUMBER(_xlfn.XLOOKUP(A326,抽卷!$A:$A,抽卷!$K:$K,,1,2)),_xlfn.XLOOKUP(A326,抽卷!$A:$A,抽卷!$K:$K,,1,2),NA())</f>
        <v>80</v>
      </c>
      <c r="E326" s="417">
        <f>IF(ISNUMBER(_xlfn.XLOOKUP(A326,抽卷!$A:$A,抽卷!$M:$M,,1,2)),_xlfn.XLOOKUP(A326,抽卷!$A:$A,抽卷!$M:$M,,1,2),NA())</f>
        <v>10</v>
      </c>
      <c r="F326" s="70">
        <f t="shared" si="16"/>
        <v>177.625</v>
      </c>
    </row>
    <row r="327" spans="1:6" ht="15" customHeight="1" x14ac:dyDescent="0.25">
      <c r="A327" s="95">
        <f t="shared" si="17"/>
        <v>44263</v>
      </c>
      <c r="B327" s="76">
        <f>IF(ISNUMBER(_xlfn.XLOOKUP(A327,鑽量!$A:$A,鑽量!$K:$K,,1,2)),_xlfn.XLOOKUP(A327,鑽量!$A:$A,鑽量!$K:$K,,1,2),NA())</f>
        <v>8990</v>
      </c>
      <c r="C327" s="417">
        <f t="shared" si="15"/>
        <v>74.916666666666671</v>
      </c>
      <c r="D327" s="417">
        <f>IF(ISNUMBER(_xlfn.XLOOKUP(A327,抽卷!$A:$A,抽卷!$K:$K,,1,2)),_xlfn.XLOOKUP(A327,抽卷!$A:$A,抽卷!$K:$K,,1,2),NA())</f>
        <v>79</v>
      </c>
      <c r="E327" s="417">
        <f>IF(ISNUMBER(_xlfn.XLOOKUP(A327,抽卷!$A:$A,抽卷!$M:$M,,1,2)),_xlfn.XLOOKUP(A327,抽卷!$A:$A,抽卷!$M:$M,,1,2),NA())</f>
        <v>0</v>
      </c>
      <c r="F327" s="70">
        <f t="shared" si="16"/>
        <v>153.91666666666669</v>
      </c>
    </row>
    <row r="328" spans="1:6" ht="15" customHeight="1" x14ac:dyDescent="0.25">
      <c r="A328" s="95">
        <f t="shared" si="17"/>
        <v>44264</v>
      </c>
      <c r="B328" s="76">
        <f>IF(ISNUMBER(_xlfn.XLOOKUP(A328,鑽量!$A:$A,鑽量!$K:$K,,1,2)),_xlfn.XLOOKUP(A328,鑽量!$A:$A,鑽量!$K:$K,,1,2),NA())</f>
        <v>9040</v>
      </c>
      <c r="C328" s="417">
        <f t="shared" si="15"/>
        <v>75.333333333333329</v>
      </c>
      <c r="D328" s="417">
        <f>IF(ISNUMBER(_xlfn.XLOOKUP(A328,抽卷!$A:$A,抽卷!$K:$K,,1,2)),_xlfn.XLOOKUP(A328,抽卷!$A:$A,抽卷!$K:$K,,1,2),NA())</f>
        <v>78</v>
      </c>
      <c r="E328" s="417">
        <f>IF(ISNUMBER(_xlfn.XLOOKUP(A328,抽卷!$A:$A,抽卷!$M:$M,,1,2)),_xlfn.XLOOKUP(A328,抽卷!$A:$A,抽卷!$M:$M,,1,2),NA())</f>
        <v>0</v>
      </c>
      <c r="F328" s="70">
        <f t="shared" si="16"/>
        <v>153.33333333333331</v>
      </c>
    </row>
    <row r="329" spans="1:6" ht="15" customHeight="1" x14ac:dyDescent="0.25">
      <c r="A329" s="95">
        <f t="shared" si="17"/>
        <v>44265</v>
      </c>
      <c r="B329" s="76">
        <f>IF(ISNUMBER(_xlfn.XLOOKUP(A329,鑽量!$A:$A,鑽量!$K:$K,,1,2)),_xlfn.XLOOKUP(A329,鑽量!$A:$A,鑽量!$K:$K,,1,2),NA())</f>
        <v>9985</v>
      </c>
      <c r="C329" s="417">
        <f t="shared" si="15"/>
        <v>83.208333333333329</v>
      </c>
      <c r="D329" s="417">
        <f>IF(ISNUMBER(_xlfn.XLOOKUP(A329,抽卷!$A:$A,抽卷!$K:$K,,1,2)),_xlfn.XLOOKUP(A329,抽卷!$A:$A,抽卷!$K:$K,,1,2),NA())</f>
        <v>78</v>
      </c>
      <c r="E329" s="417">
        <f>IF(ISNUMBER(_xlfn.XLOOKUP(A329,抽卷!$A:$A,抽卷!$M:$M,,1,2)),_xlfn.XLOOKUP(A329,抽卷!$A:$A,抽卷!$M:$M,,1,2),NA())</f>
        <v>0</v>
      </c>
      <c r="F329" s="70">
        <f t="shared" si="16"/>
        <v>161.20833333333331</v>
      </c>
    </row>
    <row r="330" spans="1:6" ht="15" customHeight="1" x14ac:dyDescent="0.25">
      <c r="A330" s="95">
        <f t="shared" si="17"/>
        <v>44266</v>
      </c>
      <c r="B330" s="76">
        <f>IF(ISNUMBER(_xlfn.XLOOKUP(A330,鑽量!$A:$A,鑽量!$K:$K,,1,2)),_xlfn.XLOOKUP(A330,鑽量!$A:$A,鑽量!$K:$K,,1,2),NA())</f>
        <v>9985</v>
      </c>
      <c r="C330" s="417">
        <f t="shared" si="15"/>
        <v>83.208333333333329</v>
      </c>
      <c r="D330" s="417">
        <f>IF(ISNUMBER(_xlfn.XLOOKUP(A330,抽卷!$A:$A,抽卷!$K:$K,,1,2)),_xlfn.XLOOKUP(A330,抽卷!$A:$A,抽卷!$K:$K,,1,2),NA())</f>
        <v>78</v>
      </c>
      <c r="E330" s="417">
        <f>IF(ISNUMBER(_xlfn.XLOOKUP(A330,抽卷!$A:$A,抽卷!$M:$M,,1,2)),_xlfn.XLOOKUP(A330,抽卷!$A:$A,抽卷!$M:$M,,1,2),NA())</f>
        <v>0</v>
      </c>
      <c r="F330" s="70">
        <f t="shared" si="16"/>
        <v>161.20833333333331</v>
      </c>
    </row>
    <row r="331" spans="1:6" ht="15" customHeight="1" x14ac:dyDescent="0.25">
      <c r="A331" s="95">
        <f t="shared" si="17"/>
        <v>44267</v>
      </c>
      <c r="B331" s="76">
        <f>IF(ISNUMBER(_xlfn.XLOOKUP(A331,鑽量!$A:$A,鑽量!$K:$K,,1,2)),_xlfn.XLOOKUP(A331,鑽量!$A:$A,鑽量!$K:$K,,1,2),NA())</f>
        <v>10470</v>
      </c>
      <c r="C331" s="417">
        <f t="shared" si="15"/>
        <v>87.25</v>
      </c>
      <c r="D331" s="417">
        <f>IF(ISNUMBER(_xlfn.XLOOKUP(A331,抽卷!$A:$A,抽卷!$K:$K,,1,2)),_xlfn.XLOOKUP(A331,抽卷!$A:$A,抽卷!$K:$K,,1,2),NA())</f>
        <v>67</v>
      </c>
      <c r="E331" s="417">
        <f>IF(ISNUMBER(_xlfn.XLOOKUP(A331,抽卷!$A:$A,抽卷!$M:$M,,1,2)),_xlfn.XLOOKUP(A331,抽卷!$A:$A,抽卷!$M:$M,,1,2),NA())</f>
        <v>0</v>
      </c>
      <c r="F331" s="70">
        <f t="shared" si="16"/>
        <v>154.25</v>
      </c>
    </row>
    <row r="332" spans="1:6" ht="15" customHeight="1" x14ac:dyDescent="0.25">
      <c r="A332" s="95">
        <f t="shared" si="17"/>
        <v>44268</v>
      </c>
      <c r="B332" s="76">
        <f>IF(ISNUMBER(_xlfn.XLOOKUP(A332,鑽量!$A:$A,鑽量!$K:$K,,1,2)),_xlfn.XLOOKUP(A332,鑽量!$A:$A,鑽量!$K:$K,,1,2),NA())</f>
        <v>9220</v>
      </c>
      <c r="C332" s="417">
        <f t="shared" si="15"/>
        <v>76.833333333333329</v>
      </c>
      <c r="D332" s="417">
        <f>IF(ISNUMBER(_xlfn.XLOOKUP(A332,抽卷!$A:$A,抽卷!$K:$K,,1,2)),_xlfn.XLOOKUP(A332,抽卷!$A:$A,抽卷!$K:$K,,1,2),NA())</f>
        <v>67</v>
      </c>
      <c r="E332" s="417">
        <f>IF(ISNUMBER(_xlfn.XLOOKUP(A332,抽卷!$A:$A,抽卷!$M:$M,,1,2)),_xlfn.XLOOKUP(A332,抽卷!$A:$A,抽卷!$M:$M,,1,2),NA())</f>
        <v>0</v>
      </c>
      <c r="F332" s="70">
        <f t="shared" si="16"/>
        <v>143.83333333333331</v>
      </c>
    </row>
    <row r="333" spans="1:6" ht="15" customHeight="1" x14ac:dyDescent="0.25">
      <c r="A333" s="95">
        <f t="shared" si="17"/>
        <v>44269</v>
      </c>
      <c r="B333" s="76">
        <f>IF(ISNUMBER(_xlfn.XLOOKUP(A333,鑽量!$A:$A,鑽量!$K:$K,,1,2)),_xlfn.XLOOKUP(A333,鑽量!$A:$A,鑽量!$K:$K,,1,2),NA())</f>
        <v>9220</v>
      </c>
      <c r="C333" s="417">
        <f t="shared" si="15"/>
        <v>76.833333333333329</v>
      </c>
      <c r="D333" s="417">
        <f>IF(ISNUMBER(_xlfn.XLOOKUP(A333,抽卷!$A:$A,抽卷!$K:$K,,1,2)),_xlfn.XLOOKUP(A333,抽卷!$A:$A,抽卷!$K:$K,,1,2),NA())</f>
        <v>67</v>
      </c>
      <c r="E333" s="417">
        <f>IF(ISNUMBER(_xlfn.XLOOKUP(A333,抽卷!$A:$A,抽卷!$M:$M,,1,2)),_xlfn.XLOOKUP(A333,抽卷!$A:$A,抽卷!$M:$M,,1,2),NA())</f>
        <v>0</v>
      </c>
      <c r="F333" s="70">
        <f t="shared" si="16"/>
        <v>143.83333333333331</v>
      </c>
    </row>
    <row r="334" spans="1:6" ht="15" customHeight="1" x14ac:dyDescent="0.25">
      <c r="A334" s="95">
        <f t="shared" si="17"/>
        <v>44270</v>
      </c>
      <c r="B334" s="76">
        <f>IF(ISNUMBER(_xlfn.XLOOKUP(A334,鑽量!$A:$A,鑽量!$K:$K,,1,2)),_xlfn.XLOOKUP(A334,鑽量!$A:$A,鑽量!$K:$K,,1,2),NA())</f>
        <v>7810</v>
      </c>
      <c r="C334" s="417">
        <f t="shared" si="15"/>
        <v>65.083333333333329</v>
      </c>
      <c r="D334" s="417">
        <f>IF(ISNUMBER(_xlfn.XLOOKUP(A334,抽卷!$A:$A,抽卷!$K:$K,,1,2)),_xlfn.XLOOKUP(A334,抽卷!$A:$A,抽卷!$K:$K,,1,2),NA())</f>
        <v>67</v>
      </c>
      <c r="E334" s="417">
        <f>IF(ISNUMBER(_xlfn.XLOOKUP(A334,抽卷!$A:$A,抽卷!$M:$M,,1,2)),_xlfn.XLOOKUP(A334,抽卷!$A:$A,抽卷!$M:$M,,1,2),NA())</f>
        <v>0</v>
      </c>
      <c r="F334" s="70">
        <f t="shared" si="16"/>
        <v>132.08333333333331</v>
      </c>
    </row>
    <row r="335" spans="1:6" ht="15" customHeight="1" x14ac:dyDescent="0.25">
      <c r="A335" s="95">
        <f t="shared" si="17"/>
        <v>44271</v>
      </c>
      <c r="B335" s="76">
        <f>IF(ISNUMBER(_xlfn.XLOOKUP(A335,鑽量!$A:$A,鑽量!$K:$K,,1,2)),_xlfn.XLOOKUP(A335,鑽量!$A:$A,鑽量!$K:$K,,1,2),NA())</f>
        <v>7810</v>
      </c>
      <c r="C335" s="417">
        <f t="shared" si="15"/>
        <v>65.083333333333329</v>
      </c>
      <c r="D335" s="417">
        <f>IF(ISNUMBER(_xlfn.XLOOKUP(A335,抽卷!$A:$A,抽卷!$K:$K,,1,2)),_xlfn.XLOOKUP(A335,抽卷!$A:$A,抽卷!$K:$K,,1,2),NA())</f>
        <v>67</v>
      </c>
      <c r="E335" s="417">
        <f>IF(ISNUMBER(_xlfn.XLOOKUP(A335,抽卷!$A:$A,抽卷!$M:$M,,1,2)),_xlfn.XLOOKUP(A335,抽卷!$A:$A,抽卷!$M:$M,,1,2),NA())</f>
        <v>0</v>
      </c>
      <c r="F335" s="70">
        <f t="shared" si="16"/>
        <v>132.08333333333331</v>
      </c>
    </row>
    <row r="336" spans="1:6" ht="15" customHeight="1" x14ac:dyDescent="0.25">
      <c r="A336" s="95">
        <f t="shared" si="17"/>
        <v>44272</v>
      </c>
      <c r="B336" s="76">
        <f>IF(ISNUMBER(_xlfn.XLOOKUP(A336,鑽量!$A:$A,鑽量!$K:$K,,1,2)),_xlfn.XLOOKUP(A336,鑽量!$A:$A,鑽量!$K:$K,,1,2),NA())</f>
        <v>8310</v>
      </c>
      <c r="C336" s="417">
        <f t="shared" si="15"/>
        <v>69.25</v>
      </c>
      <c r="D336" s="417">
        <f>IF(ISNUMBER(_xlfn.XLOOKUP(A336,抽卷!$A:$A,抽卷!$K:$K,,1,2)),_xlfn.XLOOKUP(A336,抽卷!$A:$A,抽卷!$K:$K,,1,2),NA())</f>
        <v>68</v>
      </c>
      <c r="E336" s="417">
        <f>IF(ISNUMBER(_xlfn.XLOOKUP(A336,抽卷!$A:$A,抽卷!$M:$M,,1,2)),_xlfn.XLOOKUP(A336,抽卷!$A:$A,抽卷!$M:$M,,1,2),NA())</f>
        <v>0</v>
      </c>
      <c r="F336" s="70">
        <f t="shared" si="16"/>
        <v>137.25</v>
      </c>
    </row>
    <row r="337" spans="1:6" ht="15" customHeight="1" x14ac:dyDescent="0.25">
      <c r="A337" s="95">
        <f t="shared" si="17"/>
        <v>44273</v>
      </c>
      <c r="B337" s="76">
        <f>IF(ISNUMBER(_xlfn.XLOOKUP(A337,鑽量!$A:$A,鑽量!$K:$K,,1,2)),_xlfn.XLOOKUP(A337,鑽量!$A:$A,鑽量!$K:$K,,1,2),NA())</f>
        <v>8310</v>
      </c>
      <c r="C337" s="417">
        <f t="shared" si="15"/>
        <v>69.25</v>
      </c>
      <c r="D337" s="417">
        <f>IF(ISNUMBER(_xlfn.XLOOKUP(A337,抽卷!$A:$A,抽卷!$K:$K,,1,2)),_xlfn.XLOOKUP(A337,抽卷!$A:$A,抽卷!$K:$K,,1,2),NA())</f>
        <v>69</v>
      </c>
      <c r="E337" s="417">
        <f>IF(ISNUMBER(_xlfn.XLOOKUP(A337,抽卷!$A:$A,抽卷!$M:$M,,1,2)),_xlfn.XLOOKUP(A337,抽卷!$A:$A,抽卷!$M:$M,,1,2),NA())</f>
        <v>0</v>
      </c>
      <c r="F337" s="70">
        <f t="shared" si="16"/>
        <v>138.25</v>
      </c>
    </row>
    <row r="338" spans="1:6" ht="15" customHeight="1" x14ac:dyDescent="0.25">
      <c r="A338" s="95">
        <f t="shared" si="17"/>
        <v>44274</v>
      </c>
      <c r="B338" s="76">
        <f>IF(ISNUMBER(_xlfn.XLOOKUP(A338,鑽量!$A:$A,鑽量!$K:$K,,1,2)),_xlfn.XLOOKUP(A338,鑽量!$A:$A,鑽量!$K:$K,,1,2),NA())</f>
        <v>8000</v>
      </c>
      <c r="C338" s="417">
        <f t="shared" si="15"/>
        <v>66.666666666666671</v>
      </c>
      <c r="D338" s="417">
        <f>IF(ISNUMBER(_xlfn.XLOOKUP(A338,抽卷!$A:$A,抽卷!$K:$K,,1,2)),_xlfn.XLOOKUP(A338,抽卷!$A:$A,抽卷!$K:$K,,1,2),NA())</f>
        <v>69</v>
      </c>
      <c r="E338" s="417">
        <f>IF(ISNUMBER(_xlfn.XLOOKUP(A338,抽卷!$A:$A,抽卷!$M:$M,,1,2)),_xlfn.XLOOKUP(A338,抽卷!$A:$A,抽卷!$M:$M,,1,2),NA())</f>
        <v>0</v>
      </c>
      <c r="F338" s="70">
        <f t="shared" si="16"/>
        <v>135.66666666666669</v>
      </c>
    </row>
    <row r="339" spans="1:6" ht="15" customHeight="1" x14ac:dyDescent="0.25">
      <c r="A339" s="95">
        <f t="shared" si="17"/>
        <v>44275</v>
      </c>
      <c r="B339" s="76">
        <f>IF(ISNUMBER(_xlfn.XLOOKUP(A339,鑽量!$A:$A,鑽量!$K:$K,,1,2)),_xlfn.XLOOKUP(A339,鑽量!$A:$A,鑽量!$K:$K,,1,2),NA())</f>
        <v>8115</v>
      </c>
      <c r="C339" s="417">
        <f t="shared" si="15"/>
        <v>67.625</v>
      </c>
      <c r="D339" s="417">
        <f>IF(ISNUMBER(_xlfn.XLOOKUP(A339,抽卷!$A:$A,抽卷!$K:$K,,1,2)),_xlfn.XLOOKUP(A339,抽卷!$A:$A,抽卷!$K:$K,,1,2),NA())</f>
        <v>72</v>
      </c>
      <c r="E339" s="417">
        <f>IF(ISNUMBER(_xlfn.XLOOKUP(A339,抽卷!$A:$A,抽卷!$M:$M,,1,2)),_xlfn.XLOOKUP(A339,抽卷!$A:$A,抽卷!$M:$M,,1,2),NA())</f>
        <v>0</v>
      </c>
      <c r="F339" s="70">
        <f t="shared" si="16"/>
        <v>139.625</v>
      </c>
    </row>
    <row r="340" spans="1:6" ht="15" customHeight="1" x14ac:dyDescent="0.25">
      <c r="A340" s="95">
        <f t="shared" si="17"/>
        <v>44276</v>
      </c>
      <c r="B340" s="76">
        <f>IF(ISNUMBER(_xlfn.XLOOKUP(A340,鑽量!$A:$A,鑽量!$K:$K,,1,2)),_xlfn.XLOOKUP(A340,鑽量!$A:$A,鑽量!$K:$K,,1,2),NA())</f>
        <v>8215</v>
      </c>
      <c r="C340" s="417">
        <f t="shared" si="15"/>
        <v>68.458333333333329</v>
      </c>
      <c r="D340" s="417">
        <f>IF(ISNUMBER(_xlfn.XLOOKUP(A340,抽卷!$A:$A,抽卷!$K:$K,,1,2)),_xlfn.XLOOKUP(A340,抽卷!$A:$A,抽卷!$K:$K,,1,2),NA())</f>
        <v>79</v>
      </c>
      <c r="E340" s="417">
        <f>IF(ISNUMBER(_xlfn.XLOOKUP(A340,抽卷!$A:$A,抽卷!$M:$M,,1,2)),_xlfn.XLOOKUP(A340,抽卷!$A:$A,抽卷!$M:$M,,1,2),NA())</f>
        <v>0</v>
      </c>
      <c r="F340" s="70">
        <f t="shared" si="16"/>
        <v>147.45833333333331</v>
      </c>
    </row>
    <row r="341" spans="1:6" ht="15" customHeight="1" x14ac:dyDescent="0.25">
      <c r="A341" s="95">
        <f t="shared" si="17"/>
        <v>44277</v>
      </c>
      <c r="B341" s="76">
        <f>IF(ISNUMBER(_xlfn.XLOOKUP(A341,鑽量!$A:$A,鑽量!$K:$K,,1,2)),_xlfn.XLOOKUP(A341,鑽量!$A:$A,鑽量!$K:$K,,1,2),NA())</f>
        <v>8215</v>
      </c>
      <c r="C341" s="417">
        <f t="shared" si="15"/>
        <v>68.458333333333329</v>
      </c>
      <c r="D341" s="417">
        <f>IF(ISNUMBER(_xlfn.XLOOKUP(A341,抽卷!$A:$A,抽卷!$K:$K,,1,2)),_xlfn.XLOOKUP(A341,抽卷!$A:$A,抽卷!$K:$K,,1,2),NA())</f>
        <v>79</v>
      </c>
      <c r="E341" s="417">
        <f>IF(ISNUMBER(_xlfn.XLOOKUP(A341,抽卷!$A:$A,抽卷!$M:$M,,1,2)),_xlfn.XLOOKUP(A341,抽卷!$A:$A,抽卷!$M:$M,,1,2),NA())</f>
        <v>0</v>
      </c>
      <c r="F341" s="70">
        <f t="shared" si="16"/>
        <v>147.45833333333331</v>
      </c>
    </row>
    <row r="342" spans="1:6" ht="15" customHeight="1" x14ac:dyDescent="0.25">
      <c r="A342" s="95">
        <f t="shared" si="17"/>
        <v>44278</v>
      </c>
      <c r="B342" s="76">
        <f>IF(ISNUMBER(_xlfn.XLOOKUP(A342,鑽量!$A:$A,鑽量!$K:$K,,1,2)),_xlfn.XLOOKUP(A342,鑽量!$A:$A,鑽量!$K:$K,,1,2),NA())</f>
        <v>8290</v>
      </c>
      <c r="C342" s="417">
        <f t="shared" si="15"/>
        <v>69.083333333333329</v>
      </c>
      <c r="D342" s="417">
        <f>IF(ISNUMBER(_xlfn.XLOOKUP(A342,抽卷!$A:$A,抽卷!$K:$K,,1,2)),_xlfn.XLOOKUP(A342,抽卷!$A:$A,抽卷!$K:$K,,1,2),NA())</f>
        <v>81</v>
      </c>
      <c r="E342" s="417">
        <f>IF(ISNUMBER(_xlfn.XLOOKUP(A342,抽卷!$A:$A,抽卷!$M:$M,,1,2)),_xlfn.XLOOKUP(A342,抽卷!$A:$A,抽卷!$M:$M,,1,2),NA())</f>
        <v>0</v>
      </c>
      <c r="F342" s="70">
        <f t="shared" si="16"/>
        <v>150.08333333333331</v>
      </c>
    </row>
    <row r="343" spans="1:6" ht="15" customHeight="1" x14ac:dyDescent="0.25">
      <c r="A343" s="95">
        <f t="shared" si="17"/>
        <v>44279</v>
      </c>
      <c r="B343" s="76">
        <f>IF(ISNUMBER(_xlfn.XLOOKUP(A343,鑽量!$A:$A,鑽量!$K:$K,,1,2)),_xlfn.XLOOKUP(A343,鑽量!$A:$A,鑽量!$K:$K,,1,2),NA())</f>
        <v>8115</v>
      </c>
      <c r="C343" s="417">
        <f t="shared" si="15"/>
        <v>67.625</v>
      </c>
      <c r="D343" s="417">
        <f>IF(ISNUMBER(_xlfn.XLOOKUP(A343,抽卷!$A:$A,抽卷!$K:$K,,1,2)),_xlfn.XLOOKUP(A343,抽卷!$A:$A,抽卷!$K:$K,,1,2),NA())</f>
        <v>80</v>
      </c>
      <c r="E343" s="417">
        <f>IF(ISNUMBER(_xlfn.XLOOKUP(A343,抽卷!$A:$A,抽卷!$M:$M,,1,2)),_xlfn.XLOOKUP(A343,抽卷!$A:$A,抽卷!$M:$M,,1,2),NA())</f>
        <v>0</v>
      </c>
      <c r="F343" s="70">
        <f t="shared" si="16"/>
        <v>147.625</v>
      </c>
    </row>
    <row r="344" spans="1:6" ht="15" customHeight="1" x14ac:dyDescent="0.25">
      <c r="A344" s="95">
        <f t="shared" si="17"/>
        <v>44280</v>
      </c>
      <c r="B344" s="76">
        <f>IF(ISNUMBER(_xlfn.XLOOKUP(A344,鑽量!$A:$A,鑽量!$K:$K,,1,2)),_xlfn.XLOOKUP(A344,鑽量!$A:$A,鑽量!$K:$K,,1,2),NA())</f>
        <v>7965</v>
      </c>
      <c r="C344" s="417">
        <f t="shared" si="15"/>
        <v>66.375</v>
      </c>
      <c r="D344" s="417">
        <f>IF(ISNUMBER(_xlfn.XLOOKUP(A344,抽卷!$A:$A,抽卷!$K:$K,,1,2)),_xlfn.XLOOKUP(A344,抽卷!$A:$A,抽卷!$K:$K,,1,2),NA())</f>
        <v>92</v>
      </c>
      <c r="E344" s="417">
        <f>IF(ISNUMBER(_xlfn.XLOOKUP(A344,抽卷!$A:$A,抽卷!$M:$M,,1,2)),_xlfn.XLOOKUP(A344,抽卷!$A:$A,抽卷!$M:$M,,1,2),NA())</f>
        <v>0</v>
      </c>
      <c r="F344" s="70">
        <f t="shared" si="16"/>
        <v>158.375</v>
      </c>
    </row>
    <row r="345" spans="1:6" ht="15" customHeight="1" x14ac:dyDescent="0.25">
      <c r="A345" s="95">
        <f t="shared" si="17"/>
        <v>44281</v>
      </c>
      <c r="B345" s="76">
        <f>IF(ISNUMBER(_xlfn.XLOOKUP(A345,鑽量!$A:$A,鑽量!$K:$K,,1,2)),_xlfn.XLOOKUP(A345,鑽量!$A:$A,鑽量!$K:$K,,1,2),NA())</f>
        <v>7665</v>
      </c>
      <c r="C345" s="417">
        <f t="shared" si="15"/>
        <v>63.875</v>
      </c>
      <c r="D345" s="417">
        <f>IF(ISNUMBER(_xlfn.XLOOKUP(A345,抽卷!$A:$A,抽卷!$K:$K,,1,2)),_xlfn.XLOOKUP(A345,抽卷!$A:$A,抽卷!$K:$K,,1,2),NA())</f>
        <v>102</v>
      </c>
      <c r="E345" s="417">
        <f>IF(ISNUMBER(_xlfn.XLOOKUP(A345,抽卷!$A:$A,抽卷!$M:$M,,1,2)),_xlfn.XLOOKUP(A345,抽卷!$A:$A,抽卷!$M:$M,,1,2),NA())</f>
        <v>0</v>
      </c>
      <c r="F345" s="70">
        <f t="shared" si="16"/>
        <v>165.875</v>
      </c>
    </row>
    <row r="346" spans="1:6" ht="15" customHeight="1" x14ac:dyDescent="0.25">
      <c r="A346" s="95">
        <f t="shared" si="17"/>
        <v>44282</v>
      </c>
      <c r="B346" s="76">
        <f>IF(ISNUMBER(_xlfn.XLOOKUP(A346,鑽量!$A:$A,鑽量!$K:$K,,1,2)),_xlfn.XLOOKUP(A346,鑽量!$A:$A,鑽量!$K:$K,,1,2),NA())</f>
        <v>7780</v>
      </c>
      <c r="C346" s="417">
        <f t="shared" si="15"/>
        <v>64.833333333333329</v>
      </c>
      <c r="D346" s="417">
        <f>IF(ISNUMBER(_xlfn.XLOOKUP(A346,抽卷!$A:$A,抽卷!$K:$K,,1,2)),_xlfn.XLOOKUP(A346,抽卷!$A:$A,抽卷!$K:$K,,1,2),NA())</f>
        <v>102</v>
      </c>
      <c r="E346" s="417">
        <f>IF(ISNUMBER(_xlfn.XLOOKUP(A346,抽卷!$A:$A,抽卷!$M:$M,,1,2)),_xlfn.XLOOKUP(A346,抽卷!$A:$A,抽卷!$M:$M,,1,2),NA())</f>
        <v>10</v>
      </c>
      <c r="F346" s="70">
        <f t="shared" si="16"/>
        <v>176.83333333333331</v>
      </c>
    </row>
    <row r="347" spans="1:6" ht="15" customHeight="1" x14ac:dyDescent="0.25">
      <c r="A347" s="95">
        <f t="shared" si="17"/>
        <v>44283</v>
      </c>
      <c r="B347" s="76">
        <f>IF(ISNUMBER(_xlfn.XLOOKUP(A347,鑽量!$A:$A,鑽量!$K:$K,,1,2)),_xlfn.XLOOKUP(A347,鑽量!$A:$A,鑽量!$K:$K,,1,2),NA())</f>
        <v>7555</v>
      </c>
      <c r="C347" s="417">
        <f t="shared" si="15"/>
        <v>62.958333333333336</v>
      </c>
      <c r="D347" s="417">
        <f>IF(ISNUMBER(_xlfn.XLOOKUP(A347,抽卷!$A:$A,抽卷!$K:$K,,1,2)),_xlfn.XLOOKUP(A347,抽卷!$A:$A,抽卷!$K:$K,,1,2),NA())</f>
        <v>103</v>
      </c>
      <c r="E347" s="417">
        <f>IF(ISNUMBER(_xlfn.XLOOKUP(A347,抽卷!$A:$A,抽卷!$M:$M,,1,2)),_xlfn.XLOOKUP(A347,抽卷!$A:$A,抽卷!$M:$M,,1,2),NA())</f>
        <v>20</v>
      </c>
      <c r="F347" s="70">
        <f t="shared" si="16"/>
        <v>185.95833333333334</v>
      </c>
    </row>
    <row r="348" spans="1:6" ht="15" customHeight="1" x14ac:dyDescent="0.25">
      <c r="A348" s="95">
        <f t="shared" si="17"/>
        <v>44284</v>
      </c>
      <c r="B348" s="76">
        <f>IF(ISNUMBER(_xlfn.XLOOKUP(A348,鑽量!$A:$A,鑽量!$K:$K,,1,2)),_xlfn.XLOOKUP(A348,鑽量!$A:$A,鑽量!$K:$K,,1,2),NA())</f>
        <v>7405</v>
      </c>
      <c r="C348" s="417">
        <f t="shared" si="15"/>
        <v>61.708333333333336</v>
      </c>
      <c r="D348" s="417">
        <f>IF(ISNUMBER(_xlfn.XLOOKUP(A348,抽卷!$A:$A,抽卷!$K:$K,,1,2)),_xlfn.XLOOKUP(A348,抽卷!$A:$A,抽卷!$K:$K,,1,2),NA())</f>
        <v>103</v>
      </c>
      <c r="E348" s="417">
        <f>IF(ISNUMBER(_xlfn.XLOOKUP(A348,抽卷!$A:$A,抽卷!$M:$M,,1,2)),_xlfn.XLOOKUP(A348,抽卷!$A:$A,抽卷!$M:$M,,1,2),NA())</f>
        <v>30</v>
      </c>
      <c r="F348" s="70">
        <f t="shared" si="16"/>
        <v>194.70833333333334</v>
      </c>
    </row>
    <row r="349" spans="1:6" ht="15" customHeight="1" x14ac:dyDescent="0.25">
      <c r="A349" s="95">
        <f t="shared" si="17"/>
        <v>44285</v>
      </c>
      <c r="B349" s="76">
        <f>IF(ISNUMBER(_xlfn.XLOOKUP(A349,鑽量!$A:$A,鑽量!$K:$K,,1,2)),_xlfn.XLOOKUP(A349,鑽量!$A:$A,鑽量!$K:$K,,1,2),NA())</f>
        <v>7580</v>
      </c>
      <c r="C349" s="417">
        <f t="shared" si="15"/>
        <v>63.166666666666664</v>
      </c>
      <c r="D349" s="417">
        <f>IF(ISNUMBER(_xlfn.XLOOKUP(A349,抽卷!$A:$A,抽卷!$K:$K,,1,2)),_xlfn.XLOOKUP(A349,抽卷!$A:$A,抽卷!$K:$K,,1,2),NA())</f>
        <v>99</v>
      </c>
      <c r="E349" s="417">
        <f>IF(ISNUMBER(_xlfn.XLOOKUP(A349,抽卷!$A:$A,抽卷!$M:$M,,1,2)),_xlfn.XLOOKUP(A349,抽卷!$A:$A,抽卷!$M:$M,,1,2),NA())</f>
        <v>40</v>
      </c>
      <c r="F349" s="70">
        <f t="shared" si="16"/>
        <v>202.16666666666666</v>
      </c>
    </row>
    <row r="350" spans="1:6" ht="15" customHeight="1" x14ac:dyDescent="0.25">
      <c r="A350" s="95">
        <f t="shared" si="17"/>
        <v>44286</v>
      </c>
      <c r="B350" s="76">
        <f>IF(ISNUMBER(_xlfn.XLOOKUP(A350,鑽量!$A:$A,鑽量!$K:$K,,1,2)),_xlfn.XLOOKUP(A350,鑽量!$A:$A,鑽量!$K:$K,,1,2),NA())</f>
        <v>8805</v>
      </c>
      <c r="C350" s="417">
        <f t="shared" si="15"/>
        <v>73.375</v>
      </c>
      <c r="D350" s="417">
        <f>IF(ISNUMBER(_xlfn.XLOOKUP(A350,抽卷!$A:$A,抽卷!$K:$K,,1,2)),_xlfn.XLOOKUP(A350,抽卷!$A:$A,抽卷!$K:$K,,1,2),NA())</f>
        <v>94</v>
      </c>
      <c r="E350" s="417">
        <f>IF(ISNUMBER(_xlfn.XLOOKUP(A350,抽卷!$A:$A,抽卷!$M:$M,,1,2)),_xlfn.XLOOKUP(A350,抽卷!$A:$A,抽卷!$M:$M,,1,2),NA())</f>
        <v>50</v>
      </c>
      <c r="F350" s="70">
        <f t="shared" si="16"/>
        <v>217.375</v>
      </c>
    </row>
    <row r="351" spans="1:6" ht="15" customHeight="1" x14ac:dyDescent="0.25">
      <c r="A351" s="95">
        <f t="shared" si="17"/>
        <v>44287</v>
      </c>
      <c r="B351" s="76">
        <f>IF(ISNUMBER(_xlfn.XLOOKUP(A351,鑽量!$A:$A,鑽量!$K:$K,,1,2)),_xlfn.XLOOKUP(A351,鑽量!$A:$A,鑽量!$K:$K,,1,2),NA())</f>
        <v>10740</v>
      </c>
      <c r="C351" s="417">
        <f t="shared" si="15"/>
        <v>89.5</v>
      </c>
      <c r="D351" s="417">
        <f>IF(ISNUMBER(_xlfn.XLOOKUP(A351,抽卷!$A:$A,抽卷!$K:$K,,1,2)),_xlfn.XLOOKUP(A351,抽卷!$A:$A,抽卷!$K:$K,,1,2),NA())</f>
        <v>105</v>
      </c>
      <c r="E351" s="417">
        <f>IF(ISNUMBER(_xlfn.XLOOKUP(A351,抽卷!$A:$A,抽卷!$M:$M,,1,2)),_xlfn.XLOOKUP(A351,抽卷!$A:$A,抽卷!$M:$M,,1,2),NA())</f>
        <v>60</v>
      </c>
      <c r="F351" s="70">
        <f t="shared" si="16"/>
        <v>254.5</v>
      </c>
    </row>
    <row r="352" spans="1:6" ht="15" customHeight="1" x14ac:dyDescent="0.25">
      <c r="A352" s="95">
        <f t="shared" si="17"/>
        <v>44288</v>
      </c>
      <c r="B352" s="76">
        <f>IF(ISNUMBER(_xlfn.XLOOKUP(A352,鑽量!$A:$A,鑽量!$K:$K,,1,2)),_xlfn.XLOOKUP(A352,鑽量!$A:$A,鑽量!$K:$K,,1,2),NA())</f>
        <v>10925</v>
      </c>
      <c r="C352" s="417">
        <f t="shared" si="15"/>
        <v>91.041666666666671</v>
      </c>
      <c r="D352" s="417">
        <f>IF(ISNUMBER(_xlfn.XLOOKUP(A352,抽卷!$A:$A,抽卷!$K:$K,,1,2)),_xlfn.XLOOKUP(A352,抽卷!$A:$A,抽卷!$K:$K,,1,2),NA())</f>
        <v>105</v>
      </c>
      <c r="E352" s="417">
        <f>IF(ISNUMBER(_xlfn.XLOOKUP(A352,抽卷!$A:$A,抽卷!$M:$M,,1,2)),_xlfn.XLOOKUP(A352,抽卷!$A:$A,抽卷!$M:$M,,1,2),NA())</f>
        <v>70</v>
      </c>
      <c r="F352" s="70">
        <f t="shared" si="16"/>
        <v>266.04166666666669</v>
      </c>
    </row>
    <row r="353" spans="1:6" ht="15" customHeight="1" x14ac:dyDescent="0.25">
      <c r="A353" s="95">
        <f t="shared" si="17"/>
        <v>44289</v>
      </c>
      <c r="B353" s="76">
        <f>IF(ISNUMBER(_xlfn.XLOOKUP(A353,鑽量!$A:$A,鑽量!$K:$K,,1,2)),_xlfn.XLOOKUP(A353,鑽量!$A:$A,鑽量!$K:$K,,1,2),NA())</f>
        <v>10950</v>
      </c>
      <c r="C353" s="417">
        <f t="shared" si="15"/>
        <v>91.25</v>
      </c>
      <c r="D353" s="417">
        <f>IF(ISNUMBER(_xlfn.XLOOKUP(A353,抽卷!$A:$A,抽卷!$K:$K,,1,2)),_xlfn.XLOOKUP(A353,抽卷!$A:$A,抽卷!$K:$K,,1,2),NA())</f>
        <v>141</v>
      </c>
      <c r="E353" s="417">
        <f>IF(ISNUMBER(_xlfn.XLOOKUP(A353,抽卷!$A:$A,抽卷!$M:$M,,1,2)),_xlfn.XLOOKUP(A353,抽卷!$A:$A,抽卷!$M:$M,,1,2),NA())</f>
        <v>80</v>
      </c>
      <c r="F353" s="70">
        <f t="shared" si="16"/>
        <v>312.25</v>
      </c>
    </row>
    <row r="354" spans="1:6" ht="15" customHeight="1" x14ac:dyDescent="0.25">
      <c r="A354" s="95">
        <f t="shared" si="17"/>
        <v>44290</v>
      </c>
      <c r="B354" s="76">
        <f>IF(ISNUMBER(_xlfn.XLOOKUP(A354,鑽量!$A:$A,鑽量!$K:$K,,1,2)),_xlfn.XLOOKUP(A354,鑽量!$A:$A,鑽量!$K:$K,,1,2),NA())</f>
        <v>13175</v>
      </c>
      <c r="C354" s="417">
        <f t="shared" si="15"/>
        <v>109.79166666666667</v>
      </c>
      <c r="D354" s="417">
        <f>IF(ISNUMBER(_xlfn.XLOOKUP(A354,抽卷!$A:$A,抽卷!$K:$K,,1,2)),_xlfn.XLOOKUP(A354,抽卷!$A:$A,抽卷!$K:$K,,1,2),NA())</f>
        <v>151</v>
      </c>
      <c r="E354" s="417">
        <f>IF(ISNUMBER(_xlfn.XLOOKUP(A354,抽卷!$A:$A,抽卷!$M:$M,,1,2)),_xlfn.XLOOKUP(A354,抽卷!$A:$A,抽卷!$M:$M,,1,2),NA())</f>
        <v>90</v>
      </c>
      <c r="F354" s="70">
        <f t="shared" si="16"/>
        <v>350.79166666666669</v>
      </c>
    </row>
    <row r="355" spans="1:6" ht="15" customHeight="1" x14ac:dyDescent="0.25">
      <c r="A355" s="95">
        <f t="shared" si="17"/>
        <v>44291</v>
      </c>
      <c r="B355" s="76">
        <f>IF(ISNUMBER(_xlfn.XLOOKUP(A355,鑽量!$A:$A,鑽量!$K:$K,,1,2)),_xlfn.XLOOKUP(A355,鑽量!$A:$A,鑽量!$K:$K,,1,2),NA())</f>
        <v>14740</v>
      </c>
      <c r="C355" s="417">
        <f t="shared" si="15"/>
        <v>122.83333333333333</v>
      </c>
      <c r="D355" s="417">
        <f>IF(ISNUMBER(_xlfn.XLOOKUP(A355,抽卷!$A:$A,抽卷!$K:$K,,1,2)),_xlfn.XLOOKUP(A355,抽卷!$A:$A,抽卷!$K:$K,,1,2),NA())</f>
        <v>151</v>
      </c>
      <c r="E355" s="417">
        <f>IF(ISNUMBER(_xlfn.XLOOKUP(A355,抽卷!$A:$A,抽卷!$M:$M,,1,2)),_xlfn.XLOOKUP(A355,抽卷!$A:$A,抽卷!$M:$M,,1,2),NA())</f>
        <v>90</v>
      </c>
      <c r="F355" s="70">
        <f t="shared" si="16"/>
        <v>363.83333333333331</v>
      </c>
    </row>
    <row r="356" spans="1:6" ht="15" customHeight="1" x14ac:dyDescent="0.25">
      <c r="A356" s="95">
        <f t="shared" si="17"/>
        <v>44292</v>
      </c>
      <c r="B356" s="76">
        <f>IF(ISNUMBER(_xlfn.XLOOKUP(A356,鑽量!$A:$A,鑽量!$K:$K,,1,2)),_xlfn.XLOOKUP(A356,鑽量!$A:$A,鑽量!$K:$K,,1,2),NA())</f>
        <v>14640</v>
      </c>
      <c r="C356" s="417">
        <f t="shared" si="15"/>
        <v>122</v>
      </c>
      <c r="D356" s="417">
        <f>IF(ISNUMBER(_xlfn.XLOOKUP(A356,抽卷!$A:$A,抽卷!$K:$K,,1,2)),_xlfn.XLOOKUP(A356,抽卷!$A:$A,抽卷!$K:$K,,1,2),NA())</f>
        <v>177</v>
      </c>
      <c r="E356" s="417">
        <f>IF(ISNUMBER(_xlfn.XLOOKUP(A356,抽卷!$A:$A,抽卷!$M:$M,,1,2)),_xlfn.XLOOKUP(A356,抽卷!$A:$A,抽卷!$M:$M,,1,2),NA())</f>
        <v>90</v>
      </c>
      <c r="F356" s="70">
        <f t="shared" si="16"/>
        <v>389</v>
      </c>
    </row>
    <row r="357" spans="1:6" ht="15" customHeight="1" x14ac:dyDescent="0.25">
      <c r="A357" s="95">
        <f t="shared" si="17"/>
        <v>44293</v>
      </c>
      <c r="B357" s="76">
        <f>IF(ISNUMBER(_xlfn.XLOOKUP(A357,鑽量!$A:$A,鑽量!$K:$K,,1,2)),_xlfn.XLOOKUP(A357,鑽量!$A:$A,鑽量!$K:$K,,1,2),NA())</f>
        <v>16590</v>
      </c>
      <c r="C357" s="417">
        <f t="shared" si="15"/>
        <v>138.25</v>
      </c>
      <c r="D357" s="417">
        <f>IF(ISNUMBER(_xlfn.XLOOKUP(A357,抽卷!$A:$A,抽卷!$K:$K,,1,2)),_xlfn.XLOOKUP(A357,抽卷!$A:$A,抽卷!$K:$K,,1,2),NA())</f>
        <v>178</v>
      </c>
      <c r="E357" s="417">
        <f>IF(ISNUMBER(_xlfn.XLOOKUP(A357,抽卷!$A:$A,抽卷!$M:$M,,1,2)),_xlfn.XLOOKUP(A357,抽卷!$A:$A,抽卷!$M:$M,,1,2),NA())</f>
        <v>90</v>
      </c>
      <c r="F357" s="70">
        <f t="shared" si="16"/>
        <v>406.25</v>
      </c>
    </row>
    <row r="358" spans="1:6" ht="15" customHeight="1" x14ac:dyDescent="0.25">
      <c r="A358" s="95">
        <f t="shared" si="17"/>
        <v>44294</v>
      </c>
      <c r="B358" s="76">
        <f>IF(ISNUMBER(_xlfn.XLOOKUP(A358,鑽量!$A:$A,鑽量!$K:$K,,1,2)),_xlfn.XLOOKUP(A358,鑽量!$A:$A,鑽量!$K:$K,,1,2),NA())</f>
        <v>16900</v>
      </c>
      <c r="C358" s="417">
        <f t="shared" si="15"/>
        <v>140.83333333333334</v>
      </c>
      <c r="D358" s="417">
        <f>IF(ISNUMBER(_xlfn.XLOOKUP(A358,抽卷!$A:$A,抽卷!$K:$K,,1,2)),_xlfn.XLOOKUP(A358,抽卷!$A:$A,抽卷!$K:$K,,1,2),NA())</f>
        <v>179</v>
      </c>
      <c r="E358" s="417">
        <f>IF(ISNUMBER(_xlfn.XLOOKUP(A358,抽卷!$A:$A,抽卷!$M:$M,,1,2)),_xlfn.XLOOKUP(A358,抽卷!$A:$A,抽卷!$M:$M,,1,2),NA())</f>
        <v>90</v>
      </c>
      <c r="F358" s="70">
        <f t="shared" si="16"/>
        <v>409.83333333333337</v>
      </c>
    </row>
    <row r="359" spans="1:6" ht="15" customHeight="1" x14ac:dyDescent="0.25">
      <c r="A359" s="95">
        <f t="shared" si="17"/>
        <v>44295</v>
      </c>
      <c r="B359" s="76">
        <f>IF(ISNUMBER(_xlfn.XLOOKUP(A359,鑽量!$A:$A,鑽量!$K:$K,,1,2)),_xlfn.XLOOKUP(A359,鑽量!$A:$A,鑽量!$K:$K,,1,2),NA())</f>
        <v>20600</v>
      </c>
      <c r="C359" s="417">
        <f t="shared" si="15"/>
        <v>171.66666666666666</v>
      </c>
      <c r="D359" s="417">
        <f>IF(ISNUMBER(_xlfn.XLOOKUP(A359,抽卷!$A:$A,抽卷!$K:$K,,1,2)),_xlfn.XLOOKUP(A359,抽卷!$A:$A,抽卷!$K:$K,,1,2),NA())</f>
        <v>179</v>
      </c>
      <c r="E359" s="417">
        <f>IF(ISNUMBER(_xlfn.XLOOKUP(A359,抽卷!$A:$A,抽卷!$M:$M,,1,2)),_xlfn.XLOOKUP(A359,抽卷!$A:$A,抽卷!$M:$M,,1,2),NA())</f>
        <v>90</v>
      </c>
      <c r="F359" s="70">
        <f t="shared" si="16"/>
        <v>440.66666666666663</v>
      </c>
    </row>
    <row r="360" spans="1:6" ht="15" customHeight="1" x14ac:dyDescent="0.25">
      <c r="A360" s="95">
        <f t="shared" si="17"/>
        <v>44296</v>
      </c>
      <c r="B360" s="76">
        <f>IF(ISNUMBER(_xlfn.XLOOKUP(A360,鑽量!$A:$A,鑽量!$K:$K,,1,2)),_xlfn.XLOOKUP(A360,鑽量!$A:$A,鑽量!$K:$K,,1,2),NA())</f>
        <v>20600</v>
      </c>
      <c r="C360" s="417">
        <f t="shared" si="15"/>
        <v>171.66666666666666</v>
      </c>
      <c r="D360" s="417">
        <f>IF(ISNUMBER(_xlfn.XLOOKUP(A360,抽卷!$A:$A,抽卷!$K:$K,,1,2)),_xlfn.XLOOKUP(A360,抽卷!$A:$A,抽卷!$K:$K,,1,2),NA())</f>
        <v>179</v>
      </c>
      <c r="E360" s="417">
        <f>IF(ISNUMBER(_xlfn.XLOOKUP(A360,抽卷!$A:$A,抽卷!$M:$M,,1,2)),_xlfn.XLOOKUP(A360,抽卷!$A:$A,抽卷!$M:$M,,1,2),NA())</f>
        <v>90</v>
      </c>
      <c r="F360" s="70">
        <f t="shared" si="16"/>
        <v>440.66666666666663</v>
      </c>
    </row>
    <row r="361" spans="1:6" ht="15" customHeight="1" x14ac:dyDescent="0.25">
      <c r="A361" s="95">
        <f t="shared" si="17"/>
        <v>44297</v>
      </c>
      <c r="B361" s="76">
        <f>IF(ISNUMBER(_xlfn.XLOOKUP(A361,鑽量!$A:$A,鑽量!$K:$K,,1,2)),_xlfn.XLOOKUP(A361,鑽量!$A:$A,鑽量!$K:$K,,1,2),NA())</f>
        <v>19980</v>
      </c>
      <c r="C361" s="417">
        <f t="shared" si="15"/>
        <v>166.5</v>
      </c>
      <c r="D361" s="417">
        <f>IF(ISNUMBER(_xlfn.XLOOKUP(A361,抽卷!$A:$A,抽卷!$K:$K,,1,2)),_xlfn.XLOOKUP(A361,抽卷!$A:$A,抽卷!$K:$K,,1,2),NA())</f>
        <v>181</v>
      </c>
      <c r="E361" s="417">
        <f>IF(ISNUMBER(_xlfn.XLOOKUP(A361,抽卷!$A:$A,抽卷!$M:$M,,1,2)),_xlfn.XLOOKUP(A361,抽卷!$A:$A,抽卷!$M:$M,,1,2),NA())</f>
        <v>90</v>
      </c>
      <c r="F361" s="70">
        <f t="shared" si="16"/>
        <v>437.5</v>
      </c>
    </row>
    <row r="362" spans="1:6" ht="15" customHeight="1" x14ac:dyDescent="0.25">
      <c r="A362" s="95">
        <f t="shared" si="17"/>
        <v>44298</v>
      </c>
      <c r="B362" s="76">
        <f>IF(ISNUMBER(_xlfn.XLOOKUP(A362,鑽量!$A:$A,鑽量!$K:$K,,1,2)),_xlfn.XLOOKUP(A362,鑽量!$A:$A,鑽量!$K:$K,,1,2),NA())</f>
        <v>19670</v>
      </c>
      <c r="C362" s="417">
        <f t="shared" si="15"/>
        <v>163.91666666666666</v>
      </c>
      <c r="D362" s="417">
        <f>IF(ISNUMBER(_xlfn.XLOOKUP(A362,抽卷!$A:$A,抽卷!$K:$K,,1,2)),_xlfn.XLOOKUP(A362,抽卷!$A:$A,抽卷!$K:$K,,1,2),NA())</f>
        <v>181</v>
      </c>
      <c r="E362" s="417">
        <f>IF(ISNUMBER(_xlfn.XLOOKUP(A362,抽卷!$A:$A,抽卷!$M:$M,,1,2)),_xlfn.XLOOKUP(A362,抽卷!$A:$A,抽卷!$M:$M,,1,2),NA())</f>
        <v>90</v>
      </c>
      <c r="F362" s="70">
        <f t="shared" si="16"/>
        <v>434.91666666666663</v>
      </c>
    </row>
    <row r="363" spans="1:6" ht="15" customHeight="1" x14ac:dyDescent="0.25">
      <c r="A363" s="95">
        <f t="shared" si="17"/>
        <v>44299</v>
      </c>
      <c r="B363" s="76">
        <f>IF(ISNUMBER(_xlfn.XLOOKUP(A363,鑽量!$A:$A,鑽量!$K:$K,,1,2)),_xlfn.XLOOKUP(A363,鑽量!$A:$A,鑽量!$K:$K,,1,2),NA())</f>
        <v>20340</v>
      </c>
      <c r="C363" s="417">
        <f t="shared" si="15"/>
        <v>169.5</v>
      </c>
      <c r="D363" s="417">
        <f>IF(ISNUMBER(_xlfn.XLOOKUP(A363,抽卷!$A:$A,抽卷!$K:$K,,1,2)),_xlfn.XLOOKUP(A363,抽卷!$A:$A,抽卷!$K:$K,,1,2),NA())</f>
        <v>183</v>
      </c>
      <c r="E363" s="417">
        <f>IF(ISNUMBER(_xlfn.XLOOKUP(A363,抽卷!$A:$A,抽卷!$M:$M,,1,2)),_xlfn.XLOOKUP(A363,抽卷!$A:$A,抽卷!$M:$M,,1,2),NA())</f>
        <v>90</v>
      </c>
      <c r="F363" s="70">
        <f t="shared" si="16"/>
        <v>442.5</v>
      </c>
    </row>
    <row r="364" spans="1:6" ht="15" customHeight="1" x14ac:dyDescent="0.25">
      <c r="A364" s="95">
        <f t="shared" si="17"/>
        <v>44300</v>
      </c>
      <c r="B364" s="76">
        <f>IF(ISNUMBER(_xlfn.XLOOKUP(A364,鑽量!$A:$A,鑽量!$K:$K,,1,2)),_xlfn.XLOOKUP(A364,鑽量!$A:$A,鑽量!$K:$K,,1,2),NA())</f>
        <v>20575</v>
      </c>
      <c r="C364" s="417">
        <f t="shared" si="15"/>
        <v>171.45833333333334</v>
      </c>
      <c r="D364" s="417">
        <f>IF(ISNUMBER(_xlfn.XLOOKUP(A364,抽卷!$A:$A,抽卷!$K:$K,,1,2)),_xlfn.XLOOKUP(A364,抽卷!$A:$A,抽卷!$K:$K,,1,2),NA())</f>
        <v>181</v>
      </c>
      <c r="E364" s="417">
        <f>IF(ISNUMBER(_xlfn.XLOOKUP(A364,抽卷!$A:$A,抽卷!$M:$M,,1,2)),_xlfn.XLOOKUP(A364,抽卷!$A:$A,抽卷!$M:$M,,1,2),NA())</f>
        <v>90</v>
      </c>
      <c r="F364" s="70">
        <f t="shared" si="16"/>
        <v>442.45833333333337</v>
      </c>
    </row>
    <row r="365" spans="1:6" ht="15" customHeight="1" x14ac:dyDescent="0.25">
      <c r="A365" s="95">
        <f t="shared" si="17"/>
        <v>44301</v>
      </c>
      <c r="B365" s="76">
        <f>IF(ISNUMBER(_xlfn.XLOOKUP(A365,鑽量!$A:$A,鑽量!$K:$K,,1,2)),_xlfn.XLOOKUP(A365,鑽量!$A:$A,鑽量!$K:$K,,1,2),NA())</f>
        <v>21105</v>
      </c>
      <c r="C365" s="417">
        <f t="shared" si="15"/>
        <v>175.875</v>
      </c>
      <c r="D365" s="417">
        <f>IF(ISNUMBER(_xlfn.XLOOKUP(A365,抽卷!$A:$A,抽卷!$K:$K,,1,2)),_xlfn.XLOOKUP(A365,抽卷!$A:$A,抽卷!$K:$K,,1,2),NA())</f>
        <v>180</v>
      </c>
      <c r="E365" s="417">
        <f>IF(ISNUMBER(_xlfn.XLOOKUP(A365,抽卷!$A:$A,抽卷!$M:$M,,1,2)),_xlfn.XLOOKUP(A365,抽卷!$A:$A,抽卷!$M:$M,,1,2),NA())</f>
        <v>90</v>
      </c>
      <c r="F365" s="70">
        <f t="shared" si="16"/>
        <v>445.875</v>
      </c>
    </row>
    <row r="366" spans="1:6" ht="15" customHeight="1" x14ac:dyDescent="0.25">
      <c r="A366" s="95">
        <f t="shared" si="17"/>
        <v>44302</v>
      </c>
      <c r="B366" s="76">
        <f>IF(ISNUMBER(_xlfn.XLOOKUP(A366,鑽量!$A:$A,鑽量!$K:$K,,1,2)),_xlfn.XLOOKUP(A366,鑽量!$A:$A,鑽量!$K:$K,,1,2),NA())</f>
        <v>21660</v>
      </c>
      <c r="C366" s="417">
        <f t="shared" si="15"/>
        <v>180.5</v>
      </c>
      <c r="D366" s="417">
        <f>IF(ISNUMBER(_xlfn.XLOOKUP(A366,抽卷!$A:$A,抽卷!$K:$K,,1,2)),_xlfn.XLOOKUP(A366,抽卷!$A:$A,抽卷!$K:$K,,1,2),NA())</f>
        <v>182</v>
      </c>
      <c r="E366" s="417">
        <f>IF(ISNUMBER(_xlfn.XLOOKUP(A366,抽卷!$A:$A,抽卷!$M:$M,,1,2)),_xlfn.XLOOKUP(A366,抽卷!$A:$A,抽卷!$M:$M,,1,2),NA())</f>
        <v>90</v>
      </c>
      <c r="F366" s="70">
        <f t="shared" si="16"/>
        <v>452.5</v>
      </c>
    </row>
    <row r="367" spans="1:6" ht="15" customHeight="1" x14ac:dyDescent="0.25">
      <c r="A367" s="95">
        <f t="shared" si="17"/>
        <v>44303</v>
      </c>
      <c r="B367" s="76">
        <f>IF(ISNUMBER(_xlfn.XLOOKUP(A367,鑽量!$A:$A,鑽量!$K:$K,,1,2)),_xlfn.XLOOKUP(A367,鑽量!$A:$A,鑽量!$K:$K,,1,2),NA())</f>
        <v>21530</v>
      </c>
      <c r="C367" s="417">
        <f t="shared" ref="C367:C430" si="18">B367/120</f>
        <v>179.41666666666666</v>
      </c>
      <c r="D367" s="417">
        <f>IF(ISNUMBER(_xlfn.XLOOKUP(A367,抽卷!$A:$A,抽卷!$K:$K,,1,2)),_xlfn.XLOOKUP(A367,抽卷!$A:$A,抽卷!$K:$K,,1,2),NA())</f>
        <v>180</v>
      </c>
      <c r="E367" s="417">
        <f>IF(ISNUMBER(_xlfn.XLOOKUP(A367,抽卷!$A:$A,抽卷!$M:$M,,1,2)),_xlfn.XLOOKUP(A367,抽卷!$A:$A,抽卷!$M:$M,,1,2),NA())</f>
        <v>90</v>
      </c>
      <c r="F367" s="70">
        <f t="shared" si="16"/>
        <v>449.41666666666663</v>
      </c>
    </row>
    <row r="368" spans="1:6" ht="15" customHeight="1" x14ac:dyDescent="0.25">
      <c r="A368" s="95">
        <f t="shared" si="17"/>
        <v>44304</v>
      </c>
      <c r="B368" s="76">
        <f>IF(ISNUMBER(_xlfn.XLOOKUP(A368,鑽量!$A:$A,鑽量!$K:$K,,1,2)),_xlfn.XLOOKUP(A368,鑽量!$A:$A,鑽量!$K:$K,,1,2),NA())</f>
        <v>21865</v>
      </c>
      <c r="C368" s="417">
        <f t="shared" si="18"/>
        <v>182.20833333333334</v>
      </c>
      <c r="D368" s="417">
        <f>IF(ISNUMBER(_xlfn.XLOOKUP(A368,抽卷!$A:$A,抽卷!$K:$K,,1,2)),_xlfn.XLOOKUP(A368,抽卷!$A:$A,抽卷!$K:$K,,1,2),NA())</f>
        <v>162</v>
      </c>
      <c r="E368" s="417">
        <f>IF(ISNUMBER(_xlfn.XLOOKUP(A368,抽卷!$A:$A,抽卷!$M:$M,,1,2)),_xlfn.XLOOKUP(A368,抽卷!$A:$A,抽卷!$M:$M,,1,2),NA())</f>
        <v>90</v>
      </c>
      <c r="F368" s="70">
        <f t="shared" si="16"/>
        <v>434.20833333333337</v>
      </c>
    </row>
    <row r="369" spans="1:6" ht="15" customHeight="1" x14ac:dyDescent="0.25">
      <c r="A369" s="95">
        <f t="shared" si="17"/>
        <v>44305</v>
      </c>
      <c r="B369" s="76">
        <f>IF(ISNUMBER(_xlfn.XLOOKUP(A369,鑽量!$A:$A,鑽量!$K:$K,,1,2)),_xlfn.XLOOKUP(A369,鑽量!$A:$A,鑽量!$K:$K,,1,2),NA())</f>
        <v>21225</v>
      </c>
      <c r="C369" s="417">
        <f t="shared" si="18"/>
        <v>176.875</v>
      </c>
      <c r="D369" s="417">
        <f>IF(ISNUMBER(_xlfn.XLOOKUP(A369,抽卷!$A:$A,抽卷!$K:$K,,1,2)),_xlfn.XLOOKUP(A369,抽卷!$A:$A,抽卷!$K:$K,,1,2),NA())</f>
        <v>162</v>
      </c>
      <c r="E369" s="417">
        <f>IF(ISNUMBER(_xlfn.XLOOKUP(A369,抽卷!$A:$A,抽卷!$M:$M,,1,2)),_xlfn.XLOOKUP(A369,抽卷!$A:$A,抽卷!$M:$M,,1,2),NA())</f>
        <v>90</v>
      </c>
      <c r="F369" s="70">
        <f t="shared" si="16"/>
        <v>428.875</v>
      </c>
    </row>
    <row r="370" spans="1:6" ht="15" customHeight="1" x14ac:dyDescent="0.25">
      <c r="A370" s="95">
        <f t="shared" si="17"/>
        <v>44306</v>
      </c>
      <c r="B370" s="76">
        <f>IF(ISNUMBER(_xlfn.XLOOKUP(A370,鑽量!$A:$A,鑽量!$K:$K,,1,2)),_xlfn.XLOOKUP(A370,鑽量!$A:$A,鑽量!$K:$K,,1,2),NA())</f>
        <v>21075</v>
      </c>
      <c r="C370" s="417">
        <f t="shared" si="18"/>
        <v>175.625</v>
      </c>
      <c r="D370" s="417">
        <f>IF(ISNUMBER(_xlfn.XLOOKUP(A370,抽卷!$A:$A,抽卷!$K:$K,,1,2)),_xlfn.XLOOKUP(A370,抽卷!$A:$A,抽卷!$K:$K,,1,2),NA())</f>
        <v>158</v>
      </c>
      <c r="E370" s="417">
        <f>IF(ISNUMBER(_xlfn.XLOOKUP(A370,抽卷!$A:$A,抽卷!$M:$M,,1,2)),_xlfn.XLOOKUP(A370,抽卷!$A:$A,抽卷!$M:$M,,1,2),NA())</f>
        <v>90</v>
      </c>
      <c r="F370" s="70">
        <f t="shared" si="16"/>
        <v>423.625</v>
      </c>
    </row>
    <row r="371" spans="1:6" ht="15" customHeight="1" x14ac:dyDescent="0.25">
      <c r="A371" s="95">
        <f t="shared" si="17"/>
        <v>44307</v>
      </c>
      <c r="B371" s="76">
        <f>IF(ISNUMBER(_xlfn.XLOOKUP(A371,鑽量!$A:$A,鑽量!$K:$K,,1,2)),_xlfn.XLOOKUP(A371,鑽量!$A:$A,鑽量!$K:$K,,1,2),NA())</f>
        <v>21250</v>
      </c>
      <c r="C371" s="417">
        <f t="shared" si="18"/>
        <v>177.08333333333334</v>
      </c>
      <c r="D371" s="417">
        <f>IF(ISNUMBER(_xlfn.XLOOKUP(A371,抽卷!$A:$A,抽卷!$K:$K,,1,2)),_xlfn.XLOOKUP(A371,抽卷!$A:$A,抽卷!$K:$K,,1,2),NA())</f>
        <v>151</v>
      </c>
      <c r="E371" s="417">
        <f>IF(ISNUMBER(_xlfn.XLOOKUP(A371,抽卷!$A:$A,抽卷!$M:$M,,1,2)),_xlfn.XLOOKUP(A371,抽卷!$A:$A,抽卷!$M:$M,,1,2),NA())</f>
        <v>90</v>
      </c>
      <c r="F371" s="70">
        <f t="shared" si="16"/>
        <v>418.08333333333337</v>
      </c>
    </row>
    <row r="372" spans="1:6" ht="15" customHeight="1" x14ac:dyDescent="0.25">
      <c r="A372" s="95">
        <f t="shared" si="17"/>
        <v>44308</v>
      </c>
      <c r="B372" s="76">
        <f>IF(ISNUMBER(_xlfn.XLOOKUP(A372,鑽量!$A:$A,鑽量!$K:$K,,1,2)),_xlfn.XLOOKUP(A372,鑽量!$A:$A,鑽量!$K:$K,,1,2),NA())</f>
        <v>21075</v>
      </c>
      <c r="C372" s="417">
        <f t="shared" si="18"/>
        <v>175.625</v>
      </c>
      <c r="D372" s="417">
        <f>IF(ISNUMBER(_xlfn.XLOOKUP(A372,抽卷!$A:$A,抽卷!$K:$K,,1,2)),_xlfn.XLOOKUP(A372,抽卷!$A:$A,抽卷!$K:$K,,1,2),NA())</f>
        <v>149</v>
      </c>
      <c r="E372" s="417">
        <f>IF(ISNUMBER(_xlfn.XLOOKUP(A372,抽卷!$A:$A,抽卷!$M:$M,,1,2)),_xlfn.XLOOKUP(A372,抽卷!$A:$A,抽卷!$M:$M,,1,2),NA())</f>
        <v>90</v>
      </c>
      <c r="F372" s="70">
        <f t="shared" si="16"/>
        <v>414.625</v>
      </c>
    </row>
    <row r="373" spans="1:6" ht="15" customHeight="1" x14ac:dyDescent="0.25">
      <c r="A373" s="95">
        <f t="shared" si="17"/>
        <v>44309</v>
      </c>
      <c r="B373" s="76">
        <f>IF(ISNUMBER(_xlfn.XLOOKUP(A373,鑽量!$A:$A,鑽量!$K:$K,,1,2)),_xlfn.XLOOKUP(A373,鑽量!$A:$A,鑽量!$K:$K,,1,2),NA())</f>
        <v>21425</v>
      </c>
      <c r="C373" s="417">
        <f t="shared" si="18"/>
        <v>178.54166666666666</v>
      </c>
      <c r="D373" s="417">
        <f>IF(ISNUMBER(_xlfn.XLOOKUP(A373,抽卷!$A:$A,抽卷!$K:$K,,1,2)),_xlfn.XLOOKUP(A373,抽卷!$A:$A,抽卷!$K:$K,,1,2),NA())</f>
        <v>147</v>
      </c>
      <c r="E373" s="417">
        <f>IF(ISNUMBER(_xlfn.XLOOKUP(A373,抽卷!$A:$A,抽卷!$M:$M,,1,2)),_xlfn.XLOOKUP(A373,抽卷!$A:$A,抽卷!$M:$M,,1,2),NA())</f>
        <v>90</v>
      </c>
      <c r="F373" s="70">
        <f t="shared" si="16"/>
        <v>415.54166666666663</v>
      </c>
    </row>
    <row r="374" spans="1:6" ht="15" customHeight="1" x14ac:dyDescent="0.25">
      <c r="A374" s="95">
        <f t="shared" si="17"/>
        <v>44310</v>
      </c>
      <c r="B374" s="76">
        <f>IF(ISNUMBER(_xlfn.XLOOKUP(A374,鑽量!$A:$A,鑽量!$K:$K,,1,2)),_xlfn.XLOOKUP(A374,鑽量!$A:$A,鑽量!$K:$K,,1,2),NA())</f>
        <v>21500</v>
      </c>
      <c r="C374" s="417">
        <f t="shared" si="18"/>
        <v>179.16666666666666</v>
      </c>
      <c r="D374" s="417">
        <f>IF(ISNUMBER(_xlfn.XLOOKUP(A374,抽卷!$A:$A,抽卷!$K:$K,,1,2)),_xlfn.XLOOKUP(A374,抽卷!$A:$A,抽卷!$K:$K,,1,2),NA())</f>
        <v>147</v>
      </c>
      <c r="E374" s="417">
        <f>IF(ISNUMBER(_xlfn.XLOOKUP(A374,抽卷!$A:$A,抽卷!$M:$M,,1,2)),_xlfn.XLOOKUP(A374,抽卷!$A:$A,抽卷!$M:$M,,1,2),NA())</f>
        <v>90</v>
      </c>
      <c r="F374" s="70">
        <f t="shared" si="16"/>
        <v>416.16666666666663</v>
      </c>
    </row>
    <row r="375" spans="1:6" ht="15" customHeight="1" x14ac:dyDescent="0.25">
      <c r="A375" s="95">
        <f t="shared" si="17"/>
        <v>44311</v>
      </c>
      <c r="B375" s="76">
        <f>IF(ISNUMBER(_xlfn.XLOOKUP(A375,鑽量!$A:$A,鑽量!$K:$K,,1,2)),_xlfn.XLOOKUP(A375,鑽量!$A:$A,鑽量!$K:$K,,1,2),NA())</f>
        <v>21635</v>
      </c>
      <c r="C375" s="417">
        <f t="shared" si="18"/>
        <v>180.29166666666666</v>
      </c>
      <c r="D375" s="417">
        <f>IF(ISNUMBER(_xlfn.XLOOKUP(A375,抽卷!$A:$A,抽卷!$K:$K,,1,2)),_xlfn.XLOOKUP(A375,抽卷!$A:$A,抽卷!$K:$K,,1,2),NA())</f>
        <v>125</v>
      </c>
      <c r="E375" s="417">
        <f>IF(ISNUMBER(_xlfn.XLOOKUP(A375,抽卷!$A:$A,抽卷!$M:$M,,1,2)),_xlfn.XLOOKUP(A375,抽卷!$A:$A,抽卷!$M:$M,,1,2),NA())</f>
        <v>90</v>
      </c>
      <c r="F375" s="70">
        <f t="shared" si="16"/>
        <v>395.29166666666663</v>
      </c>
    </row>
    <row r="376" spans="1:6" ht="15" customHeight="1" x14ac:dyDescent="0.25">
      <c r="A376" s="95">
        <f t="shared" si="17"/>
        <v>44312</v>
      </c>
      <c r="B376" s="76">
        <f>IF(ISNUMBER(_xlfn.XLOOKUP(A376,鑽量!$A:$A,鑽量!$K:$K,,1,2)),_xlfn.XLOOKUP(A376,鑽量!$A:$A,鑽量!$K:$K,,1,2),NA())</f>
        <v>21335</v>
      </c>
      <c r="C376" s="417">
        <f t="shared" si="18"/>
        <v>177.79166666666666</v>
      </c>
      <c r="D376" s="417">
        <f>IF(ISNUMBER(_xlfn.XLOOKUP(A376,抽卷!$A:$A,抽卷!$K:$K,,1,2)),_xlfn.XLOOKUP(A376,抽卷!$A:$A,抽卷!$K:$K,,1,2),NA())</f>
        <v>124</v>
      </c>
      <c r="E376" s="417">
        <f>IF(ISNUMBER(_xlfn.XLOOKUP(A376,抽卷!$A:$A,抽卷!$M:$M,,1,2)),_xlfn.XLOOKUP(A376,抽卷!$A:$A,抽卷!$M:$M,,1,2),NA())</f>
        <v>80</v>
      </c>
      <c r="F376" s="70">
        <f t="shared" si="16"/>
        <v>381.79166666666663</v>
      </c>
    </row>
    <row r="377" spans="1:6" ht="15" customHeight="1" x14ac:dyDescent="0.25">
      <c r="A377" s="95">
        <f t="shared" si="17"/>
        <v>44313</v>
      </c>
      <c r="B377" s="76" t="e">
        <f>IF(ISNUMBER(_xlfn.XLOOKUP(A377,鑽量!$A:$A,鑽量!$K:$K,,1,2)),_xlfn.XLOOKUP(A377,鑽量!$A:$A,鑽量!$K:$K,,1,2),NA())</f>
        <v>#N/A</v>
      </c>
      <c r="C377" s="417" t="e">
        <f t="shared" si="18"/>
        <v>#N/A</v>
      </c>
      <c r="D377" s="417" t="e">
        <f>IF(ISNUMBER(_xlfn.XLOOKUP(A377,抽卷!$A:$A,抽卷!$K:$K,,1,2)),_xlfn.XLOOKUP(A377,抽卷!$A:$A,抽卷!$K:$K,,1,2),NA())</f>
        <v>#N/A</v>
      </c>
      <c r="E377" s="417" t="e">
        <f>IF(ISNUMBER(_xlfn.XLOOKUP(A377,抽卷!$A:$A,抽卷!$M:$M,,1,2)),_xlfn.XLOOKUP(A377,抽卷!$A:$A,抽卷!$M:$M,,1,2),NA())</f>
        <v>#N/A</v>
      </c>
      <c r="F377" s="70" t="e">
        <f t="shared" si="16"/>
        <v>#N/A</v>
      </c>
    </row>
    <row r="378" spans="1:6" ht="15" customHeight="1" x14ac:dyDescent="0.25">
      <c r="A378" s="95">
        <f t="shared" si="17"/>
        <v>44314</v>
      </c>
      <c r="B378" s="76" t="e">
        <f>IF(ISNUMBER(_xlfn.XLOOKUP(A378,鑽量!$A:$A,鑽量!$K:$K,,1,2)),_xlfn.XLOOKUP(A378,鑽量!$A:$A,鑽量!$K:$K,,1,2),NA())</f>
        <v>#N/A</v>
      </c>
      <c r="C378" s="417" t="e">
        <f t="shared" si="18"/>
        <v>#N/A</v>
      </c>
      <c r="D378" s="417" t="e">
        <f>IF(ISNUMBER(_xlfn.XLOOKUP(A378,抽卷!$A:$A,抽卷!$K:$K,,1,2)),_xlfn.XLOOKUP(A378,抽卷!$A:$A,抽卷!$K:$K,,1,2),NA())</f>
        <v>#N/A</v>
      </c>
      <c r="E378" s="417" t="e">
        <f>IF(ISNUMBER(_xlfn.XLOOKUP(A378,抽卷!$A:$A,抽卷!$M:$M,,1,2)),_xlfn.XLOOKUP(A378,抽卷!$A:$A,抽卷!$M:$M,,1,2),NA())</f>
        <v>#N/A</v>
      </c>
      <c r="F378" s="70" t="e">
        <f t="shared" si="16"/>
        <v>#N/A</v>
      </c>
    </row>
    <row r="379" spans="1:6" ht="15" customHeight="1" x14ac:dyDescent="0.25">
      <c r="A379" s="95">
        <f t="shared" si="17"/>
        <v>44315</v>
      </c>
      <c r="B379" s="76" t="e">
        <f>IF(ISNUMBER(_xlfn.XLOOKUP(A379,鑽量!$A:$A,鑽量!$K:$K,,1,2)),_xlfn.XLOOKUP(A379,鑽量!$A:$A,鑽量!$K:$K,,1,2),NA())</f>
        <v>#N/A</v>
      </c>
      <c r="C379" s="417" t="e">
        <f t="shared" si="18"/>
        <v>#N/A</v>
      </c>
      <c r="D379" s="417" t="e">
        <f>IF(ISNUMBER(_xlfn.XLOOKUP(A379,抽卷!$A:$A,抽卷!$K:$K,,1,2)),_xlfn.XLOOKUP(A379,抽卷!$A:$A,抽卷!$K:$K,,1,2),NA())</f>
        <v>#N/A</v>
      </c>
      <c r="E379" s="417" t="e">
        <f>IF(ISNUMBER(_xlfn.XLOOKUP(A379,抽卷!$A:$A,抽卷!$M:$M,,1,2)),_xlfn.XLOOKUP(A379,抽卷!$A:$A,抽卷!$M:$M,,1,2),NA())</f>
        <v>#N/A</v>
      </c>
      <c r="F379" s="70" t="e">
        <f t="shared" ref="F379:F442" si="19">IF(ISNA(E379),IF(ISNA(D379),C379,C379+D379),E379+D379+C379)</f>
        <v>#N/A</v>
      </c>
    </row>
    <row r="380" spans="1:6" ht="15" customHeight="1" x14ac:dyDescent="0.25">
      <c r="A380" s="95">
        <f t="shared" si="17"/>
        <v>44316</v>
      </c>
      <c r="B380" s="76" t="e">
        <f>IF(ISNUMBER(_xlfn.XLOOKUP(A380,鑽量!$A:$A,鑽量!$K:$K,,1,2)),_xlfn.XLOOKUP(A380,鑽量!$A:$A,鑽量!$K:$K,,1,2),NA())</f>
        <v>#N/A</v>
      </c>
      <c r="C380" s="417" t="e">
        <f t="shared" si="18"/>
        <v>#N/A</v>
      </c>
      <c r="D380" s="417" t="e">
        <f>IF(ISNUMBER(_xlfn.XLOOKUP(A380,抽卷!$A:$A,抽卷!$K:$K,,1,2)),_xlfn.XLOOKUP(A380,抽卷!$A:$A,抽卷!$K:$K,,1,2),NA())</f>
        <v>#N/A</v>
      </c>
      <c r="E380" s="417" t="e">
        <f>IF(ISNUMBER(_xlfn.XLOOKUP(A380,抽卷!$A:$A,抽卷!$M:$M,,1,2)),_xlfn.XLOOKUP(A380,抽卷!$A:$A,抽卷!$M:$M,,1,2),NA())</f>
        <v>#N/A</v>
      </c>
      <c r="F380" s="70" t="e">
        <f t="shared" si="19"/>
        <v>#N/A</v>
      </c>
    </row>
    <row r="381" spans="1:6" ht="15" customHeight="1" x14ac:dyDescent="0.25">
      <c r="A381" s="95">
        <f t="shared" si="17"/>
        <v>44317</v>
      </c>
      <c r="B381" s="76" t="e">
        <f>IF(ISNUMBER(_xlfn.XLOOKUP(A381,鑽量!$A:$A,鑽量!$K:$K,,1,2)),_xlfn.XLOOKUP(A381,鑽量!$A:$A,鑽量!$K:$K,,1,2),NA())</f>
        <v>#N/A</v>
      </c>
      <c r="C381" s="417" t="e">
        <f t="shared" si="18"/>
        <v>#N/A</v>
      </c>
      <c r="D381" s="417" t="e">
        <f>IF(ISNUMBER(_xlfn.XLOOKUP(A381,抽卷!$A:$A,抽卷!$K:$K,,1,2)),_xlfn.XLOOKUP(A381,抽卷!$A:$A,抽卷!$K:$K,,1,2),NA())</f>
        <v>#N/A</v>
      </c>
      <c r="E381" s="417" t="e">
        <f>IF(ISNUMBER(_xlfn.XLOOKUP(A381,抽卷!$A:$A,抽卷!$M:$M,,1,2)),_xlfn.XLOOKUP(A381,抽卷!$A:$A,抽卷!$M:$M,,1,2),NA())</f>
        <v>#N/A</v>
      </c>
      <c r="F381" s="70" t="e">
        <f t="shared" si="19"/>
        <v>#N/A</v>
      </c>
    </row>
    <row r="382" spans="1:6" ht="15" customHeight="1" x14ac:dyDescent="0.25">
      <c r="A382" s="95">
        <f t="shared" si="17"/>
        <v>44318</v>
      </c>
      <c r="B382" s="76" t="e">
        <f>IF(ISNUMBER(_xlfn.XLOOKUP(A382,鑽量!$A:$A,鑽量!$K:$K,,1,2)),_xlfn.XLOOKUP(A382,鑽量!$A:$A,鑽量!$K:$K,,1,2),NA())</f>
        <v>#N/A</v>
      </c>
      <c r="C382" s="417" t="e">
        <f t="shared" si="18"/>
        <v>#N/A</v>
      </c>
      <c r="D382" s="417" t="e">
        <f>IF(ISNUMBER(_xlfn.XLOOKUP(A382,抽卷!$A:$A,抽卷!$K:$K,,1,2)),_xlfn.XLOOKUP(A382,抽卷!$A:$A,抽卷!$K:$K,,1,2),NA())</f>
        <v>#N/A</v>
      </c>
      <c r="E382" s="417" t="e">
        <f>IF(ISNUMBER(_xlfn.XLOOKUP(A382,抽卷!$A:$A,抽卷!$M:$M,,1,2)),_xlfn.XLOOKUP(A382,抽卷!$A:$A,抽卷!$M:$M,,1,2),NA())</f>
        <v>#N/A</v>
      </c>
      <c r="F382" s="70" t="e">
        <f t="shared" si="19"/>
        <v>#N/A</v>
      </c>
    </row>
    <row r="383" spans="1:6" ht="15" customHeight="1" x14ac:dyDescent="0.25">
      <c r="A383" s="95">
        <f t="shared" si="17"/>
        <v>44319</v>
      </c>
      <c r="B383" s="76" t="e">
        <f>IF(ISNUMBER(_xlfn.XLOOKUP(A383,鑽量!$A:$A,鑽量!$K:$K,,1,2)),_xlfn.XLOOKUP(A383,鑽量!$A:$A,鑽量!$K:$K,,1,2),NA())</f>
        <v>#N/A</v>
      </c>
      <c r="C383" s="417" t="e">
        <f t="shared" si="18"/>
        <v>#N/A</v>
      </c>
      <c r="D383" s="417" t="e">
        <f>IF(ISNUMBER(_xlfn.XLOOKUP(A383,抽卷!$A:$A,抽卷!$K:$K,,1,2)),_xlfn.XLOOKUP(A383,抽卷!$A:$A,抽卷!$K:$K,,1,2),NA())</f>
        <v>#N/A</v>
      </c>
      <c r="E383" s="417" t="e">
        <f>IF(ISNUMBER(_xlfn.XLOOKUP(A383,抽卷!$A:$A,抽卷!$M:$M,,1,2)),_xlfn.XLOOKUP(A383,抽卷!$A:$A,抽卷!$M:$M,,1,2),NA())</f>
        <v>#N/A</v>
      </c>
      <c r="F383" s="70" t="e">
        <f t="shared" si="19"/>
        <v>#N/A</v>
      </c>
    </row>
    <row r="384" spans="1:6" ht="15" customHeight="1" x14ac:dyDescent="0.25">
      <c r="A384" s="95">
        <f t="shared" si="17"/>
        <v>44320</v>
      </c>
      <c r="B384" s="76" t="e">
        <f>IF(ISNUMBER(_xlfn.XLOOKUP(A384,鑽量!$A:$A,鑽量!$K:$K,,1,2)),_xlfn.XLOOKUP(A384,鑽量!$A:$A,鑽量!$K:$K,,1,2),NA())</f>
        <v>#N/A</v>
      </c>
      <c r="C384" s="417" t="e">
        <f t="shared" si="18"/>
        <v>#N/A</v>
      </c>
      <c r="D384" s="417" t="e">
        <f>IF(ISNUMBER(_xlfn.XLOOKUP(A384,抽卷!$A:$A,抽卷!$K:$K,,1,2)),_xlfn.XLOOKUP(A384,抽卷!$A:$A,抽卷!$K:$K,,1,2),NA())</f>
        <v>#N/A</v>
      </c>
      <c r="E384" s="417" t="e">
        <f>IF(ISNUMBER(_xlfn.XLOOKUP(A384,抽卷!$A:$A,抽卷!$M:$M,,1,2)),_xlfn.XLOOKUP(A384,抽卷!$A:$A,抽卷!$M:$M,,1,2),NA())</f>
        <v>#N/A</v>
      </c>
      <c r="F384" s="70" t="e">
        <f t="shared" si="19"/>
        <v>#N/A</v>
      </c>
    </row>
    <row r="385" spans="1:6" ht="15" customHeight="1" x14ac:dyDescent="0.25">
      <c r="A385" s="95">
        <f t="shared" si="17"/>
        <v>44321</v>
      </c>
      <c r="B385" s="76" t="e">
        <f>IF(ISNUMBER(_xlfn.XLOOKUP(A385,鑽量!$A:$A,鑽量!$K:$K,,1,2)),_xlfn.XLOOKUP(A385,鑽量!$A:$A,鑽量!$K:$K,,1,2),NA())</f>
        <v>#N/A</v>
      </c>
      <c r="C385" s="417" t="e">
        <f t="shared" si="18"/>
        <v>#N/A</v>
      </c>
      <c r="D385" s="417" t="e">
        <f>IF(ISNUMBER(_xlfn.XLOOKUP(A385,抽卷!$A:$A,抽卷!$K:$K,,1,2)),_xlfn.XLOOKUP(A385,抽卷!$A:$A,抽卷!$K:$K,,1,2),NA())</f>
        <v>#N/A</v>
      </c>
      <c r="E385" s="417" t="e">
        <f>IF(ISNUMBER(_xlfn.XLOOKUP(A385,抽卷!$A:$A,抽卷!$M:$M,,1,2)),_xlfn.XLOOKUP(A385,抽卷!$A:$A,抽卷!$M:$M,,1,2),NA())</f>
        <v>#N/A</v>
      </c>
      <c r="F385" s="70" t="e">
        <f t="shared" si="19"/>
        <v>#N/A</v>
      </c>
    </row>
    <row r="386" spans="1:6" ht="15" customHeight="1" x14ac:dyDescent="0.25">
      <c r="A386" s="95">
        <f t="shared" si="17"/>
        <v>44322</v>
      </c>
      <c r="B386" s="76" t="e">
        <f>IF(ISNUMBER(_xlfn.XLOOKUP(A386,鑽量!$A:$A,鑽量!$K:$K,,1,2)),_xlfn.XLOOKUP(A386,鑽量!$A:$A,鑽量!$K:$K,,1,2),NA())</f>
        <v>#N/A</v>
      </c>
      <c r="C386" s="417" t="e">
        <f t="shared" si="18"/>
        <v>#N/A</v>
      </c>
      <c r="D386" s="417" t="e">
        <f>IF(ISNUMBER(_xlfn.XLOOKUP(A386,抽卷!$A:$A,抽卷!$K:$K,,1,2)),_xlfn.XLOOKUP(A386,抽卷!$A:$A,抽卷!$K:$K,,1,2),NA())</f>
        <v>#N/A</v>
      </c>
      <c r="E386" s="417" t="e">
        <f>IF(ISNUMBER(_xlfn.XLOOKUP(A386,抽卷!$A:$A,抽卷!$M:$M,,1,2)),_xlfn.XLOOKUP(A386,抽卷!$A:$A,抽卷!$M:$M,,1,2),NA())</f>
        <v>#N/A</v>
      </c>
      <c r="F386" s="70" t="e">
        <f t="shared" si="19"/>
        <v>#N/A</v>
      </c>
    </row>
    <row r="387" spans="1:6" ht="15" customHeight="1" x14ac:dyDescent="0.25">
      <c r="A387" s="95">
        <f t="shared" si="17"/>
        <v>44323</v>
      </c>
      <c r="B387" s="76" t="e">
        <f>IF(ISNUMBER(_xlfn.XLOOKUP(A387,鑽量!$A:$A,鑽量!$K:$K,,1,2)),_xlfn.XLOOKUP(A387,鑽量!$A:$A,鑽量!$K:$K,,1,2),NA())</f>
        <v>#N/A</v>
      </c>
      <c r="C387" s="417" t="e">
        <f t="shared" si="18"/>
        <v>#N/A</v>
      </c>
      <c r="D387" s="417" t="e">
        <f>IF(ISNUMBER(_xlfn.XLOOKUP(A387,抽卷!$A:$A,抽卷!$K:$K,,1,2)),_xlfn.XLOOKUP(A387,抽卷!$A:$A,抽卷!$K:$K,,1,2),NA())</f>
        <v>#N/A</v>
      </c>
      <c r="E387" s="417" t="e">
        <f>IF(ISNUMBER(_xlfn.XLOOKUP(A387,抽卷!$A:$A,抽卷!$M:$M,,1,2)),_xlfn.XLOOKUP(A387,抽卷!$A:$A,抽卷!$M:$M,,1,2),NA())</f>
        <v>#N/A</v>
      </c>
      <c r="F387" s="70" t="e">
        <f t="shared" si="19"/>
        <v>#N/A</v>
      </c>
    </row>
    <row r="388" spans="1:6" ht="15" customHeight="1" x14ac:dyDescent="0.25">
      <c r="A388" s="95">
        <f t="shared" si="17"/>
        <v>44324</v>
      </c>
      <c r="B388" s="76" t="e">
        <f>IF(ISNUMBER(_xlfn.XLOOKUP(A388,鑽量!$A:$A,鑽量!$K:$K,,1,2)),_xlfn.XLOOKUP(A388,鑽量!$A:$A,鑽量!$K:$K,,1,2),NA())</f>
        <v>#N/A</v>
      </c>
      <c r="C388" s="417" t="e">
        <f t="shared" si="18"/>
        <v>#N/A</v>
      </c>
      <c r="D388" s="417" t="e">
        <f>IF(ISNUMBER(_xlfn.XLOOKUP(A388,抽卷!$A:$A,抽卷!$K:$K,,1,2)),_xlfn.XLOOKUP(A388,抽卷!$A:$A,抽卷!$K:$K,,1,2),NA())</f>
        <v>#N/A</v>
      </c>
      <c r="E388" s="417" t="e">
        <f>IF(ISNUMBER(_xlfn.XLOOKUP(A388,抽卷!$A:$A,抽卷!$M:$M,,1,2)),_xlfn.XLOOKUP(A388,抽卷!$A:$A,抽卷!$M:$M,,1,2),NA())</f>
        <v>#N/A</v>
      </c>
      <c r="F388" s="70" t="e">
        <f t="shared" si="19"/>
        <v>#N/A</v>
      </c>
    </row>
    <row r="389" spans="1:6" ht="15" customHeight="1" x14ac:dyDescent="0.25">
      <c r="A389" s="95">
        <f t="shared" si="17"/>
        <v>44325</v>
      </c>
      <c r="B389" s="76" t="e">
        <f>IF(ISNUMBER(_xlfn.XLOOKUP(A389,鑽量!$A:$A,鑽量!$K:$K,,1,2)),_xlfn.XLOOKUP(A389,鑽量!$A:$A,鑽量!$K:$K,,1,2),NA())</f>
        <v>#N/A</v>
      </c>
      <c r="C389" s="417" t="e">
        <f t="shared" si="18"/>
        <v>#N/A</v>
      </c>
      <c r="D389" s="417" t="e">
        <f>IF(ISNUMBER(_xlfn.XLOOKUP(A389,抽卷!$A:$A,抽卷!$K:$K,,1,2)),_xlfn.XLOOKUP(A389,抽卷!$A:$A,抽卷!$K:$K,,1,2),NA())</f>
        <v>#N/A</v>
      </c>
      <c r="E389" s="417" t="e">
        <f>IF(ISNUMBER(_xlfn.XLOOKUP(A389,抽卷!$A:$A,抽卷!$M:$M,,1,2)),_xlfn.XLOOKUP(A389,抽卷!$A:$A,抽卷!$M:$M,,1,2),NA())</f>
        <v>#N/A</v>
      </c>
      <c r="F389" s="70" t="e">
        <f t="shared" si="19"/>
        <v>#N/A</v>
      </c>
    </row>
    <row r="390" spans="1:6" ht="15" customHeight="1" x14ac:dyDescent="0.25">
      <c r="A390" s="95">
        <f t="shared" ref="A390:A453" si="20">A389+1</f>
        <v>44326</v>
      </c>
      <c r="B390" s="76" t="e">
        <f>IF(ISNUMBER(_xlfn.XLOOKUP(A390,鑽量!$A:$A,鑽量!$K:$K,,1,2)),_xlfn.XLOOKUP(A390,鑽量!$A:$A,鑽量!$K:$K,,1,2),NA())</f>
        <v>#N/A</v>
      </c>
      <c r="C390" s="417" t="e">
        <f t="shared" si="18"/>
        <v>#N/A</v>
      </c>
      <c r="D390" s="417" t="e">
        <f>IF(ISNUMBER(_xlfn.XLOOKUP(A390,抽卷!$A:$A,抽卷!$K:$K,,1,2)),_xlfn.XLOOKUP(A390,抽卷!$A:$A,抽卷!$K:$K,,1,2),NA())</f>
        <v>#N/A</v>
      </c>
      <c r="E390" s="417" t="e">
        <f>IF(ISNUMBER(_xlfn.XLOOKUP(A390,抽卷!$A:$A,抽卷!$M:$M,,1,2)),_xlfn.XLOOKUP(A390,抽卷!$A:$A,抽卷!$M:$M,,1,2),NA())</f>
        <v>#N/A</v>
      </c>
      <c r="F390" s="70" t="e">
        <f t="shared" si="19"/>
        <v>#N/A</v>
      </c>
    </row>
    <row r="391" spans="1:6" ht="15" customHeight="1" x14ac:dyDescent="0.25">
      <c r="A391" s="95">
        <f t="shared" si="20"/>
        <v>44327</v>
      </c>
      <c r="B391" s="76" t="e">
        <f>IF(ISNUMBER(_xlfn.XLOOKUP(A391,鑽量!$A:$A,鑽量!$K:$K,,1,2)),_xlfn.XLOOKUP(A391,鑽量!$A:$A,鑽量!$K:$K,,1,2),NA())</f>
        <v>#N/A</v>
      </c>
      <c r="C391" s="417" t="e">
        <f t="shared" si="18"/>
        <v>#N/A</v>
      </c>
      <c r="D391" s="417" t="e">
        <f>IF(ISNUMBER(_xlfn.XLOOKUP(A391,抽卷!$A:$A,抽卷!$K:$K,,1,2)),_xlfn.XLOOKUP(A391,抽卷!$A:$A,抽卷!$K:$K,,1,2),NA())</f>
        <v>#N/A</v>
      </c>
      <c r="E391" s="417" t="e">
        <f>IF(ISNUMBER(_xlfn.XLOOKUP(A391,抽卷!$A:$A,抽卷!$M:$M,,1,2)),_xlfn.XLOOKUP(A391,抽卷!$A:$A,抽卷!$M:$M,,1,2),NA())</f>
        <v>#N/A</v>
      </c>
      <c r="F391" s="70" t="e">
        <f t="shared" si="19"/>
        <v>#N/A</v>
      </c>
    </row>
    <row r="392" spans="1:6" ht="15" customHeight="1" x14ac:dyDescent="0.25">
      <c r="A392" s="95">
        <f t="shared" si="20"/>
        <v>44328</v>
      </c>
      <c r="B392" s="76" t="e">
        <f>IF(ISNUMBER(_xlfn.XLOOKUP(A392,鑽量!$A:$A,鑽量!$K:$K,,1,2)),_xlfn.XLOOKUP(A392,鑽量!$A:$A,鑽量!$K:$K,,1,2),NA())</f>
        <v>#N/A</v>
      </c>
      <c r="C392" s="417" t="e">
        <f t="shared" si="18"/>
        <v>#N/A</v>
      </c>
      <c r="D392" s="417" t="e">
        <f>IF(ISNUMBER(_xlfn.XLOOKUP(A392,抽卷!$A:$A,抽卷!$K:$K,,1,2)),_xlfn.XLOOKUP(A392,抽卷!$A:$A,抽卷!$K:$K,,1,2),NA())</f>
        <v>#N/A</v>
      </c>
      <c r="E392" s="417" t="e">
        <f>IF(ISNUMBER(_xlfn.XLOOKUP(A392,抽卷!$A:$A,抽卷!$M:$M,,1,2)),_xlfn.XLOOKUP(A392,抽卷!$A:$A,抽卷!$M:$M,,1,2),NA())</f>
        <v>#N/A</v>
      </c>
      <c r="F392" s="70" t="e">
        <f t="shared" si="19"/>
        <v>#N/A</v>
      </c>
    </row>
    <row r="393" spans="1:6" ht="15" customHeight="1" x14ac:dyDescent="0.25">
      <c r="A393" s="95">
        <f t="shared" si="20"/>
        <v>44329</v>
      </c>
      <c r="B393" s="76" t="e">
        <f>IF(ISNUMBER(_xlfn.XLOOKUP(A393,鑽量!$A:$A,鑽量!$K:$K,,1,2)),_xlfn.XLOOKUP(A393,鑽量!$A:$A,鑽量!$K:$K,,1,2),NA())</f>
        <v>#N/A</v>
      </c>
      <c r="C393" s="417" t="e">
        <f t="shared" si="18"/>
        <v>#N/A</v>
      </c>
      <c r="D393" s="417" t="e">
        <f>IF(ISNUMBER(_xlfn.XLOOKUP(A393,抽卷!$A:$A,抽卷!$K:$K,,1,2)),_xlfn.XLOOKUP(A393,抽卷!$A:$A,抽卷!$K:$K,,1,2),NA())</f>
        <v>#N/A</v>
      </c>
      <c r="E393" s="417" t="e">
        <f>IF(ISNUMBER(_xlfn.XLOOKUP(A393,抽卷!$A:$A,抽卷!$M:$M,,1,2)),_xlfn.XLOOKUP(A393,抽卷!$A:$A,抽卷!$M:$M,,1,2),NA())</f>
        <v>#N/A</v>
      </c>
      <c r="F393" s="70" t="e">
        <f t="shared" si="19"/>
        <v>#N/A</v>
      </c>
    </row>
    <row r="394" spans="1:6" ht="15" customHeight="1" x14ac:dyDescent="0.25">
      <c r="A394" s="95">
        <f t="shared" si="20"/>
        <v>44330</v>
      </c>
      <c r="B394" s="76" t="e">
        <f>IF(ISNUMBER(_xlfn.XLOOKUP(A394,鑽量!$A:$A,鑽量!$K:$K,,1,2)),_xlfn.XLOOKUP(A394,鑽量!$A:$A,鑽量!$K:$K,,1,2),NA())</f>
        <v>#N/A</v>
      </c>
      <c r="C394" s="417" t="e">
        <f t="shared" si="18"/>
        <v>#N/A</v>
      </c>
      <c r="D394" s="417" t="e">
        <f>IF(ISNUMBER(_xlfn.XLOOKUP(A394,抽卷!$A:$A,抽卷!$K:$K,,1,2)),_xlfn.XLOOKUP(A394,抽卷!$A:$A,抽卷!$K:$K,,1,2),NA())</f>
        <v>#N/A</v>
      </c>
      <c r="E394" s="417" t="e">
        <f>IF(ISNUMBER(_xlfn.XLOOKUP(A394,抽卷!$A:$A,抽卷!$M:$M,,1,2)),_xlfn.XLOOKUP(A394,抽卷!$A:$A,抽卷!$M:$M,,1,2),NA())</f>
        <v>#N/A</v>
      </c>
      <c r="F394" s="70" t="e">
        <f t="shared" si="19"/>
        <v>#N/A</v>
      </c>
    </row>
    <row r="395" spans="1:6" ht="15" customHeight="1" x14ac:dyDescent="0.25">
      <c r="A395" s="95">
        <f t="shared" si="20"/>
        <v>44331</v>
      </c>
      <c r="B395" s="76" t="e">
        <f>IF(ISNUMBER(_xlfn.XLOOKUP(A395,鑽量!$A:$A,鑽量!$K:$K,,1,2)),_xlfn.XLOOKUP(A395,鑽量!$A:$A,鑽量!$K:$K,,1,2),NA())</f>
        <v>#N/A</v>
      </c>
      <c r="C395" s="417" t="e">
        <f t="shared" si="18"/>
        <v>#N/A</v>
      </c>
      <c r="D395" s="417" t="e">
        <f>IF(ISNUMBER(_xlfn.XLOOKUP(A395,抽卷!$A:$A,抽卷!$K:$K,,1,2)),_xlfn.XLOOKUP(A395,抽卷!$A:$A,抽卷!$K:$K,,1,2),NA())</f>
        <v>#N/A</v>
      </c>
      <c r="E395" s="417" t="e">
        <f>IF(ISNUMBER(_xlfn.XLOOKUP(A395,抽卷!$A:$A,抽卷!$M:$M,,1,2)),_xlfn.XLOOKUP(A395,抽卷!$A:$A,抽卷!$M:$M,,1,2),NA())</f>
        <v>#N/A</v>
      </c>
      <c r="F395" s="70" t="e">
        <f t="shared" si="19"/>
        <v>#N/A</v>
      </c>
    </row>
    <row r="396" spans="1:6" ht="15" customHeight="1" x14ac:dyDescent="0.25">
      <c r="A396" s="95">
        <f t="shared" si="20"/>
        <v>44332</v>
      </c>
      <c r="B396" s="76" t="e">
        <f>IF(ISNUMBER(_xlfn.XLOOKUP(A396,鑽量!$A:$A,鑽量!$K:$K,,1,2)),_xlfn.XLOOKUP(A396,鑽量!$A:$A,鑽量!$K:$K,,1,2),NA())</f>
        <v>#N/A</v>
      </c>
      <c r="C396" s="417" t="e">
        <f t="shared" si="18"/>
        <v>#N/A</v>
      </c>
      <c r="D396" s="417" t="e">
        <f>IF(ISNUMBER(_xlfn.XLOOKUP(A396,抽卷!$A:$A,抽卷!$K:$K,,1,2)),_xlfn.XLOOKUP(A396,抽卷!$A:$A,抽卷!$K:$K,,1,2),NA())</f>
        <v>#N/A</v>
      </c>
      <c r="E396" s="417" t="e">
        <f>IF(ISNUMBER(_xlfn.XLOOKUP(A396,抽卷!$A:$A,抽卷!$M:$M,,1,2)),_xlfn.XLOOKUP(A396,抽卷!$A:$A,抽卷!$M:$M,,1,2),NA())</f>
        <v>#N/A</v>
      </c>
      <c r="F396" s="70" t="e">
        <f t="shared" si="19"/>
        <v>#N/A</v>
      </c>
    </row>
    <row r="397" spans="1:6" ht="15" customHeight="1" x14ac:dyDescent="0.25">
      <c r="A397" s="95">
        <f t="shared" si="20"/>
        <v>44333</v>
      </c>
      <c r="B397" s="76" t="e">
        <f>IF(ISNUMBER(_xlfn.XLOOKUP(A397,鑽量!$A:$A,鑽量!$K:$K,,1,2)),_xlfn.XLOOKUP(A397,鑽量!$A:$A,鑽量!$K:$K,,1,2),NA())</f>
        <v>#N/A</v>
      </c>
      <c r="C397" s="417" t="e">
        <f t="shared" si="18"/>
        <v>#N/A</v>
      </c>
      <c r="D397" s="417" t="e">
        <f>IF(ISNUMBER(_xlfn.XLOOKUP(A397,抽卷!$A:$A,抽卷!$K:$K,,1,2)),_xlfn.XLOOKUP(A397,抽卷!$A:$A,抽卷!$K:$K,,1,2),NA())</f>
        <v>#N/A</v>
      </c>
      <c r="E397" s="417" t="e">
        <f>IF(ISNUMBER(_xlfn.XLOOKUP(A397,抽卷!$A:$A,抽卷!$M:$M,,1,2)),_xlfn.XLOOKUP(A397,抽卷!$A:$A,抽卷!$M:$M,,1,2),NA())</f>
        <v>#N/A</v>
      </c>
      <c r="F397" s="70" t="e">
        <f t="shared" si="19"/>
        <v>#N/A</v>
      </c>
    </row>
    <row r="398" spans="1:6" ht="15" customHeight="1" x14ac:dyDescent="0.25">
      <c r="A398" s="95">
        <f t="shared" si="20"/>
        <v>44334</v>
      </c>
      <c r="B398" s="76" t="e">
        <f>IF(ISNUMBER(_xlfn.XLOOKUP(A398,鑽量!$A:$A,鑽量!$K:$K,,1,2)),_xlfn.XLOOKUP(A398,鑽量!$A:$A,鑽量!$K:$K,,1,2),NA())</f>
        <v>#N/A</v>
      </c>
      <c r="C398" s="417" t="e">
        <f t="shared" si="18"/>
        <v>#N/A</v>
      </c>
      <c r="D398" s="417" t="e">
        <f>IF(ISNUMBER(_xlfn.XLOOKUP(A398,抽卷!$A:$A,抽卷!$K:$K,,1,2)),_xlfn.XLOOKUP(A398,抽卷!$A:$A,抽卷!$K:$K,,1,2),NA())</f>
        <v>#N/A</v>
      </c>
      <c r="E398" s="417" t="e">
        <f>IF(ISNUMBER(_xlfn.XLOOKUP(A398,抽卷!$A:$A,抽卷!$M:$M,,1,2)),_xlfn.XLOOKUP(A398,抽卷!$A:$A,抽卷!$M:$M,,1,2),NA())</f>
        <v>#N/A</v>
      </c>
      <c r="F398" s="70" t="e">
        <f t="shared" si="19"/>
        <v>#N/A</v>
      </c>
    </row>
    <row r="399" spans="1:6" ht="15" customHeight="1" x14ac:dyDescent="0.25">
      <c r="A399" s="95">
        <f t="shared" si="20"/>
        <v>44335</v>
      </c>
      <c r="B399" s="76" t="e">
        <f>IF(ISNUMBER(_xlfn.XLOOKUP(A399,鑽量!$A:$A,鑽量!$K:$K,,1,2)),_xlfn.XLOOKUP(A399,鑽量!$A:$A,鑽量!$K:$K,,1,2),NA())</f>
        <v>#N/A</v>
      </c>
      <c r="C399" s="417" t="e">
        <f t="shared" si="18"/>
        <v>#N/A</v>
      </c>
      <c r="D399" s="417" t="e">
        <f>IF(ISNUMBER(_xlfn.XLOOKUP(A399,抽卷!$A:$A,抽卷!$K:$K,,1,2)),_xlfn.XLOOKUP(A399,抽卷!$A:$A,抽卷!$K:$K,,1,2),NA())</f>
        <v>#N/A</v>
      </c>
      <c r="E399" s="417" t="e">
        <f>IF(ISNUMBER(_xlfn.XLOOKUP(A399,抽卷!$A:$A,抽卷!$M:$M,,1,2)),_xlfn.XLOOKUP(A399,抽卷!$A:$A,抽卷!$M:$M,,1,2),NA())</f>
        <v>#N/A</v>
      </c>
      <c r="F399" s="70" t="e">
        <f t="shared" si="19"/>
        <v>#N/A</v>
      </c>
    </row>
    <row r="400" spans="1:6" ht="15" customHeight="1" x14ac:dyDescent="0.25">
      <c r="A400" s="95">
        <f t="shared" si="20"/>
        <v>44336</v>
      </c>
      <c r="B400" s="76" t="e">
        <f>IF(ISNUMBER(_xlfn.XLOOKUP(A400,鑽量!$A:$A,鑽量!$K:$K,,1,2)),_xlfn.XLOOKUP(A400,鑽量!$A:$A,鑽量!$K:$K,,1,2),NA())</f>
        <v>#N/A</v>
      </c>
      <c r="C400" s="417" t="e">
        <f t="shared" si="18"/>
        <v>#N/A</v>
      </c>
      <c r="D400" s="417" t="e">
        <f>IF(ISNUMBER(_xlfn.XLOOKUP(A400,抽卷!$A:$A,抽卷!$K:$K,,1,2)),_xlfn.XLOOKUP(A400,抽卷!$A:$A,抽卷!$K:$K,,1,2),NA())</f>
        <v>#N/A</v>
      </c>
      <c r="E400" s="417" t="e">
        <f>IF(ISNUMBER(_xlfn.XLOOKUP(A400,抽卷!$A:$A,抽卷!$M:$M,,1,2)),_xlfn.XLOOKUP(A400,抽卷!$A:$A,抽卷!$M:$M,,1,2),NA())</f>
        <v>#N/A</v>
      </c>
      <c r="F400" s="70" t="e">
        <f t="shared" si="19"/>
        <v>#N/A</v>
      </c>
    </row>
    <row r="401" spans="1:6" ht="15" customHeight="1" x14ac:dyDescent="0.25">
      <c r="A401" s="95">
        <f t="shared" si="20"/>
        <v>44337</v>
      </c>
      <c r="B401" s="76" t="e">
        <f>IF(ISNUMBER(_xlfn.XLOOKUP(A401,鑽量!$A:$A,鑽量!$K:$K,,1,2)),_xlfn.XLOOKUP(A401,鑽量!$A:$A,鑽量!$K:$K,,1,2),NA())</f>
        <v>#N/A</v>
      </c>
      <c r="C401" s="417" t="e">
        <f t="shared" si="18"/>
        <v>#N/A</v>
      </c>
      <c r="D401" s="417" t="e">
        <f>IF(ISNUMBER(_xlfn.XLOOKUP(A401,抽卷!$A:$A,抽卷!$K:$K,,1,2)),_xlfn.XLOOKUP(A401,抽卷!$A:$A,抽卷!$K:$K,,1,2),NA())</f>
        <v>#N/A</v>
      </c>
      <c r="E401" s="417" t="e">
        <f>IF(ISNUMBER(_xlfn.XLOOKUP(A401,抽卷!$A:$A,抽卷!$M:$M,,1,2)),_xlfn.XLOOKUP(A401,抽卷!$A:$A,抽卷!$M:$M,,1,2),NA())</f>
        <v>#N/A</v>
      </c>
      <c r="F401" s="70" t="e">
        <f t="shared" si="19"/>
        <v>#N/A</v>
      </c>
    </row>
    <row r="402" spans="1:6" ht="15" customHeight="1" x14ac:dyDescent="0.25">
      <c r="A402" s="95">
        <f t="shared" si="20"/>
        <v>44338</v>
      </c>
      <c r="B402" s="76" t="e">
        <f>IF(ISNUMBER(_xlfn.XLOOKUP(A402,鑽量!$A:$A,鑽量!$K:$K,,1,2)),_xlfn.XLOOKUP(A402,鑽量!$A:$A,鑽量!$K:$K,,1,2),NA())</f>
        <v>#N/A</v>
      </c>
      <c r="C402" s="417" t="e">
        <f t="shared" si="18"/>
        <v>#N/A</v>
      </c>
      <c r="D402" s="417" t="e">
        <f>IF(ISNUMBER(_xlfn.XLOOKUP(A402,抽卷!$A:$A,抽卷!$K:$K,,1,2)),_xlfn.XLOOKUP(A402,抽卷!$A:$A,抽卷!$K:$K,,1,2),NA())</f>
        <v>#N/A</v>
      </c>
      <c r="E402" s="417" t="e">
        <f>IF(ISNUMBER(_xlfn.XLOOKUP(A402,抽卷!$A:$A,抽卷!$M:$M,,1,2)),_xlfn.XLOOKUP(A402,抽卷!$A:$A,抽卷!$M:$M,,1,2),NA())</f>
        <v>#N/A</v>
      </c>
      <c r="F402" s="70" t="e">
        <f t="shared" si="19"/>
        <v>#N/A</v>
      </c>
    </row>
    <row r="403" spans="1:6" ht="15" customHeight="1" x14ac:dyDescent="0.25">
      <c r="A403" s="95">
        <f t="shared" si="20"/>
        <v>44339</v>
      </c>
      <c r="B403" s="76" t="e">
        <f>IF(ISNUMBER(_xlfn.XLOOKUP(A403,鑽量!$A:$A,鑽量!$K:$K,,1,2)),_xlfn.XLOOKUP(A403,鑽量!$A:$A,鑽量!$K:$K,,1,2),NA())</f>
        <v>#N/A</v>
      </c>
      <c r="C403" s="417" t="e">
        <f t="shared" si="18"/>
        <v>#N/A</v>
      </c>
      <c r="D403" s="417" t="e">
        <f>IF(ISNUMBER(_xlfn.XLOOKUP(A403,抽卷!$A:$A,抽卷!$K:$K,,1,2)),_xlfn.XLOOKUP(A403,抽卷!$A:$A,抽卷!$K:$K,,1,2),NA())</f>
        <v>#N/A</v>
      </c>
      <c r="E403" s="417" t="e">
        <f>IF(ISNUMBER(_xlfn.XLOOKUP(A403,抽卷!$A:$A,抽卷!$M:$M,,1,2)),_xlfn.XLOOKUP(A403,抽卷!$A:$A,抽卷!$M:$M,,1,2),NA())</f>
        <v>#N/A</v>
      </c>
      <c r="F403" s="70" t="e">
        <f t="shared" si="19"/>
        <v>#N/A</v>
      </c>
    </row>
    <row r="404" spans="1:6" ht="15" customHeight="1" x14ac:dyDescent="0.25">
      <c r="A404" s="95">
        <f t="shared" si="20"/>
        <v>44340</v>
      </c>
      <c r="B404" s="76" t="e">
        <f>IF(ISNUMBER(_xlfn.XLOOKUP(A404,鑽量!$A:$A,鑽量!$K:$K,,1,2)),_xlfn.XLOOKUP(A404,鑽量!$A:$A,鑽量!$K:$K,,1,2),NA())</f>
        <v>#N/A</v>
      </c>
      <c r="C404" s="417" t="e">
        <f t="shared" si="18"/>
        <v>#N/A</v>
      </c>
      <c r="D404" s="417" t="e">
        <f>IF(ISNUMBER(_xlfn.XLOOKUP(A404,抽卷!$A:$A,抽卷!$K:$K,,1,2)),_xlfn.XLOOKUP(A404,抽卷!$A:$A,抽卷!$K:$K,,1,2),NA())</f>
        <v>#N/A</v>
      </c>
      <c r="E404" s="417" t="e">
        <f>IF(ISNUMBER(_xlfn.XLOOKUP(A404,抽卷!$A:$A,抽卷!$M:$M,,1,2)),_xlfn.XLOOKUP(A404,抽卷!$A:$A,抽卷!$M:$M,,1,2),NA())</f>
        <v>#N/A</v>
      </c>
      <c r="F404" s="70" t="e">
        <f t="shared" si="19"/>
        <v>#N/A</v>
      </c>
    </row>
    <row r="405" spans="1:6" ht="15" customHeight="1" x14ac:dyDescent="0.25">
      <c r="A405" s="95">
        <f t="shared" si="20"/>
        <v>44341</v>
      </c>
      <c r="B405" s="76" t="e">
        <f>IF(ISNUMBER(_xlfn.XLOOKUP(A405,鑽量!$A:$A,鑽量!$K:$K,,1,2)),_xlfn.XLOOKUP(A405,鑽量!$A:$A,鑽量!$K:$K,,1,2),NA())</f>
        <v>#N/A</v>
      </c>
      <c r="C405" s="417" t="e">
        <f t="shared" si="18"/>
        <v>#N/A</v>
      </c>
      <c r="D405" s="417" t="e">
        <f>IF(ISNUMBER(_xlfn.XLOOKUP(A405,抽卷!$A:$A,抽卷!$K:$K,,1,2)),_xlfn.XLOOKUP(A405,抽卷!$A:$A,抽卷!$K:$K,,1,2),NA())</f>
        <v>#N/A</v>
      </c>
      <c r="E405" s="417" t="e">
        <f>IF(ISNUMBER(_xlfn.XLOOKUP(A405,抽卷!$A:$A,抽卷!$M:$M,,1,2)),_xlfn.XLOOKUP(A405,抽卷!$A:$A,抽卷!$M:$M,,1,2),NA())</f>
        <v>#N/A</v>
      </c>
      <c r="F405" s="70" t="e">
        <f t="shared" si="19"/>
        <v>#N/A</v>
      </c>
    </row>
    <row r="406" spans="1:6" ht="15" customHeight="1" x14ac:dyDescent="0.25">
      <c r="A406" s="95">
        <f t="shared" si="20"/>
        <v>44342</v>
      </c>
      <c r="B406" s="76" t="e">
        <f>IF(ISNUMBER(_xlfn.XLOOKUP(A406,鑽量!$A:$A,鑽量!$K:$K,,1,2)),_xlfn.XLOOKUP(A406,鑽量!$A:$A,鑽量!$K:$K,,1,2),NA())</f>
        <v>#N/A</v>
      </c>
      <c r="C406" s="417" t="e">
        <f t="shared" si="18"/>
        <v>#N/A</v>
      </c>
      <c r="D406" s="417" t="e">
        <f>IF(ISNUMBER(_xlfn.XLOOKUP(A406,抽卷!$A:$A,抽卷!$K:$K,,1,2)),_xlfn.XLOOKUP(A406,抽卷!$A:$A,抽卷!$K:$K,,1,2),NA())</f>
        <v>#N/A</v>
      </c>
      <c r="E406" s="417" t="e">
        <f>IF(ISNUMBER(_xlfn.XLOOKUP(A406,抽卷!$A:$A,抽卷!$M:$M,,1,2)),_xlfn.XLOOKUP(A406,抽卷!$A:$A,抽卷!$M:$M,,1,2),NA())</f>
        <v>#N/A</v>
      </c>
      <c r="F406" s="70" t="e">
        <f t="shared" si="19"/>
        <v>#N/A</v>
      </c>
    </row>
    <row r="407" spans="1:6" ht="15" customHeight="1" x14ac:dyDescent="0.25">
      <c r="A407" s="95">
        <f t="shared" si="20"/>
        <v>44343</v>
      </c>
      <c r="B407" s="76" t="e">
        <f>IF(ISNUMBER(_xlfn.XLOOKUP(A407,鑽量!$A:$A,鑽量!$K:$K,,1,2)),_xlfn.XLOOKUP(A407,鑽量!$A:$A,鑽量!$K:$K,,1,2),NA())</f>
        <v>#N/A</v>
      </c>
      <c r="C407" s="417" t="e">
        <f t="shared" si="18"/>
        <v>#N/A</v>
      </c>
      <c r="D407" s="417" t="e">
        <f>IF(ISNUMBER(_xlfn.XLOOKUP(A407,抽卷!$A:$A,抽卷!$K:$K,,1,2)),_xlfn.XLOOKUP(A407,抽卷!$A:$A,抽卷!$K:$K,,1,2),NA())</f>
        <v>#N/A</v>
      </c>
      <c r="E407" s="417" t="e">
        <f>IF(ISNUMBER(_xlfn.XLOOKUP(A407,抽卷!$A:$A,抽卷!$M:$M,,1,2)),_xlfn.XLOOKUP(A407,抽卷!$A:$A,抽卷!$M:$M,,1,2),NA())</f>
        <v>#N/A</v>
      </c>
      <c r="F407" s="70" t="e">
        <f t="shared" si="19"/>
        <v>#N/A</v>
      </c>
    </row>
    <row r="408" spans="1:6" ht="15" customHeight="1" x14ac:dyDescent="0.25">
      <c r="A408" s="95">
        <f t="shared" si="20"/>
        <v>44344</v>
      </c>
      <c r="B408" s="76" t="e">
        <f>IF(ISNUMBER(_xlfn.XLOOKUP(A408,鑽量!$A:$A,鑽量!$K:$K,,1,2)),_xlfn.XLOOKUP(A408,鑽量!$A:$A,鑽量!$K:$K,,1,2),NA())</f>
        <v>#N/A</v>
      </c>
      <c r="C408" s="417" t="e">
        <f t="shared" si="18"/>
        <v>#N/A</v>
      </c>
      <c r="D408" s="417" t="e">
        <f>IF(ISNUMBER(_xlfn.XLOOKUP(A408,抽卷!$A:$A,抽卷!$K:$K,,1,2)),_xlfn.XLOOKUP(A408,抽卷!$A:$A,抽卷!$K:$K,,1,2),NA())</f>
        <v>#N/A</v>
      </c>
      <c r="E408" s="417" t="e">
        <f>IF(ISNUMBER(_xlfn.XLOOKUP(A408,抽卷!$A:$A,抽卷!$M:$M,,1,2)),_xlfn.XLOOKUP(A408,抽卷!$A:$A,抽卷!$M:$M,,1,2),NA())</f>
        <v>#N/A</v>
      </c>
      <c r="F408" s="70" t="e">
        <f t="shared" si="19"/>
        <v>#N/A</v>
      </c>
    </row>
    <row r="409" spans="1:6" ht="15" customHeight="1" x14ac:dyDescent="0.25">
      <c r="A409" s="95">
        <f t="shared" si="20"/>
        <v>44345</v>
      </c>
      <c r="B409" s="76" t="e">
        <f>IF(ISNUMBER(_xlfn.XLOOKUP(A409,鑽量!$A:$A,鑽量!$K:$K,,1,2)),_xlfn.XLOOKUP(A409,鑽量!$A:$A,鑽量!$K:$K,,1,2),NA())</f>
        <v>#N/A</v>
      </c>
      <c r="C409" s="417" t="e">
        <f t="shared" si="18"/>
        <v>#N/A</v>
      </c>
      <c r="D409" s="417" t="e">
        <f>IF(ISNUMBER(_xlfn.XLOOKUP(A409,抽卷!$A:$A,抽卷!$K:$K,,1,2)),_xlfn.XLOOKUP(A409,抽卷!$A:$A,抽卷!$K:$K,,1,2),NA())</f>
        <v>#N/A</v>
      </c>
      <c r="E409" s="417" t="e">
        <f>IF(ISNUMBER(_xlfn.XLOOKUP(A409,抽卷!$A:$A,抽卷!$M:$M,,1,2)),_xlfn.XLOOKUP(A409,抽卷!$A:$A,抽卷!$M:$M,,1,2),NA())</f>
        <v>#N/A</v>
      </c>
      <c r="F409" s="70" t="e">
        <f t="shared" si="19"/>
        <v>#N/A</v>
      </c>
    </row>
    <row r="410" spans="1:6" ht="15" customHeight="1" x14ac:dyDescent="0.25">
      <c r="A410" s="95">
        <f t="shared" si="20"/>
        <v>44346</v>
      </c>
      <c r="B410" s="76" t="e">
        <f>IF(ISNUMBER(_xlfn.XLOOKUP(A410,鑽量!$A:$A,鑽量!$K:$K,,1,2)),_xlfn.XLOOKUP(A410,鑽量!$A:$A,鑽量!$K:$K,,1,2),NA())</f>
        <v>#N/A</v>
      </c>
      <c r="C410" s="417" t="e">
        <f t="shared" si="18"/>
        <v>#N/A</v>
      </c>
      <c r="D410" s="417" t="e">
        <f>IF(ISNUMBER(_xlfn.XLOOKUP(A410,抽卷!$A:$A,抽卷!$K:$K,,1,2)),_xlfn.XLOOKUP(A410,抽卷!$A:$A,抽卷!$K:$K,,1,2),NA())</f>
        <v>#N/A</v>
      </c>
      <c r="E410" s="417" t="e">
        <f>IF(ISNUMBER(_xlfn.XLOOKUP(A410,抽卷!$A:$A,抽卷!$M:$M,,1,2)),_xlfn.XLOOKUP(A410,抽卷!$A:$A,抽卷!$M:$M,,1,2),NA())</f>
        <v>#N/A</v>
      </c>
      <c r="F410" s="70" t="e">
        <f t="shared" si="19"/>
        <v>#N/A</v>
      </c>
    </row>
    <row r="411" spans="1:6" ht="15" customHeight="1" x14ac:dyDescent="0.25">
      <c r="A411" s="95">
        <f t="shared" si="20"/>
        <v>44347</v>
      </c>
      <c r="B411" s="76" t="e">
        <f>IF(ISNUMBER(_xlfn.XLOOKUP(A411,鑽量!$A:$A,鑽量!$K:$K,,1,2)),_xlfn.XLOOKUP(A411,鑽量!$A:$A,鑽量!$K:$K,,1,2),NA())</f>
        <v>#N/A</v>
      </c>
      <c r="C411" s="417" t="e">
        <f t="shared" si="18"/>
        <v>#N/A</v>
      </c>
      <c r="D411" s="417" t="e">
        <f>IF(ISNUMBER(_xlfn.XLOOKUP(A411,抽卷!$A:$A,抽卷!$K:$K,,1,2)),_xlfn.XLOOKUP(A411,抽卷!$A:$A,抽卷!$K:$K,,1,2),NA())</f>
        <v>#N/A</v>
      </c>
      <c r="E411" s="417" t="e">
        <f>IF(ISNUMBER(_xlfn.XLOOKUP(A411,抽卷!$A:$A,抽卷!$M:$M,,1,2)),_xlfn.XLOOKUP(A411,抽卷!$A:$A,抽卷!$M:$M,,1,2),NA())</f>
        <v>#N/A</v>
      </c>
      <c r="F411" s="70" t="e">
        <f t="shared" si="19"/>
        <v>#N/A</v>
      </c>
    </row>
    <row r="412" spans="1:6" ht="15" customHeight="1" x14ac:dyDescent="0.25">
      <c r="A412" s="95">
        <f t="shared" si="20"/>
        <v>44348</v>
      </c>
      <c r="B412" s="76" t="e">
        <f>IF(ISNUMBER(_xlfn.XLOOKUP(A412,鑽量!$A:$A,鑽量!$K:$K,,1,2)),_xlfn.XLOOKUP(A412,鑽量!$A:$A,鑽量!$K:$K,,1,2),NA())</f>
        <v>#N/A</v>
      </c>
      <c r="C412" s="417" t="e">
        <f t="shared" si="18"/>
        <v>#N/A</v>
      </c>
      <c r="D412" s="417" t="e">
        <f>IF(ISNUMBER(_xlfn.XLOOKUP(A412,抽卷!$A:$A,抽卷!$K:$K,,1,2)),_xlfn.XLOOKUP(A412,抽卷!$A:$A,抽卷!$K:$K,,1,2),NA())</f>
        <v>#N/A</v>
      </c>
      <c r="E412" s="417" t="e">
        <f>IF(ISNUMBER(_xlfn.XLOOKUP(A412,抽卷!$A:$A,抽卷!$M:$M,,1,2)),_xlfn.XLOOKUP(A412,抽卷!$A:$A,抽卷!$M:$M,,1,2),NA())</f>
        <v>#N/A</v>
      </c>
      <c r="F412" s="70" t="e">
        <f t="shared" si="19"/>
        <v>#N/A</v>
      </c>
    </row>
    <row r="413" spans="1:6" ht="15" customHeight="1" x14ac:dyDescent="0.25">
      <c r="A413" s="95">
        <f t="shared" si="20"/>
        <v>44349</v>
      </c>
      <c r="B413" s="76" t="e">
        <f>IF(ISNUMBER(_xlfn.XLOOKUP(A413,鑽量!$A:$A,鑽量!$K:$K,,1,2)),_xlfn.XLOOKUP(A413,鑽量!$A:$A,鑽量!$K:$K,,1,2),NA())</f>
        <v>#N/A</v>
      </c>
      <c r="C413" s="417" t="e">
        <f t="shared" si="18"/>
        <v>#N/A</v>
      </c>
      <c r="D413" s="417" t="e">
        <f>IF(ISNUMBER(_xlfn.XLOOKUP(A413,抽卷!$A:$A,抽卷!$K:$K,,1,2)),_xlfn.XLOOKUP(A413,抽卷!$A:$A,抽卷!$K:$K,,1,2),NA())</f>
        <v>#N/A</v>
      </c>
      <c r="E413" s="417" t="e">
        <f>IF(ISNUMBER(_xlfn.XLOOKUP(A413,抽卷!$A:$A,抽卷!$M:$M,,1,2)),_xlfn.XLOOKUP(A413,抽卷!$A:$A,抽卷!$M:$M,,1,2),NA())</f>
        <v>#N/A</v>
      </c>
      <c r="F413" s="70" t="e">
        <f t="shared" si="19"/>
        <v>#N/A</v>
      </c>
    </row>
    <row r="414" spans="1:6" ht="15" customHeight="1" x14ac:dyDescent="0.25">
      <c r="A414" s="95">
        <f t="shared" si="20"/>
        <v>44350</v>
      </c>
      <c r="B414" s="76" t="e">
        <f>IF(ISNUMBER(_xlfn.XLOOKUP(A414,鑽量!$A:$A,鑽量!$K:$K,,1,2)),_xlfn.XLOOKUP(A414,鑽量!$A:$A,鑽量!$K:$K,,1,2),NA())</f>
        <v>#N/A</v>
      </c>
      <c r="C414" s="417" t="e">
        <f t="shared" si="18"/>
        <v>#N/A</v>
      </c>
      <c r="D414" s="417" t="e">
        <f>IF(ISNUMBER(_xlfn.XLOOKUP(A414,抽卷!$A:$A,抽卷!$K:$K,,1,2)),_xlfn.XLOOKUP(A414,抽卷!$A:$A,抽卷!$K:$K,,1,2),NA())</f>
        <v>#N/A</v>
      </c>
      <c r="E414" s="417" t="e">
        <f>IF(ISNUMBER(_xlfn.XLOOKUP(A414,抽卷!$A:$A,抽卷!$M:$M,,1,2)),_xlfn.XLOOKUP(A414,抽卷!$A:$A,抽卷!$M:$M,,1,2),NA())</f>
        <v>#N/A</v>
      </c>
      <c r="F414" s="70" t="e">
        <f t="shared" si="19"/>
        <v>#N/A</v>
      </c>
    </row>
    <row r="415" spans="1:6" ht="15" customHeight="1" x14ac:dyDescent="0.25">
      <c r="A415" s="95">
        <f t="shared" si="20"/>
        <v>44351</v>
      </c>
      <c r="B415" s="76" t="e">
        <f>IF(ISNUMBER(_xlfn.XLOOKUP(A415,鑽量!$A:$A,鑽量!$K:$K,,1,2)),_xlfn.XLOOKUP(A415,鑽量!$A:$A,鑽量!$K:$K,,1,2),NA())</f>
        <v>#N/A</v>
      </c>
      <c r="C415" s="417" t="e">
        <f t="shared" si="18"/>
        <v>#N/A</v>
      </c>
      <c r="D415" s="417" t="e">
        <f>IF(ISNUMBER(_xlfn.XLOOKUP(A415,抽卷!$A:$A,抽卷!$K:$K,,1,2)),_xlfn.XLOOKUP(A415,抽卷!$A:$A,抽卷!$K:$K,,1,2),NA())</f>
        <v>#N/A</v>
      </c>
      <c r="E415" s="417" t="e">
        <f>IF(ISNUMBER(_xlfn.XLOOKUP(A415,抽卷!$A:$A,抽卷!$M:$M,,1,2)),_xlfn.XLOOKUP(A415,抽卷!$A:$A,抽卷!$M:$M,,1,2),NA())</f>
        <v>#N/A</v>
      </c>
      <c r="F415" s="70" t="e">
        <f t="shared" si="19"/>
        <v>#N/A</v>
      </c>
    </row>
    <row r="416" spans="1:6" ht="15" customHeight="1" x14ac:dyDescent="0.25">
      <c r="A416" s="95">
        <f t="shared" si="20"/>
        <v>44352</v>
      </c>
      <c r="B416" s="76" t="e">
        <f>IF(ISNUMBER(_xlfn.XLOOKUP(A416,鑽量!$A:$A,鑽量!$K:$K,,1,2)),_xlfn.XLOOKUP(A416,鑽量!$A:$A,鑽量!$K:$K,,1,2),NA())</f>
        <v>#N/A</v>
      </c>
      <c r="C416" s="417" t="e">
        <f t="shared" si="18"/>
        <v>#N/A</v>
      </c>
      <c r="D416" s="417" t="e">
        <f>IF(ISNUMBER(_xlfn.XLOOKUP(A416,抽卷!$A:$A,抽卷!$K:$K,,1,2)),_xlfn.XLOOKUP(A416,抽卷!$A:$A,抽卷!$K:$K,,1,2),NA())</f>
        <v>#N/A</v>
      </c>
      <c r="E416" s="417" t="e">
        <f>IF(ISNUMBER(_xlfn.XLOOKUP(A416,抽卷!$A:$A,抽卷!$M:$M,,1,2)),_xlfn.XLOOKUP(A416,抽卷!$A:$A,抽卷!$M:$M,,1,2),NA())</f>
        <v>#N/A</v>
      </c>
      <c r="F416" s="70" t="e">
        <f t="shared" si="19"/>
        <v>#N/A</v>
      </c>
    </row>
    <row r="417" spans="1:6" ht="15" customHeight="1" x14ac:dyDescent="0.25">
      <c r="A417" s="95">
        <f t="shared" si="20"/>
        <v>44353</v>
      </c>
      <c r="B417" s="76" t="e">
        <f>IF(ISNUMBER(_xlfn.XLOOKUP(A417,鑽量!$A:$A,鑽量!$K:$K,,1,2)),_xlfn.XLOOKUP(A417,鑽量!$A:$A,鑽量!$K:$K,,1,2),NA())</f>
        <v>#N/A</v>
      </c>
      <c r="C417" s="417" t="e">
        <f t="shared" si="18"/>
        <v>#N/A</v>
      </c>
      <c r="D417" s="417" t="e">
        <f>IF(ISNUMBER(_xlfn.XLOOKUP(A417,抽卷!$A:$A,抽卷!$K:$K,,1,2)),_xlfn.XLOOKUP(A417,抽卷!$A:$A,抽卷!$K:$K,,1,2),NA())</f>
        <v>#N/A</v>
      </c>
      <c r="E417" s="417" t="e">
        <f>IF(ISNUMBER(_xlfn.XLOOKUP(A417,抽卷!$A:$A,抽卷!$M:$M,,1,2)),_xlfn.XLOOKUP(A417,抽卷!$A:$A,抽卷!$M:$M,,1,2),NA())</f>
        <v>#N/A</v>
      </c>
      <c r="F417" s="70" t="e">
        <f t="shared" si="19"/>
        <v>#N/A</v>
      </c>
    </row>
    <row r="418" spans="1:6" ht="15" customHeight="1" x14ac:dyDescent="0.25">
      <c r="A418" s="95">
        <f t="shared" si="20"/>
        <v>44354</v>
      </c>
      <c r="B418" s="76" t="e">
        <f>IF(ISNUMBER(_xlfn.XLOOKUP(A418,鑽量!$A:$A,鑽量!$K:$K,,1,2)),_xlfn.XLOOKUP(A418,鑽量!$A:$A,鑽量!$K:$K,,1,2),NA())</f>
        <v>#N/A</v>
      </c>
      <c r="C418" s="417" t="e">
        <f t="shared" si="18"/>
        <v>#N/A</v>
      </c>
      <c r="D418" s="417" t="e">
        <f>IF(ISNUMBER(_xlfn.XLOOKUP(A418,抽卷!$A:$A,抽卷!$K:$K,,1,2)),_xlfn.XLOOKUP(A418,抽卷!$A:$A,抽卷!$K:$K,,1,2),NA())</f>
        <v>#N/A</v>
      </c>
      <c r="E418" s="417" t="e">
        <f>IF(ISNUMBER(_xlfn.XLOOKUP(A418,抽卷!$A:$A,抽卷!$M:$M,,1,2)),_xlfn.XLOOKUP(A418,抽卷!$A:$A,抽卷!$M:$M,,1,2),NA())</f>
        <v>#N/A</v>
      </c>
      <c r="F418" s="70" t="e">
        <f t="shared" si="19"/>
        <v>#N/A</v>
      </c>
    </row>
    <row r="419" spans="1:6" ht="15" customHeight="1" x14ac:dyDescent="0.25">
      <c r="A419" s="95">
        <f t="shared" si="20"/>
        <v>44355</v>
      </c>
      <c r="B419" s="76" t="e">
        <f>IF(ISNUMBER(_xlfn.XLOOKUP(A419,鑽量!$A:$A,鑽量!$K:$K,,1,2)),_xlfn.XLOOKUP(A419,鑽量!$A:$A,鑽量!$K:$K,,1,2),NA())</f>
        <v>#N/A</v>
      </c>
      <c r="C419" s="417" t="e">
        <f t="shared" si="18"/>
        <v>#N/A</v>
      </c>
      <c r="D419" s="417" t="e">
        <f>IF(ISNUMBER(_xlfn.XLOOKUP(A419,抽卷!$A:$A,抽卷!$K:$K,,1,2)),_xlfn.XLOOKUP(A419,抽卷!$A:$A,抽卷!$K:$K,,1,2),NA())</f>
        <v>#N/A</v>
      </c>
      <c r="E419" s="417" t="e">
        <f>IF(ISNUMBER(_xlfn.XLOOKUP(A419,抽卷!$A:$A,抽卷!$M:$M,,1,2)),_xlfn.XLOOKUP(A419,抽卷!$A:$A,抽卷!$M:$M,,1,2),NA())</f>
        <v>#N/A</v>
      </c>
      <c r="F419" s="70" t="e">
        <f t="shared" si="19"/>
        <v>#N/A</v>
      </c>
    </row>
    <row r="420" spans="1:6" ht="15" customHeight="1" x14ac:dyDescent="0.25">
      <c r="A420" s="95">
        <f t="shared" si="20"/>
        <v>44356</v>
      </c>
      <c r="B420" s="76" t="e">
        <f>IF(ISNUMBER(_xlfn.XLOOKUP(A420,鑽量!$A:$A,鑽量!$K:$K,,1,2)),_xlfn.XLOOKUP(A420,鑽量!$A:$A,鑽量!$K:$K,,1,2),NA())</f>
        <v>#N/A</v>
      </c>
      <c r="C420" s="417" t="e">
        <f t="shared" si="18"/>
        <v>#N/A</v>
      </c>
      <c r="D420" s="417" t="e">
        <f>IF(ISNUMBER(_xlfn.XLOOKUP(A420,抽卷!$A:$A,抽卷!$K:$K,,1,2)),_xlfn.XLOOKUP(A420,抽卷!$A:$A,抽卷!$K:$K,,1,2),NA())</f>
        <v>#N/A</v>
      </c>
      <c r="E420" s="417" t="e">
        <f>IF(ISNUMBER(_xlfn.XLOOKUP(A420,抽卷!$A:$A,抽卷!$M:$M,,1,2)),_xlfn.XLOOKUP(A420,抽卷!$A:$A,抽卷!$M:$M,,1,2),NA())</f>
        <v>#N/A</v>
      </c>
      <c r="F420" s="70" t="e">
        <f t="shared" si="19"/>
        <v>#N/A</v>
      </c>
    </row>
    <row r="421" spans="1:6" ht="15" customHeight="1" x14ac:dyDescent="0.25">
      <c r="A421" s="95">
        <f t="shared" si="20"/>
        <v>44357</v>
      </c>
      <c r="B421" s="76" t="e">
        <f>IF(ISNUMBER(_xlfn.XLOOKUP(A421,鑽量!$A:$A,鑽量!$K:$K,,1,2)),_xlfn.XLOOKUP(A421,鑽量!$A:$A,鑽量!$K:$K,,1,2),NA())</f>
        <v>#N/A</v>
      </c>
      <c r="C421" s="417" t="e">
        <f t="shared" si="18"/>
        <v>#N/A</v>
      </c>
      <c r="D421" s="417" t="e">
        <f>IF(ISNUMBER(_xlfn.XLOOKUP(A421,抽卷!$A:$A,抽卷!$K:$K,,1,2)),_xlfn.XLOOKUP(A421,抽卷!$A:$A,抽卷!$K:$K,,1,2),NA())</f>
        <v>#N/A</v>
      </c>
      <c r="E421" s="417" t="e">
        <f>IF(ISNUMBER(_xlfn.XLOOKUP(A421,抽卷!$A:$A,抽卷!$M:$M,,1,2)),_xlfn.XLOOKUP(A421,抽卷!$A:$A,抽卷!$M:$M,,1,2),NA())</f>
        <v>#N/A</v>
      </c>
      <c r="F421" s="70" t="e">
        <f t="shared" si="19"/>
        <v>#N/A</v>
      </c>
    </row>
    <row r="422" spans="1:6" ht="15" customHeight="1" x14ac:dyDescent="0.25">
      <c r="A422" s="95">
        <f t="shared" si="20"/>
        <v>44358</v>
      </c>
      <c r="B422" s="76" t="e">
        <f>IF(ISNUMBER(_xlfn.XLOOKUP(A422,鑽量!$A:$A,鑽量!$K:$K,,1,2)),_xlfn.XLOOKUP(A422,鑽量!$A:$A,鑽量!$K:$K,,1,2),NA())</f>
        <v>#N/A</v>
      </c>
      <c r="C422" s="417" t="e">
        <f t="shared" si="18"/>
        <v>#N/A</v>
      </c>
      <c r="D422" s="417" t="e">
        <f>IF(ISNUMBER(_xlfn.XLOOKUP(A422,抽卷!$A:$A,抽卷!$K:$K,,1,2)),_xlfn.XLOOKUP(A422,抽卷!$A:$A,抽卷!$K:$K,,1,2),NA())</f>
        <v>#N/A</v>
      </c>
      <c r="E422" s="417" t="e">
        <f>IF(ISNUMBER(_xlfn.XLOOKUP(A422,抽卷!$A:$A,抽卷!$M:$M,,1,2)),_xlfn.XLOOKUP(A422,抽卷!$A:$A,抽卷!$M:$M,,1,2),NA())</f>
        <v>#N/A</v>
      </c>
      <c r="F422" s="70" t="e">
        <f t="shared" si="19"/>
        <v>#N/A</v>
      </c>
    </row>
    <row r="423" spans="1:6" ht="15" customHeight="1" x14ac:dyDescent="0.25">
      <c r="A423" s="95">
        <f t="shared" si="20"/>
        <v>44359</v>
      </c>
      <c r="B423" s="76" t="e">
        <f>IF(ISNUMBER(_xlfn.XLOOKUP(A423,鑽量!$A:$A,鑽量!$K:$K,,1,2)),_xlfn.XLOOKUP(A423,鑽量!$A:$A,鑽量!$K:$K,,1,2),NA())</f>
        <v>#N/A</v>
      </c>
      <c r="C423" s="417" t="e">
        <f t="shared" si="18"/>
        <v>#N/A</v>
      </c>
      <c r="D423" s="417" t="e">
        <f>IF(ISNUMBER(_xlfn.XLOOKUP(A423,抽卷!$A:$A,抽卷!$K:$K,,1,2)),_xlfn.XLOOKUP(A423,抽卷!$A:$A,抽卷!$K:$K,,1,2),NA())</f>
        <v>#N/A</v>
      </c>
      <c r="E423" s="417" t="e">
        <f>IF(ISNUMBER(_xlfn.XLOOKUP(A423,抽卷!$A:$A,抽卷!$M:$M,,1,2)),_xlfn.XLOOKUP(A423,抽卷!$A:$A,抽卷!$M:$M,,1,2),NA())</f>
        <v>#N/A</v>
      </c>
      <c r="F423" s="70" t="e">
        <f t="shared" si="19"/>
        <v>#N/A</v>
      </c>
    </row>
    <row r="424" spans="1:6" ht="15" customHeight="1" x14ac:dyDescent="0.25">
      <c r="A424" s="95">
        <f t="shared" si="20"/>
        <v>44360</v>
      </c>
      <c r="B424" s="76" t="e">
        <f>IF(ISNUMBER(_xlfn.XLOOKUP(A424,鑽量!$A:$A,鑽量!$K:$K,,1,2)),_xlfn.XLOOKUP(A424,鑽量!$A:$A,鑽量!$K:$K,,1,2),NA())</f>
        <v>#N/A</v>
      </c>
      <c r="C424" s="417" t="e">
        <f t="shared" si="18"/>
        <v>#N/A</v>
      </c>
      <c r="D424" s="417" t="e">
        <f>IF(ISNUMBER(_xlfn.XLOOKUP(A424,抽卷!$A:$A,抽卷!$K:$K,,1,2)),_xlfn.XLOOKUP(A424,抽卷!$A:$A,抽卷!$K:$K,,1,2),NA())</f>
        <v>#N/A</v>
      </c>
      <c r="E424" s="417" t="e">
        <f>IF(ISNUMBER(_xlfn.XLOOKUP(A424,抽卷!$A:$A,抽卷!$M:$M,,1,2)),_xlfn.XLOOKUP(A424,抽卷!$A:$A,抽卷!$M:$M,,1,2),NA())</f>
        <v>#N/A</v>
      </c>
      <c r="F424" s="70" t="e">
        <f t="shared" si="19"/>
        <v>#N/A</v>
      </c>
    </row>
    <row r="425" spans="1:6" ht="15" customHeight="1" x14ac:dyDescent="0.25">
      <c r="A425" s="95">
        <f t="shared" si="20"/>
        <v>44361</v>
      </c>
      <c r="B425" s="76" t="e">
        <f>IF(ISNUMBER(_xlfn.XLOOKUP(A425,鑽量!$A:$A,鑽量!$K:$K,,1,2)),_xlfn.XLOOKUP(A425,鑽量!$A:$A,鑽量!$K:$K,,1,2),NA())</f>
        <v>#N/A</v>
      </c>
      <c r="C425" s="417" t="e">
        <f t="shared" si="18"/>
        <v>#N/A</v>
      </c>
      <c r="D425" s="417" t="e">
        <f>IF(ISNUMBER(_xlfn.XLOOKUP(A425,抽卷!$A:$A,抽卷!$K:$K,,1,2)),_xlfn.XLOOKUP(A425,抽卷!$A:$A,抽卷!$K:$K,,1,2),NA())</f>
        <v>#N/A</v>
      </c>
      <c r="E425" s="417" t="e">
        <f>IF(ISNUMBER(_xlfn.XLOOKUP(A425,抽卷!$A:$A,抽卷!$M:$M,,1,2)),_xlfn.XLOOKUP(A425,抽卷!$A:$A,抽卷!$M:$M,,1,2),NA())</f>
        <v>#N/A</v>
      </c>
      <c r="F425" s="70" t="e">
        <f t="shared" si="19"/>
        <v>#N/A</v>
      </c>
    </row>
    <row r="426" spans="1:6" ht="15" customHeight="1" x14ac:dyDescent="0.25">
      <c r="A426" s="95">
        <f t="shared" si="20"/>
        <v>44362</v>
      </c>
      <c r="B426" s="76" t="e">
        <f>IF(ISNUMBER(_xlfn.XLOOKUP(A426,鑽量!$A:$A,鑽量!$K:$K,,1,2)),_xlfn.XLOOKUP(A426,鑽量!$A:$A,鑽量!$K:$K,,1,2),NA())</f>
        <v>#N/A</v>
      </c>
      <c r="C426" s="417" t="e">
        <f t="shared" si="18"/>
        <v>#N/A</v>
      </c>
      <c r="D426" s="417" t="e">
        <f>IF(ISNUMBER(_xlfn.XLOOKUP(A426,抽卷!$A:$A,抽卷!$K:$K,,1,2)),_xlfn.XLOOKUP(A426,抽卷!$A:$A,抽卷!$K:$K,,1,2),NA())</f>
        <v>#N/A</v>
      </c>
      <c r="E426" s="417" t="e">
        <f>IF(ISNUMBER(_xlfn.XLOOKUP(A426,抽卷!$A:$A,抽卷!$M:$M,,1,2)),_xlfn.XLOOKUP(A426,抽卷!$A:$A,抽卷!$M:$M,,1,2),NA())</f>
        <v>#N/A</v>
      </c>
      <c r="F426" s="70" t="e">
        <f t="shared" si="19"/>
        <v>#N/A</v>
      </c>
    </row>
    <row r="427" spans="1:6" ht="15" customHeight="1" x14ac:dyDescent="0.25">
      <c r="A427" s="95">
        <f t="shared" si="20"/>
        <v>44363</v>
      </c>
      <c r="B427" s="76" t="e">
        <f>IF(ISNUMBER(_xlfn.XLOOKUP(A427,鑽量!$A:$A,鑽量!$K:$K,,1,2)),_xlfn.XLOOKUP(A427,鑽量!$A:$A,鑽量!$K:$K,,1,2),NA())</f>
        <v>#N/A</v>
      </c>
      <c r="C427" s="417" t="e">
        <f t="shared" si="18"/>
        <v>#N/A</v>
      </c>
      <c r="D427" s="417" t="e">
        <f>IF(ISNUMBER(_xlfn.XLOOKUP(A427,抽卷!$A:$A,抽卷!$K:$K,,1,2)),_xlfn.XLOOKUP(A427,抽卷!$A:$A,抽卷!$K:$K,,1,2),NA())</f>
        <v>#N/A</v>
      </c>
      <c r="E427" s="417" t="e">
        <f>IF(ISNUMBER(_xlfn.XLOOKUP(A427,抽卷!$A:$A,抽卷!$M:$M,,1,2)),_xlfn.XLOOKUP(A427,抽卷!$A:$A,抽卷!$M:$M,,1,2),NA())</f>
        <v>#N/A</v>
      </c>
      <c r="F427" s="70" t="e">
        <f t="shared" si="19"/>
        <v>#N/A</v>
      </c>
    </row>
    <row r="428" spans="1:6" ht="15" customHeight="1" x14ac:dyDescent="0.25">
      <c r="A428" s="95">
        <f t="shared" si="20"/>
        <v>44364</v>
      </c>
      <c r="B428" s="76" t="e">
        <f>IF(ISNUMBER(_xlfn.XLOOKUP(A428,鑽量!$A:$A,鑽量!$K:$K,,1,2)),_xlfn.XLOOKUP(A428,鑽量!$A:$A,鑽量!$K:$K,,1,2),NA())</f>
        <v>#N/A</v>
      </c>
      <c r="C428" s="417" t="e">
        <f t="shared" si="18"/>
        <v>#N/A</v>
      </c>
      <c r="D428" s="417" t="e">
        <f>IF(ISNUMBER(_xlfn.XLOOKUP(A428,抽卷!$A:$A,抽卷!$K:$K,,1,2)),_xlfn.XLOOKUP(A428,抽卷!$A:$A,抽卷!$K:$K,,1,2),NA())</f>
        <v>#N/A</v>
      </c>
      <c r="E428" s="417" t="e">
        <f>IF(ISNUMBER(_xlfn.XLOOKUP(A428,抽卷!$A:$A,抽卷!$M:$M,,1,2)),_xlfn.XLOOKUP(A428,抽卷!$A:$A,抽卷!$M:$M,,1,2),NA())</f>
        <v>#N/A</v>
      </c>
      <c r="F428" s="70" t="e">
        <f t="shared" si="19"/>
        <v>#N/A</v>
      </c>
    </row>
    <row r="429" spans="1:6" ht="15" customHeight="1" x14ac:dyDescent="0.25">
      <c r="A429" s="95">
        <f t="shared" si="20"/>
        <v>44365</v>
      </c>
      <c r="B429" s="76" t="e">
        <f>IF(ISNUMBER(_xlfn.XLOOKUP(A429,鑽量!$A:$A,鑽量!$K:$K,,1,2)),_xlfn.XLOOKUP(A429,鑽量!$A:$A,鑽量!$K:$K,,1,2),NA())</f>
        <v>#N/A</v>
      </c>
      <c r="C429" s="417" t="e">
        <f t="shared" si="18"/>
        <v>#N/A</v>
      </c>
      <c r="D429" s="417" t="e">
        <f>IF(ISNUMBER(_xlfn.XLOOKUP(A429,抽卷!$A:$A,抽卷!$K:$K,,1,2)),_xlfn.XLOOKUP(A429,抽卷!$A:$A,抽卷!$K:$K,,1,2),NA())</f>
        <v>#N/A</v>
      </c>
      <c r="E429" s="417" t="e">
        <f>IF(ISNUMBER(_xlfn.XLOOKUP(A429,抽卷!$A:$A,抽卷!$M:$M,,1,2)),_xlfn.XLOOKUP(A429,抽卷!$A:$A,抽卷!$M:$M,,1,2),NA())</f>
        <v>#N/A</v>
      </c>
      <c r="F429" s="70" t="e">
        <f t="shared" si="19"/>
        <v>#N/A</v>
      </c>
    </row>
    <row r="430" spans="1:6" ht="15" customHeight="1" x14ac:dyDescent="0.25">
      <c r="A430" s="95">
        <f t="shared" si="20"/>
        <v>44366</v>
      </c>
      <c r="B430" s="76" t="e">
        <f>IF(ISNUMBER(_xlfn.XLOOKUP(A430,鑽量!$A:$A,鑽量!$K:$K,,1,2)),_xlfn.XLOOKUP(A430,鑽量!$A:$A,鑽量!$K:$K,,1,2),NA())</f>
        <v>#N/A</v>
      </c>
      <c r="C430" s="417" t="e">
        <f t="shared" si="18"/>
        <v>#N/A</v>
      </c>
      <c r="D430" s="417" t="e">
        <f>IF(ISNUMBER(_xlfn.XLOOKUP(A430,抽卷!$A:$A,抽卷!$K:$K,,1,2)),_xlfn.XLOOKUP(A430,抽卷!$A:$A,抽卷!$K:$K,,1,2),NA())</f>
        <v>#N/A</v>
      </c>
      <c r="E430" s="417" t="e">
        <f>IF(ISNUMBER(_xlfn.XLOOKUP(A430,抽卷!$A:$A,抽卷!$M:$M,,1,2)),_xlfn.XLOOKUP(A430,抽卷!$A:$A,抽卷!$M:$M,,1,2),NA())</f>
        <v>#N/A</v>
      </c>
      <c r="F430" s="70" t="e">
        <f t="shared" si="19"/>
        <v>#N/A</v>
      </c>
    </row>
    <row r="431" spans="1:6" ht="15" customHeight="1" x14ac:dyDescent="0.25">
      <c r="A431" s="95">
        <f t="shared" si="20"/>
        <v>44367</v>
      </c>
      <c r="B431" s="76" t="e">
        <f>IF(ISNUMBER(_xlfn.XLOOKUP(A431,鑽量!$A:$A,鑽量!$K:$K,,1,2)),_xlfn.XLOOKUP(A431,鑽量!$A:$A,鑽量!$K:$K,,1,2),NA())</f>
        <v>#N/A</v>
      </c>
      <c r="C431" s="417" t="e">
        <f t="shared" ref="C431:C494" si="21">B431/120</f>
        <v>#N/A</v>
      </c>
      <c r="D431" s="417" t="e">
        <f>IF(ISNUMBER(_xlfn.XLOOKUP(A431,抽卷!$A:$A,抽卷!$K:$K,,1,2)),_xlfn.XLOOKUP(A431,抽卷!$A:$A,抽卷!$K:$K,,1,2),NA())</f>
        <v>#N/A</v>
      </c>
      <c r="E431" s="417" t="e">
        <f>IF(ISNUMBER(_xlfn.XLOOKUP(A431,抽卷!$A:$A,抽卷!$M:$M,,1,2)),_xlfn.XLOOKUP(A431,抽卷!$A:$A,抽卷!$M:$M,,1,2),NA())</f>
        <v>#N/A</v>
      </c>
      <c r="F431" s="70" t="e">
        <f t="shared" si="19"/>
        <v>#N/A</v>
      </c>
    </row>
    <row r="432" spans="1:6" ht="15" customHeight="1" x14ac:dyDescent="0.25">
      <c r="A432" s="95">
        <f t="shared" si="20"/>
        <v>44368</v>
      </c>
      <c r="B432" s="76" t="e">
        <f>IF(ISNUMBER(_xlfn.XLOOKUP(A432,鑽量!$A:$A,鑽量!$K:$K,,1,2)),_xlfn.XLOOKUP(A432,鑽量!$A:$A,鑽量!$K:$K,,1,2),NA())</f>
        <v>#N/A</v>
      </c>
      <c r="C432" s="417" t="e">
        <f t="shared" si="21"/>
        <v>#N/A</v>
      </c>
      <c r="D432" s="417" t="e">
        <f>IF(ISNUMBER(_xlfn.XLOOKUP(A432,抽卷!$A:$A,抽卷!$K:$K,,1,2)),_xlfn.XLOOKUP(A432,抽卷!$A:$A,抽卷!$K:$K,,1,2),NA())</f>
        <v>#N/A</v>
      </c>
      <c r="E432" s="417" t="e">
        <f>IF(ISNUMBER(_xlfn.XLOOKUP(A432,抽卷!$A:$A,抽卷!$M:$M,,1,2)),_xlfn.XLOOKUP(A432,抽卷!$A:$A,抽卷!$M:$M,,1,2),NA())</f>
        <v>#N/A</v>
      </c>
      <c r="F432" s="70" t="e">
        <f t="shared" si="19"/>
        <v>#N/A</v>
      </c>
    </row>
    <row r="433" spans="1:6" ht="15" customHeight="1" x14ac:dyDescent="0.25">
      <c r="A433" s="95">
        <f t="shared" si="20"/>
        <v>44369</v>
      </c>
      <c r="B433" s="76" t="e">
        <f>IF(ISNUMBER(_xlfn.XLOOKUP(A433,鑽量!$A:$A,鑽量!$K:$K,,1,2)),_xlfn.XLOOKUP(A433,鑽量!$A:$A,鑽量!$K:$K,,1,2),NA())</f>
        <v>#N/A</v>
      </c>
      <c r="C433" s="417" t="e">
        <f t="shared" si="21"/>
        <v>#N/A</v>
      </c>
      <c r="D433" s="417" t="e">
        <f>IF(ISNUMBER(_xlfn.XLOOKUP(A433,抽卷!$A:$A,抽卷!$K:$K,,1,2)),_xlfn.XLOOKUP(A433,抽卷!$A:$A,抽卷!$K:$K,,1,2),NA())</f>
        <v>#N/A</v>
      </c>
      <c r="E433" s="417" t="e">
        <f>IF(ISNUMBER(_xlfn.XLOOKUP(A433,抽卷!$A:$A,抽卷!$M:$M,,1,2)),_xlfn.XLOOKUP(A433,抽卷!$A:$A,抽卷!$M:$M,,1,2),NA())</f>
        <v>#N/A</v>
      </c>
      <c r="F433" s="70" t="e">
        <f t="shared" si="19"/>
        <v>#N/A</v>
      </c>
    </row>
    <row r="434" spans="1:6" ht="15" customHeight="1" x14ac:dyDescent="0.25">
      <c r="A434" s="95">
        <f t="shared" si="20"/>
        <v>44370</v>
      </c>
      <c r="B434" s="76" t="e">
        <f>IF(ISNUMBER(_xlfn.XLOOKUP(A434,鑽量!$A:$A,鑽量!$K:$K,,1,2)),_xlfn.XLOOKUP(A434,鑽量!$A:$A,鑽量!$K:$K,,1,2),NA())</f>
        <v>#N/A</v>
      </c>
      <c r="C434" s="417" t="e">
        <f t="shared" si="21"/>
        <v>#N/A</v>
      </c>
      <c r="D434" s="417" t="e">
        <f>IF(ISNUMBER(_xlfn.XLOOKUP(A434,抽卷!$A:$A,抽卷!$K:$K,,1,2)),_xlfn.XLOOKUP(A434,抽卷!$A:$A,抽卷!$K:$K,,1,2),NA())</f>
        <v>#N/A</v>
      </c>
      <c r="E434" s="417" t="e">
        <f>IF(ISNUMBER(_xlfn.XLOOKUP(A434,抽卷!$A:$A,抽卷!$M:$M,,1,2)),_xlfn.XLOOKUP(A434,抽卷!$A:$A,抽卷!$M:$M,,1,2),NA())</f>
        <v>#N/A</v>
      </c>
      <c r="F434" s="70" t="e">
        <f t="shared" si="19"/>
        <v>#N/A</v>
      </c>
    </row>
    <row r="435" spans="1:6" ht="15" customHeight="1" x14ac:dyDescent="0.25">
      <c r="A435" s="95">
        <f t="shared" si="20"/>
        <v>44371</v>
      </c>
      <c r="B435" s="76" t="e">
        <f>IF(ISNUMBER(_xlfn.XLOOKUP(A435,鑽量!$A:$A,鑽量!$K:$K,,1,2)),_xlfn.XLOOKUP(A435,鑽量!$A:$A,鑽量!$K:$K,,1,2),NA())</f>
        <v>#N/A</v>
      </c>
      <c r="C435" s="417" t="e">
        <f t="shared" si="21"/>
        <v>#N/A</v>
      </c>
      <c r="D435" s="417" t="e">
        <f>IF(ISNUMBER(_xlfn.XLOOKUP(A435,抽卷!$A:$A,抽卷!$K:$K,,1,2)),_xlfn.XLOOKUP(A435,抽卷!$A:$A,抽卷!$K:$K,,1,2),NA())</f>
        <v>#N/A</v>
      </c>
      <c r="E435" s="417" t="e">
        <f>IF(ISNUMBER(_xlfn.XLOOKUP(A435,抽卷!$A:$A,抽卷!$M:$M,,1,2)),_xlfn.XLOOKUP(A435,抽卷!$A:$A,抽卷!$M:$M,,1,2),NA())</f>
        <v>#N/A</v>
      </c>
      <c r="F435" s="70" t="e">
        <f t="shared" si="19"/>
        <v>#N/A</v>
      </c>
    </row>
    <row r="436" spans="1:6" ht="15" customHeight="1" x14ac:dyDescent="0.25">
      <c r="A436" s="95">
        <f t="shared" si="20"/>
        <v>44372</v>
      </c>
      <c r="B436" s="76" t="e">
        <f>IF(ISNUMBER(_xlfn.XLOOKUP(A436,鑽量!$A:$A,鑽量!$K:$K,,1,2)),_xlfn.XLOOKUP(A436,鑽量!$A:$A,鑽量!$K:$K,,1,2),NA())</f>
        <v>#N/A</v>
      </c>
      <c r="C436" s="417" t="e">
        <f t="shared" si="21"/>
        <v>#N/A</v>
      </c>
      <c r="D436" s="417" t="e">
        <f>IF(ISNUMBER(_xlfn.XLOOKUP(A436,抽卷!$A:$A,抽卷!$K:$K,,1,2)),_xlfn.XLOOKUP(A436,抽卷!$A:$A,抽卷!$K:$K,,1,2),NA())</f>
        <v>#N/A</v>
      </c>
      <c r="E436" s="417" t="e">
        <f>IF(ISNUMBER(_xlfn.XLOOKUP(A436,抽卷!$A:$A,抽卷!$M:$M,,1,2)),_xlfn.XLOOKUP(A436,抽卷!$A:$A,抽卷!$M:$M,,1,2),NA())</f>
        <v>#N/A</v>
      </c>
      <c r="F436" s="70" t="e">
        <f t="shared" si="19"/>
        <v>#N/A</v>
      </c>
    </row>
    <row r="437" spans="1:6" ht="15" customHeight="1" x14ac:dyDescent="0.25">
      <c r="A437" s="95">
        <f t="shared" si="20"/>
        <v>44373</v>
      </c>
      <c r="B437" s="76" t="e">
        <f>IF(ISNUMBER(_xlfn.XLOOKUP(A437,鑽量!$A:$A,鑽量!$K:$K,,1,2)),_xlfn.XLOOKUP(A437,鑽量!$A:$A,鑽量!$K:$K,,1,2),NA())</f>
        <v>#N/A</v>
      </c>
      <c r="C437" s="417" t="e">
        <f t="shared" si="21"/>
        <v>#N/A</v>
      </c>
      <c r="D437" s="417" t="e">
        <f>IF(ISNUMBER(_xlfn.XLOOKUP(A437,抽卷!$A:$A,抽卷!$K:$K,,1,2)),_xlfn.XLOOKUP(A437,抽卷!$A:$A,抽卷!$K:$K,,1,2),NA())</f>
        <v>#N/A</v>
      </c>
      <c r="E437" s="417" t="e">
        <f>IF(ISNUMBER(_xlfn.XLOOKUP(A437,抽卷!$A:$A,抽卷!$M:$M,,1,2)),_xlfn.XLOOKUP(A437,抽卷!$A:$A,抽卷!$M:$M,,1,2),NA())</f>
        <v>#N/A</v>
      </c>
      <c r="F437" s="70" t="e">
        <f t="shared" si="19"/>
        <v>#N/A</v>
      </c>
    </row>
    <row r="438" spans="1:6" ht="15" customHeight="1" x14ac:dyDescent="0.25">
      <c r="A438" s="95">
        <f t="shared" si="20"/>
        <v>44374</v>
      </c>
      <c r="B438" s="76" t="e">
        <f>IF(ISNUMBER(_xlfn.XLOOKUP(A438,鑽量!$A:$A,鑽量!$K:$K,,1,2)),_xlfn.XLOOKUP(A438,鑽量!$A:$A,鑽量!$K:$K,,1,2),NA())</f>
        <v>#N/A</v>
      </c>
      <c r="C438" s="417" t="e">
        <f t="shared" si="21"/>
        <v>#N/A</v>
      </c>
      <c r="D438" s="417" t="e">
        <f>IF(ISNUMBER(_xlfn.XLOOKUP(A438,抽卷!$A:$A,抽卷!$K:$K,,1,2)),_xlfn.XLOOKUP(A438,抽卷!$A:$A,抽卷!$K:$K,,1,2),NA())</f>
        <v>#N/A</v>
      </c>
      <c r="E438" s="417" t="e">
        <f>IF(ISNUMBER(_xlfn.XLOOKUP(A438,抽卷!$A:$A,抽卷!$M:$M,,1,2)),_xlfn.XLOOKUP(A438,抽卷!$A:$A,抽卷!$M:$M,,1,2),NA())</f>
        <v>#N/A</v>
      </c>
      <c r="F438" s="70" t="e">
        <f t="shared" si="19"/>
        <v>#N/A</v>
      </c>
    </row>
    <row r="439" spans="1:6" ht="15" customHeight="1" x14ac:dyDescent="0.25">
      <c r="A439" s="95">
        <f t="shared" si="20"/>
        <v>44375</v>
      </c>
      <c r="B439" s="76" t="e">
        <f>IF(ISNUMBER(_xlfn.XLOOKUP(A439,鑽量!$A:$A,鑽量!$K:$K,,1,2)),_xlfn.XLOOKUP(A439,鑽量!$A:$A,鑽量!$K:$K,,1,2),NA())</f>
        <v>#N/A</v>
      </c>
      <c r="C439" s="417" t="e">
        <f t="shared" si="21"/>
        <v>#N/A</v>
      </c>
      <c r="D439" s="417" t="e">
        <f>IF(ISNUMBER(_xlfn.XLOOKUP(A439,抽卷!$A:$A,抽卷!$K:$K,,1,2)),_xlfn.XLOOKUP(A439,抽卷!$A:$A,抽卷!$K:$K,,1,2),NA())</f>
        <v>#N/A</v>
      </c>
      <c r="E439" s="417" t="e">
        <f>IF(ISNUMBER(_xlfn.XLOOKUP(A439,抽卷!$A:$A,抽卷!$M:$M,,1,2)),_xlfn.XLOOKUP(A439,抽卷!$A:$A,抽卷!$M:$M,,1,2),NA())</f>
        <v>#N/A</v>
      </c>
      <c r="F439" s="70" t="e">
        <f t="shared" si="19"/>
        <v>#N/A</v>
      </c>
    </row>
    <row r="440" spans="1:6" ht="15" customHeight="1" x14ac:dyDescent="0.25">
      <c r="A440" s="95">
        <f t="shared" si="20"/>
        <v>44376</v>
      </c>
      <c r="B440" s="76" t="e">
        <f>IF(ISNUMBER(_xlfn.XLOOKUP(A440,鑽量!$A:$A,鑽量!$K:$K,,1,2)),_xlfn.XLOOKUP(A440,鑽量!$A:$A,鑽量!$K:$K,,1,2),NA())</f>
        <v>#N/A</v>
      </c>
      <c r="C440" s="417" t="e">
        <f t="shared" si="21"/>
        <v>#N/A</v>
      </c>
      <c r="D440" s="417" t="e">
        <f>IF(ISNUMBER(_xlfn.XLOOKUP(A440,抽卷!$A:$A,抽卷!$K:$K,,1,2)),_xlfn.XLOOKUP(A440,抽卷!$A:$A,抽卷!$K:$K,,1,2),NA())</f>
        <v>#N/A</v>
      </c>
      <c r="E440" s="417" t="e">
        <f>IF(ISNUMBER(_xlfn.XLOOKUP(A440,抽卷!$A:$A,抽卷!$M:$M,,1,2)),_xlfn.XLOOKUP(A440,抽卷!$A:$A,抽卷!$M:$M,,1,2),NA())</f>
        <v>#N/A</v>
      </c>
      <c r="F440" s="70" t="e">
        <f t="shared" si="19"/>
        <v>#N/A</v>
      </c>
    </row>
    <row r="441" spans="1:6" ht="15" customHeight="1" x14ac:dyDescent="0.25">
      <c r="A441" s="95">
        <f t="shared" si="20"/>
        <v>44377</v>
      </c>
      <c r="B441" s="76" t="e">
        <f>IF(ISNUMBER(_xlfn.XLOOKUP(A441,鑽量!$A:$A,鑽量!$K:$K,,1,2)),_xlfn.XLOOKUP(A441,鑽量!$A:$A,鑽量!$K:$K,,1,2),NA())</f>
        <v>#N/A</v>
      </c>
      <c r="C441" s="417" t="e">
        <f t="shared" si="21"/>
        <v>#N/A</v>
      </c>
      <c r="D441" s="417" t="e">
        <f>IF(ISNUMBER(_xlfn.XLOOKUP(A441,抽卷!$A:$A,抽卷!$K:$K,,1,2)),_xlfn.XLOOKUP(A441,抽卷!$A:$A,抽卷!$K:$K,,1,2),NA())</f>
        <v>#N/A</v>
      </c>
      <c r="E441" s="417" t="e">
        <f>IF(ISNUMBER(_xlfn.XLOOKUP(A441,抽卷!$A:$A,抽卷!$M:$M,,1,2)),_xlfn.XLOOKUP(A441,抽卷!$A:$A,抽卷!$M:$M,,1,2),NA())</f>
        <v>#N/A</v>
      </c>
      <c r="F441" s="70" t="e">
        <f t="shared" si="19"/>
        <v>#N/A</v>
      </c>
    </row>
    <row r="442" spans="1:6" ht="15" customHeight="1" x14ac:dyDescent="0.25">
      <c r="A442" s="95">
        <f t="shared" si="20"/>
        <v>44378</v>
      </c>
      <c r="B442" s="76" t="e">
        <f>IF(ISNUMBER(_xlfn.XLOOKUP(A442,鑽量!$A:$A,鑽量!$K:$K,,1,2)),_xlfn.XLOOKUP(A442,鑽量!$A:$A,鑽量!$K:$K,,1,2),NA())</f>
        <v>#N/A</v>
      </c>
      <c r="C442" s="417" t="e">
        <f t="shared" si="21"/>
        <v>#N/A</v>
      </c>
      <c r="D442" s="417" t="e">
        <f>IF(ISNUMBER(_xlfn.XLOOKUP(A442,抽卷!$A:$A,抽卷!$K:$K,,1,2)),_xlfn.XLOOKUP(A442,抽卷!$A:$A,抽卷!$K:$K,,1,2),NA())</f>
        <v>#N/A</v>
      </c>
      <c r="E442" s="417" t="e">
        <f>IF(ISNUMBER(_xlfn.XLOOKUP(A442,抽卷!$A:$A,抽卷!$M:$M,,1,2)),_xlfn.XLOOKUP(A442,抽卷!$A:$A,抽卷!$M:$M,,1,2),NA())</f>
        <v>#N/A</v>
      </c>
      <c r="F442" s="70" t="e">
        <f t="shared" si="19"/>
        <v>#N/A</v>
      </c>
    </row>
    <row r="443" spans="1:6" ht="15" customHeight="1" x14ac:dyDescent="0.25">
      <c r="A443" s="95">
        <f t="shared" si="20"/>
        <v>44379</v>
      </c>
      <c r="B443" s="76" t="e">
        <f>IF(ISNUMBER(_xlfn.XLOOKUP(A443,鑽量!$A:$A,鑽量!$K:$K,,1,2)),_xlfn.XLOOKUP(A443,鑽量!$A:$A,鑽量!$K:$K,,1,2),NA())</f>
        <v>#N/A</v>
      </c>
      <c r="C443" s="417" t="e">
        <f t="shared" si="21"/>
        <v>#N/A</v>
      </c>
      <c r="D443" s="417" t="e">
        <f>IF(ISNUMBER(_xlfn.XLOOKUP(A443,抽卷!$A:$A,抽卷!$K:$K,,1,2)),_xlfn.XLOOKUP(A443,抽卷!$A:$A,抽卷!$K:$K,,1,2),NA())</f>
        <v>#N/A</v>
      </c>
      <c r="E443" s="417" t="e">
        <f>IF(ISNUMBER(_xlfn.XLOOKUP(A443,抽卷!$A:$A,抽卷!$M:$M,,1,2)),_xlfn.XLOOKUP(A443,抽卷!$A:$A,抽卷!$M:$M,,1,2),NA())</f>
        <v>#N/A</v>
      </c>
      <c r="F443" s="70" t="e">
        <f t="shared" ref="F443:F503" si="22">IF(ISNA(E443),IF(ISNA(D443),C443,C443+D443),E443+D443+C443)</f>
        <v>#N/A</v>
      </c>
    </row>
    <row r="444" spans="1:6" ht="15" customHeight="1" x14ac:dyDescent="0.25">
      <c r="A444" s="95">
        <f t="shared" si="20"/>
        <v>44380</v>
      </c>
      <c r="B444" s="76" t="e">
        <f>IF(ISNUMBER(_xlfn.XLOOKUP(A444,鑽量!$A:$A,鑽量!$K:$K,,1,2)),_xlfn.XLOOKUP(A444,鑽量!$A:$A,鑽量!$K:$K,,1,2),NA())</f>
        <v>#N/A</v>
      </c>
      <c r="C444" s="417" t="e">
        <f t="shared" si="21"/>
        <v>#N/A</v>
      </c>
      <c r="D444" s="417" t="e">
        <f>IF(ISNUMBER(_xlfn.XLOOKUP(A444,抽卷!$A:$A,抽卷!$K:$K,,1,2)),_xlfn.XLOOKUP(A444,抽卷!$A:$A,抽卷!$K:$K,,1,2),NA())</f>
        <v>#N/A</v>
      </c>
      <c r="E444" s="417" t="e">
        <f>IF(ISNUMBER(_xlfn.XLOOKUP(A444,抽卷!$A:$A,抽卷!$M:$M,,1,2)),_xlfn.XLOOKUP(A444,抽卷!$A:$A,抽卷!$M:$M,,1,2),NA())</f>
        <v>#N/A</v>
      </c>
      <c r="F444" s="70" t="e">
        <f t="shared" si="22"/>
        <v>#N/A</v>
      </c>
    </row>
    <row r="445" spans="1:6" ht="15" customHeight="1" x14ac:dyDescent="0.25">
      <c r="A445" s="95">
        <f t="shared" si="20"/>
        <v>44381</v>
      </c>
      <c r="B445" s="76" t="e">
        <f>IF(ISNUMBER(_xlfn.XLOOKUP(A445,鑽量!$A:$A,鑽量!$K:$K,,1,2)),_xlfn.XLOOKUP(A445,鑽量!$A:$A,鑽量!$K:$K,,1,2),NA())</f>
        <v>#N/A</v>
      </c>
      <c r="C445" s="417" t="e">
        <f t="shared" si="21"/>
        <v>#N/A</v>
      </c>
      <c r="D445" s="417" t="e">
        <f>IF(ISNUMBER(_xlfn.XLOOKUP(A445,抽卷!$A:$A,抽卷!$K:$K,,1,2)),_xlfn.XLOOKUP(A445,抽卷!$A:$A,抽卷!$K:$K,,1,2),NA())</f>
        <v>#N/A</v>
      </c>
      <c r="E445" s="417" t="e">
        <f>IF(ISNUMBER(_xlfn.XLOOKUP(A445,抽卷!$A:$A,抽卷!$M:$M,,1,2)),_xlfn.XLOOKUP(A445,抽卷!$A:$A,抽卷!$M:$M,,1,2),NA())</f>
        <v>#N/A</v>
      </c>
      <c r="F445" s="70" t="e">
        <f t="shared" si="22"/>
        <v>#N/A</v>
      </c>
    </row>
    <row r="446" spans="1:6" ht="15" customHeight="1" x14ac:dyDescent="0.25">
      <c r="A446" s="95">
        <f t="shared" si="20"/>
        <v>44382</v>
      </c>
      <c r="B446" s="76" t="e">
        <f>IF(ISNUMBER(_xlfn.XLOOKUP(A446,鑽量!$A:$A,鑽量!$K:$K,,1,2)),_xlfn.XLOOKUP(A446,鑽量!$A:$A,鑽量!$K:$K,,1,2),NA())</f>
        <v>#N/A</v>
      </c>
      <c r="C446" s="417" t="e">
        <f t="shared" si="21"/>
        <v>#N/A</v>
      </c>
      <c r="D446" s="417" t="e">
        <f>IF(ISNUMBER(_xlfn.XLOOKUP(A446,抽卷!$A:$A,抽卷!$K:$K,,1,2)),_xlfn.XLOOKUP(A446,抽卷!$A:$A,抽卷!$K:$K,,1,2),NA())</f>
        <v>#N/A</v>
      </c>
      <c r="E446" s="417" t="e">
        <f>IF(ISNUMBER(_xlfn.XLOOKUP(A446,抽卷!$A:$A,抽卷!$M:$M,,1,2)),_xlfn.XLOOKUP(A446,抽卷!$A:$A,抽卷!$M:$M,,1,2),NA())</f>
        <v>#N/A</v>
      </c>
      <c r="F446" s="70" t="e">
        <f t="shared" si="22"/>
        <v>#N/A</v>
      </c>
    </row>
    <row r="447" spans="1:6" ht="15" customHeight="1" x14ac:dyDescent="0.25">
      <c r="A447" s="95">
        <f t="shared" si="20"/>
        <v>44383</v>
      </c>
      <c r="B447" s="76" t="e">
        <f>IF(ISNUMBER(_xlfn.XLOOKUP(A447,鑽量!$A:$A,鑽量!$K:$K,,1,2)),_xlfn.XLOOKUP(A447,鑽量!$A:$A,鑽量!$K:$K,,1,2),NA())</f>
        <v>#N/A</v>
      </c>
      <c r="C447" s="417" t="e">
        <f t="shared" si="21"/>
        <v>#N/A</v>
      </c>
      <c r="D447" s="417" t="e">
        <f>IF(ISNUMBER(_xlfn.XLOOKUP(A447,抽卷!$A:$A,抽卷!$K:$K,,1,2)),_xlfn.XLOOKUP(A447,抽卷!$A:$A,抽卷!$K:$K,,1,2),NA())</f>
        <v>#N/A</v>
      </c>
      <c r="E447" s="417" t="e">
        <f>IF(ISNUMBER(_xlfn.XLOOKUP(A447,抽卷!$A:$A,抽卷!$M:$M,,1,2)),_xlfn.XLOOKUP(A447,抽卷!$A:$A,抽卷!$M:$M,,1,2),NA())</f>
        <v>#N/A</v>
      </c>
      <c r="F447" s="70" t="e">
        <f t="shared" si="22"/>
        <v>#N/A</v>
      </c>
    </row>
    <row r="448" spans="1:6" ht="15" customHeight="1" x14ac:dyDescent="0.25">
      <c r="A448" s="95">
        <f t="shared" si="20"/>
        <v>44384</v>
      </c>
      <c r="B448" s="76" t="e">
        <f>IF(ISNUMBER(_xlfn.XLOOKUP(A448,鑽量!$A:$A,鑽量!$K:$K,,1,2)),_xlfn.XLOOKUP(A448,鑽量!$A:$A,鑽量!$K:$K,,1,2),NA())</f>
        <v>#N/A</v>
      </c>
      <c r="C448" s="417" t="e">
        <f t="shared" si="21"/>
        <v>#N/A</v>
      </c>
      <c r="D448" s="417" t="e">
        <f>IF(ISNUMBER(_xlfn.XLOOKUP(A448,抽卷!$A:$A,抽卷!$K:$K,,1,2)),_xlfn.XLOOKUP(A448,抽卷!$A:$A,抽卷!$K:$K,,1,2),NA())</f>
        <v>#N/A</v>
      </c>
      <c r="E448" s="417" t="e">
        <f>IF(ISNUMBER(_xlfn.XLOOKUP(A448,抽卷!$A:$A,抽卷!$M:$M,,1,2)),_xlfn.XLOOKUP(A448,抽卷!$A:$A,抽卷!$M:$M,,1,2),NA())</f>
        <v>#N/A</v>
      </c>
      <c r="F448" s="70" t="e">
        <f t="shared" si="22"/>
        <v>#N/A</v>
      </c>
    </row>
    <row r="449" spans="1:6" ht="15" customHeight="1" x14ac:dyDescent="0.25">
      <c r="A449" s="95">
        <f t="shared" si="20"/>
        <v>44385</v>
      </c>
      <c r="B449" s="76" t="e">
        <f>IF(ISNUMBER(_xlfn.XLOOKUP(A449,鑽量!$A:$A,鑽量!$K:$K,,1,2)),_xlfn.XLOOKUP(A449,鑽量!$A:$A,鑽量!$K:$K,,1,2),NA())</f>
        <v>#N/A</v>
      </c>
      <c r="C449" s="417" t="e">
        <f t="shared" si="21"/>
        <v>#N/A</v>
      </c>
      <c r="D449" s="417" t="e">
        <f>IF(ISNUMBER(_xlfn.XLOOKUP(A449,抽卷!$A:$A,抽卷!$K:$K,,1,2)),_xlfn.XLOOKUP(A449,抽卷!$A:$A,抽卷!$K:$K,,1,2),NA())</f>
        <v>#N/A</v>
      </c>
      <c r="E449" s="417" t="e">
        <f>IF(ISNUMBER(_xlfn.XLOOKUP(A449,抽卷!$A:$A,抽卷!$M:$M,,1,2)),_xlfn.XLOOKUP(A449,抽卷!$A:$A,抽卷!$M:$M,,1,2),NA())</f>
        <v>#N/A</v>
      </c>
      <c r="F449" s="70" t="e">
        <f t="shared" si="22"/>
        <v>#N/A</v>
      </c>
    </row>
    <row r="450" spans="1:6" ht="15" customHeight="1" x14ac:dyDescent="0.25">
      <c r="A450" s="95">
        <f t="shared" si="20"/>
        <v>44386</v>
      </c>
      <c r="B450" s="76" t="e">
        <f>IF(ISNUMBER(_xlfn.XLOOKUP(A450,鑽量!$A:$A,鑽量!$K:$K,,1,2)),_xlfn.XLOOKUP(A450,鑽量!$A:$A,鑽量!$K:$K,,1,2),NA())</f>
        <v>#N/A</v>
      </c>
      <c r="C450" s="417" t="e">
        <f t="shared" si="21"/>
        <v>#N/A</v>
      </c>
      <c r="D450" s="417" t="e">
        <f>IF(ISNUMBER(_xlfn.XLOOKUP(A450,抽卷!$A:$A,抽卷!$K:$K,,1,2)),_xlfn.XLOOKUP(A450,抽卷!$A:$A,抽卷!$K:$K,,1,2),NA())</f>
        <v>#N/A</v>
      </c>
      <c r="E450" s="417" t="e">
        <f>IF(ISNUMBER(_xlfn.XLOOKUP(A450,抽卷!$A:$A,抽卷!$M:$M,,1,2)),_xlfn.XLOOKUP(A450,抽卷!$A:$A,抽卷!$M:$M,,1,2),NA())</f>
        <v>#N/A</v>
      </c>
      <c r="F450" s="70" t="e">
        <f t="shared" si="22"/>
        <v>#N/A</v>
      </c>
    </row>
    <row r="451" spans="1:6" ht="15" customHeight="1" x14ac:dyDescent="0.25">
      <c r="A451" s="95">
        <f t="shared" si="20"/>
        <v>44387</v>
      </c>
      <c r="B451" s="76" t="e">
        <f>IF(ISNUMBER(_xlfn.XLOOKUP(A451,鑽量!$A:$A,鑽量!$K:$K,,1,2)),_xlfn.XLOOKUP(A451,鑽量!$A:$A,鑽量!$K:$K,,1,2),NA())</f>
        <v>#N/A</v>
      </c>
      <c r="C451" s="417" t="e">
        <f t="shared" si="21"/>
        <v>#N/A</v>
      </c>
      <c r="D451" s="417" t="e">
        <f>IF(ISNUMBER(_xlfn.XLOOKUP(A451,抽卷!$A:$A,抽卷!$K:$K,,1,2)),_xlfn.XLOOKUP(A451,抽卷!$A:$A,抽卷!$K:$K,,1,2),NA())</f>
        <v>#N/A</v>
      </c>
      <c r="E451" s="417" t="e">
        <f>IF(ISNUMBER(_xlfn.XLOOKUP(A451,抽卷!$A:$A,抽卷!$M:$M,,1,2)),_xlfn.XLOOKUP(A451,抽卷!$A:$A,抽卷!$M:$M,,1,2),NA())</f>
        <v>#N/A</v>
      </c>
      <c r="F451" s="70" t="e">
        <f t="shared" si="22"/>
        <v>#N/A</v>
      </c>
    </row>
    <row r="452" spans="1:6" ht="15" customHeight="1" x14ac:dyDescent="0.25">
      <c r="A452" s="95">
        <f t="shared" si="20"/>
        <v>44388</v>
      </c>
      <c r="B452" s="76" t="e">
        <f>IF(ISNUMBER(_xlfn.XLOOKUP(A452,鑽量!$A:$A,鑽量!$K:$K,,1,2)),_xlfn.XLOOKUP(A452,鑽量!$A:$A,鑽量!$K:$K,,1,2),NA())</f>
        <v>#N/A</v>
      </c>
      <c r="C452" s="417" t="e">
        <f t="shared" si="21"/>
        <v>#N/A</v>
      </c>
      <c r="D452" s="417" t="e">
        <f>IF(ISNUMBER(_xlfn.XLOOKUP(A452,抽卷!$A:$A,抽卷!$K:$K,,1,2)),_xlfn.XLOOKUP(A452,抽卷!$A:$A,抽卷!$K:$K,,1,2),NA())</f>
        <v>#N/A</v>
      </c>
      <c r="E452" s="417" t="e">
        <f>IF(ISNUMBER(_xlfn.XLOOKUP(A452,抽卷!$A:$A,抽卷!$M:$M,,1,2)),_xlfn.XLOOKUP(A452,抽卷!$A:$A,抽卷!$M:$M,,1,2),NA())</f>
        <v>#N/A</v>
      </c>
      <c r="F452" s="70" t="e">
        <f t="shared" si="22"/>
        <v>#N/A</v>
      </c>
    </row>
    <row r="453" spans="1:6" ht="15" customHeight="1" x14ac:dyDescent="0.25">
      <c r="A453" s="95">
        <f t="shared" si="20"/>
        <v>44389</v>
      </c>
      <c r="B453" s="76" t="e">
        <f>IF(ISNUMBER(_xlfn.XLOOKUP(A453,鑽量!$A:$A,鑽量!$K:$K,,1,2)),_xlfn.XLOOKUP(A453,鑽量!$A:$A,鑽量!$K:$K,,1,2),NA())</f>
        <v>#N/A</v>
      </c>
      <c r="C453" s="417" t="e">
        <f t="shared" si="21"/>
        <v>#N/A</v>
      </c>
      <c r="D453" s="417" t="e">
        <f>IF(ISNUMBER(_xlfn.XLOOKUP(A453,抽卷!$A:$A,抽卷!$K:$K,,1,2)),_xlfn.XLOOKUP(A453,抽卷!$A:$A,抽卷!$K:$K,,1,2),NA())</f>
        <v>#N/A</v>
      </c>
      <c r="E453" s="417" t="e">
        <f>IF(ISNUMBER(_xlfn.XLOOKUP(A453,抽卷!$A:$A,抽卷!$M:$M,,1,2)),_xlfn.XLOOKUP(A453,抽卷!$A:$A,抽卷!$M:$M,,1,2),NA())</f>
        <v>#N/A</v>
      </c>
      <c r="F453" s="70" t="e">
        <f t="shared" si="22"/>
        <v>#N/A</v>
      </c>
    </row>
    <row r="454" spans="1:6" ht="15" customHeight="1" x14ac:dyDescent="0.25">
      <c r="A454" s="95">
        <f t="shared" ref="A454:A503" si="23">A453+1</f>
        <v>44390</v>
      </c>
      <c r="B454" s="76" t="e">
        <f>IF(ISNUMBER(_xlfn.XLOOKUP(A454,鑽量!$A:$A,鑽量!$K:$K,,1,2)),_xlfn.XLOOKUP(A454,鑽量!$A:$A,鑽量!$K:$K,,1,2),NA())</f>
        <v>#N/A</v>
      </c>
      <c r="C454" s="417" t="e">
        <f t="shared" si="21"/>
        <v>#N/A</v>
      </c>
      <c r="D454" s="417" t="e">
        <f>IF(ISNUMBER(_xlfn.XLOOKUP(A454,抽卷!$A:$A,抽卷!$K:$K,,1,2)),_xlfn.XLOOKUP(A454,抽卷!$A:$A,抽卷!$K:$K,,1,2),NA())</f>
        <v>#N/A</v>
      </c>
      <c r="E454" s="417" t="e">
        <f>IF(ISNUMBER(_xlfn.XLOOKUP(A454,抽卷!$A:$A,抽卷!$M:$M,,1,2)),_xlfn.XLOOKUP(A454,抽卷!$A:$A,抽卷!$M:$M,,1,2),NA())</f>
        <v>#N/A</v>
      </c>
      <c r="F454" s="70" t="e">
        <f t="shared" si="22"/>
        <v>#N/A</v>
      </c>
    </row>
    <row r="455" spans="1:6" ht="15" customHeight="1" x14ac:dyDescent="0.25">
      <c r="A455" s="95">
        <f t="shared" si="23"/>
        <v>44391</v>
      </c>
      <c r="B455" s="76" t="e">
        <f>IF(ISNUMBER(_xlfn.XLOOKUP(A455,鑽量!$A:$A,鑽量!$K:$K,,1,2)),_xlfn.XLOOKUP(A455,鑽量!$A:$A,鑽量!$K:$K,,1,2),NA())</f>
        <v>#N/A</v>
      </c>
      <c r="C455" s="417" t="e">
        <f t="shared" si="21"/>
        <v>#N/A</v>
      </c>
      <c r="D455" s="417" t="e">
        <f>IF(ISNUMBER(_xlfn.XLOOKUP(A455,抽卷!$A:$A,抽卷!$K:$K,,1,2)),_xlfn.XLOOKUP(A455,抽卷!$A:$A,抽卷!$K:$K,,1,2),NA())</f>
        <v>#N/A</v>
      </c>
      <c r="E455" s="417" t="e">
        <f>IF(ISNUMBER(_xlfn.XLOOKUP(A455,抽卷!$A:$A,抽卷!$M:$M,,1,2)),_xlfn.XLOOKUP(A455,抽卷!$A:$A,抽卷!$M:$M,,1,2),NA())</f>
        <v>#N/A</v>
      </c>
      <c r="F455" s="70" t="e">
        <f t="shared" si="22"/>
        <v>#N/A</v>
      </c>
    </row>
    <row r="456" spans="1:6" ht="15" customHeight="1" x14ac:dyDescent="0.25">
      <c r="A456" s="95">
        <f t="shared" si="23"/>
        <v>44392</v>
      </c>
      <c r="B456" s="76" t="e">
        <f>IF(ISNUMBER(_xlfn.XLOOKUP(A456,鑽量!$A:$A,鑽量!$K:$K,,1,2)),_xlfn.XLOOKUP(A456,鑽量!$A:$A,鑽量!$K:$K,,1,2),NA())</f>
        <v>#N/A</v>
      </c>
      <c r="C456" s="417" t="e">
        <f t="shared" si="21"/>
        <v>#N/A</v>
      </c>
      <c r="D456" s="417" t="e">
        <f>IF(ISNUMBER(_xlfn.XLOOKUP(A456,抽卷!$A:$A,抽卷!$K:$K,,1,2)),_xlfn.XLOOKUP(A456,抽卷!$A:$A,抽卷!$K:$K,,1,2),NA())</f>
        <v>#N/A</v>
      </c>
      <c r="E456" s="417" t="e">
        <f>IF(ISNUMBER(_xlfn.XLOOKUP(A456,抽卷!$A:$A,抽卷!$M:$M,,1,2)),_xlfn.XLOOKUP(A456,抽卷!$A:$A,抽卷!$M:$M,,1,2),NA())</f>
        <v>#N/A</v>
      </c>
      <c r="F456" s="70" t="e">
        <f t="shared" si="22"/>
        <v>#N/A</v>
      </c>
    </row>
    <row r="457" spans="1:6" ht="15" customHeight="1" x14ac:dyDescent="0.25">
      <c r="A457" s="95">
        <f t="shared" si="23"/>
        <v>44393</v>
      </c>
      <c r="B457" s="76" t="e">
        <f>IF(ISNUMBER(_xlfn.XLOOKUP(A457,鑽量!$A:$A,鑽量!$K:$K,,1,2)),_xlfn.XLOOKUP(A457,鑽量!$A:$A,鑽量!$K:$K,,1,2),NA())</f>
        <v>#N/A</v>
      </c>
      <c r="C457" s="417" t="e">
        <f t="shared" si="21"/>
        <v>#N/A</v>
      </c>
      <c r="D457" s="417" t="e">
        <f>IF(ISNUMBER(_xlfn.XLOOKUP(A457,抽卷!$A:$A,抽卷!$K:$K,,1,2)),_xlfn.XLOOKUP(A457,抽卷!$A:$A,抽卷!$K:$K,,1,2),NA())</f>
        <v>#N/A</v>
      </c>
      <c r="E457" s="417" t="e">
        <f>IF(ISNUMBER(_xlfn.XLOOKUP(A457,抽卷!$A:$A,抽卷!$M:$M,,1,2)),_xlfn.XLOOKUP(A457,抽卷!$A:$A,抽卷!$M:$M,,1,2),NA())</f>
        <v>#N/A</v>
      </c>
      <c r="F457" s="70" t="e">
        <f t="shared" si="22"/>
        <v>#N/A</v>
      </c>
    </row>
    <row r="458" spans="1:6" ht="15" customHeight="1" x14ac:dyDescent="0.25">
      <c r="A458" s="95">
        <f t="shared" si="23"/>
        <v>44394</v>
      </c>
      <c r="B458" s="76" t="e">
        <f>IF(ISNUMBER(_xlfn.XLOOKUP(A458,鑽量!$A:$A,鑽量!$K:$K,,1,2)),_xlfn.XLOOKUP(A458,鑽量!$A:$A,鑽量!$K:$K,,1,2),NA())</f>
        <v>#N/A</v>
      </c>
      <c r="C458" s="417" t="e">
        <f t="shared" si="21"/>
        <v>#N/A</v>
      </c>
      <c r="D458" s="417" t="e">
        <f>IF(ISNUMBER(_xlfn.XLOOKUP(A458,抽卷!$A:$A,抽卷!$K:$K,,1,2)),_xlfn.XLOOKUP(A458,抽卷!$A:$A,抽卷!$K:$K,,1,2),NA())</f>
        <v>#N/A</v>
      </c>
      <c r="E458" s="417" t="e">
        <f>IF(ISNUMBER(_xlfn.XLOOKUP(A458,抽卷!$A:$A,抽卷!$M:$M,,1,2)),_xlfn.XLOOKUP(A458,抽卷!$A:$A,抽卷!$M:$M,,1,2),NA())</f>
        <v>#N/A</v>
      </c>
      <c r="F458" s="70" t="e">
        <f t="shared" si="22"/>
        <v>#N/A</v>
      </c>
    </row>
    <row r="459" spans="1:6" ht="15" customHeight="1" x14ac:dyDescent="0.25">
      <c r="A459" s="95">
        <f t="shared" si="23"/>
        <v>44395</v>
      </c>
      <c r="B459" s="76" t="e">
        <f>IF(ISNUMBER(_xlfn.XLOOKUP(A459,鑽量!$A:$A,鑽量!$K:$K,,1,2)),_xlfn.XLOOKUP(A459,鑽量!$A:$A,鑽量!$K:$K,,1,2),NA())</f>
        <v>#N/A</v>
      </c>
      <c r="C459" s="417" t="e">
        <f t="shared" si="21"/>
        <v>#N/A</v>
      </c>
      <c r="D459" s="417" t="e">
        <f>IF(ISNUMBER(_xlfn.XLOOKUP(A459,抽卷!$A:$A,抽卷!$K:$K,,1,2)),_xlfn.XLOOKUP(A459,抽卷!$A:$A,抽卷!$K:$K,,1,2),NA())</f>
        <v>#N/A</v>
      </c>
      <c r="E459" s="417" t="e">
        <f>IF(ISNUMBER(_xlfn.XLOOKUP(A459,抽卷!$A:$A,抽卷!$M:$M,,1,2)),_xlfn.XLOOKUP(A459,抽卷!$A:$A,抽卷!$M:$M,,1,2),NA())</f>
        <v>#N/A</v>
      </c>
      <c r="F459" s="70" t="e">
        <f t="shared" si="22"/>
        <v>#N/A</v>
      </c>
    </row>
    <row r="460" spans="1:6" ht="15" customHeight="1" x14ac:dyDescent="0.25">
      <c r="A460" s="95">
        <f t="shared" si="23"/>
        <v>44396</v>
      </c>
      <c r="B460" s="76" t="e">
        <f>IF(ISNUMBER(_xlfn.XLOOKUP(A460,鑽量!$A:$A,鑽量!$K:$K,,1,2)),_xlfn.XLOOKUP(A460,鑽量!$A:$A,鑽量!$K:$K,,1,2),NA())</f>
        <v>#N/A</v>
      </c>
      <c r="C460" s="417" t="e">
        <f t="shared" si="21"/>
        <v>#N/A</v>
      </c>
      <c r="D460" s="417" t="e">
        <f>IF(ISNUMBER(_xlfn.XLOOKUP(A460,抽卷!$A:$A,抽卷!$K:$K,,1,2)),_xlfn.XLOOKUP(A460,抽卷!$A:$A,抽卷!$K:$K,,1,2),NA())</f>
        <v>#N/A</v>
      </c>
      <c r="E460" s="417" t="e">
        <f>IF(ISNUMBER(_xlfn.XLOOKUP(A460,抽卷!$A:$A,抽卷!$M:$M,,1,2)),_xlfn.XLOOKUP(A460,抽卷!$A:$A,抽卷!$M:$M,,1,2),NA())</f>
        <v>#N/A</v>
      </c>
      <c r="F460" s="70" t="e">
        <f t="shared" si="22"/>
        <v>#N/A</v>
      </c>
    </row>
    <row r="461" spans="1:6" ht="15" customHeight="1" x14ac:dyDescent="0.25">
      <c r="A461" s="95">
        <f t="shared" si="23"/>
        <v>44397</v>
      </c>
      <c r="B461" s="76" t="e">
        <f>IF(ISNUMBER(_xlfn.XLOOKUP(A461,鑽量!$A:$A,鑽量!$K:$K,,1,2)),_xlfn.XLOOKUP(A461,鑽量!$A:$A,鑽量!$K:$K,,1,2),NA())</f>
        <v>#N/A</v>
      </c>
      <c r="C461" s="417" t="e">
        <f t="shared" si="21"/>
        <v>#N/A</v>
      </c>
      <c r="D461" s="417" t="e">
        <f>IF(ISNUMBER(_xlfn.XLOOKUP(A461,抽卷!$A:$A,抽卷!$K:$K,,1,2)),_xlfn.XLOOKUP(A461,抽卷!$A:$A,抽卷!$K:$K,,1,2),NA())</f>
        <v>#N/A</v>
      </c>
      <c r="E461" s="417" t="e">
        <f>IF(ISNUMBER(_xlfn.XLOOKUP(A461,抽卷!$A:$A,抽卷!$M:$M,,1,2)),_xlfn.XLOOKUP(A461,抽卷!$A:$A,抽卷!$M:$M,,1,2),NA())</f>
        <v>#N/A</v>
      </c>
      <c r="F461" s="70" t="e">
        <f t="shared" si="22"/>
        <v>#N/A</v>
      </c>
    </row>
    <row r="462" spans="1:6" ht="15" customHeight="1" x14ac:dyDescent="0.25">
      <c r="A462" s="95">
        <f t="shared" si="23"/>
        <v>44398</v>
      </c>
      <c r="B462" s="76" t="e">
        <f>IF(ISNUMBER(_xlfn.XLOOKUP(A462,鑽量!$A:$A,鑽量!$K:$K,,1,2)),_xlfn.XLOOKUP(A462,鑽量!$A:$A,鑽量!$K:$K,,1,2),NA())</f>
        <v>#N/A</v>
      </c>
      <c r="C462" s="417" t="e">
        <f t="shared" si="21"/>
        <v>#N/A</v>
      </c>
      <c r="D462" s="417" t="e">
        <f>IF(ISNUMBER(_xlfn.XLOOKUP(A462,抽卷!$A:$A,抽卷!$K:$K,,1,2)),_xlfn.XLOOKUP(A462,抽卷!$A:$A,抽卷!$K:$K,,1,2),NA())</f>
        <v>#N/A</v>
      </c>
      <c r="E462" s="417" t="e">
        <f>IF(ISNUMBER(_xlfn.XLOOKUP(A462,抽卷!$A:$A,抽卷!$M:$M,,1,2)),_xlfn.XLOOKUP(A462,抽卷!$A:$A,抽卷!$M:$M,,1,2),NA())</f>
        <v>#N/A</v>
      </c>
      <c r="F462" s="70" t="e">
        <f t="shared" si="22"/>
        <v>#N/A</v>
      </c>
    </row>
    <row r="463" spans="1:6" ht="15" customHeight="1" x14ac:dyDescent="0.25">
      <c r="A463" s="95">
        <f t="shared" si="23"/>
        <v>44399</v>
      </c>
      <c r="B463" s="76" t="e">
        <f>IF(ISNUMBER(_xlfn.XLOOKUP(A463,鑽量!$A:$A,鑽量!$K:$K,,1,2)),_xlfn.XLOOKUP(A463,鑽量!$A:$A,鑽量!$K:$K,,1,2),NA())</f>
        <v>#N/A</v>
      </c>
      <c r="C463" s="417" t="e">
        <f t="shared" si="21"/>
        <v>#N/A</v>
      </c>
      <c r="D463" s="417" t="e">
        <f>IF(ISNUMBER(_xlfn.XLOOKUP(A463,抽卷!$A:$A,抽卷!$K:$K,,1,2)),_xlfn.XLOOKUP(A463,抽卷!$A:$A,抽卷!$K:$K,,1,2),NA())</f>
        <v>#N/A</v>
      </c>
      <c r="E463" s="417" t="e">
        <f>IF(ISNUMBER(_xlfn.XLOOKUP(A463,抽卷!$A:$A,抽卷!$M:$M,,1,2)),_xlfn.XLOOKUP(A463,抽卷!$A:$A,抽卷!$M:$M,,1,2),NA())</f>
        <v>#N/A</v>
      </c>
      <c r="F463" s="70" t="e">
        <f t="shared" si="22"/>
        <v>#N/A</v>
      </c>
    </row>
    <row r="464" spans="1:6" ht="15" customHeight="1" x14ac:dyDescent="0.25">
      <c r="A464" s="95">
        <f t="shared" si="23"/>
        <v>44400</v>
      </c>
      <c r="B464" s="76" t="e">
        <f>IF(ISNUMBER(_xlfn.XLOOKUP(A464,鑽量!$A:$A,鑽量!$K:$K,,1,2)),_xlfn.XLOOKUP(A464,鑽量!$A:$A,鑽量!$K:$K,,1,2),NA())</f>
        <v>#N/A</v>
      </c>
      <c r="C464" s="417" t="e">
        <f t="shared" si="21"/>
        <v>#N/A</v>
      </c>
      <c r="D464" s="417" t="e">
        <f>IF(ISNUMBER(_xlfn.XLOOKUP(A464,抽卷!$A:$A,抽卷!$K:$K,,1,2)),_xlfn.XLOOKUP(A464,抽卷!$A:$A,抽卷!$K:$K,,1,2),NA())</f>
        <v>#N/A</v>
      </c>
      <c r="E464" s="417" t="e">
        <f>IF(ISNUMBER(_xlfn.XLOOKUP(A464,抽卷!$A:$A,抽卷!$M:$M,,1,2)),_xlfn.XLOOKUP(A464,抽卷!$A:$A,抽卷!$M:$M,,1,2),NA())</f>
        <v>#N/A</v>
      </c>
      <c r="F464" s="70" t="e">
        <f t="shared" si="22"/>
        <v>#N/A</v>
      </c>
    </row>
    <row r="465" spans="1:6" ht="15" customHeight="1" x14ac:dyDescent="0.25">
      <c r="A465" s="95">
        <f t="shared" si="23"/>
        <v>44401</v>
      </c>
      <c r="B465" s="76" t="e">
        <f>IF(ISNUMBER(_xlfn.XLOOKUP(A465,鑽量!$A:$A,鑽量!$K:$K,,1,2)),_xlfn.XLOOKUP(A465,鑽量!$A:$A,鑽量!$K:$K,,1,2),NA())</f>
        <v>#N/A</v>
      </c>
      <c r="C465" s="417" t="e">
        <f t="shared" si="21"/>
        <v>#N/A</v>
      </c>
      <c r="D465" s="417" t="e">
        <f>IF(ISNUMBER(_xlfn.XLOOKUP(A465,抽卷!$A:$A,抽卷!$K:$K,,1,2)),_xlfn.XLOOKUP(A465,抽卷!$A:$A,抽卷!$K:$K,,1,2),NA())</f>
        <v>#N/A</v>
      </c>
      <c r="E465" s="417" t="e">
        <f>IF(ISNUMBER(_xlfn.XLOOKUP(A465,抽卷!$A:$A,抽卷!$M:$M,,1,2)),_xlfn.XLOOKUP(A465,抽卷!$A:$A,抽卷!$M:$M,,1,2),NA())</f>
        <v>#N/A</v>
      </c>
      <c r="F465" s="70" t="e">
        <f t="shared" si="22"/>
        <v>#N/A</v>
      </c>
    </row>
    <row r="466" spans="1:6" ht="15" customHeight="1" x14ac:dyDescent="0.25">
      <c r="A466" s="95">
        <f t="shared" si="23"/>
        <v>44402</v>
      </c>
      <c r="B466" s="76" t="e">
        <f>IF(ISNUMBER(_xlfn.XLOOKUP(A466,鑽量!$A:$A,鑽量!$K:$K,,1,2)),_xlfn.XLOOKUP(A466,鑽量!$A:$A,鑽量!$K:$K,,1,2),NA())</f>
        <v>#N/A</v>
      </c>
      <c r="C466" s="417" t="e">
        <f t="shared" si="21"/>
        <v>#N/A</v>
      </c>
      <c r="D466" s="417" t="e">
        <f>IF(ISNUMBER(_xlfn.XLOOKUP(A466,抽卷!$A:$A,抽卷!$K:$K,,1,2)),_xlfn.XLOOKUP(A466,抽卷!$A:$A,抽卷!$K:$K,,1,2),NA())</f>
        <v>#N/A</v>
      </c>
      <c r="E466" s="417" t="e">
        <f>IF(ISNUMBER(_xlfn.XLOOKUP(A466,抽卷!$A:$A,抽卷!$M:$M,,1,2)),_xlfn.XLOOKUP(A466,抽卷!$A:$A,抽卷!$M:$M,,1,2),NA())</f>
        <v>#N/A</v>
      </c>
      <c r="F466" s="70" t="e">
        <f t="shared" si="22"/>
        <v>#N/A</v>
      </c>
    </row>
    <row r="467" spans="1:6" ht="15" customHeight="1" x14ac:dyDescent="0.25">
      <c r="A467" s="95">
        <f t="shared" si="23"/>
        <v>44403</v>
      </c>
      <c r="B467" s="76" t="e">
        <f>IF(ISNUMBER(_xlfn.XLOOKUP(A467,鑽量!$A:$A,鑽量!$K:$K,,1,2)),_xlfn.XLOOKUP(A467,鑽量!$A:$A,鑽量!$K:$K,,1,2),NA())</f>
        <v>#N/A</v>
      </c>
      <c r="C467" s="417" t="e">
        <f t="shared" si="21"/>
        <v>#N/A</v>
      </c>
      <c r="D467" s="417" t="e">
        <f>IF(ISNUMBER(_xlfn.XLOOKUP(A467,抽卷!$A:$A,抽卷!$K:$K,,1,2)),_xlfn.XLOOKUP(A467,抽卷!$A:$A,抽卷!$K:$K,,1,2),NA())</f>
        <v>#N/A</v>
      </c>
      <c r="E467" s="417" t="e">
        <f>IF(ISNUMBER(_xlfn.XLOOKUP(A467,抽卷!$A:$A,抽卷!$M:$M,,1,2)),_xlfn.XLOOKUP(A467,抽卷!$A:$A,抽卷!$M:$M,,1,2),NA())</f>
        <v>#N/A</v>
      </c>
      <c r="F467" s="70" t="e">
        <f t="shared" si="22"/>
        <v>#N/A</v>
      </c>
    </row>
    <row r="468" spans="1:6" ht="15" customHeight="1" x14ac:dyDescent="0.25">
      <c r="A468" s="95">
        <f t="shared" si="23"/>
        <v>44404</v>
      </c>
      <c r="B468" s="76" t="e">
        <f>IF(ISNUMBER(_xlfn.XLOOKUP(A468,鑽量!$A:$A,鑽量!$K:$K,,1,2)),_xlfn.XLOOKUP(A468,鑽量!$A:$A,鑽量!$K:$K,,1,2),NA())</f>
        <v>#N/A</v>
      </c>
      <c r="C468" s="417" t="e">
        <f t="shared" si="21"/>
        <v>#N/A</v>
      </c>
      <c r="D468" s="417" t="e">
        <f>IF(ISNUMBER(_xlfn.XLOOKUP(A468,抽卷!$A:$A,抽卷!$K:$K,,1,2)),_xlfn.XLOOKUP(A468,抽卷!$A:$A,抽卷!$K:$K,,1,2),NA())</f>
        <v>#N/A</v>
      </c>
      <c r="E468" s="417" t="e">
        <f>IF(ISNUMBER(_xlfn.XLOOKUP(A468,抽卷!$A:$A,抽卷!$M:$M,,1,2)),_xlfn.XLOOKUP(A468,抽卷!$A:$A,抽卷!$M:$M,,1,2),NA())</f>
        <v>#N/A</v>
      </c>
      <c r="F468" s="70" t="e">
        <f t="shared" si="22"/>
        <v>#N/A</v>
      </c>
    </row>
    <row r="469" spans="1:6" ht="15" customHeight="1" x14ac:dyDescent="0.25">
      <c r="A469" s="95">
        <f t="shared" si="23"/>
        <v>44405</v>
      </c>
      <c r="B469" s="76" t="e">
        <f>IF(ISNUMBER(_xlfn.XLOOKUP(A469,鑽量!$A:$A,鑽量!$K:$K,,1,2)),_xlfn.XLOOKUP(A469,鑽量!$A:$A,鑽量!$K:$K,,1,2),NA())</f>
        <v>#N/A</v>
      </c>
      <c r="C469" s="417" t="e">
        <f t="shared" si="21"/>
        <v>#N/A</v>
      </c>
      <c r="D469" s="417" t="e">
        <f>IF(ISNUMBER(_xlfn.XLOOKUP(A469,抽卷!$A:$A,抽卷!$K:$K,,1,2)),_xlfn.XLOOKUP(A469,抽卷!$A:$A,抽卷!$K:$K,,1,2),NA())</f>
        <v>#N/A</v>
      </c>
      <c r="E469" s="417" t="e">
        <f>IF(ISNUMBER(_xlfn.XLOOKUP(A469,抽卷!$A:$A,抽卷!$M:$M,,1,2)),_xlfn.XLOOKUP(A469,抽卷!$A:$A,抽卷!$M:$M,,1,2),NA())</f>
        <v>#N/A</v>
      </c>
      <c r="F469" s="70" t="e">
        <f t="shared" si="22"/>
        <v>#N/A</v>
      </c>
    </row>
    <row r="470" spans="1:6" ht="15" customHeight="1" x14ac:dyDescent="0.25">
      <c r="A470" s="95">
        <f t="shared" si="23"/>
        <v>44406</v>
      </c>
      <c r="B470" s="76" t="e">
        <f>IF(ISNUMBER(_xlfn.XLOOKUP(A470,鑽量!$A:$A,鑽量!$K:$K,,1,2)),_xlfn.XLOOKUP(A470,鑽量!$A:$A,鑽量!$K:$K,,1,2),NA())</f>
        <v>#N/A</v>
      </c>
      <c r="C470" s="417" t="e">
        <f t="shared" si="21"/>
        <v>#N/A</v>
      </c>
      <c r="D470" s="417" t="e">
        <f>IF(ISNUMBER(_xlfn.XLOOKUP(A470,抽卷!$A:$A,抽卷!$K:$K,,1,2)),_xlfn.XLOOKUP(A470,抽卷!$A:$A,抽卷!$K:$K,,1,2),NA())</f>
        <v>#N/A</v>
      </c>
      <c r="E470" s="417" t="e">
        <f>IF(ISNUMBER(_xlfn.XLOOKUP(A470,抽卷!$A:$A,抽卷!$M:$M,,1,2)),_xlfn.XLOOKUP(A470,抽卷!$A:$A,抽卷!$M:$M,,1,2),NA())</f>
        <v>#N/A</v>
      </c>
      <c r="F470" s="70" t="e">
        <f t="shared" si="22"/>
        <v>#N/A</v>
      </c>
    </row>
    <row r="471" spans="1:6" ht="15" customHeight="1" x14ac:dyDescent="0.25">
      <c r="A471" s="95">
        <f t="shared" si="23"/>
        <v>44407</v>
      </c>
      <c r="B471" s="76" t="e">
        <f>IF(ISNUMBER(_xlfn.XLOOKUP(A471,鑽量!$A:$A,鑽量!$K:$K,,1,2)),_xlfn.XLOOKUP(A471,鑽量!$A:$A,鑽量!$K:$K,,1,2),NA())</f>
        <v>#N/A</v>
      </c>
      <c r="C471" s="417" t="e">
        <f t="shared" si="21"/>
        <v>#N/A</v>
      </c>
      <c r="D471" s="417" t="e">
        <f>IF(ISNUMBER(_xlfn.XLOOKUP(A471,抽卷!$A:$A,抽卷!$K:$K,,1,2)),_xlfn.XLOOKUP(A471,抽卷!$A:$A,抽卷!$K:$K,,1,2),NA())</f>
        <v>#N/A</v>
      </c>
      <c r="E471" s="417" t="e">
        <f>IF(ISNUMBER(_xlfn.XLOOKUP(A471,抽卷!$A:$A,抽卷!$M:$M,,1,2)),_xlfn.XLOOKUP(A471,抽卷!$A:$A,抽卷!$M:$M,,1,2),NA())</f>
        <v>#N/A</v>
      </c>
      <c r="F471" s="70" t="e">
        <f t="shared" si="22"/>
        <v>#N/A</v>
      </c>
    </row>
    <row r="472" spans="1:6" ht="15" customHeight="1" x14ac:dyDescent="0.25">
      <c r="A472" s="95">
        <f t="shared" si="23"/>
        <v>44408</v>
      </c>
      <c r="B472" s="76" t="e">
        <f>IF(ISNUMBER(_xlfn.XLOOKUP(A472,鑽量!$A:$A,鑽量!$K:$K,,1,2)),_xlfn.XLOOKUP(A472,鑽量!$A:$A,鑽量!$K:$K,,1,2),NA())</f>
        <v>#N/A</v>
      </c>
      <c r="C472" s="417" t="e">
        <f t="shared" si="21"/>
        <v>#N/A</v>
      </c>
      <c r="D472" s="417" t="e">
        <f>IF(ISNUMBER(_xlfn.XLOOKUP(A472,抽卷!$A:$A,抽卷!$K:$K,,1,2)),_xlfn.XLOOKUP(A472,抽卷!$A:$A,抽卷!$K:$K,,1,2),NA())</f>
        <v>#N/A</v>
      </c>
      <c r="E472" s="417" t="e">
        <f>IF(ISNUMBER(_xlfn.XLOOKUP(A472,抽卷!$A:$A,抽卷!$M:$M,,1,2)),_xlfn.XLOOKUP(A472,抽卷!$A:$A,抽卷!$M:$M,,1,2),NA())</f>
        <v>#N/A</v>
      </c>
      <c r="F472" s="70" t="e">
        <f t="shared" si="22"/>
        <v>#N/A</v>
      </c>
    </row>
    <row r="473" spans="1:6" ht="15" customHeight="1" x14ac:dyDescent="0.25">
      <c r="A473" s="95">
        <f t="shared" si="23"/>
        <v>44409</v>
      </c>
      <c r="B473" s="76" t="e">
        <f>IF(ISNUMBER(_xlfn.XLOOKUP(A473,鑽量!$A:$A,鑽量!$K:$K,,1,2)),_xlfn.XLOOKUP(A473,鑽量!$A:$A,鑽量!$K:$K,,1,2),NA())</f>
        <v>#N/A</v>
      </c>
      <c r="C473" s="417" t="e">
        <f t="shared" si="21"/>
        <v>#N/A</v>
      </c>
      <c r="D473" s="417" t="e">
        <f>IF(ISNUMBER(_xlfn.XLOOKUP(A473,抽卷!$A:$A,抽卷!$K:$K,,1,2)),_xlfn.XLOOKUP(A473,抽卷!$A:$A,抽卷!$K:$K,,1,2),NA())</f>
        <v>#N/A</v>
      </c>
      <c r="E473" s="417" t="e">
        <f>IF(ISNUMBER(_xlfn.XLOOKUP(A473,抽卷!$A:$A,抽卷!$M:$M,,1,2)),_xlfn.XLOOKUP(A473,抽卷!$A:$A,抽卷!$M:$M,,1,2),NA())</f>
        <v>#N/A</v>
      </c>
      <c r="F473" s="70" t="e">
        <f t="shared" si="22"/>
        <v>#N/A</v>
      </c>
    </row>
    <row r="474" spans="1:6" ht="15" customHeight="1" x14ac:dyDescent="0.25">
      <c r="A474" s="95">
        <f t="shared" si="23"/>
        <v>44410</v>
      </c>
      <c r="B474" s="76" t="e">
        <f>IF(ISNUMBER(_xlfn.XLOOKUP(A474,鑽量!$A:$A,鑽量!$K:$K,,1,2)),_xlfn.XLOOKUP(A474,鑽量!$A:$A,鑽量!$K:$K,,1,2),NA())</f>
        <v>#N/A</v>
      </c>
      <c r="C474" s="417" t="e">
        <f t="shared" si="21"/>
        <v>#N/A</v>
      </c>
      <c r="D474" s="417" t="e">
        <f>IF(ISNUMBER(_xlfn.XLOOKUP(A474,抽卷!$A:$A,抽卷!$K:$K,,1,2)),_xlfn.XLOOKUP(A474,抽卷!$A:$A,抽卷!$K:$K,,1,2),NA())</f>
        <v>#N/A</v>
      </c>
      <c r="E474" s="417" t="e">
        <f>IF(ISNUMBER(_xlfn.XLOOKUP(A474,抽卷!$A:$A,抽卷!$M:$M,,1,2)),_xlfn.XLOOKUP(A474,抽卷!$A:$A,抽卷!$M:$M,,1,2),NA())</f>
        <v>#N/A</v>
      </c>
      <c r="F474" s="70" t="e">
        <f t="shared" si="22"/>
        <v>#N/A</v>
      </c>
    </row>
    <row r="475" spans="1:6" ht="15" customHeight="1" x14ac:dyDescent="0.25">
      <c r="A475" s="95">
        <f t="shared" si="23"/>
        <v>44411</v>
      </c>
      <c r="B475" s="76" t="e">
        <f>IF(ISNUMBER(_xlfn.XLOOKUP(A475,鑽量!$A:$A,鑽量!$K:$K,,1,2)),_xlfn.XLOOKUP(A475,鑽量!$A:$A,鑽量!$K:$K,,1,2),NA())</f>
        <v>#N/A</v>
      </c>
      <c r="C475" s="417" t="e">
        <f t="shared" si="21"/>
        <v>#N/A</v>
      </c>
      <c r="D475" s="417" t="e">
        <f>IF(ISNUMBER(_xlfn.XLOOKUP(A475,抽卷!$A:$A,抽卷!$K:$K,,1,2)),_xlfn.XLOOKUP(A475,抽卷!$A:$A,抽卷!$K:$K,,1,2),NA())</f>
        <v>#N/A</v>
      </c>
      <c r="E475" s="417" t="e">
        <f>IF(ISNUMBER(_xlfn.XLOOKUP(A475,抽卷!$A:$A,抽卷!$M:$M,,1,2)),_xlfn.XLOOKUP(A475,抽卷!$A:$A,抽卷!$M:$M,,1,2),NA())</f>
        <v>#N/A</v>
      </c>
      <c r="F475" s="70" t="e">
        <f t="shared" si="22"/>
        <v>#N/A</v>
      </c>
    </row>
    <row r="476" spans="1:6" ht="15" customHeight="1" x14ac:dyDescent="0.25">
      <c r="A476" s="95">
        <f t="shared" si="23"/>
        <v>44412</v>
      </c>
      <c r="B476" s="76" t="e">
        <f>IF(ISNUMBER(_xlfn.XLOOKUP(A476,鑽量!$A:$A,鑽量!$K:$K,,1,2)),_xlfn.XLOOKUP(A476,鑽量!$A:$A,鑽量!$K:$K,,1,2),NA())</f>
        <v>#N/A</v>
      </c>
      <c r="C476" s="417" t="e">
        <f t="shared" si="21"/>
        <v>#N/A</v>
      </c>
      <c r="D476" s="417" t="e">
        <f>IF(ISNUMBER(_xlfn.XLOOKUP(A476,抽卷!$A:$A,抽卷!$K:$K,,1,2)),_xlfn.XLOOKUP(A476,抽卷!$A:$A,抽卷!$K:$K,,1,2),NA())</f>
        <v>#N/A</v>
      </c>
      <c r="E476" s="417" t="e">
        <f>IF(ISNUMBER(_xlfn.XLOOKUP(A476,抽卷!$A:$A,抽卷!$M:$M,,1,2)),_xlfn.XLOOKUP(A476,抽卷!$A:$A,抽卷!$M:$M,,1,2),NA())</f>
        <v>#N/A</v>
      </c>
      <c r="F476" s="70" t="e">
        <f t="shared" si="22"/>
        <v>#N/A</v>
      </c>
    </row>
    <row r="477" spans="1:6" ht="15" customHeight="1" x14ac:dyDescent="0.25">
      <c r="A477" s="95">
        <f t="shared" si="23"/>
        <v>44413</v>
      </c>
      <c r="B477" s="76" t="e">
        <f>IF(ISNUMBER(_xlfn.XLOOKUP(A477,鑽量!$A:$A,鑽量!$K:$K,,1,2)),_xlfn.XLOOKUP(A477,鑽量!$A:$A,鑽量!$K:$K,,1,2),NA())</f>
        <v>#N/A</v>
      </c>
      <c r="C477" s="417" t="e">
        <f t="shared" si="21"/>
        <v>#N/A</v>
      </c>
      <c r="D477" s="417" t="e">
        <f>IF(ISNUMBER(_xlfn.XLOOKUP(A477,抽卷!$A:$A,抽卷!$K:$K,,1,2)),_xlfn.XLOOKUP(A477,抽卷!$A:$A,抽卷!$K:$K,,1,2),NA())</f>
        <v>#N/A</v>
      </c>
      <c r="E477" s="417" t="e">
        <f>IF(ISNUMBER(_xlfn.XLOOKUP(A477,抽卷!$A:$A,抽卷!$M:$M,,1,2)),_xlfn.XLOOKUP(A477,抽卷!$A:$A,抽卷!$M:$M,,1,2),NA())</f>
        <v>#N/A</v>
      </c>
      <c r="F477" s="70" t="e">
        <f t="shared" si="22"/>
        <v>#N/A</v>
      </c>
    </row>
    <row r="478" spans="1:6" ht="15" customHeight="1" x14ac:dyDescent="0.25">
      <c r="A478" s="95">
        <f t="shared" si="23"/>
        <v>44414</v>
      </c>
      <c r="B478" s="76" t="e">
        <f>IF(ISNUMBER(_xlfn.XLOOKUP(A478,鑽量!$A:$A,鑽量!$K:$K,,1,2)),_xlfn.XLOOKUP(A478,鑽量!$A:$A,鑽量!$K:$K,,1,2),NA())</f>
        <v>#N/A</v>
      </c>
      <c r="C478" s="417" t="e">
        <f t="shared" si="21"/>
        <v>#N/A</v>
      </c>
      <c r="D478" s="417" t="e">
        <f>IF(ISNUMBER(_xlfn.XLOOKUP(A478,抽卷!$A:$A,抽卷!$K:$K,,1,2)),_xlfn.XLOOKUP(A478,抽卷!$A:$A,抽卷!$K:$K,,1,2),NA())</f>
        <v>#N/A</v>
      </c>
      <c r="E478" s="417" t="e">
        <f>IF(ISNUMBER(_xlfn.XLOOKUP(A478,抽卷!$A:$A,抽卷!$M:$M,,1,2)),_xlfn.XLOOKUP(A478,抽卷!$A:$A,抽卷!$M:$M,,1,2),NA())</f>
        <v>#N/A</v>
      </c>
      <c r="F478" s="70" t="e">
        <f t="shared" si="22"/>
        <v>#N/A</v>
      </c>
    </row>
    <row r="479" spans="1:6" ht="15" customHeight="1" x14ac:dyDescent="0.25">
      <c r="A479" s="95">
        <f t="shared" si="23"/>
        <v>44415</v>
      </c>
      <c r="B479" s="76" t="e">
        <f>IF(ISNUMBER(_xlfn.XLOOKUP(A479,鑽量!$A:$A,鑽量!$K:$K,,1,2)),_xlfn.XLOOKUP(A479,鑽量!$A:$A,鑽量!$K:$K,,1,2),NA())</f>
        <v>#N/A</v>
      </c>
      <c r="C479" s="417" t="e">
        <f t="shared" si="21"/>
        <v>#N/A</v>
      </c>
      <c r="D479" s="417" t="e">
        <f>IF(ISNUMBER(_xlfn.XLOOKUP(A479,抽卷!$A:$A,抽卷!$K:$K,,1,2)),_xlfn.XLOOKUP(A479,抽卷!$A:$A,抽卷!$K:$K,,1,2),NA())</f>
        <v>#N/A</v>
      </c>
      <c r="E479" s="417" t="e">
        <f>IF(ISNUMBER(_xlfn.XLOOKUP(A479,抽卷!$A:$A,抽卷!$M:$M,,1,2)),_xlfn.XLOOKUP(A479,抽卷!$A:$A,抽卷!$M:$M,,1,2),NA())</f>
        <v>#N/A</v>
      </c>
      <c r="F479" s="70" t="e">
        <f t="shared" si="22"/>
        <v>#N/A</v>
      </c>
    </row>
    <row r="480" spans="1:6" ht="15" customHeight="1" x14ac:dyDescent="0.25">
      <c r="A480" s="95">
        <f t="shared" si="23"/>
        <v>44416</v>
      </c>
      <c r="B480" s="76" t="e">
        <f>IF(ISNUMBER(_xlfn.XLOOKUP(A480,鑽量!$A:$A,鑽量!$K:$K,,1,2)),_xlfn.XLOOKUP(A480,鑽量!$A:$A,鑽量!$K:$K,,1,2),NA())</f>
        <v>#N/A</v>
      </c>
      <c r="C480" s="417" t="e">
        <f t="shared" si="21"/>
        <v>#N/A</v>
      </c>
      <c r="D480" s="417" t="e">
        <f>IF(ISNUMBER(_xlfn.XLOOKUP(A480,抽卷!$A:$A,抽卷!$K:$K,,1,2)),_xlfn.XLOOKUP(A480,抽卷!$A:$A,抽卷!$K:$K,,1,2),NA())</f>
        <v>#N/A</v>
      </c>
      <c r="E480" s="417" t="e">
        <f>IF(ISNUMBER(_xlfn.XLOOKUP(A480,抽卷!$A:$A,抽卷!$M:$M,,1,2)),_xlfn.XLOOKUP(A480,抽卷!$A:$A,抽卷!$M:$M,,1,2),NA())</f>
        <v>#N/A</v>
      </c>
      <c r="F480" s="70" t="e">
        <f t="shared" si="22"/>
        <v>#N/A</v>
      </c>
    </row>
    <row r="481" spans="1:6" ht="15" customHeight="1" x14ac:dyDescent="0.25">
      <c r="A481" s="95">
        <f t="shared" si="23"/>
        <v>44417</v>
      </c>
      <c r="B481" s="76" t="e">
        <f>IF(ISNUMBER(_xlfn.XLOOKUP(A481,鑽量!$A:$A,鑽量!$K:$K,,1,2)),_xlfn.XLOOKUP(A481,鑽量!$A:$A,鑽量!$K:$K,,1,2),NA())</f>
        <v>#N/A</v>
      </c>
      <c r="C481" s="417" t="e">
        <f t="shared" si="21"/>
        <v>#N/A</v>
      </c>
      <c r="D481" s="417" t="e">
        <f>IF(ISNUMBER(_xlfn.XLOOKUP(A481,抽卷!$A:$A,抽卷!$K:$K,,1,2)),_xlfn.XLOOKUP(A481,抽卷!$A:$A,抽卷!$K:$K,,1,2),NA())</f>
        <v>#N/A</v>
      </c>
      <c r="E481" s="417" t="e">
        <f>IF(ISNUMBER(_xlfn.XLOOKUP(A481,抽卷!$A:$A,抽卷!$M:$M,,1,2)),_xlfn.XLOOKUP(A481,抽卷!$A:$A,抽卷!$M:$M,,1,2),NA())</f>
        <v>#N/A</v>
      </c>
      <c r="F481" s="70" t="e">
        <f t="shared" si="22"/>
        <v>#N/A</v>
      </c>
    </row>
    <row r="482" spans="1:6" ht="15" customHeight="1" x14ac:dyDescent="0.25">
      <c r="A482" s="95">
        <f t="shared" si="23"/>
        <v>44418</v>
      </c>
      <c r="B482" s="76" t="e">
        <f>IF(ISNUMBER(_xlfn.XLOOKUP(A482,鑽量!$A:$A,鑽量!$K:$K,,1,2)),_xlfn.XLOOKUP(A482,鑽量!$A:$A,鑽量!$K:$K,,1,2),NA())</f>
        <v>#N/A</v>
      </c>
      <c r="C482" s="417" t="e">
        <f t="shared" si="21"/>
        <v>#N/A</v>
      </c>
      <c r="D482" s="417" t="e">
        <f>IF(ISNUMBER(_xlfn.XLOOKUP(A482,抽卷!$A:$A,抽卷!$K:$K,,1,2)),_xlfn.XLOOKUP(A482,抽卷!$A:$A,抽卷!$K:$K,,1,2),NA())</f>
        <v>#N/A</v>
      </c>
      <c r="E482" s="417" t="e">
        <f>IF(ISNUMBER(_xlfn.XLOOKUP(A482,抽卷!$A:$A,抽卷!$M:$M,,1,2)),_xlfn.XLOOKUP(A482,抽卷!$A:$A,抽卷!$M:$M,,1,2),NA())</f>
        <v>#N/A</v>
      </c>
      <c r="F482" s="70" t="e">
        <f t="shared" si="22"/>
        <v>#N/A</v>
      </c>
    </row>
    <row r="483" spans="1:6" ht="15" customHeight="1" x14ac:dyDescent="0.25">
      <c r="A483" s="95">
        <f t="shared" si="23"/>
        <v>44419</v>
      </c>
      <c r="B483" s="76" t="e">
        <f>IF(ISNUMBER(_xlfn.XLOOKUP(A483,鑽量!$A:$A,鑽量!$K:$K,,1,2)),_xlfn.XLOOKUP(A483,鑽量!$A:$A,鑽量!$K:$K,,1,2),NA())</f>
        <v>#N/A</v>
      </c>
      <c r="C483" s="417" t="e">
        <f t="shared" si="21"/>
        <v>#N/A</v>
      </c>
      <c r="D483" s="417" t="e">
        <f>IF(ISNUMBER(_xlfn.XLOOKUP(A483,抽卷!$A:$A,抽卷!$K:$K,,1,2)),_xlfn.XLOOKUP(A483,抽卷!$A:$A,抽卷!$K:$K,,1,2),NA())</f>
        <v>#N/A</v>
      </c>
      <c r="E483" s="417" t="e">
        <f>IF(ISNUMBER(_xlfn.XLOOKUP(A483,抽卷!$A:$A,抽卷!$M:$M,,1,2)),_xlfn.XLOOKUP(A483,抽卷!$A:$A,抽卷!$M:$M,,1,2),NA())</f>
        <v>#N/A</v>
      </c>
      <c r="F483" s="70" t="e">
        <f t="shared" si="22"/>
        <v>#N/A</v>
      </c>
    </row>
    <row r="484" spans="1:6" ht="15" customHeight="1" x14ac:dyDescent="0.25">
      <c r="A484" s="95">
        <f t="shared" si="23"/>
        <v>44420</v>
      </c>
      <c r="B484" s="76" t="e">
        <f>IF(ISNUMBER(_xlfn.XLOOKUP(A484,鑽量!$A:$A,鑽量!$K:$K,,1,2)),_xlfn.XLOOKUP(A484,鑽量!$A:$A,鑽量!$K:$K,,1,2),NA())</f>
        <v>#N/A</v>
      </c>
      <c r="C484" s="417" t="e">
        <f t="shared" si="21"/>
        <v>#N/A</v>
      </c>
      <c r="D484" s="417" t="e">
        <f>IF(ISNUMBER(_xlfn.XLOOKUP(A484,抽卷!$A:$A,抽卷!$K:$K,,1,2)),_xlfn.XLOOKUP(A484,抽卷!$A:$A,抽卷!$K:$K,,1,2),NA())</f>
        <v>#N/A</v>
      </c>
      <c r="E484" s="417" t="e">
        <f>IF(ISNUMBER(_xlfn.XLOOKUP(A484,抽卷!$A:$A,抽卷!$M:$M,,1,2)),_xlfn.XLOOKUP(A484,抽卷!$A:$A,抽卷!$M:$M,,1,2),NA())</f>
        <v>#N/A</v>
      </c>
      <c r="F484" s="70" t="e">
        <f t="shared" si="22"/>
        <v>#N/A</v>
      </c>
    </row>
    <row r="485" spans="1:6" ht="15" customHeight="1" x14ac:dyDescent="0.25">
      <c r="A485" s="95">
        <f t="shared" si="23"/>
        <v>44421</v>
      </c>
      <c r="B485" s="76" t="e">
        <f>IF(ISNUMBER(_xlfn.XLOOKUP(A485,鑽量!$A:$A,鑽量!$K:$K,,1,2)),_xlfn.XLOOKUP(A485,鑽量!$A:$A,鑽量!$K:$K,,1,2),NA())</f>
        <v>#N/A</v>
      </c>
      <c r="C485" s="417" t="e">
        <f t="shared" si="21"/>
        <v>#N/A</v>
      </c>
      <c r="D485" s="417" t="e">
        <f>IF(ISNUMBER(_xlfn.XLOOKUP(A485,抽卷!$A:$A,抽卷!$K:$K,,1,2)),_xlfn.XLOOKUP(A485,抽卷!$A:$A,抽卷!$K:$K,,1,2),NA())</f>
        <v>#N/A</v>
      </c>
      <c r="E485" s="417" t="e">
        <f>IF(ISNUMBER(_xlfn.XLOOKUP(A485,抽卷!$A:$A,抽卷!$M:$M,,1,2)),_xlfn.XLOOKUP(A485,抽卷!$A:$A,抽卷!$M:$M,,1,2),NA())</f>
        <v>#N/A</v>
      </c>
      <c r="F485" s="70" t="e">
        <f t="shared" si="22"/>
        <v>#N/A</v>
      </c>
    </row>
    <row r="486" spans="1:6" ht="15" customHeight="1" x14ac:dyDescent="0.25">
      <c r="A486" s="95">
        <f t="shared" si="23"/>
        <v>44422</v>
      </c>
      <c r="B486" s="76" t="e">
        <f>IF(ISNUMBER(_xlfn.XLOOKUP(A486,鑽量!$A:$A,鑽量!$K:$K,,1,2)),_xlfn.XLOOKUP(A486,鑽量!$A:$A,鑽量!$K:$K,,1,2),NA())</f>
        <v>#N/A</v>
      </c>
      <c r="C486" s="417" t="e">
        <f t="shared" si="21"/>
        <v>#N/A</v>
      </c>
      <c r="D486" s="417" t="e">
        <f>IF(ISNUMBER(_xlfn.XLOOKUP(A486,抽卷!$A:$A,抽卷!$K:$K,,1,2)),_xlfn.XLOOKUP(A486,抽卷!$A:$A,抽卷!$K:$K,,1,2),NA())</f>
        <v>#N/A</v>
      </c>
      <c r="E486" s="417" t="e">
        <f>IF(ISNUMBER(_xlfn.XLOOKUP(A486,抽卷!$A:$A,抽卷!$M:$M,,1,2)),_xlfn.XLOOKUP(A486,抽卷!$A:$A,抽卷!$M:$M,,1,2),NA())</f>
        <v>#N/A</v>
      </c>
      <c r="F486" s="70" t="e">
        <f t="shared" si="22"/>
        <v>#N/A</v>
      </c>
    </row>
    <row r="487" spans="1:6" ht="15" customHeight="1" x14ac:dyDescent="0.25">
      <c r="A487" s="95">
        <f t="shared" si="23"/>
        <v>44423</v>
      </c>
      <c r="B487" s="76" t="e">
        <f>IF(ISNUMBER(_xlfn.XLOOKUP(A487,鑽量!$A:$A,鑽量!$K:$K,,1,2)),_xlfn.XLOOKUP(A487,鑽量!$A:$A,鑽量!$K:$K,,1,2),NA())</f>
        <v>#N/A</v>
      </c>
      <c r="C487" s="417" t="e">
        <f t="shared" si="21"/>
        <v>#N/A</v>
      </c>
      <c r="D487" s="417" t="e">
        <f>IF(ISNUMBER(_xlfn.XLOOKUP(A487,抽卷!$A:$A,抽卷!$K:$K,,1,2)),_xlfn.XLOOKUP(A487,抽卷!$A:$A,抽卷!$K:$K,,1,2),NA())</f>
        <v>#N/A</v>
      </c>
      <c r="E487" s="417" t="e">
        <f>IF(ISNUMBER(_xlfn.XLOOKUP(A487,抽卷!$A:$A,抽卷!$M:$M,,1,2)),_xlfn.XLOOKUP(A487,抽卷!$A:$A,抽卷!$M:$M,,1,2),NA())</f>
        <v>#N/A</v>
      </c>
      <c r="F487" s="70" t="e">
        <f t="shared" si="22"/>
        <v>#N/A</v>
      </c>
    </row>
    <row r="488" spans="1:6" ht="15" customHeight="1" x14ac:dyDescent="0.25">
      <c r="A488" s="95">
        <f t="shared" si="23"/>
        <v>44424</v>
      </c>
      <c r="B488" s="76" t="e">
        <f>IF(ISNUMBER(_xlfn.XLOOKUP(A488,鑽量!$A:$A,鑽量!$K:$K,,1,2)),_xlfn.XLOOKUP(A488,鑽量!$A:$A,鑽量!$K:$K,,1,2),NA())</f>
        <v>#N/A</v>
      </c>
      <c r="C488" s="417" t="e">
        <f t="shared" si="21"/>
        <v>#N/A</v>
      </c>
      <c r="D488" s="417" t="e">
        <f>IF(ISNUMBER(_xlfn.XLOOKUP(A488,抽卷!$A:$A,抽卷!$K:$K,,1,2)),_xlfn.XLOOKUP(A488,抽卷!$A:$A,抽卷!$K:$K,,1,2),NA())</f>
        <v>#N/A</v>
      </c>
      <c r="E488" s="417" t="e">
        <f>IF(ISNUMBER(_xlfn.XLOOKUP(A488,抽卷!$A:$A,抽卷!$M:$M,,1,2)),_xlfn.XLOOKUP(A488,抽卷!$A:$A,抽卷!$M:$M,,1,2),NA())</f>
        <v>#N/A</v>
      </c>
      <c r="F488" s="70" t="e">
        <f t="shared" si="22"/>
        <v>#N/A</v>
      </c>
    </row>
    <row r="489" spans="1:6" ht="15" customHeight="1" x14ac:dyDescent="0.25">
      <c r="A489" s="95">
        <f t="shared" si="23"/>
        <v>44425</v>
      </c>
      <c r="B489" s="76" t="e">
        <f>IF(ISNUMBER(_xlfn.XLOOKUP(A489,鑽量!$A:$A,鑽量!$K:$K,,1,2)),_xlfn.XLOOKUP(A489,鑽量!$A:$A,鑽量!$K:$K,,1,2),NA())</f>
        <v>#N/A</v>
      </c>
      <c r="C489" s="417" t="e">
        <f t="shared" si="21"/>
        <v>#N/A</v>
      </c>
      <c r="D489" s="417" t="e">
        <f>IF(ISNUMBER(_xlfn.XLOOKUP(A489,抽卷!$A:$A,抽卷!$K:$K,,1,2)),_xlfn.XLOOKUP(A489,抽卷!$A:$A,抽卷!$K:$K,,1,2),NA())</f>
        <v>#N/A</v>
      </c>
      <c r="E489" s="417" t="e">
        <f>IF(ISNUMBER(_xlfn.XLOOKUP(A489,抽卷!$A:$A,抽卷!$M:$M,,1,2)),_xlfn.XLOOKUP(A489,抽卷!$A:$A,抽卷!$M:$M,,1,2),NA())</f>
        <v>#N/A</v>
      </c>
      <c r="F489" s="70" t="e">
        <f t="shared" si="22"/>
        <v>#N/A</v>
      </c>
    </row>
    <row r="490" spans="1:6" ht="15" customHeight="1" x14ac:dyDescent="0.25">
      <c r="A490" s="95">
        <f t="shared" si="23"/>
        <v>44426</v>
      </c>
      <c r="B490" s="76" t="e">
        <f>IF(ISNUMBER(_xlfn.XLOOKUP(A490,鑽量!$A:$A,鑽量!$K:$K,,1,2)),_xlfn.XLOOKUP(A490,鑽量!$A:$A,鑽量!$K:$K,,1,2),NA())</f>
        <v>#N/A</v>
      </c>
      <c r="C490" s="417" t="e">
        <f t="shared" si="21"/>
        <v>#N/A</v>
      </c>
      <c r="D490" s="417" t="e">
        <f>IF(ISNUMBER(_xlfn.XLOOKUP(A490,抽卷!$A:$A,抽卷!$K:$K,,1,2)),_xlfn.XLOOKUP(A490,抽卷!$A:$A,抽卷!$K:$K,,1,2),NA())</f>
        <v>#N/A</v>
      </c>
      <c r="E490" s="417" t="e">
        <f>IF(ISNUMBER(_xlfn.XLOOKUP(A490,抽卷!$A:$A,抽卷!$M:$M,,1,2)),_xlfn.XLOOKUP(A490,抽卷!$A:$A,抽卷!$M:$M,,1,2),NA())</f>
        <v>#N/A</v>
      </c>
      <c r="F490" s="70" t="e">
        <f t="shared" si="22"/>
        <v>#N/A</v>
      </c>
    </row>
    <row r="491" spans="1:6" ht="15" customHeight="1" x14ac:dyDescent="0.25">
      <c r="A491" s="95">
        <f t="shared" si="23"/>
        <v>44427</v>
      </c>
      <c r="B491" s="76" t="e">
        <f>IF(ISNUMBER(_xlfn.XLOOKUP(A491,鑽量!$A:$A,鑽量!$K:$K,,1,2)),_xlfn.XLOOKUP(A491,鑽量!$A:$A,鑽量!$K:$K,,1,2),NA())</f>
        <v>#N/A</v>
      </c>
      <c r="C491" s="417" t="e">
        <f t="shared" si="21"/>
        <v>#N/A</v>
      </c>
      <c r="D491" s="417" t="e">
        <f>IF(ISNUMBER(_xlfn.XLOOKUP(A491,抽卷!$A:$A,抽卷!$K:$K,,1,2)),_xlfn.XLOOKUP(A491,抽卷!$A:$A,抽卷!$K:$K,,1,2),NA())</f>
        <v>#N/A</v>
      </c>
      <c r="E491" s="417" t="e">
        <f>IF(ISNUMBER(_xlfn.XLOOKUP(A491,抽卷!$A:$A,抽卷!$M:$M,,1,2)),_xlfn.XLOOKUP(A491,抽卷!$A:$A,抽卷!$M:$M,,1,2),NA())</f>
        <v>#N/A</v>
      </c>
      <c r="F491" s="70" t="e">
        <f t="shared" si="22"/>
        <v>#N/A</v>
      </c>
    </row>
    <row r="492" spans="1:6" ht="15" customHeight="1" x14ac:dyDescent="0.25">
      <c r="A492" s="95">
        <f t="shared" si="23"/>
        <v>44428</v>
      </c>
      <c r="B492" s="76" t="e">
        <f>IF(ISNUMBER(_xlfn.XLOOKUP(A492,鑽量!$A:$A,鑽量!$K:$K,,1,2)),_xlfn.XLOOKUP(A492,鑽量!$A:$A,鑽量!$K:$K,,1,2),NA())</f>
        <v>#N/A</v>
      </c>
      <c r="C492" s="417" t="e">
        <f t="shared" si="21"/>
        <v>#N/A</v>
      </c>
      <c r="D492" s="417" t="e">
        <f>IF(ISNUMBER(_xlfn.XLOOKUP(A492,抽卷!$A:$A,抽卷!$K:$K,,1,2)),_xlfn.XLOOKUP(A492,抽卷!$A:$A,抽卷!$K:$K,,1,2),NA())</f>
        <v>#N/A</v>
      </c>
      <c r="E492" s="417" t="e">
        <f>IF(ISNUMBER(_xlfn.XLOOKUP(A492,抽卷!$A:$A,抽卷!$M:$M,,1,2)),_xlfn.XLOOKUP(A492,抽卷!$A:$A,抽卷!$M:$M,,1,2),NA())</f>
        <v>#N/A</v>
      </c>
      <c r="F492" s="70" t="e">
        <f t="shared" si="22"/>
        <v>#N/A</v>
      </c>
    </row>
    <row r="493" spans="1:6" ht="15" customHeight="1" x14ac:dyDescent="0.25">
      <c r="A493" s="95">
        <f t="shared" si="23"/>
        <v>44429</v>
      </c>
      <c r="B493" s="76" t="e">
        <f>IF(ISNUMBER(_xlfn.XLOOKUP(A493,鑽量!$A:$A,鑽量!$K:$K,,1,2)),_xlfn.XLOOKUP(A493,鑽量!$A:$A,鑽量!$K:$K,,1,2),NA())</f>
        <v>#N/A</v>
      </c>
      <c r="C493" s="417" t="e">
        <f t="shared" si="21"/>
        <v>#N/A</v>
      </c>
      <c r="D493" s="417" t="e">
        <f>IF(ISNUMBER(_xlfn.XLOOKUP(A493,抽卷!$A:$A,抽卷!$K:$K,,1,2)),_xlfn.XLOOKUP(A493,抽卷!$A:$A,抽卷!$K:$K,,1,2),NA())</f>
        <v>#N/A</v>
      </c>
      <c r="E493" s="417" t="e">
        <f>IF(ISNUMBER(_xlfn.XLOOKUP(A493,抽卷!$A:$A,抽卷!$M:$M,,1,2)),_xlfn.XLOOKUP(A493,抽卷!$A:$A,抽卷!$M:$M,,1,2),NA())</f>
        <v>#N/A</v>
      </c>
      <c r="F493" s="70" t="e">
        <f t="shared" si="22"/>
        <v>#N/A</v>
      </c>
    </row>
    <row r="494" spans="1:6" ht="15" customHeight="1" x14ac:dyDescent="0.25">
      <c r="A494" s="95">
        <f t="shared" si="23"/>
        <v>44430</v>
      </c>
      <c r="B494" s="76" t="e">
        <f>IF(ISNUMBER(_xlfn.XLOOKUP(A494,鑽量!$A:$A,鑽量!$K:$K,,1,2)),_xlfn.XLOOKUP(A494,鑽量!$A:$A,鑽量!$K:$K,,1,2),NA())</f>
        <v>#N/A</v>
      </c>
      <c r="C494" s="417" t="e">
        <f t="shared" si="21"/>
        <v>#N/A</v>
      </c>
      <c r="D494" s="417" t="e">
        <f>IF(ISNUMBER(_xlfn.XLOOKUP(A494,抽卷!$A:$A,抽卷!$K:$K,,1,2)),_xlfn.XLOOKUP(A494,抽卷!$A:$A,抽卷!$K:$K,,1,2),NA())</f>
        <v>#N/A</v>
      </c>
      <c r="E494" s="417" t="e">
        <f>IF(ISNUMBER(_xlfn.XLOOKUP(A494,抽卷!$A:$A,抽卷!$M:$M,,1,2)),_xlfn.XLOOKUP(A494,抽卷!$A:$A,抽卷!$M:$M,,1,2),NA())</f>
        <v>#N/A</v>
      </c>
      <c r="F494" s="70" t="e">
        <f t="shared" si="22"/>
        <v>#N/A</v>
      </c>
    </row>
    <row r="495" spans="1:6" ht="15" customHeight="1" x14ac:dyDescent="0.25">
      <c r="A495" s="95">
        <f t="shared" si="23"/>
        <v>44431</v>
      </c>
      <c r="B495" s="76" t="e">
        <f>IF(ISNUMBER(_xlfn.XLOOKUP(A495,鑽量!$A:$A,鑽量!$K:$K,,1,2)),_xlfn.XLOOKUP(A495,鑽量!$A:$A,鑽量!$K:$K,,1,2),NA())</f>
        <v>#N/A</v>
      </c>
      <c r="C495" s="417" t="e">
        <f t="shared" ref="C495:C503" si="24">B495/120</f>
        <v>#N/A</v>
      </c>
      <c r="D495" s="417" t="e">
        <f>IF(ISNUMBER(_xlfn.XLOOKUP(A495,抽卷!$A:$A,抽卷!$K:$K,,1,2)),_xlfn.XLOOKUP(A495,抽卷!$A:$A,抽卷!$K:$K,,1,2),NA())</f>
        <v>#N/A</v>
      </c>
      <c r="E495" s="417" t="e">
        <f>IF(ISNUMBER(_xlfn.XLOOKUP(A495,抽卷!$A:$A,抽卷!$M:$M,,1,2)),_xlfn.XLOOKUP(A495,抽卷!$A:$A,抽卷!$M:$M,,1,2),NA())</f>
        <v>#N/A</v>
      </c>
      <c r="F495" s="70" t="e">
        <f t="shared" si="22"/>
        <v>#N/A</v>
      </c>
    </row>
    <row r="496" spans="1:6" ht="15" customHeight="1" x14ac:dyDescent="0.25">
      <c r="A496" s="95">
        <f t="shared" si="23"/>
        <v>44432</v>
      </c>
      <c r="B496" s="76" t="e">
        <f>IF(ISNUMBER(_xlfn.XLOOKUP(A496,鑽量!$A:$A,鑽量!$K:$K,,1,2)),_xlfn.XLOOKUP(A496,鑽量!$A:$A,鑽量!$K:$K,,1,2),NA())</f>
        <v>#N/A</v>
      </c>
      <c r="C496" s="417" t="e">
        <f t="shared" si="24"/>
        <v>#N/A</v>
      </c>
      <c r="D496" s="417" t="e">
        <f>IF(ISNUMBER(_xlfn.XLOOKUP(A496,抽卷!$A:$A,抽卷!$K:$K,,1,2)),_xlfn.XLOOKUP(A496,抽卷!$A:$A,抽卷!$K:$K,,1,2),NA())</f>
        <v>#N/A</v>
      </c>
      <c r="E496" s="417" t="e">
        <f>IF(ISNUMBER(_xlfn.XLOOKUP(A496,抽卷!$A:$A,抽卷!$M:$M,,1,2)),_xlfn.XLOOKUP(A496,抽卷!$A:$A,抽卷!$M:$M,,1,2),NA())</f>
        <v>#N/A</v>
      </c>
      <c r="F496" s="70" t="e">
        <f t="shared" si="22"/>
        <v>#N/A</v>
      </c>
    </row>
    <row r="497" spans="1:6" ht="15" customHeight="1" x14ac:dyDescent="0.25">
      <c r="A497" s="95">
        <f t="shared" si="23"/>
        <v>44433</v>
      </c>
      <c r="B497" s="76" t="e">
        <f>IF(ISNUMBER(_xlfn.XLOOKUP(A497,鑽量!$A:$A,鑽量!$K:$K,,1,2)),_xlfn.XLOOKUP(A497,鑽量!$A:$A,鑽量!$K:$K,,1,2),NA())</f>
        <v>#N/A</v>
      </c>
      <c r="C497" s="417" t="e">
        <f t="shared" si="24"/>
        <v>#N/A</v>
      </c>
      <c r="D497" s="417" t="e">
        <f>IF(ISNUMBER(_xlfn.XLOOKUP(A497,抽卷!$A:$A,抽卷!$K:$K,,1,2)),_xlfn.XLOOKUP(A497,抽卷!$A:$A,抽卷!$K:$K,,1,2),NA())</f>
        <v>#N/A</v>
      </c>
      <c r="E497" s="417" t="e">
        <f>IF(ISNUMBER(_xlfn.XLOOKUP(A497,抽卷!$A:$A,抽卷!$M:$M,,1,2)),_xlfn.XLOOKUP(A497,抽卷!$A:$A,抽卷!$M:$M,,1,2),NA())</f>
        <v>#N/A</v>
      </c>
      <c r="F497" s="70" t="e">
        <f t="shared" si="22"/>
        <v>#N/A</v>
      </c>
    </row>
    <row r="498" spans="1:6" ht="15" customHeight="1" x14ac:dyDescent="0.25">
      <c r="A498" s="95">
        <f t="shared" si="23"/>
        <v>44434</v>
      </c>
      <c r="B498" s="76" t="e">
        <f>IF(ISNUMBER(_xlfn.XLOOKUP(A498,鑽量!$A:$A,鑽量!$K:$K,,1,2)),_xlfn.XLOOKUP(A498,鑽量!$A:$A,鑽量!$K:$K,,1,2),NA())</f>
        <v>#N/A</v>
      </c>
      <c r="C498" s="417" t="e">
        <f t="shared" si="24"/>
        <v>#N/A</v>
      </c>
      <c r="D498" s="417" t="e">
        <f>IF(ISNUMBER(_xlfn.XLOOKUP(A498,抽卷!$A:$A,抽卷!$K:$K,,1,2)),_xlfn.XLOOKUP(A498,抽卷!$A:$A,抽卷!$K:$K,,1,2),NA())</f>
        <v>#N/A</v>
      </c>
      <c r="E498" s="417" t="e">
        <f>IF(ISNUMBER(_xlfn.XLOOKUP(A498,抽卷!$A:$A,抽卷!$M:$M,,1,2)),_xlfn.XLOOKUP(A498,抽卷!$A:$A,抽卷!$M:$M,,1,2),NA())</f>
        <v>#N/A</v>
      </c>
      <c r="F498" s="70" t="e">
        <f t="shared" si="22"/>
        <v>#N/A</v>
      </c>
    </row>
    <row r="499" spans="1:6" ht="15" customHeight="1" x14ac:dyDescent="0.25">
      <c r="A499" s="95">
        <f t="shared" si="23"/>
        <v>44435</v>
      </c>
      <c r="B499" s="76" t="e">
        <f>IF(ISNUMBER(_xlfn.XLOOKUP(A499,鑽量!$A:$A,鑽量!$K:$K,,1,2)),_xlfn.XLOOKUP(A499,鑽量!$A:$A,鑽量!$K:$K,,1,2),NA())</f>
        <v>#N/A</v>
      </c>
      <c r="C499" s="417" t="e">
        <f t="shared" si="24"/>
        <v>#N/A</v>
      </c>
      <c r="D499" s="417" t="e">
        <f>IF(ISNUMBER(_xlfn.XLOOKUP(A499,抽卷!$A:$A,抽卷!$K:$K,,1,2)),_xlfn.XLOOKUP(A499,抽卷!$A:$A,抽卷!$K:$K,,1,2),NA())</f>
        <v>#N/A</v>
      </c>
      <c r="E499" s="417" t="e">
        <f>IF(ISNUMBER(_xlfn.XLOOKUP(A499,抽卷!$A:$A,抽卷!$M:$M,,1,2)),_xlfn.XLOOKUP(A499,抽卷!$A:$A,抽卷!$M:$M,,1,2),NA())</f>
        <v>#N/A</v>
      </c>
      <c r="F499" s="70" t="e">
        <f t="shared" si="22"/>
        <v>#N/A</v>
      </c>
    </row>
    <row r="500" spans="1:6" ht="15" customHeight="1" x14ac:dyDescent="0.25">
      <c r="A500" s="95">
        <f t="shared" si="23"/>
        <v>44436</v>
      </c>
      <c r="B500" s="76" t="e">
        <f>IF(ISNUMBER(_xlfn.XLOOKUP(A500,鑽量!$A:$A,鑽量!$K:$K,,1,2)),_xlfn.XLOOKUP(A500,鑽量!$A:$A,鑽量!$K:$K,,1,2),NA())</f>
        <v>#N/A</v>
      </c>
      <c r="C500" s="417" t="e">
        <f t="shared" si="24"/>
        <v>#N/A</v>
      </c>
      <c r="D500" s="417" t="e">
        <f>IF(ISNUMBER(_xlfn.XLOOKUP(A500,抽卷!$A:$A,抽卷!$K:$K,,1,2)),_xlfn.XLOOKUP(A500,抽卷!$A:$A,抽卷!$K:$K,,1,2),NA())</f>
        <v>#N/A</v>
      </c>
      <c r="E500" s="417" t="e">
        <f>IF(ISNUMBER(_xlfn.XLOOKUP(A500,抽卷!$A:$A,抽卷!$M:$M,,1,2)),_xlfn.XLOOKUP(A500,抽卷!$A:$A,抽卷!$M:$M,,1,2),NA())</f>
        <v>#N/A</v>
      </c>
      <c r="F500" s="70" t="e">
        <f t="shared" si="22"/>
        <v>#N/A</v>
      </c>
    </row>
    <row r="501" spans="1:6" ht="15" customHeight="1" x14ac:dyDescent="0.25">
      <c r="A501" s="95">
        <f t="shared" si="23"/>
        <v>44437</v>
      </c>
      <c r="B501" s="76" t="e">
        <f>IF(ISNUMBER(_xlfn.XLOOKUP(A501,鑽量!$A:$A,鑽量!$K:$K,,1,2)),_xlfn.XLOOKUP(A501,鑽量!$A:$A,鑽量!$K:$K,,1,2),NA())</f>
        <v>#N/A</v>
      </c>
      <c r="C501" s="417" t="e">
        <f t="shared" si="24"/>
        <v>#N/A</v>
      </c>
      <c r="D501" s="417" t="e">
        <f>IF(ISNUMBER(_xlfn.XLOOKUP(A501,抽卷!$A:$A,抽卷!$K:$K,,1,2)),_xlfn.XLOOKUP(A501,抽卷!$A:$A,抽卷!$K:$K,,1,2),NA())</f>
        <v>#N/A</v>
      </c>
      <c r="E501" s="417" t="e">
        <f>IF(ISNUMBER(_xlfn.XLOOKUP(A501,抽卷!$A:$A,抽卷!$M:$M,,1,2)),_xlfn.XLOOKUP(A501,抽卷!$A:$A,抽卷!$M:$M,,1,2),NA())</f>
        <v>#N/A</v>
      </c>
      <c r="F501" s="70" t="e">
        <f t="shared" si="22"/>
        <v>#N/A</v>
      </c>
    </row>
    <row r="502" spans="1:6" ht="15" customHeight="1" x14ac:dyDescent="0.25">
      <c r="A502" s="95">
        <f t="shared" si="23"/>
        <v>44438</v>
      </c>
      <c r="B502" s="76" t="e">
        <f>IF(ISNUMBER(_xlfn.XLOOKUP(A502,鑽量!$A:$A,鑽量!$K:$K,,1,2)),_xlfn.XLOOKUP(A502,鑽量!$A:$A,鑽量!$K:$K,,1,2),NA())</f>
        <v>#N/A</v>
      </c>
      <c r="C502" s="417" t="e">
        <f t="shared" si="24"/>
        <v>#N/A</v>
      </c>
      <c r="D502" s="417" t="e">
        <f>IF(ISNUMBER(_xlfn.XLOOKUP(A502,抽卷!$A:$A,抽卷!$K:$K,,1,2)),_xlfn.XLOOKUP(A502,抽卷!$A:$A,抽卷!$K:$K,,1,2),NA())</f>
        <v>#N/A</v>
      </c>
      <c r="E502" s="417" t="e">
        <f>IF(ISNUMBER(_xlfn.XLOOKUP(A502,抽卷!$A:$A,抽卷!$M:$M,,1,2)),_xlfn.XLOOKUP(A502,抽卷!$A:$A,抽卷!$M:$M,,1,2),NA())</f>
        <v>#N/A</v>
      </c>
      <c r="F502" s="70" t="e">
        <f t="shared" si="22"/>
        <v>#N/A</v>
      </c>
    </row>
    <row r="503" spans="1:6" ht="15" customHeight="1" x14ac:dyDescent="0.25">
      <c r="A503" s="95">
        <f t="shared" si="23"/>
        <v>44439</v>
      </c>
      <c r="B503" s="76" t="e">
        <f>IF(ISNUMBER(_xlfn.XLOOKUP(A503,鑽量!$A:$A,鑽量!$K:$K,,1,2)),_xlfn.XLOOKUP(A503,鑽量!$A:$A,鑽量!$K:$K,,1,2),NA())</f>
        <v>#N/A</v>
      </c>
      <c r="C503" s="417" t="e">
        <f t="shared" si="24"/>
        <v>#N/A</v>
      </c>
      <c r="D503" s="417" t="e">
        <f>IF(ISNUMBER(_xlfn.XLOOKUP(A503,抽卷!$A:$A,抽卷!$K:$K,,1,2)),_xlfn.XLOOKUP(A503,抽卷!$A:$A,抽卷!$K:$K,,1,2),NA())</f>
        <v>#N/A</v>
      </c>
      <c r="E503" s="417" t="e">
        <f>IF(ISNUMBER(_xlfn.XLOOKUP(A503,抽卷!$A:$A,抽卷!$M:$M,,1,2)),_xlfn.XLOOKUP(A503,抽卷!$A:$A,抽卷!$M:$M,,1,2),NA())</f>
        <v>#N/A</v>
      </c>
      <c r="F503" s="70" t="e">
        <f t="shared" si="22"/>
        <v>#N/A</v>
      </c>
    </row>
  </sheetData>
  <conditionalFormatting sqref="F1:F1048576">
    <cfRule type="colorScale" priority="15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1:C2 B3:B302 B504:E1048576 D1:E302">
    <cfRule type="cellIs" dxfId="9" priority="14" operator="equal">
      <formula>0</formula>
    </cfRule>
  </conditionalFormatting>
  <conditionalFormatting sqref="C3:E302">
    <cfRule type="cellIs" dxfId="8" priority="7" operator="equal">
      <formula>0</formula>
    </cfRule>
  </conditionalFormatting>
  <conditionalFormatting sqref="B303:B497 D303:E497">
    <cfRule type="cellIs" dxfId="7" priority="5" operator="equal">
      <formula>0</formula>
    </cfRule>
  </conditionalFormatting>
  <conditionalFormatting sqref="C303:E497">
    <cfRule type="cellIs" dxfId="6" priority="4" operator="equal">
      <formula>0</formula>
    </cfRule>
  </conditionalFormatting>
  <conditionalFormatting sqref="F498:F503">
    <cfRule type="colorScale" priority="3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498:B503 D498:E503">
    <cfRule type="cellIs" dxfId="5" priority="2" operator="equal">
      <formula>0</formula>
    </cfRule>
  </conditionalFormatting>
  <conditionalFormatting sqref="C498:E503">
    <cfRule type="cellIs" dxfId="4" priority="1" operator="equal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theme="5"/>
  </sheetPr>
  <dimension ref="A1:Q48"/>
  <sheetViews>
    <sheetView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H17" sqref="H15:H17"/>
    </sheetView>
  </sheetViews>
  <sheetFormatPr defaultColWidth="9.140625" defaultRowHeight="17.100000000000001" customHeight="1" x14ac:dyDescent="0.25"/>
  <cols>
    <col min="1" max="1" width="15.42578125" style="93" customWidth="1"/>
    <col min="2" max="3" width="9.7109375" style="93" customWidth="1"/>
    <col min="4" max="5" width="10.85546875" style="95" customWidth="1"/>
    <col min="6" max="6" width="37" style="93" customWidth="1"/>
    <col min="7" max="7" width="4.42578125" style="108" customWidth="1"/>
    <col min="8" max="8" width="8" style="110" customWidth="1"/>
    <col min="9" max="11" width="8" style="70" customWidth="1"/>
    <col min="12" max="12" width="5.7109375" style="19" customWidth="1"/>
    <col min="13" max="13" width="6.28515625" style="436" customWidth="1"/>
    <col min="14" max="14" width="5.7109375" style="19" customWidth="1"/>
    <col min="15" max="15" width="9.140625" style="19" customWidth="1"/>
    <col min="16" max="16" width="9.140625" style="410" customWidth="1"/>
    <col min="17" max="16384" width="9.140625" style="93"/>
  </cols>
  <sheetData>
    <row r="1" spans="1:16" s="96" customFormat="1" ht="17.100000000000001" customHeight="1" x14ac:dyDescent="0.25">
      <c r="A1" s="427"/>
      <c r="B1" s="427"/>
      <c r="C1" s="427"/>
      <c r="D1" s="109"/>
      <c r="E1" s="109"/>
      <c r="F1" s="109"/>
      <c r="G1" s="109"/>
      <c r="H1" s="323" t="s">
        <v>124</v>
      </c>
      <c r="I1" s="322" t="s">
        <v>123</v>
      </c>
      <c r="J1" s="322"/>
      <c r="K1" s="322" t="s">
        <v>123</v>
      </c>
      <c r="L1" s="323"/>
      <c r="M1" s="433"/>
      <c r="N1" s="323"/>
      <c r="O1" s="323"/>
      <c r="P1" s="407"/>
    </row>
    <row r="2" spans="1:16" s="96" customFormat="1" ht="17.100000000000001" customHeight="1" x14ac:dyDescent="0.25">
      <c r="A2" s="427"/>
      <c r="B2" s="427"/>
      <c r="C2" s="427"/>
      <c r="D2" s="109"/>
      <c r="E2" s="109"/>
      <c r="F2" s="109"/>
      <c r="G2" s="109"/>
      <c r="H2" s="402">
        <f>SUM(H4:H1048576)</f>
        <v>10891</v>
      </c>
      <c r="I2" s="35">
        <f ca="1">H2/(NOW()-$D$4)</f>
        <v>23.677131999501285</v>
      </c>
      <c r="J2" s="35"/>
      <c r="K2" s="35">
        <f>AVERAGE(K4:K1048576)</f>
        <v>27.320408465803201</v>
      </c>
      <c r="L2" s="36"/>
      <c r="M2" s="434"/>
      <c r="N2" s="36"/>
      <c r="O2" s="36"/>
      <c r="P2" s="408"/>
    </row>
    <row r="3" spans="1:16" s="94" customFormat="1" ht="17.100000000000001" customHeight="1" x14ac:dyDescent="0.25">
      <c r="A3" s="427"/>
      <c r="B3" s="427"/>
      <c r="C3" s="427"/>
      <c r="D3" s="403" t="s">
        <v>115</v>
      </c>
      <c r="E3" s="403" t="s">
        <v>117</v>
      </c>
      <c r="F3" s="400" t="s">
        <v>377</v>
      </c>
      <c r="G3" s="400" t="s">
        <v>234</v>
      </c>
      <c r="H3" s="404" t="s">
        <v>116</v>
      </c>
      <c r="I3" s="405" t="s">
        <v>123</v>
      </c>
      <c r="J3" s="428" t="s">
        <v>147</v>
      </c>
      <c r="K3" s="405" t="s">
        <v>123</v>
      </c>
      <c r="L3" s="404" t="s">
        <v>262</v>
      </c>
      <c r="M3" s="435" t="s">
        <v>396</v>
      </c>
      <c r="N3" s="404" t="s">
        <v>37</v>
      </c>
      <c r="O3" s="404" t="s">
        <v>332</v>
      </c>
      <c r="P3" s="409" t="s">
        <v>333</v>
      </c>
    </row>
    <row r="4" spans="1:16" ht="17.100000000000001" customHeight="1" x14ac:dyDescent="0.25">
      <c r="A4" s="426"/>
      <c r="B4" s="426" t="s">
        <v>374</v>
      </c>
      <c r="C4" s="426" t="s">
        <v>375</v>
      </c>
      <c r="D4" s="95">
        <v>43853</v>
      </c>
      <c r="E4" s="95">
        <v>43859</v>
      </c>
      <c r="F4" s="412" t="s">
        <v>118</v>
      </c>
      <c r="G4" s="108">
        <v>1</v>
      </c>
      <c r="H4" s="110">
        <v>762</v>
      </c>
      <c r="I4" s="70">
        <f t="shared" ref="I4:I21" si="0">H4/(E4-D4)</f>
        <v>127</v>
      </c>
      <c r="J4" s="70">
        <f>H4/G4</f>
        <v>762</v>
      </c>
      <c r="K4" s="70">
        <f>J4/(E4-D4)</f>
        <v>127</v>
      </c>
      <c r="L4" s="19" t="e">
        <f>NA()</f>
        <v>#N/A</v>
      </c>
      <c r="M4" s="436" t="e">
        <f>NA()</f>
        <v>#N/A</v>
      </c>
      <c r="N4" s="19" t="e">
        <f>NA()</f>
        <v>#N/A</v>
      </c>
      <c r="O4" s="19" t="e">
        <f>NA()</f>
        <v>#N/A</v>
      </c>
      <c r="P4" s="410" t="e">
        <f>NA()</f>
        <v>#N/A</v>
      </c>
    </row>
    <row r="5" spans="1:16" ht="17.100000000000001" customHeight="1" x14ac:dyDescent="0.25">
      <c r="A5" s="426" t="s">
        <v>370</v>
      </c>
      <c r="B5" s="93">
        <v>54</v>
      </c>
      <c r="C5" s="93">
        <v>4</v>
      </c>
      <c r="D5" s="95">
        <v>43859</v>
      </c>
      <c r="E5" s="95">
        <v>43878</v>
      </c>
      <c r="F5" s="93" t="s">
        <v>148</v>
      </c>
      <c r="G5" s="108">
        <v>2</v>
      </c>
      <c r="H5" s="110">
        <v>217</v>
      </c>
      <c r="I5" s="70">
        <f t="shared" si="0"/>
        <v>11.421052631578947</v>
      </c>
      <c r="J5" s="70">
        <f t="shared" ref="J5:J21" si="1">H5/G5</f>
        <v>108.5</v>
      </c>
      <c r="K5" s="70">
        <f t="shared" ref="K5:K21" si="2">J5/(E5-D5)</f>
        <v>5.7105263157894735</v>
      </c>
      <c r="L5" s="19" t="e">
        <f>NA()</f>
        <v>#N/A</v>
      </c>
      <c r="M5" s="436" t="e">
        <f>NA()</f>
        <v>#N/A</v>
      </c>
      <c r="N5" s="19" t="e">
        <f>NA()</f>
        <v>#N/A</v>
      </c>
      <c r="O5" s="19" t="e">
        <f>NA()</f>
        <v>#N/A</v>
      </c>
      <c r="P5" s="410" t="e">
        <f>NA()</f>
        <v>#N/A</v>
      </c>
    </row>
    <row r="6" spans="1:16" ht="17.100000000000001" customHeight="1" x14ac:dyDescent="0.25">
      <c r="A6" s="426" t="s">
        <v>371</v>
      </c>
      <c r="B6" s="93">
        <v>1</v>
      </c>
      <c r="C6" s="93">
        <v>1</v>
      </c>
      <c r="D6" s="95">
        <v>43865</v>
      </c>
      <c r="E6" s="95">
        <v>43878</v>
      </c>
      <c r="F6" s="93" t="s">
        <v>149</v>
      </c>
      <c r="G6" s="108">
        <v>2</v>
      </c>
      <c r="H6" s="110">
        <v>224</v>
      </c>
      <c r="I6" s="70">
        <f t="shared" si="0"/>
        <v>17.23076923076923</v>
      </c>
      <c r="J6" s="70">
        <f t="shared" si="1"/>
        <v>112</v>
      </c>
      <c r="K6" s="70">
        <f t="shared" si="2"/>
        <v>8.615384615384615</v>
      </c>
      <c r="L6" s="19" t="e">
        <f>NA()</f>
        <v>#N/A</v>
      </c>
      <c r="M6" s="436" t="e">
        <f>NA()</f>
        <v>#N/A</v>
      </c>
      <c r="N6" s="19" t="e">
        <f>NA()</f>
        <v>#N/A</v>
      </c>
      <c r="O6" s="19" t="e">
        <f>NA()</f>
        <v>#N/A</v>
      </c>
      <c r="P6" s="410" t="e">
        <f>NA()</f>
        <v>#N/A</v>
      </c>
    </row>
    <row r="7" spans="1:16" ht="17.100000000000001" customHeight="1" x14ac:dyDescent="0.25">
      <c r="A7" s="426" t="s">
        <v>369</v>
      </c>
      <c r="B7" s="93">
        <v>25</v>
      </c>
      <c r="C7" s="93">
        <v>25</v>
      </c>
      <c r="D7" s="95">
        <v>43875</v>
      </c>
      <c r="E7" s="95">
        <v>43889</v>
      </c>
      <c r="F7" s="93" t="s">
        <v>343</v>
      </c>
      <c r="G7" s="108">
        <v>2</v>
      </c>
      <c r="H7" s="110">
        <v>250</v>
      </c>
      <c r="I7" s="70">
        <f t="shared" si="0"/>
        <v>17.857142857142858</v>
      </c>
      <c r="J7" s="70">
        <f t="shared" si="1"/>
        <v>125</v>
      </c>
      <c r="K7" s="70">
        <f t="shared" si="2"/>
        <v>8.9285714285714288</v>
      </c>
      <c r="L7" s="19" t="e">
        <f>NA()</f>
        <v>#N/A</v>
      </c>
      <c r="M7" s="436" t="e">
        <f>NA()</f>
        <v>#N/A</v>
      </c>
      <c r="N7" s="19" t="e">
        <f>NA()</f>
        <v>#N/A</v>
      </c>
      <c r="O7" s="19" t="e">
        <f>NA()</f>
        <v>#N/A</v>
      </c>
      <c r="P7" s="410" t="e">
        <f>NA()</f>
        <v>#N/A</v>
      </c>
    </row>
    <row r="8" spans="1:16" ht="17.100000000000001" customHeight="1" x14ac:dyDescent="0.25">
      <c r="A8" s="426" t="s">
        <v>368</v>
      </c>
      <c r="B8" s="93">
        <v>32620</v>
      </c>
      <c r="C8" s="93">
        <v>32620</v>
      </c>
      <c r="D8" s="95">
        <v>43889</v>
      </c>
      <c r="E8" s="95">
        <v>43902</v>
      </c>
      <c r="F8" s="93" t="s">
        <v>150</v>
      </c>
      <c r="G8" s="108">
        <v>2</v>
      </c>
      <c r="H8" s="110">
        <v>785</v>
      </c>
      <c r="I8" s="70">
        <f t="shared" si="0"/>
        <v>60.384615384615387</v>
      </c>
      <c r="J8" s="70">
        <f t="shared" si="1"/>
        <v>392.5</v>
      </c>
      <c r="K8" s="70">
        <f t="shared" si="2"/>
        <v>30.192307692307693</v>
      </c>
      <c r="L8" s="19" t="e">
        <f>NA()</f>
        <v>#N/A</v>
      </c>
      <c r="M8" s="436" t="e">
        <f>NA()</f>
        <v>#N/A</v>
      </c>
      <c r="N8" s="19" t="e">
        <f>NA()</f>
        <v>#N/A</v>
      </c>
      <c r="O8" s="19" t="e">
        <f>NA()</f>
        <v>#N/A</v>
      </c>
      <c r="P8" s="410" t="e">
        <f>NA()</f>
        <v>#N/A</v>
      </c>
    </row>
    <row r="9" spans="1:16" ht="17.100000000000001" customHeight="1" x14ac:dyDescent="0.25">
      <c r="A9" s="426"/>
      <c r="D9" s="95">
        <v>43893</v>
      </c>
      <c r="E9" s="95">
        <v>43902</v>
      </c>
      <c r="F9" s="413" t="s">
        <v>119</v>
      </c>
      <c r="G9" s="108">
        <v>1</v>
      </c>
      <c r="H9" s="110">
        <v>6</v>
      </c>
      <c r="I9" s="70">
        <f t="shared" si="0"/>
        <v>0.66666666666666663</v>
      </c>
      <c r="J9" s="70">
        <f t="shared" si="1"/>
        <v>6</v>
      </c>
      <c r="K9" s="70">
        <f t="shared" si="2"/>
        <v>0.66666666666666663</v>
      </c>
      <c r="L9" s="19" t="e">
        <f>NA()</f>
        <v>#N/A</v>
      </c>
      <c r="M9" s="436" t="e">
        <f>NA()</f>
        <v>#N/A</v>
      </c>
      <c r="N9" s="19" t="e">
        <f>NA()</f>
        <v>#N/A</v>
      </c>
      <c r="O9" s="19" t="e">
        <f>NA()</f>
        <v>#N/A</v>
      </c>
      <c r="P9" s="410" t="e">
        <f>NA()</f>
        <v>#N/A</v>
      </c>
    </row>
    <row r="10" spans="1:16" ht="17.100000000000001" customHeight="1" x14ac:dyDescent="0.25">
      <c r="A10" s="518" t="s">
        <v>372</v>
      </c>
      <c r="B10" s="518"/>
      <c r="C10" s="93">
        <v>1</v>
      </c>
      <c r="D10" s="95">
        <v>43902</v>
      </c>
      <c r="E10" s="95">
        <v>43917</v>
      </c>
      <c r="F10" s="93" t="s">
        <v>342</v>
      </c>
      <c r="G10" s="108">
        <v>2</v>
      </c>
      <c r="H10" s="110">
        <v>334</v>
      </c>
      <c r="I10" s="70">
        <f t="shared" si="0"/>
        <v>22.266666666666666</v>
      </c>
      <c r="J10" s="70">
        <f t="shared" si="1"/>
        <v>167</v>
      </c>
      <c r="K10" s="70">
        <f t="shared" si="2"/>
        <v>11.133333333333333</v>
      </c>
      <c r="L10" s="19" t="e">
        <f>NA()</f>
        <v>#N/A</v>
      </c>
      <c r="M10" s="436" t="e">
        <f>NA()</f>
        <v>#N/A</v>
      </c>
      <c r="N10" s="19" t="e">
        <f>NA()</f>
        <v>#N/A</v>
      </c>
      <c r="O10" s="19" t="e">
        <f>NA()</f>
        <v>#N/A</v>
      </c>
      <c r="P10" s="410" t="e">
        <f>NA()</f>
        <v>#N/A</v>
      </c>
    </row>
    <row r="11" spans="1:16" ht="17.100000000000001" customHeight="1" x14ac:dyDescent="0.25">
      <c r="A11" s="518" t="s">
        <v>37</v>
      </c>
      <c r="B11" s="518"/>
      <c r="C11" s="93">
        <v>3</v>
      </c>
      <c r="D11" s="95">
        <v>43917</v>
      </c>
      <c r="E11" s="95">
        <v>43923</v>
      </c>
      <c r="F11" s="413" t="s">
        <v>120</v>
      </c>
      <c r="G11" s="108">
        <v>1</v>
      </c>
      <c r="H11" s="110">
        <v>359</v>
      </c>
      <c r="I11" s="70">
        <f t="shared" si="0"/>
        <v>59.833333333333336</v>
      </c>
      <c r="J11" s="70">
        <f t="shared" si="1"/>
        <v>359</v>
      </c>
      <c r="K11" s="70">
        <f t="shared" si="2"/>
        <v>59.833333333333336</v>
      </c>
      <c r="L11" s="19" t="e">
        <f>NA()</f>
        <v>#N/A</v>
      </c>
      <c r="M11" s="436" t="e">
        <f>NA()</f>
        <v>#N/A</v>
      </c>
      <c r="N11" s="19" t="e">
        <f>NA()</f>
        <v>#N/A</v>
      </c>
      <c r="O11" s="19" t="e">
        <f>NA()</f>
        <v>#N/A</v>
      </c>
      <c r="P11" s="410" t="e">
        <f>NA()</f>
        <v>#N/A</v>
      </c>
    </row>
    <row r="12" spans="1:16" ht="17.100000000000001" customHeight="1" x14ac:dyDescent="0.25">
      <c r="A12" s="518" t="s">
        <v>373</v>
      </c>
      <c r="B12" s="518"/>
      <c r="C12" s="427">
        <f>(B5 - C5) + (B6 - C6) * 10 + (B7 - C7) / 120 + (B8 - C8) / 120 + C10</f>
        <v>51</v>
      </c>
      <c r="D12" s="95">
        <v>43923</v>
      </c>
      <c r="E12" s="95">
        <v>43934</v>
      </c>
      <c r="F12" s="93" t="s">
        <v>341</v>
      </c>
      <c r="G12" s="108">
        <v>2</v>
      </c>
      <c r="H12" s="110">
        <v>20</v>
      </c>
      <c r="I12" s="70">
        <f t="shared" si="0"/>
        <v>1.8181818181818181</v>
      </c>
      <c r="J12" s="70">
        <f t="shared" si="1"/>
        <v>10</v>
      </c>
      <c r="K12" s="70">
        <f t="shared" si="2"/>
        <v>0.90909090909090906</v>
      </c>
      <c r="L12" s="19" t="e">
        <f>NA()</f>
        <v>#N/A</v>
      </c>
      <c r="M12" s="436" t="e">
        <f>NA()</f>
        <v>#N/A</v>
      </c>
      <c r="N12" s="19" t="e">
        <f>NA()</f>
        <v>#N/A</v>
      </c>
      <c r="O12" s="19" t="e">
        <f>NA()</f>
        <v>#N/A</v>
      </c>
      <c r="P12" s="410" t="e">
        <f>NA()</f>
        <v>#N/A</v>
      </c>
    </row>
    <row r="13" spans="1:16" ht="17.100000000000001" customHeight="1" x14ac:dyDescent="0.25">
      <c r="A13" s="518" t="s">
        <v>146</v>
      </c>
      <c r="B13" s="518"/>
      <c r="C13" s="107">
        <f>C11/C12%</f>
        <v>5.8823529411764701</v>
      </c>
      <c r="D13" s="95">
        <v>43927</v>
      </c>
      <c r="E13" s="95">
        <v>43934</v>
      </c>
      <c r="F13" s="413" t="s">
        <v>121</v>
      </c>
      <c r="G13" s="108">
        <v>1</v>
      </c>
      <c r="H13" s="110">
        <v>429</v>
      </c>
      <c r="I13" s="70">
        <f t="shared" si="0"/>
        <v>61.285714285714285</v>
      </c>
      <c r="J13" s="70">
        <f t="shared" si="1"/>
        <v>429</v>
      </c>
      <c r="K13" s="70">
        <f t="shared" si="2"/>
        <v>61.285714285714285</v>
      </c>
      <c r="L13" s="19" t="e">
        <f>NA()</f>
        <v>#N/A</v>
      </c>
      <c r="M13" s="436" t="e">
        <f>NA()</f>
        <v>#N/A</v>
      </c>
      <c r="N13" s="19" t="e">
        <f>NA()</f>
        <v>#N/A</v>
      </c>
      <c r="O13" s="19" t="e">
        <f>NA()</f>
        <v>#N/A</v>
      </c>
      <c r="P13" s="410" t="e">
        <f>NA()</f>
        <v>#N/A</v>
      </c>
    </row>
    <row r="14" spans="1:16" ht="17.100000000000001" customHeight="1" x14ac:dyDescent="0.25">
      <c r="D14" s="95">
        <v>43934</v>
      </c>
      <c r="E14" s="95">
        <v>43941</v>
      </c>
      <c r="F14" s="93" t="s">
        <v>340</v>
      </c>
      <c r="G14" s="108">
        <v>2</v>
      </c>
      <c r="H14" s="110">
        <v>60</v>
      </c>
      <c r="I14" s="70">
        <f t="shared" si="0"/>
        <v>8.5714285714285712</v>
      </c>
      <c r="J14" s="70">
        <f t="shared" si="1"/>
        <v>30</v>
      </c>
      <c r="K14" s="70">
        <f t="shared" si="2"/>
        <v>4.2857142857142856</v>
      </c>
      <c r="L14" s="19" t="e">
        <f>NA()</f>
        <v>#N/A</v>
      </c>
      <c r="M14" s="436" t="e">
        <f>NA()</f>
        <v>#N/A</v>
      </c>
      <c r="N14" s="19" t="e">
        <f>NA()</f>
        <v>#N/A</v>
      </c>
      <c r="O14" s="19" t="e">
        <f>NA()</f>
        <v>#N/A</v>
      </c>
      <c r="P14" s="410" t="e">
        <f>NA()</f>
        <v>#N/A</v>
      </c>
    </row>
    <row r="15" spans="1:16" ht="17.100000000000001" customHeight="1" x14ac:dyDescent="0.25">
      <c r="D15" s="95">
        <v>43945</v>
      </c>
      <c r="E15" s="95">
        <v>43951</v>
      </c>
      <c r="F15" s="413" t="s">
        <v>122</v>
      </c>
      <c r="G15" s="108">
        <v>1</v>
      </c>
      <c r="H15" s="110">
        <v>226</v>
      </c>
      <c r="I15" s="70">
        <f t="shared" si="0"/>
        <v>37.666666666666664</v>
      </c>
      <c r="J15" s="70">
        <f t="shared" si="1"/>
        <v>226</v>
      </c>
      <c r="K15" s="70">
        <f t="shared" si="2"/>
        <v>37.666666666666664</v>
      </c>
      <c r="L15" s="19" t="e">
        <f>NA()</f>
        <v>#N/A</v>
      </c>
      <c r="M15" s="436" t="e">
        <f>NA()</f>
        <v>#N/A</v>
      </c>
      <c r="N15" s="19" t="e">
        <f>NA()</f>
        <v>#N/A</v>
      </c>
      <c r="O15" s="19" t="e">
        <f>NA()</f>
        <v>#N/A</v>
      </c>
      <c r="P15" s="410" t="e">
        <f>NA()</f>
        <v>#N/A</v>
      </c>
    </row>
    <row r="16" spans="1:16" ht="17.100000000000001" customHeight="1" x14ac:dyDescent="0.25">
      <c r="D16" s="95">
        <v>43951</v>
      </c>
      <c r="E16" s="95">
        <v>43963</v>
      </c>
      <c r="F16" s="93" t="s">
        <v>339</v>
      </c>
      <c r="G16" s="108">
        <v>3</v>
      </c>
      <c r="H16" s="110">
        <v>292</v>
      </c>
      <c r="I16" s="70">
        <f t="shared" si="0"/>
        <v>24.333333333333332</v>
      </c>
      <c r="J16" s="70">
        <f t="shared" si="1"/>
        <v>97.333333333333329</v>
      </c>
      <c r="K16" s="70">
        <f t="shared" si="2"/>
        <v>8.1111111111111107</v>
      </c>
      <c r="L16" s="19" t="e">
        <f>NA()</f>
        <v>#N/A</v>
      </c>
      <c r="M16" s="436" t="e">
        <f>NA()</f>
        <v>#N/A</v>
      </c>
      <c r="N16" s="19" t="e">
        <f>NA()</f>
        <v>#N/A</v>
      </c>
      <c r="O16" s="19" t="e">
        <f>NA()</f>
        <v>#N/A</v>
      </c>
      <c r="P16" s="410" t="e">
        <f>NA()</f>
        <v>#N/A</v>
      </c>
    </row>
    <row r="17" spans="4:17" ht="17.100000000000001" customHeight="1" x14ac:dyDescent="0.25">
      <c r="D17" s="95">
        <v>43963</v>
      </c>
      <c r="E17" s="95">
        <v>43980</v>
      </c>
      <c r="F17" s="93" t="s">
        <v>151</v>
      </c>
      <c r="G17" s="108">
        <v>3</v>
      </c>
      <c r="H17" s="110">
        <v>595</v>
      </c>
      <c r="I17" s="70">
        <f t="shared" si="0"/>
        <v>35</v>
      </c>
      <c r="J17" s="70">
        <f t="shared" si="1"/>
        <v>198.33333333333334</v>
      </c>
      <c r="K17" s="70">
        <f t="shared" si="2"/>
        <v>11.666666666666668</v>
      </c>
      <c r="L17" s="19" t="e">
        <f>NA()</f>
        <v>#N/A</v>
      </c>
      <c r="M17" s="436" t="e">
        <f>NA()</f>
        <v>#N/A</v>
      </c>
      <c r="N17" s="19" t="e">
        <f>NA()</f>
        <v>#N/A</v>
      </c>
      <c r="O17" s="19" t="e">
        <f>NA()</f>
        <v>#N/A</v>
      </c>
      <c r="P17" s="410" t="e">
        <f>NA()</f>
        <v>#N/A</v>
      </c>
    </row>
    <row r="18" spans="4:17" ht="17.100000000000001" customHeight="1" x14ac:dyDescent="0.25">
      <c r="D18" s="95">
        <v>43980</v>
      </c>
      <c r="E18" s="95">
        <v>43985</v>
      </c>
      <c r="F18" s="93" t="s">
        <v>338</v>
      </c>
      <c r="G18" s="108">
        <v>4</v>
      </c>
      <c r="H18" s="110">
        <v>238</v>
      </c>
      <c r="I18" s="70">
        <f t="shared" si="0"/>
        <v>47.6</v>
      </c>
      <c r="J18" s="70">
        <f t="shared" si="1"/>
        <v>59.5</v>
      </c>
      <c r="K18" s="70">
        <f t="shared" si="2"/>
        <v>11.9</v>
      </c>
      <c r="L18" s="19" t="e">
        <f>NA()</f>
        <v>#N/A</v>
      </c>
      <c r="M18" s="436" t="e">
        <f>NA()</f>
        <v>#N/A</v>
      </c>
      <c r="N18" s="19" t="e">
        <f>NA()</f>
        <v>#N/A</v>
      </c>
      <c r="O18" s="19" t="e">
        <f>NA()</f>
        <v>#N/A</v>
      </c>
      <c r="P18" s="410" t="e">
        <f>NA()</f>
        <v>#N/A</v>
      </c>
    </row>
    <row r="19" spans="4:17" ht="17.100000000000001" customHeight="1" x14ac:dyDescent="0.25">
      <c r="D19" s="95">
        <v>43994</v>
      </c>
      <c r="E19" s="95">
        <v>44004</v>
      </c>
      <c r="F19" s="97" t="s">
        <v>129</v>
      </c>
      <c r="G19" s="108">
        <v>2</v>
      </c>
      <c r="H19" s="110">
        <v>176</v>
      </c>
      <c r="I19" s="70">
        <f t="shared" si="0"/>
        <v>17.600000000000001</v>
      </c>
      <c r="J19" s="70">
        <f t="shared" si="1"/>
        <v>88</v>
      </c>
      <c r="K19" s="70">
        <f t="shared" si="2"/>
        <v>8.8000000000000007</v>
      </c>
      <c r="L19" s="19" t="e">
        <f>NA()</f>
        <v>#N/A</v>
      </c>
      <c r="M19" s="436" t="e">
        <f>NA()</f>
        <v>#N/A</v>
      </c>
      <c r="N19" s="19" t="e">
        <f>NA()</f>
        <v>#N/A</v>
      </c>
      <c r="O19" s="19" t="e">
        <f>NA()</f>
        <v>#N/A</v>
      </c>
      <c r="P19" s="410" t="e">
        <f>NA()</f>
        <v>#N/A</v>
      </c>
    </row>
    <row r="20" spans="4:17" ht="17.100000000000001" customHeight="1" x14ac:dyDescent="0.25">
      <c r="D20" s="95">
        <v>44011</v>
      </c>
      <c r="E20" s="95">
        <v>44015</v>
      </c>
      <c r="F20" s="93" t="s">
        <v>337</v>
      </c>
      <c r="G20" s="108">
        <v>3</v>
      </c>
      <c r="H20" s="110">
        <v>261</v>
      </c>
      <c r="I20" s="70">
        <f t="shared" si="0"/>
        <v>65.25</v>
      </c>
      <c r="J20" s="70">
        <f t="shared" si="1"/>
        <v>87</v>
      </c>
      <c r="K20" s="70">
        <f t="shared" si="2"/>
        <v>21.75</v>
      </c>
      <c r="L20" s="19" t="e">
        <f>NA()</f>
        <v>#N/A</v>
      </c>
      <c r="M20" s="436" t="e">
        <f>NA()</f>
        <v>#N/A</v>
      </c>
      <c r="N20" s="19" t="e">
        <f>NA()</f>
        <v>#N/A</v>
      </c>
      <c r="O20" s="19" t="e">
        <f>NA()</f>
        <v>#N/A</v>
      </c>
      <c r="P20" s="410" t="e">
        <f>NA()</f>
        <v>#N/A</v>
      </c>
    </row>
    <row r="21" spans="4:17" ht="17.100000000000001" customHeight="1" x14ac:dyDescent="0.25">
      <c r="D21" s="95">
        <v>44027</v>
      </c>
      <c r="E21" s="95">
        <v>44030</v>
      </c>
      <c r="F21" s="93" t="s">
        <v>336</v>
      </c>
      <c r="G21" s="108">
        <v>2</v>
      </c>
      <c r="H21" s="110">
        <v>382</v>
      </c>
      <c r="I21" s="70">
        <f t="shared" si="0"/>
        <v>127.33333333333333</v>
      </c>
      <c r="J21" s="70">
        <f t="shared" si="1"/>
        <v>191</v>
      </c>
      <c r="K21" s="70">
        <f t="shared" si="2"/>
        <v>63.666666666666664</v>
      </c>
      <c r="L21" s="19" t="e">
        <f>NA()</f>
        <v>#N/A</v>
      </c>
      <c r="M21" s="436" t="e">
        <f>NA()</f>
        <v>#N/A</v>
      </c>
      <c r="N21" s="19" t="e">
        <f>NA()</f>
        <v>#N/A</v>
      </c>
      <c r="O21" s="19" t="e">
        <f>NA()</f>
        <v>#N/A</v>
      </c>
      <c r="P21" s="410" t="e">
        <f>NA()</f>
        <v>#N/A</v>
      </c>
    </row>
    <row r="22" spans="4:17" ht="17.100000000000001" customHeight="1" x14ac:dyDescent="0.25">
      <c r="D22" s="95">
        <v>44042</v>
      </c>
      <c r="E22" s="95">
        <v>44047</v>
      </c>
      <c r="F22" s="411" t="s">
        <v>335</v>
      </c>
      <c r="G22" s="108">
        <v>4</v>
      </c>
      <c r="H22" s="110">
        <v>217</v>
      </c>
      <c r="I22" s="70">
        <f t="shared" ref="I22:I38" si="3">H22/(E22-D22)</f>
        <v>43.4</v>
      </c>
      <c r="J22" s="70">
        <f t="shared" ref="J22:J31" si="4">H22/G22</f>
        <v>54.25</v>
      </c>
      <c r="K22" s="70">
        <f t="shared" ref="K22:K31" si="5">J22/(E22-D22)</f>
        <v>10.85</v>
      </c>
      <c r="L22" s="19" t="e">
        <f>NA()</f>
        <v>#N/A</v>
      </c>
      <c r="M22" s="436" t="e">
        <f>NA()</f>
        <v>#N/A</v>
      </c>
      <c r="N22" s="19">
        <v>10</v>
      </c>
      <c r="O22" s="406">
        <v>0.06</v>
      </c>
      <c r="P22" s="410">
        <f>(N22/H22)-O22</f>
        <v>-1.3917050691244236E-2</v>
      </c>
    </row>
    <row r="23" spans="4:17" ht="17.100000000000001" customHeight="1" x14ac:dyDescent="0.25">
      <c r="D23" s="95">
        <v>44057</v>
      </c>
      <c r="E23" s="95">
        <v>44060</v>
      </c>
      <c r="F23" s="93" t="s">
        <v>164</v>
      </c>
      <c r="G23" s="108">
        <v>2</v>
      </c>
      <c r="H23" s="110">
        <v>102</v>
      </c>
      <c r="I23" s="70">
        <f t="shared" si="3"/>
        <v>34</v>
      </c>
      <c r="J23" s="70">
        <f t="shared" si="4"/>
        <v>51</v>
      </c>
      <c r="K23" s="70">
        <f t="shared" si="5"/>
        <v>17</v>
      </c>
      <c r="L23" s="19" t="e">
        <f>NA()</f>
        <v>#N/A</v>
      </c>
      <c r="M23" s="436" t="e">
        <f>NA()</f>
        <v>#N/A</v>
      </c>
      <c r="N23" s="19">
        <v>8</v>
      </c>
      <c r="O23" s="406">
        <v>0.06</v>
      </c>
      <c r="P23" s="410">
        <f t="shared" ref="P23:P38" si="6">(N23/H23)-O23</f>
        <v>1.8431372549019609E-2</v>
      </c>
      <c r="Q23" s="401"/>
    </row>
    <row r="24" spans="4:17" ht="17.100000000000001" customHeight="1" x14ac:dyDescent="0.25">
      <c r="D24" s="95">
        <v>44072</v>
      </c>
      <c r="E24" s="95">
        <v>44077</v>
      </c>
      <c r="F24" s="93" t="s">
        <v>334</v>
      </c>
      <c r="G24" s="108">
        <v>5</v>
      </c>
      <c r="H24" s="110">
        <v>460</v>
      </c>
      <c r="I24" s="70">
        <f t="shared" si="3"/>
        <v>92</v>
      </c>
      <c r="J24" s="70">
        <f t="shared" si="4"/>
        <v>92</v>
      </c>
      <c r="K24" s="70">
        <f t="shared" si="5"/>
        <v>18.399999999999999</v>
      </c>
      <c r="L24" s="19" t="e">
        <f>NA()</f>
        <v>#N/A</v>
      </c>
      <c r="M24" s="436" t="e">
        <f>NA()</f>
        <v>#N/A</v>
      </c>
      <c r="N24" s="19">
        <v>34</v>
      </c>
      <c r="O24" s="406">
        <v>0.06</v>
      </c>
      <c r="P24" s="410">
        <f t="shared" si="6"/>
        <v>1.3913043478260875E-2</v>
      </c>
      <c r="Q24" s="401"/>
    </row>
    <row r="25" spans="4:17" ht="17.100000000000001" customHeight="1" x14ac:dyDescent="0.25">
      <c r="D25" s="95">
        <v>44086</v>
      </c>
      <c r="E25" s="95">
        <v>44089</v>
      </c>
      <c r="F25" s="93" t="s">
        <v>187</v>
      </c>
      <c r="G25" s="108">
        <v>2</v>
      </c>
      <c r="H25" s="110">
        <v>446</v>
      </c>
      <c r="I25" s="70">
        <f t="shared" si="3"/>
        <v>148.66666666666666</v>
      </c>
      <c r="J25" s="70">
        <f t="shared" si="4"/>
        <v>223</v>
      </c>
      <c r="K25" s="70">
        <f t="shared" si="5"/>
        <v>74.333333333333329</v>
      </c>
      <c r="L25" s="19" t="e">
        <f>NA()</f>
        <v>#N/A</v>
      </c>
      <c r="M25" s="436" t="e">
        <f>NA()</f>
        <v>#N/A</v>
      </c>
      <c r="N25" s="19">
        <v>21</v>
      </c>
      <c r="O25" s="406">
        <v>0.06</v>
      </c>
      <c r="P25" s="410">
        <f t="shared" si="6"/>
        <v>-1.2914798206278028E-2</v>
      </c>
      <c r="Q25" s="401"/>
    </row>
    <row r="26" spans="4:17" ht="17.100000000000001" customHeight="1" x14ac:dyDescent="0.25">
      <c r="D26" s="95">
        <v>44104</v>
      </c>
      <c r="E26" s="95">
        <v>44109</v>
      </c>
      <c r="F26" s="93" t="s">
        <v>391</v>
      </c>
      <c r="G26" s="108">
        <v>3</v>
      </c>
      <c r="H26" s="110">
        <v>258</v>
      </c>
      <c r="I26" s="70">
        <f t="shared" si="3"/>
        <v>51.6</v>
      </c>
      <c r="J26" s="70">
        <f t="shared" si="4"/>
        <v>86</v>
      </c>
      <c r="K26" s="70">
        <f t="shared" si="5"/>
        <v>17.2</v>
      </c>
      <c r="L26" s="19">
        <v>1</v>
      </c>
      <c r="M26" s="436">
        <f>L26/G26</f>
        <v>0.33333333333333331</v>
      </c>
      <c r="N26" s="19">
        <v>21</v>
      </c>
      <c r="O26" s="406">
        <v>0.06</v>
      </c>
      <c r="P26" s="410">
        <f t="shared" si="6"/>
        <v>2.139534883720931E-2</v>
      </c>
      <c r="Q26" s="401"/>
    </row>
    <row r="27" spans="4:17" ht="17.100000000000001" customHeight="1" x14ac:dyDescent="0.25">
      <c r="D27" s="95">
        <v>44109</v>
      </c>
      <c r="E27" s="95">
        <v>44116</v>
      </c>
      <c r="F27" s="93" t="s">
        <v>268</v>
      </c>
      <c r="G27" s="108">
        <v>1</v>
      </c>
      <c r="H27" s="110">
        <v>256</v>
      </c>
      <c r="I27" s="70">
        <f t="shared" si="3"/>
        <v>36.571428571428569</v>
      </c>
      <c r="J27" s="70">
        <f t="shared" si="4"/>
        <v>256</v>
      </c>
      <c r="K27" s="70">
        <f t="shared" si="5"/>
        <v>36.571428571428569</v>
      </c>
      <c r="L27" s="19">
        <v>0</v>
      </c>
      <c r="M27" s="436">
        <f t="shared" ref="M27:M48" si="7">L27/G27</f>
        <v>0</v>
      </c>
      <c r="N27" s="19">
        <v>12</v>
      </c>
      <c r="O27" s="406">
        <v>0.04</v>
      </c>
      <c r="P27" s="410">
        <f t="shared" si="6"/>
        <v>6.8749999999999992E-3</v>
      </c>
      <c r="Q27" s="401"/>
    </row>
    <row r="28" spans="4:17" ht="17.100000000000001" customHeight="1" x14ac:dyDescent="0.25">
      <c r="D28" s="95">
        <v>44120</v>
      </c>
      <c r="E28" s="95">
        <v>44123</v>
      </c>
      <c r="F28" s="93" t="s">
        <v>289</v>
      </c>
      <c r="G28" s="108">
        <v>2</v>
      </c>
      <c r="H28" s="110">
        <v>323</v>
      </c>
      <c r="I28" s="70">
        <f t="shared" si="3"/>
        <v>107.66666666666667</v>
      </c>
      <c r="J28" s="70">
        <f t="shared" si="4"/>
        <v>161.5</v>
      </c>
      <c r="K28" s="70">
        <f t="shared" si="5"/>
        <v>53.833333333333336</v>
      </c>
      <c r="L28" s="19">
        <v>1</v>
      </c>
      <c r="M28" s="436">
        <f t="shared" si="7"/>
        <v>0.5</v>
      </c>
      <c r="N28" s="19">
        <v>17</v>
      </c>
      <c r="O28" s="406">
        <v>0.06</v>
      </c>
      <c r="P28" s="410">
        <f t="shared" si="6"/>
        <v>-7.3684210526315796E-3</v>
      </c>
      <c r="Q28" s="401"/>
    </row>
    <row r="29" spans="4:17" ht="17.100000000000001" customHeight="1" x14ac:dyDescent="0.25">
      <c r="D29" s="95">
        <v>44134</v>
      </c>
      <c r="E29" s="95">
        <v>44138</v>
      </c>
      <c r="F29" s="93" t="s">
        <v>392</v>
      </c>
      <c r="G29" s="108">
        <v>2</v>
      </c>
      <c r="H29" s="110">
        <v>320</v>
      </c>
      <c r="I29" s="70">
        <f t="shared" si="3"/>
        <v>80</v>
      </c>
      <c r="J29" s="70">
        <f t="shared" si="4"/>
        <v>160</v>
      </c>
      <c r="K29" s="70">
        <f t="shared" si="5"/>
        <v>40</v>
      </c>
      <c r="L29" s="19">
        <v>0</v>
      </c>
      <c r="M29" s="436">
        <f t="shared" si="7"/>
        <v>0</v>
      </c>
      <c r="N29" s="19">
        <v>21</v>
      </c>
      <c r="O29" s="406">
        <v>0.06</v>
      </c>
      <c r="P29" s="410">
        <f t="shared" si="6"/>
        <v>5.625000000000005E-3</v>
      </c>
      <c r="Q29" s="401"/>
    </row>
    <row r="30" spans="4:17" ht="17.100000000000001" customHeight="1" x14ac:dyDescent="0.25">
      <c r="D30" s="95">
        <v>44139</v>
      </c>
      <c r="E30" s="95">
        <v>44147</v>
      </c>
      <c r="F30" s="93" t="s">
        <v>307</v>
      </c>
      <c r="G30" s="108">
        <v>2</v>
      </c>
      <c r="H30" s="110">
        <v>141</v>
      </c>
      <c r="I30" s="70">
        <f t="shared" si="3"/>
        <v>17.625</v>
      </c>
      <c r="J30" s="70">
        <f t="shared" si="4"/>
        <v>70.5</v>
      </c>
      <c r="K30" s="70">
        <f t="shared" si="5"/>
        <v>8.8125</v>
      </c>
      <c r="L30" s="19">
        <v>0</v>
      </c>
      <c r="M30" s="436">
        <f t="shared" si="7"/>
        <v>0</v>
      </c>
      <c r="N30" s="19">
        <v>5</v>
      </c>
      <c r="O30" s="406">
        <v>0.04</v>
      </c>
      <c r="P30" s="410">
        <f t="shared" si="6"/>
        <v>-4.5390070921985798E-3</v>
      </c>
      <c r="Q30" s="401"/>
    </row>
    <row r="31" spans="4:17" ht="17.100000000000001" customHeight="1" x14ac:dyDescent="0.25">
      <c r="D31" s="95">
        <v>44148</v>
      </c>
      <c r="E31" s="95">
        <v>44150</v>
      </c>
      <c r="F31" s="93" t="s">
        <v>393</v>
      </c>
      <c r="G31" s="108">
        <v>2</v>
      </c>
      <c r="H31" s="110">
        <v>151</v>
      </c>
      <c r="I31" s="70">
        <f t="shared" si="3"/>
        <v>75.5</v>
      </c>
      <c r="J31" s="70">
        <f t="shared" si="4"/>
        <v>75.5</v>
      </c>
      <c r="K31" s="70">
        <f t="shared" si="5"/>
        <v>37.75</v>
      </c>
      <c r="L31" s="19">
        <v>1</v>
      </c>
      <c r="M31" s="436">
        <f t="shared" si="7"/>
        <v>0.5</v>
      </c>
      <c r="N31" s="19">
        <v>10</v>
      </c>
      <c r="O31" s="406">
        <v>0.06</v>
      </c>
      <c r="P31" s="410">
        <f t="shared" si="6"/>
        <v>6.2251655629139147E-3</v>
      </c>
      <c r="Q31" s="401"/>
    </row>
    <row r="32" spans="4:17" ht="17.100000000000001" customHeight="1" x14ac:dyDescent="0.25">
      <c r="D32" s="95">
        <v>44162</v>
      </c>
      <c r="E32" s="95">
        <v>44165</v>
      </c>
      <c r="F32" s="412" t="s">
        <v>316</v>
      </c>
      <c r="G32" s="351">
        <v>1</v>
      </c>
      <c r="H32" s="110">
        <v>171</v>
      </c>
      <c r="I32" s="70">
        <f t="shared" si="3"/>
        <v>57</v>
      </c>
      <c r="J32" s="70">
        <f t="shared" ref="J32:J38" si="8">H32/G32</f>
        <v>171</v>
      </c>
      <c r="K32" s="70">
        <f t="shared" ref="K32:K38" si="9">J32/(E32-D32)</f>
        <v>57</v>
      </c>
      <c r="L32" s="19">
        <v>1</v>
      </c>
      <c r="M32" s="436">
        <f t="shared" si="7"/>
        <v>1</v>
      </c>
      <c r="N32" s="19">
        <v>10</v>
      </c>
      <c r="O32" s="406">
        <v>0.06</v>
      </c>
      <c r="P32" s="410">
        <f t="shared" si="6"/>
        <v>-1.520467836257311E-3</v>
      </c>
      <c r="Q32" s="401"/>
    </row>
    <row r="33" spans="3:17" ht="17.100000000000001" customHeight="1" x14ac:dyDescent="0.25">
      <c r="C33" s="412"/>
      <c r="D33" s="95">
        <v>44165</v>
      </c>
      <c r="E33" s="95">
        <v>44171</v>
      </c>
      <c r="F33" s="93" t="s">
        <v>390</v>
      </c>
      <c r="G33" s="108">
        <v>3</v>
      </c>
      <c r="H33" s="110">
        <v>316</v>
      </c>
      <c r="I33" s="70">
        <f t="shared" si="3"/>
        <v>52.666666666666664</v>
      </c>
      <c r="J33" s="70">
        <f t="shared" si="8"/>
        <v>105.33333333333333</v>
      </c>
      <c r="K33" s="70">
        <f t="shared" si="9"/>
        <v>17.555555555555554</v>
      </c>
      <c r="L33" s="19">
        <v>2</v>
      </c>
      <c r="M33" s="436">
        <f t="shared" si="7"/>
        <v>0.66666666666666663</v>
      </c>
      <c r="N33" s="19">
        <v>18</v>
      </c>
      <c r="O33" s="406">
        <v>0.04</v>
      </c>
      <c r="P33" s="410">
        <f t="shared" si="6"/>
        <v>1.6962025316455694E-2</v>
      </c>
      <c r="Q33" s="401"/>
    </row>
    <row r="34" spans="3:17" ht="17.100000000000001" customHeight="1" x14ac:dyDescent="0.25">
      <c r="D34" s="95">
        <v>44180</v>
      </c>
      <c r="E34" s="95">
        <v>44182</v>
      </c>
      <c r="F34" s="93" t="s">
        <v>348</v>
      </c>
      <c r="G34" s="108">
        <v>2</v>
      </c>
      <c r="H34" s="110">
        <v>209</v>
      </c>
      <c r="I34" s="70">
        <f t="shared" si="3"/>
        <v>104.5</v>
      </c>
      <c r="J34" s="70">
        <f t="shared" si="8"/>
        <v>104.5</v>
      </c>
      <c r="K34" s="70">
        <f t="shared" si="9"/>
        <v>52.25</v>
      </c>
      <c r="L34" s="19">
        <v>1</v>
      </c>
      <c r="M34" s="436">
        <f t="shared" si="7"/>
        <v>0.5</v>
      </c>
      <c r="N34" s="19">
        <v>18</v>
      </c>
      <c r="O34" s="406">
        <v>0.06</v>
      </c>
      <c r="P34" s="410">
        <f t="shared" si="6"/>
        <v>2.6124401913875606E-2</v>
      </c>
    </row>
    <row r="35" spans="3:17" ht="17.100000000000001" customHeight="1" x14ac:dyDescent="0.25">
      <c r="D35" s="95">
        <v>44193</v>
      </c>
      <c r="E35" s="95">
        <v>44195</v>
      </c>
      <c r="F35" s="413" t="s">
        <v>351</v>
      </c>
      <c r="G35" s="108">
        <v>1</v>
      </c>
      <c r="H35" s="110">
        <v>177</v>
      </c>
      <c r="I35" s="70">
        <f t="shared" si="3"/>
        <v>88.5</v>
      </c>
      <c r="J35" s="70">
        <f t="shared" si="8"/>
        <v>177</v>
      </c>
      <c r="K35" s="70">
        <f t="shared" si="9"/>
        <v>88.5</v>
      </c>
      <c r="L35" s="19">
        <v>1</v>
      </c>
      <c r="M35" s="436">
        <f t="shared" si="7"/>
        <v>1</v>
      </c>
      <c r="N35" s="19">
        <v>13</v>
      </c>
      <c r="O35" s="406">
        <v>0.06</v>
      </c>
      <c r="P35" s="410">
        <f t="shared" si="6"/>
        <v>1.3446327683615825E-2</v>
      </c>
    </row>
    <row r="36" spans="3:17" ht="17.100000000000001" customHeight="1" x14ac:dyDescent="0.25">
      <c r="D36" s="95">
        <v>44196</v>
      </c>
      <c r="E36" s="95">
        <v>44202</v>
      </c>
      <c r="F36" s="93" t="s">
        <v>354</v>
      </c>
      <c r="G36" s="108">
        <v>2</v>
      </c>
      <c r="H36" s="110">
        <v>206</v>
      </c>
      <c r="I36" s="70">
        <f t="shared" si="3"/>
        <v>34.333333333333336</v>
      </c>
      <c r="J36" s="70">
        <f t="shared" si="8"/>
        <v>103</v>
      </c>
      <c r="K36" s="70">
        <f t="shared" si="9"/>
        <v>17.166666666666668</v>
      </c>
      <c r="L36" s="19">
        <v>1</v>
      </c>
      <c r="M36" s="436">
        <f t="shared" si="7"/>
        <v>0.5</v>
      </c>
      <c r="N36" s="19">
        <v>7</v>
      </c>
      <c r="O36" s="406">
        <v>0.04</v>
      </c>
      <c r="P36" s="410">
        <f t="shared" si="6"/>
        <v>-6.0194174757281574E-3</v>
      </c>
    </row>
    <row r="37" spans="3:17" ht="17.100000000000001" customHeight="1" x14ac:dyDescent="0.25">
      <c r="D37" s="95">
        <v>44203</v>
      </c>
      <c r="E37" s="95">
        <v>44209</v>
      </c>
      <c r="F37" s="93" t="s">
        <v>353</v>
      </c>
      <c r="G37" s="108">
        <v>1</v>
      </c>
      <c r="H37" s="110">
        <v>110</v>
      </c>
      <c r="I37" s="70">
        <f t="shared" si="3"/>
        <v>18.333333333333332</v>
      </c>
      <c r="J37" s="70">
        <f t="shared" si="8"/>
        <v>110</v>
      </c>
      <c r="K37" s="70">
        <f t="shared" si="9"/>
        <v>18.333333333333332</v>
      </c>
      <c r="L37" s="19">
        <v>0</v>
      </c>
      <c r="M37" s="436">
        <f t="shared" si="7"/>
        <v>0</v>
      </c>
      <c r="N37" s="19">
        <v>8</v>
      </c>
      <c r="O37" s="406">
        <v>0.04</v>
      </c>
      <c r="P37" s="410">
        <f t="shared" si="6"/>
        <v>3.2727272727272723E-2</v>
      </c>
    </row>
    <row r="38" spans="3:17" ht="17.100000000000001" customHeight="1" x14ac:dyDescent="0.25">
      <c r="D38" s="95">
        <v>44210</v>
      </c>
      <c r="E38" s="95">
        <v>44213</v>
      </c>
      <c r="F38" s="93" t="s">
        <v>376</v>
      </c>
      <c r="G38" s="108">
        <v>2</v>
      </c>
      <c r="H38" s="110">
        <v>112</v>
      </c>
      <c r="I38" s="70">
        <f t="shared" si="3"/>
        <v>37.333333333333336</v>
      </c>
      <c r="J38" s="70">
        <f t="shared" si="8"/>
        <v>56</v>
      </c>
      <c r="K38" s="70">
        <f t="shared" si="9"/>
        <v>18.666666666666668</v>
      </c>
      <c r="L38" s="19">
        <v>0</v>
      </c>
      <c r="M38" s="436">
        <f t="shared" si="7"/>
        <v>0</v>
      </c>
      <c r="N38" s="19">
        <v>9</v>
      </c>
      <c r="O38" s="406">
        <v>0.06</v>
      </c>
      <c r="P38" s="410">
        <f t="shared" si="6"/>
        <v>2.0357142857142865E-2</v>
      </c>
    </row>
    <row r="39" spans="3:17" ht="17.100000000000001" customHeight="1" x14ac:dyDescent="0.25">
      <c r="D39" s="95">
        <v>44223</v>
      </c>
      <c r="E39" s="95">
        <v>44226</v>
      </c>
      <c r="F39" s="412" t="s">
        <v>384</v>
      </c>
      <c r="G39" s="108">
        <v>1</v>
      </c>
      <c r="H39" s="110">
        <v>110</v>
      </c>
      <c r="I39" s="70">
        <f t="shared" ref="I39:I48" si="10">H39/(E39-D39)</f>
        <v>36.666666666666664</v>
      </c>
      <c r="J39" s="70">
        <f t="shared" ref="J39:J48" si="11">H39/G39</f>
        <v>110</v>
      </c>
      <c r="K39" s="70">
        <f t="shared" ref="K39:K48" si="12">J39/(E39-D39)</f>
        <v>36.666666666666664</v>
      </c>
      <c r="L39" s="19">
        <v>0</v>
      </c>
      <c r="M39" s="436">
        <f t="shared" si="7"/>
        <v>0</v>
      </c>
      <c r="N39" s="19">
        <v>10</v>
      </c>
      <c r="O39" s="406">
        <v>0.06</v>
      </c>
      <c r="P39" s="410">
        <f t="shared" ref="P39:P48" si="13">(N39/H39)-O39</f>
        <v>3.0909090909090914E-2</v>
      </c>
    </row>
    <row r="40" spans="3:17" ht="17.100000000000001" customHeight="1" x14ac:dyDescent="0.25">
      <c r="D40" s="95">
        <v>44227</v>
      </c>
      <c r="E40" s="95">
        <v>44232</v>
      </c>
      <c r="F40" s="93" t="s">
        <v>400</v>
      </c>
      <c r="G40" s="108">
        <v>3</v>
      </c>
      <c r="H40" s="110">
        <v>193</v>
      </c>
      <c r="I40" s="70">
        <f t="shared" si="10"/>
        <v>38.6</v>
      </c>
      <c r="J40" s="70">
        <f t="shared" si="11"/>
        <v>64.333333333333329</v>
      </c>
      <c r="K40" s="70">
        <f t="shared" si="12"/>
        <v>12.866666666666665</v>
      </c>
      <c r="L40" s="19">
        <v>1</v>
      </c>
      <c r="M40" s="436">
        <f t="shared" si="7"/>
        <v>0.33333333333333331</v>
      </c>
      <c r="N40" s="19">
        <v>10</v>
      </c>
      <c r="O40" s="406">
        <v>0.04</v>
      </c>
      <c r="P40" s="410">
        <f t="shared" si="13"/>
        <v>1.1813471502590669E-2</v>
      </c>
    </row>
    <row r="41" spans="3:17" ht="17.100000000000001" customHeight="1" x14ac:dyDescent="0.25">
      <c r="D41" s="95">
        <v>44233</v>
      </c>
      <c r="E41" s="95">
        <v>44238</v>
      </c>
      <c r="F41" s="93" t="s">
        <v>385</v>
      </c>
      <c r="G41" s="108">
        <v>1</v>
      </c>
      <c r="H41" s="110">
        <v>28</v>
      </c>
      <c r="I41" s="70">
        <f t="shared" si="10"/>
        <v>5.6</v>
      </c>
      <c r="J41" s="70">
        <f t="shared" si="11"/>
        <v>28</v>
      </c>
      <c r="K41" s="70">
        <f t="shared" si="12"/>
        <v>5.6</v>
      </c>
      <c r="L41" s="19">
        <v>0</v>
      </c>
      <c r="M41" s="436">
        <f t="shared" si="7"/>
        <v>0</v>
      </c>
      <c r="N41" s="19">
        <v>3</v>
      </c>
      <c r="O41" s="406">
        <v>0.04</v>
      </c>
      <c r="P41" s="410">
        <f t="shared" si="13"/>
        <v>6.7142857142857143E-2</v>
      </c>
    </row>
    <row r="42" spans="3:17" ht="17.100000000000001" customHeight="1" x14ac:dyDescent="0.25">
      <c r="D42" s="95">
        <v>44239</v>
      </c>
      <c r="E42" s="95">
        <v>44242</v>
      </c>
      <c r="F42" s="93" t="s">
        <v>399</v>
      </c>
      <c r="G42" s="108">
        <v>2</v>
      </c>
      <c r="H42" s="110">
        <v>167</v>
      </c>
      <c r="I42" s="70">
        <f t="shared" si="10"/>
        <v>55.666666666666664</v>
      </c>
      <c r="J42" s="70">
        <f t="shared" si="11"/>
        <v>83.5</v>
      </c>
      <c r="K42" s="70">
        <f>J42/(E42-D42)</f>
        <v>27.833333333333332</v>
      </c>
      <c r="L42" s="2">
        <v>1</v>
      </c>
      <c r="M42" s="436">
        <f t="shared" si="7"/>
        <v>0.5</v>
      </c>
      <c r="N42" s="19">
        <v>10</v>
      </c>
      <c r="O42" s="406">
        <v>0.06</v>
      </c>
      <c r="P42" s="410">
        <f t="shared" si="13"/>
        <v>-1.1976047904191378E-4</v>
      </c>
    </row>
    <row r="43" spans="3:17" ht="17.100000000000001" customHeight="1" x14ac:dyDescent="0.25">
      <c r="D43" s="95">
        <v>44253</v>
      </c>
      <c r="E43" s="95">
        <v>44257</v>
      </c>
      <c r="F43" s="93" t="s">
        <v>404</v>
      </c>
      <c r="G43" s="108">
        <v>2</v>
      </c>
      <c r="H43" s="110">
        <v>169</v>
      </c>
      <c r="I43" s="70">
        <f t="shared" si="10"/>
        <v>42.25</v>
      </c>
      <c r="J43" s="70">
        <f t="shared" si="11"/>
        <v>84.5</v>
      </c>
      <c r="K43" s="70">
        <f t="shared" si="12"/>
        <v>21.125</v>
      </c>
      <c r="L43" s="19">
        <v>1</v>
      </c>
      <c r="M43" s="436">
        <f t="shared" si="7"/>
        <v>0.5</v>
      </c>
      <c r="N43" s="19">
        <v>14</v>
      </c>
      <c r="O43" s="406">
        <v>0.06</v>
      </c>
      <c r="P43" s="410">
        <f t="shared" si="13"/>
        <v>2.2840236686390541E-2</v>
      </c>
    </row>
    <row r="44" spans="3:17" ht="17.100000000000001" customHeight="1" x14ac:dyDescent="0.25">
      <c r="D44" s="95">
        <v>44258</v>
      </c>
      <c r="E44" s="95">
        <v>44266</v>
      </c>
      <c r="F44" s="93" t="s">
        <v>406</v>
      </c>
      <c r="G44" s="108">
        <v>2</v>
      </c>
      <c r="H44" s="110">
        <v>176</v>
      </c>
      <c r="I44" s="70">
        <f t="shared" si="10"/>
        <v>22</v>
      </c>
      <c r="J44" s="70">
        <f t="shared" si="11"/>
        <v>88</v>
      </c>
      <c r="K44" s="70">
        <f t="shared" si="12"/>
        <v>11</v>
      </c>
      <c r="L44" s="19">
        <v>1</v>
      </c>
      <c r="M44" s="436">
        <f t="shared" si="7"/>
        <v>0.5</v>
      </c>
      <c r="N44" s="19">
        <v>7</v>
      </c>
      <c r="O44" s="406">
        <v>0.04</v>
      </c>
      <c r="P44" s="410">
        <f t="shared" si="13"/>
        <v>-2.2727272727272874E-4</v>
      </c>
    </row>
    <row r="45" spans="3:17" ht="17.100000000000001" customHeight="1" x14ac:dyDescent="0.25">
      <c r="D45" s="95">
        <v>44267</v>
      </c>
      <c r="E45" s="95">
        <v>44270</v>
      </c>
      <c r="F45" s="93" t="s">
        <v>437</v>
      </c>
      <c r="G45" s="108">
        <v>2</v>
      </c>
      <c r="H45" s="110">
        <v>111</v>
      </c>
      <c r="I45" s="70">
        <f t="shared" si="10"/>
        <v>37</v>
      </c>
      <c r="J45" s="70">
        <f t="shared" si="11"/>
        <v>55.5</v>
      </c>
      <c r="K45" s="70">
        <f t="shared" si="12"/>
        <v>18.5</v>
      </c>
      <c r="L45" s="19">
        <v>0</v>
      </c>
      <c r="M45" s="436">
        <f t="shared" si="7"/>
        <v>0</v>
      </c>
      <c r="N45" s="19">
        <v>10</v>
      </c>
      <c r="O45" s="406">
        <v>0.06</v>
      </c>
      <c r="P45" s="410">
        <f t="shared" si="13"/>
        <v>3.0090090090090088E-2</v>
      </c>
    </row>
    <row r="46" spans="3:17" ht="17.100000000000001" customHeight="1" x14ac:dyDescent="0.25">
      <c r="D46" s="95">
        <v>44282</v>
      </c>
      <c r="E46" s="95">
        <v>44288</v>
      </c>
      <c r="F46" s="93" t="s">
        <v>453</v>
      </c>
      <c r="G46" s="108">
        <v>2</v>
      </c>
      <c r="H46" s="110">
        <v>171</v>
      </c>
      <c r="I46" s="70">
        <f t="shared" si="10"/>
        <v>28.5</v>
      </c>
      <c r="J46" s="70">
        <f t="shared" si="11"/>
        <v>85.5</v>
      </c>
      <c r="K46" s="70">
        <f t="shared" si="12"/>
        <v>14.25</v>
      </c>
      <c r="L46" s="19">
        <v>1</v>
      </c>
      <c r="M46" s="436">
        <f t="shared" si="7"/>
        <v>0.5</v>
      </c>
      <c r="N46" s="19">
        <v>13</v>
      </c>
      <c r="O46" s="406">
        <v>0.06</v>
      </c>
      <c r="P46" s="410">
        <f t="shared" si="13"/>
        <v>1.6023391812865495E-2</v>
      </c>
    </row>
    <row r="47" spans="3:17" ht="17.100000000000001" customHeight="1" x14ac:dyDescent="0.25">
      <c r="D47" s="95">
        <v>44288</v>
      </c>
      <c r="E47" s="95">
        <v>44295</v>
      </c>
      <c r="F47" s="481" t="s">
        <v>458</v>
      </c>
      <c r="G47" s="108">
        <v>2</v>
      </c>
      <c r="H47" s="110">
        <v>124</v>
      </c>
      <c r="I47" s="70">
        <f t="shared" si="10"/>
        <v>17.714285714285715</v>
      </c>
      <c r="J47" s="70">
        <f t="shared" si="11"/>
        <v>62</v>
      </c>
      <c r="K47" s="70">
        <f t="shared" si="12"/>
        <v>8.8571428571428577</v>
      </c>
      <c r="L47" s="19">
        <v>0</v>
      </c>
      <c r="M47" s="436">
        <f t="shared" si="7"/>
        <v>0</v>
      </c>
      <c r="N47" s="19">
        <v>7</v>
      </c>
      <c r="O47" s="406">
        <v>0.04</v>
      </c>
      <c r="P47" s="410">
        <f t="shared" si="13"/>
        <v>1.6451612903225804E-2</v>
      </c>
    </row>
    <row r="48" spans="3:17" ht="17.100000000000001" customHeight="1" x14ac:dyDescent="0.25">
      <c r="D48" s="95">
        <v>44301</v>
      </c>
      <c r="E48" s="95">
        <v>44305</v>
      </c>
      <c r="F48" s="93" t="s">
        <v>461</v>
      </c>
      <c r="G48" s="108">
        <v>2</v>
      </c>
      <c r="H48" s="110">
        <v>51</v>
      </c>
      <c r="I48" s="70">
        <f t="shared" si="10"/>
        <v>12.75</v>
      </c>
      <c r="J48" s="70">
        <f t="shared" si="11"/>
        <v>25.5</v>
      </c>
      <c r="K48" s="70">
        <f t="shared" si="12"/>
        <v>6.375</v>
      </c>
      <c r="L48" s="19">
        <v>0</v>
      </c>
      <c r="M48" s="436">
        <f t="shared" si="7"/>
        <v>0</v>
      </c>
      <c r="N48" s="19">
        <v>3</v>
      </c>
      <c r="O48" s="406">
        <v>0.04</v>
      </c>
      <c r="P48" s="410">
        <f t="shared" si="13"/>
        <v>1.8823529411764704E-2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4">
    <mergeCell ref="A13:B13"/>
    <mergeCell ref="A10:B10"/>
    <mergeCell ref="A11:B11"/>
    <mergeCell ref="A12:B12"/>
  </mergeCells>
  <conditionalFormatting sqref="I1:I1048576">
    <cfRule type="colorScale" priority="2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4:H1048576">
    <cfRule type="colorScale" priority="18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K1:K1048576">
    <cfRule type="colorScale" priority="1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L1:L1048576">
    <cfRule type="colorScale" priority="1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P1:P1048576">
    <cfRule type="colorScale" priority="13">
      <colorScale>
        <cfvo type="min"/>
        <cfvo type="percentile" val="50"/>
        <cfvo type="max"/>
        <color rgb="FFFBA5A7"/>
        <color rgb="FFFFEFA1"/>
        <color rgb="FFA9D08E"/>
      </colorScale>
    </cfRule>
  </conditionalFormatting>
  <conditionalFormatting sqref="O1:O1048576">
    <cfRule type="cellIs" dxfId="3" priority="12" operator="equal">
      <formula>0.06</formula>
    </cfRule>
  </conditionalFormatting>
  <conditionalFormatting sqref="J1:J1048576">
    <cfRule type="colorScale" priority="16">
      <colorScale>
        <cfvo type="min"/>
        <cfvo type="percentile" val="50"/>
        <cfvo type="max"/>
        <color theme="9" tint="0.39997558519241921"/>
        <color rgb="FFFFEFA1"/>
        <color rgb="FFFBA5A7"/>
      </colorScale>
    </cfRule>
    <cfRule type="colorScale" priority="2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M1:M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theme="7"/>
  </sheetPr>
  <dimension ref="A1:R30"/>
  <sheetViews>
    <sheetView workbookViewId="0">
      <selection activeCell="M8" sqref="M8"/>
    </sheetView>
  </sheetViews>
  <sheetFormatPr defaultRowHeight="15" x14ac:dyDescent="0.25"/>
  <cols>
    <col min="1" max="1" width="15.28515625" style="420" customWidth="1"/>
    <col min="2" max="2" width="9.140625" style="420"/>
    <col min="3" max="3" width="9.140625" style="420" customWidth="1"/>
    <col min="4" max="4" width="6.85546875" style="425" customWidth="1"/>
    <col min="5" max="5" width="5.7109375" style="420" hidden="1" customWidth="1"/>
    <col min="6" max="6" width="5" style="420" hidden="1" customWidth="1"/>
    <col min="7" max="8" width="11.85546875" style="420" customWidth="1"/>
    <col min="9" max="9" width="9.140625" style="420"/>
    <col min="10" max="10" width="9.140625" style="19" customWidth="1"/>
    <col min="11" max="12" width="15.85546875" style="420" bestFit="1" customWidth="1"/>
    <col min="13" max="13" width="9.5703125" style="422" customWidth="1"/>
    <col min="14" max="16384" width="9.140625" style="420"/>
  </cols>
  <sheetData>
    <row r="1" spans="1:18" x14ac:dyDescent="0.25">
      <c r="A1" s="420" t="s">
        <v>136</v>
      </c>
      <c r="B1" s="420" t="s">
        <v>137</v>
      </c>
      <c r="C1" s="420" t="s">
        <v>138</v>
      </c>
      <c r="D1" s="425" t="s">
        <v>366</v>
      </c>
      <c r="E1" s="420" t="s">
        <v>139</v>
      </c>
      <c r="F1" s="420" t="s">
        <v>140</v>
      </c>
      <c r="G1" s="620" t="s">
        <v>141</v>
      </c>
      <c r="H1" s="620"/>
      <c r="K1" s="420" t="s">
        <v>171</v>
      </c>
      <c r="L1" s="420" t="s">
        <v>172</v>
      </c>
    </row>
    <row r="2" spans="1:18" x14ac:dyDescent="0.25">
      <c r="A2" s="622">
        <v>1980</v>
      </c>
      <c r="B2" s="420">
        <v>51</v>
      </c>
      <c r="C2" s="420">
        <v>180</v>
      </c>
      <c r="D2" s="425">
        <f>C2/B2</f>
        <v>3.5294117647058822</v>
      </c>
      <c r="E2" s="420">
        <f>IF(B2,SUM(B$2:B2),"")</f>
        <v>51</v>
      </c>
      <c r="F2" s="420">
        <f>IF(C2,SUM(C$2:C2),"")</f>
        <v>180</v>
      </c>
      <c r="G2" s="622">
        <v>1980</v>
      </c>
      <c r="H2" s="622"/>
      <c r="J2" s="19" t="s">
        <v>174</v>
      </c>
      <c r="K2" s="423">
        <v>43977.583333333336</v>
      </c>
      <c r="L2" s="423">
        <v>43978.017361111109</v>
      </c>
      <c r="M2" s="422">
        <f>L2-K2</f>
        <v>0.43402777777373558</v>
      </c>
      <c r="O2" s="420" t="s">
        <v>9</v>
      </c>
      <c r="P2" s="420">
        <v>2</v>
      </c>
      <c r="Q2" s="420" t="s">
        <v>53</v>
      </c>
      <c r="R2" s="420">
        <v>0</v>
      </c>
    </row>
    <row r="3" spans="1:18" x14ac:dyDescent="0.25">
      <c r="A3" s="622"/>
      <c r="B3" s="420">
        <v>98</v>
      </c>
      <c r="C3" s="420">
        <v>295</v>
      </c>
      <c r="D3" s="425">
        <f t="shared" ref="D3:D20" si="0">C3/B3</f>
        <v>3.010204081632653</v>
      </c>
      <c r="E3" s="420">
        <f>IF(B3,SUM(B$2:B3),"")</f>
        <v>149</v>
      </c>
      <c r="F3" s="420">
        <f>IF(C3,SUM(C$2:C3),"")</f>
        <v>475</v>
      </c>
      <c r="G3" s="622"/>
      <c r="H3" s="622"/>
      <c r="J3" s="19" t="s">
        <v>170</v>
      </c>
      <c r="K3" s="423">
        <v>44008.583333333336</v>
      </c>
      <c r="L3" s="423">
        <v>44010.416666666664</v>
      </c>
      <c r="M3" s="422">
        <f>L3-K3</f>
        <v>1.8333333333284827</v>
      </c>
      <c r="O3" s="420" t="s">
        <v>7</v>
      </c>
      <c r="P3" s="420">
        <v>2</v>
      </c>
      <c r="Q3" s="420" t="s">
        <v>2</v>
      </c>
      <c r="R3" s="420">
        <v>0</v>
      </c>
    </row>
    <row r="4" spans="1:18" x14ac:dyDescent="0.25">
      <c r="B4" s="420">
        <v>181</v>
      </c>
      <c r="C4" s="420">
        <v>465</v>
      </c>
      <c r="D4" s="425">
        <f t="shared" si="0"/>
        <v>2.569060773480663</v>
      </c>
      <c r="E4" s="420">
        <f>IF(B4,SUM(B$2:B4),"")</f>
        <v>330</v>
      </c>
      <c r="F4" s="420">
        <f>IF(C4,SUM(C$2:C4),"")</f>
        <v>940</v>
      </c>
      <c r="G4" s="620" t="str">
        <f>"Predicted left to " &amp; A2</f>
        <v>Predicted left to 1980</v>
      </c>
      <c r="H4" s="620"/>
      <c r="J4" s="19" t="s">
        <v>173</v>
      </c>
      <c r="K4" s="423">
        <v>44040.583333333336</v>
      </c>
      <c r="L4" s="423">
        <v>44041.306944444441</v>
      </c>
      <c r="M4" s="422">
        <f>L4-K4</f>
        <v>0.72361111110512866</v>
      </c>
      <c r="O4" s="420" t="s">
        <v>6</v>
      </c>
      <c r="P4" s="420">
        <v>2</v>
      </c>
      <c r="Q4" s="420" t="s">
        <v>72</v>
      </c>
      <c r="R4" s="420">
        <v>2</v>
      </c>
    </row>
    <row r="5" spans="1:18" ht="15" customHeight="1" x14ac:dyDescent="0.25">
      <c r="A5" s="421"/>
      <c r="B5" s="420">
        <v>50</v>
      </c>
      <c r="C5" s="420">
        <v>165</v>
      </c>
      <c r="D5" s="425">
        <f t="shared" si="0"/>
        <v>3.3</v>
      </c>
      <c r="E5" s="420">
        <f>IF(B5,SUM(B$2:B5),"")</f>
        <v>380</v>
      </c>
      <c r="F5" s="420">
        <f>IF(C5,SUM(C$2:C5),"")</f>
        <v>1105</v>
      </c>
      <c r="G5" s="621" t="str">
        <f>IF(G2&gt;=A2,"",_xlfn.FORECAST.LINEAR(A2-G2, E:E, F:F))</f>
        <v/>
      </c>
      <c r="H5" s="620" t="s">
        <v>142</v>
      </c>
      <c r="K5" s="423">
        <v>44071.583333333336</v>
      </c>
      <c r="L5" s="423">
        <v>44074.12222222222</v>
      </c>
      <c r="M5" s="422">
        <f>L5-K5</f>
        <v>2.538888888884685</v>
      </c>
      <c r="O5" s="420" t="s">
        <v>4</v>
      </c>
      <c r="P5" s="420">
        <v>0</v>
      </c>
      <c r="Q5" s="420" t="s">
        <v>0</v>
      </c>
      <c r="R5" s="420">
        <v>2</v>
      </c>
    </row>
    <row r="6" spans="1:18" ht="15" customHeight="1" x14ac:dyDescent="0.25">
      <c r="A6" s="421"/>
      <c r="B6" s="420">
        <v>169</v>
      </c>
      <c r="C6" s="420">
        <v>490</v>
      </c>
      <c r="D6" s="425">
        <f t="shared" si="0"/>
        <v>2.8994082840236688</v>
      </c>
      <c r="E6" s="420">
        <f>IF(B6,SUM(B$2:B6),"")</f>
        <v>549</v>
      </c>
      <c r="F6" s="420">
        <f>IF(C6,SUM(C$2:C6),"")</f>
        <v>1595</v>
      </c>
      <c r="G6" s="621"/>
      <c r="H6" s="620"/>
      <c r="J6" s="19" t="s">
        <v>303</v>
      </c>
      <c r="K6" s="423">
        <v>44131.583333333336</v>
      </c>
      <c r="L6" s="423">
        <v>44132.091666666667</v>
      </c>
      <c r="M6" s="422">
        <f>L6-K6</f>
        <v>0.50833333333139308</v>
      </c>
      <c r="O6" s="420" t="s">
        <v>3</v>
      </c>
      <c r="P6" s="420">
        <v>2</v>
      </c>
      <c r="Q6" s="420" t="s">
        <v>5</v>
      </c>
      <c r="R6" s="420">
        <v>2</v>
      </c>
    </row>
    <row r="7" spans="1:18" ht="15" customHeight="1" x14ac:dyDescent="0.25">
      <c r="B7" s="420">
        <v>213</v>
      </c>
      <c r="C7" s="420">
        <v>685</v>
      </c>
      <c r="D7" s="425">
        <f t="shared" si="0"/>
        <v>3.215962441314554</v>
      </c>
      <c r="E7" s="420">
        <f>IF(B7,SUM(B$2:B7),"")</f>
        <v>762</v>
      </c>
      <c r="F7" s="420">
        <f>IF(C7,SUM(C$2:C7),"")</f>
        <v>2280</v>
      </c>
      <c r="G7" s="623" t="e">
        <f ca="1">NOW() + G5/1440</f>
        <v>#VALUE!</v>
      </c>
      <c r="H7" s="623"/>
      <c r="Q7" s="420" t="s">
        <v>8</v>
      </c>
      <c r="R7" s="420">
        <v>0</v>
      </c>
    </row>
    <row r="8" spans="1:18" x14ac:dyDescent="0.25">
      <c r="D8" s="425" t="e">
        <f t="shared" si="0"/>
        <v>#DIV/0!</v>
      </c>
      <c r="E8" s="420" t="str">
        <f>IF(B8,SUM(B$2:B8),"")</f>
        <v/>
      </c>
      <c r="F8" s="420" t="str">
        <f>IF(C8,SUM(C$2:C8),"")</f>
        <v/>
      </c>
      <c r="G8" s="620" t="str">
        <f>"Predicted total to " &amp; A2</f>
        <v>Predicted total to 1980</v>
      </c>
      <c r="H8" s="620"/>
      <c r="J8" s="19">
        <v>1810</v>
      </c>
      <c r="K8" s="437">
        <v>44237.439583333333</v>
      </c>
      <c r="Q8" s="420" t="s">
        <v>206</v>
      </c>
      <c r="R8" s="420">
        <v>2</v>
      </c>
    </row>
    <row r="9" spans="1:18" x14ac:dyDescent="0.25">
      <c r="D9" s="425" t="e">
        <f t="shared" si="0"/>
        <v>#DIV/0!</v>
      </c>
      <c r="E9" s="420" t="str">
        <f>IF(B9,SUM(B$2:B9),"")</f>
        <v/>
      </c>
      <c r="F9" s="420" t="str">
        <f>IF(C9,SUM(C$2:C9),"")</f>
        <v/>
      </c>
      <c r="G9" s="621">
        <f>_xlfn.FORECAST.LINEAR(A2, E:E, F:F)</f>
        <v>671.7693669332881</v>
      </c>
      <c r="H9" s="620" t="s">
        <v>142</v>
      </c>
      <c r="J9" s="19">
        <v>2495</v>
      </c>
      <c r="K9" s="437">
        <v>44237.587500000001</v>
      </c>
      <c r="L9" s="423"/>
      <c r="M9" s="420"/>
      <c r="Q9" s="420" t="s">
        <v>125</v>
      </c>
      <c r="R9" s="420">
        <v>2</v>
      </c>
    </row>
    <row r="10" spans="1:18" x14ac:dyDescent="0.25">
      <c r="D10" s="425" t="e">
        <f t="shared" si="0"/>
        <v>#DIV/0!</v>
      </c>
      <c r="E10" s="420" t="str">
        <f>IF(B10,SUM(B$2:B10),"")</f>
        <v/>
      </c>
      <c r="F10" s="420" t="str">
        <f>IF(C10,SUM(C$2:C10),"")</f>
        <v/>
      </c>
      <c r="G10" s="621"/>
      <c r="H10" s="620"/>
      <c r="J10" s="19">
        <f>J9-J8</f>
        <v>685</v>
      </c>
      <c r="K10" s="420">
        <f>(K9-K8)*1440</f>
        <v>213.00000000279397</v>
      </c>
      <c r="Q10" s="420" t="s">
        <v>207</v>
      </c>
      <c r="R10" s="420">
        <v>2</v>
      </c>
    </row>
    <row r="11" spans="1:18" x14ac:dyDescent="0.25">
      <c r="D11" s="425" t="e">
        <f t="shared" si="0"/>
        <v>#DIV/0!</v>
      </c>
      <c r="E11" s="420" t="str">
        <f>IF(B11,SUM(B$2:B11),"")</f>
        <v/>
      </c>
      <c r="F11" s="420" t="str">
        <f>IF(C11,SUM(C$2:C11),"")</f>
        <v/>
      </c>
    </row>
    <row r="12" spans="1:18" x14ac:dyDescent="0.25">
      <c r="D12" s="425" t="e">
        <f t="shared" si="0"/>
        <v>#DIV/0!</v>
      </c>
      <c r="E12" s="420" t="str">
        <f>IF(B12,SUM(B$2:B12),"")</f>
        <v/>
      </c>
      <c r="F12" s="420" t="str">
        <f>IF(C12,SUM(C$2:C12),"")</f>
        <v/>
      </c>
      <c r="O12" s="420">
        <f>SUM(P2:P6, R2:R10)*14</f>
        <v>280</v>
      </c>
      <c r="P12" s="420">
        <f>14*28</f>
        <v>392</v>
      </c>
      <c r="Q12" s="424">
        <f>O12/P12</f>
        <v>0.7142857142857143</v>
      </c>
      <c r="R12" s="420">
        <f>P12-O12</f>
        <v>112</v>
      </c>
    </row>
    <row r="13" spans="1:18" x14ac:dyDescent="0.25">
      <c r="D13" s="425" t="e">
        <f t="shared" si="0"/>
        <v>#DIV/0!</v>
      </c>
      <c r="E13" s="420" t="str">
        <f>IF(B13,SUM(B$2:B13),"")</f>
        <v/>
      </c>
      <c r="F13" s="420" t="str">
        <f>IF(C13,SUM(C$2:C13),"")</f>
        <v/>
      </c>
      <c r="O13" s="420">
        <f>O12+G2</f>
        <v>2260</v>
      </c>
      <c r="P13" s="420">
        <f>P12</f>
        <v>392</v>
      </c>
      <c r="Q13" s="424">
        <f>O13/P13</f>
        <v>5.7653061224489797</v>
      </c>
    </row>
    <row r="14" spans="1:18" x14ac:dyDescent="0.25">
      <c r="D14" s="425" t="e">
        <f t="shared" si="0"/>
        <v>#DIV/0!</v>
      </c>
      <c r="E14" s="420" t="str">
        <f>IF(B14,SUM(B$2:B14),"")</f>
        <v/>
      </c>
      <c r="F14" s="420" t="str">
        <f>IF(C14,SUM(C$2:C14),"")</f>
        <v/>
      </c>
    </row>
    <row r="15" spans="1:18" x14ac:dyDescent="0.25">
      <c r="D15" s="425" t="e">
        <f t="shared" si="0"/>
        <v>#DIV/0!</v>
      </c>
      <c r="E15" s="420" t="str">
        <f>IF(B15,SUM(B$2:B15),"")</f>
        <v/>
      </c>
      <c r="F15" s="420" t="str">
        <f>IF(C15,SUM(C$2:C15),"")</f>
        <v/>
      </c>
    </row>
    <row r="16" spans="1:18" x14ac:dyDescent="0.25">
      <c r="D16" s="425" t="e">
        <f t="shared" si="0"/>
        <v>#DIV/0!</v>
      </c>
      <c r="E16" s="420" t="str">
        <f>IF(B16,SUM(B$2:B16),"")</f>
        <v/>
      </c>
      <c r="F16" s="420" t="str">
        <f>IF(C16,SUM(C$2:C16),"")</f>
        <v/>
      </c>
    </row>
    <row r="17" spans="4:6" x14ac:dyDescent="0.25">
      <c r="D17" s="425" t="e">
        <f t="shared" si="0"/>
        <v>#DIV/0!</v>
      </c>
      <c r="E17" s="420" t="str">
        <f>IF(B17,SUM(B$2:B17),"")</f>
        <v/>
      </c>
      <c r="F17" s="420" t="str">
        <f>IF(C17,SUM(C$2:C17),"")</f>
        <v/>
      </c>
    </row>
    <row r="18" spans="4:6" x14ac:dyDescent="0.25">
      <c r="D18" s="425" t="e">
        <f t="shared" si="0"/>
        <v>#DIV/0!</v>
      </c>
      <c r="E18" s="420" t="str">
        <f>IF(B18,SUM(B$2:B18),"")</f>
        <v/>
      </c>
      <c r="F18" s="420" t="str">
        <f>IF(C18,SUM(C$2:C18),"")</f>
        <v/>
      </c>
    </row>
    <row r="19" spans="4:6" x14ac:dyDescent="0.25">
      <c r="D19" s="425" t="e">
        <f t="shared" si="0"/>
        <v>#DIV/0!</v>
      </c>
      <c r="E19" s="420" t="str">
        <f>IF(B19,SUM(B$2:B19),"")</f>
        <v/>
      </c>
      <c r="F19" s="420" t="str">
        <f>IF(C19,SUM(C$2:C19),"")</f>
        <v/>
      </c>
    </row>
    <row r="20" spans="4:6" x14ac:dyDescent="0.25">
      <c r="D20" s="425" t="e">
        <f t="shared" si="0"/>
        <v>#DIV/0!</v>
      </c>
      <c r="E20" s="420" t="str">
        <f>IF(B20,SUM(B$2:B20),"")</f>
        <v/>
      </c>
      <c r="F20" s="420" t="str">
        <f>IF(C20,SUM(C$2:C20),"")</f>
        <v/>
      </c>
    </row>
    <row r="21" spans="4:6" x14ac:dyDescent="0.25">
      <c r="E21" s="420" t="str">
        <f>IF(B21,SUM(B$2:B21),"")</f>
        <v/>
      </c>
      <c r="F21" s="420" t="str">
        <f>IF(C21,SUM(C$2:C21),"")</f>
        <v/>
      </c>
    </row>
    <row r="22" spans="4:6" x14ac:dyDescent="0.25">
      <c r="E22" s="420" t="str">
        <f>IF(B22,SUM(B$2:B22),"")</f>
        <v/>
      </c>
      <c r="F22" s="420" t="str">
        <f>IF(C22,SUM(C$2:C22),"")</f>
        <v/>
      </c>
    </row>
    <row r="23" spans="4:6" x14ac:dyDescent="0.25">
      <c r="E23" s="420" t="str">
        <f>IF(B23,SUM(B$2:B23),"")</f>
        <v/>
      </c>
      <c r="F23" s="420" t="str">
        <f>IF(C23,SUM(C$2:C23),"")</f>
        <v/>
      </c>
    </row>
    <row r="24" spans="4:6" x14ac:dyDescent="0.25">
      <c r="E24" s="420" t="str">
        <f>IF(B24,SUM(B$2:B24),"")</f>
        <v/>
      </c>
      <c r="F24" s="420" t="str">
        <f>IF(C24,SUM(C$2:C24),"")</f>
        <v/>
      </c>
    </row>
    <row r="25" spans="4:6" x14ac:dyDescent="0.25">
      <c r="E25" s="420" t="str">
        <f>IF(B25,SUM(B$2:B25),"")</f>
        <v/>
      </c>
      <c r="F25" s="420" t="str">
        <f>IF(C25,SUM(C$2:C25),"")</f>
        <v/>
      </c>
    </row>
    <row r="26" spans="4:6" x14ac:dyDescent="0.25">
      <c r="E26" s="420" t="str">
        <f>IF(B26,SUM(B$2:B26),"")</f>
        <v/>
      </c>
      <c r="F26" s="420" t="str">
        <f>IF(C26,SUM(C$2:C26),"")</f>
        <v/>
      </c>
    </row>
    <row r="27" spans="4:6" x14ac:dyDescent="0.25">
      <c r="E27" s="420" t="str">
        <f>IF(B27,SUM(B$2:B27),"")</f>
        <v/>
      </c>
      <c r="F27" s="420" t="str">
        <f>IF(C27,SUM(C$2:C27),"")</f>
        <v/>
      </c>
    </row>
    <row r="28" spans="4:6" x14ac:dyDescent="0.25">
      <c r="E28" s="420" t="str">
        <f>IF(B28,SUM(B$2:B28),"")</f>
        <v/>
      </c>
      <c r="F28" s="420" t="str">
        <f>IF(C28,SUM(C$2:C28),"")</f>
        <v/>
      </c>
    </row>
    <row r="29" spans="4:6" x14ac:dyDescent="0.25">
      <c r="E29" s="420" t="str">
        <f>IF(B29,SUM(B$2:B29),"")</f>
        <v/>
      </c>
      <c r="F29" s="420" t="str">
        <f>IF(C29,SUM(C$2:C29),"")</f>
        <v/>
      </c>
    </row>
    <row r="30" spans="4:6" x14ac:dyDescent="0.25">
      <c r="E30" s="420" t="str">
        <f>IF(B30,SUM(B$2:B30),"")</f>
        <v/>
      </c>
      <c r="F30" s="420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10">
    <mergeCell ref="G8:H8"/>
    <mergeCell ref="G9:G10"/>
    <mergeCell ref="H9:H10"/>
    <mergeCell ref="G1:H1"/>
    <mergeCell ref="A2:A3"/>
    <mergeCell ref="G2:H3"/>
    <mergeCell ref="G4:H4"/>
    <mergeCell ref="G5:G6"/>
    <mergeCell ref="H5:H6"/>
    <mergeCell ref="G7:H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7CA3-2615-43C6-A98F-3DCE24EF3939}">
  <sheetPr>
    <tabColor rgb="FF00B0F0"/>
  </sheetPr>
  <dimension ref="A1:N700"/>
  <sheetViews>
    <sheetView topLeftCell="A211" workbookViewId="0">
      <selection activeCell="N222" sqref="A1:N222"/>
    </sheetView>
  </sheetViews>
  <sheetFormatPr defaultColWidth="9.28515625" defaultRowHeight="14.65" customHeight="1" x14ac:dyDescent="0.25"/>
  <cols>
    <col min="1" max="1" width="14" style="8" customWidth="1"/>
    <col min="2" max="2" width="6.28515625" style="480" customWidth="1"/>
    <col min="3" max="4" width="9.28515625" style="480"/>
    <col min="5" max="5" width="32.85546875" style="480" customWidth="1"/>
    <col min="6" max="6" width="10.85546875" style="51" customWidth="1"/>
    <col min="7" max="7" width="14.7109375" style="58" customWidth="1"/>
    <col min="8" max="8" width="11.42578125" style="479" customWidth="1"/>
    <col min="9" max="9" width="10.85546875" style="51" customWidth="1"/>
    <col min="10" max="10" width="14.7109375" style="58" customWidth="1"/>
    <col min="11" max="11" width="11.42578125" style="479" customWidth="1"/>
    <col min="12" max="12" width="10.85546875" style="51" customWidth="1"/>
    <col min="13" max="13" width="14.7109375" style="58" customWidth="1"/>
    <col min="14" max="14" width="11.42578125" style="479" customWidth="1"/>
    <col min="15" max="16384" width="9.28515625" style="480"/>
  </cols>
  <sheetData>
    <row r="1" spans="1:14" s="478" customFormat="1" ht="14.65" customHeight="1" x14ac:dyDescent="0.25">
      <c r="A1" s="478" t="s">
        <v>62</v>
      </c>
      <c r="B1" s="478">
        <v>1</v>
      </c>
      <c r="C1" s="478">
        <v>7</v>
      </c>
      <c r="F1" s="624" t="str">
        <f>B1&amp; "日"</f>
        <v>1日</v>
      </c>
      <c r="G1" s="625"/>
      <c r="H1" s="625"/>
      <c r="I1" s="624" t="str">
        <f>C1 &amp; "日"</f>
        <v>7日</v>
      </c>
      <c r="J1" s="625"/>
      <c r="K1" s="625"/>
      <c r="L1" s="624" t="s">
        <v>58</v>
      </c>
      <c r="M1" s="625"/>
      <c r="N1" s="625"/>
    </row>
    <row r="2" spans="1:14" s="478" customFormat="1" ht="14.65" customHeight="1" x14ac:dyDescent="0.25">
      <c r="A2" s="54" t="s">
        <v>11</v>
      </c>
      <c r="B2" s="478" t="s">
        <v>15</v>
      </c>
      <c r="C2" s="478" t="s">
        <v>56</v>
      </c>
      <c r="D2" s="478" t="s">
        <v>55</v>
      </c>
      <c r="E2" s="478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478" t="s">
        <v>57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478" t="s">
        <v>57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478" t="s">
        <v>57</v>
      </c>
    </row>
    <row r="3" spans="1:14" ht="14.65" customHeight="1" x14ac:dyDescent="0.25">
      <c r="A3" s="8">
        <v>43666.918749999997</v>
      </c>
      <c r="B3" s="480">
        <v>164</v>
      </c>
      <c r="C3" s="480">
        <v>38379</v>
      </c>
      <c r="D3" s="480">
        <f t="shared" ref="D3:D66" si="0">IF(ISBLANK(A3),"-",INDEX(DATA_PLAYER_EXP, B3, 3) + INDEX(DATA_PLAYER_EXP, B3, 2) - C3)</f>
        <v>4680111</v>
      </c>
      <c r="E3" s="46">
        <f>IF(ISBLANK(A3),"-",D3/PLAYER_EXP_MAX)</f>
        <v>0.16835846725338202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480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66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80">
        <v>164</v>
      </c>
      <c r="C4" s="480">
        <v>34945</v>
      </c>
      <c r="D4" s="480">
        <f t="shared" si="0"/>
        <v>4683545</v>
      </c>
      <c r="E4" s="46">
        <f>IF(ISBLANK(A4),"-",D4/PLAYER_EXP_MAX)</f>
        <v>0.16848199914750761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480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ref="L4:L67" si="5">IFERROR(IF(OR(ISBLANK($A4),$A4-$A$3 &lt; $C$1),NA(),($D4-$D$3)/($A4-$A$3)),NA())</f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80">
        <v>164</v>
      </c>
      <c r="C5" s="480">
        <v>28047</v>
      </c>
      <c r="D5" s="480">
        <f t="shared" si="0"/>
        <v>4690443</v>
      </c>
      <c r="E5" s="46">
        <f>IF(ISBLANK(A5),"-",D5/PLAYER_EXP_MAX)</f>
        <v>0.16873014213110649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480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5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80">
        <v>164</v>
      </c>
      <c r="C6" s="480">
        <v>13277</v>
      </c>
      <c r="D6" s="480">
        <f t="shared" si="0"/>
        <v>4705213</v>
      </c>
      <c r="E6" s="46">
        <f>IF(ISBLANK(A6),"-",D6/PLAYER_EXP_MAX)</f>
        <v>0.16926146597392397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480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5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80">
        <v>165</v>
      </c>
      <c r="C7" s="480">
        <v>119607</v>
      </c>
      <c r="D7" s="480">
        <f t="shared" si="0"/>
        <v>4732883</v>
      </c>
      <c r="E7" s="46">
        <f>IF(ISBLANK(A7),"-",D7/PLAYER_EXP_MAX)</f>
        <v>0.17025684381622325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480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5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80">
        <v>165</v>
      </c>
      <c r="C8" s="480">
        <v>95094</v>
      </c>
      <c r="D8" s="480">
        <f t="shared" si="0"/>
        <v>4757396</v>
      </c>
      <c r="E8" s="46">
        <f>IF(ISBLANK(A8),"-",D8/PLAYER_EXP_MAX)</f>
        <v>0.17113865433477338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480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5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80">
        <v>165</v>
      </c>
      <c r="C9" s="480">
        <v>89641</v>
      </c>
      <c r="D9" s="480">
        <f t="shared" si="0"/>
        <v>4762849</v>
      </c>
      <c r="E9" s="46">
        <f>IF(ISBLANK(A9),"-",D9/PLAYER_EXP_MAX)</f>
        <v>0.17133481607579462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480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 t="shared" si="5"/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80">
        <v>165</v>
      </c>
      <c r="C10" s="480">
        <v>80744</v>
      </c>
      <c r="D10" s="480">
        <f t="shared" si="0"/>
        <v>4771746</v>
      </c>
      <c r="E10" s="46">
        <f>IF(ISBLANK(A10),"-",D10/PLAYER_EXP_MAX)</f>
        <v>0.17165486944272404</v>
      </c>
      <c r="F10" s="51">
        <f ca="1">IF(ISBLANK(A10),NA(),IFERROR(SLOPE(INDIRECT("D" &amp; MATCH(A10-$B$1,A:A,1)):D10, INDIRECT("A" &amp; MATCH(A10-$B$1,A:A,1)):A10),NA()))</f>
        <v>81982.186636300976</v>
      </c>
      <c r="G10" s="58">
        <f ca="1">IF(ISBLANK(A10),NA(),IFERROR(A10+(PLAYER_EXP_MAX-D10)/F10,NA()))</f>
        <v>43948.810371882901</v>
      </c>
      <c r="H10" s="480" t="str">
        <f t="shared" ca="1" si="1"/>
        <v>-364 D 04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si="5"/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80">
        <v>165</v>
      </c>
      <c r="C11" s="480">
        <v>68878</v>
      </c>
      <c r="D11" s="480">
        <f t="shared" si="0"/>
        <v>4783612</v>
      </c>
      <c r="E11" s="46">
        <f>IF(ISBLANK(A11),"-",D11/PLAYER_EXP_MAX)</f>
        <v>0.17208172717589074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43939.876241502694</v>
      </c>
      <c r="H11" s="480" t="str">
        <f t="shared" ca="1" si="1"/>
        <v>-373 D 02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80">
        <v>165</v>
      </c>
      <c r="C12" s="480">
        <v>39694</v>
      </c>
      <c r="D12" s="480">
        <f t="shared" si="0"/>
        <v>4812796</v>
      </c>
      <c r="E12" s="46">
        <f>IF(ISBLANK(A12),"-",D12/PLAYER_EXP_MAX)</f>
        <v>0.17313156841006719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43909.960135175286</v>
      </c>
      <c r="H12" s="480" t="str">
        <f t="shared" ca="1" si="1"/>
        <v>-403 D 00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80">
        <v>165</v>
      </c>
      <c r="C13" s="480">
        <v>36537</v>
      </c>
      <c r="D13" s="480">
        <f t="shared" si="0"/>
        <v>4815953</v>
      </c>
      <c r="E13" s="46">
        <f>IF(ISBLANK(A13),"-",D13/PLAYER_EXP_MAX)</f>
        <v>0.17324513573381634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43890.939465266958</v>
      </c>
      <c r="H13" s="480" t="str">
        <f t="shared" ca="1" si="1"/>
        <v>-422 D 00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80">
        <v>165</v>
      </c>
      <c r="C14" s="480">
        <v>26661</v>
      </c>
      <c r="D14" s="480">
        <f t="shared" si="0"/>
        <v>4825829</v>
      </c>
      <c r="E14" s="46">
        <f>IF(ISBLANK(A14),"-",D14/PLAYER_EXP_MAX)</f>
        <v>0.17360040684225678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43936.383928184412</v>
      </c>
      <c r="H14" s="480" t="str">
        <f t="shared" ca="1" si="1"/>
        <v>-376 D 14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80">
        <v>165</v>
      </c>
      <c r="C15" s="480">
        <v>2437</v>
      </c>
      <c r="D15" s="480">
        <f t="shared" si="0"/>
        <v>4850053</v>
      </c>
      <c r="E15" s="46">
        <f>IF(ISBLANK(A15),"-",D15/PLAYER_EXP_MAX)</f>
        <v>0.1744718211122914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44651.35326719263</v>
      </c>
      <c r="H15" s="480" t="str">
        <f t="shared" ca="1" si="1"/>
        <v>338 D 08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80">
        <v>166</v>
      </c>
      <c r="C16" s="480">
        <v>112999</v>
      </c>
      <c r="D16" s="480">
        <f t="shared" si="0"/>
        <v>4876491</v>
      </c>
      <c r="E16" s="46">
        <f>IF(ISBLANK(A16),"-",D16/PLAYER_EXP_MAX)</f>
        <v>0.17542287999898123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44311.205750673638</v>
      </c>
      <c r="H16" s="480" t="str">
        <f t="shared" ca="1" si="1"/>
        <v>-001 D 18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80">
        <v>166</v>
      </c>
      <c r="C17" s="480">
        <v>82919</v>
      </c>
      <c r="D17" s="480">
        <f t="shared" si="0"/>
        <v>4906571</v>
      </c>
      <c r="E17" s="46">
        <f>IF(ISBLANK(A17),"-",D17/PLAYER_EXP_MAX)</f>
        <v>0.17650495320087362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44128.010679790736</v>
      </c>
      <c r="H17" s="480" t="str">
        <f t="shared" ca="1" si="1"/>
        <v>-184 D 23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80">
        <v>166</v>
      </c>
      <c r="C18" s="480">
        <v>78040</v>
      </c>
      <c r="D18" s="480">
        <f t="shared" si="0"/>
        <v>4911450</v>
      </c>
      <c r="E18" s="46">
        <f>IF(ISBLANK(A18),"-",D18/PLAYER_EXP_MAX)</f>
        <v>0.17668046633757684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44071.075857363947</v>
      </c>
      <c r="H18" s="480" t="str">
        <f t="shared" ca="1" si="1"/>
        <v>-241 D 21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80">
        <v>166</v>
      </c>
      <c r="C19" s="480">
        <v>44973</v>
      </c>
      <c r="D19" s="480">
        <f t="shared" si="0"/>
        <v>4944517</v>
      </c>
      <c r="E19" s="46">
        <f>IF(ISBLANK(A19),"-",D19/PLAYER_EXP_MAX)</f>
        <v>0.1778699914229151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44003.052699578693</v>
      </c>
      <c r="H19" s="480" t="str">
        <f t="shared" ca="1" si="1"/>
        <v>-309 D 22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80">
        <v>166</v>
      </c>
      <c r="C20" s="480">
        <v>24191</v>
      </c>
      <c r="D20" s="480">
        <f t="shared" si="0"/>
        <v>4965299</v>
      </c>
      <c r="E20" s="46">
        <f>IF(ISBLANK(A20),"-",D20/PLAYER_EXP_MAX)</f>
        <v>0.17861758601339806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43961.023117622077</v>
      </c>
      <c r="H20" s="480" t="str">
        <f t="shared" ca="1" si="1"/>
        <v>-351 D 22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80">
        <v>166</v>
      </c>
      <c r="C21" s="480">
        <v>17185</v>
      </c>
      <c r="D21" s="480">
        <f t="shared" si="0"/>
        <v>4972305</v>
      </c>
      <c r="E21" s="46">
        <f>IF(ISBLANK(A21),"-",D21/PLAYER_EXP_MAX)</f>
        <v>0.1788696141002484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43873.33193662182</v>
      </c>
      <c r="H21" s="480" t="str">
        <f t="shared" ca="1" si="1"/>
        <v>-439 D 15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80">
        <v>167</v>
      </c>
      <c r="C22" s="480">
        <v>120328</v>
      </c>
      <c r="D22" s="480">
        <f t="shared" si="0"/>
        <v>5009162</v>
      </c>
      <c r="E22" s="46">
        <f>IF(ISBLANK(A22),"-",D22/PLAYER_EXP_MAX)</f>
        <v>0.18019547753117085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43947.80441064715</v>
      </c>
      <c r="H22" s="480" t="str">
        <f t="shared" ca="1" si="1"/>
        <v>-365 D 04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80">
        <v>167</v>
      </c>
      <c r="C23" s="480">
        <v>100906</v>
      </c>
      <c r="D23" s="480">
        <f t="shared" si="0"/>
        <v>5028584</v>
      </c>
      <c r="E23" s="46">
        <f>IF(ISBLANK(A23),"-",D23/PLAYER_EXP_MAX)</f>
        <v>0.18089414859922781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43927.862181555443</v>
      </c>
      <c r="H23" s="480" t="str">
        <f t="shared" ca="1" si="1"/>
        <v>-385 D 02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80">
        <v>167</v>
      </c>
      <c r="C24" s="480">
        <v>70771</v>
      </c>
      <c r="D24" s="480">
        <f t="shared" si="0"/>
        <v>5058719</v>
      </c>
      <c r="E24" s="46">
        <f>IF(ISBLANK(A24),"-",D24/PLAYER_EXP_MAX)</f>
        <v>0.18197820032592418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43912.673190825684</v>
      </c>
      <c r="H24" s="480" t="str">
        <f t="shared" ca="1" si="1"/>
        <v>-400 D 07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80">
        <v>167</v>
      </c>
      <c r="C25" s="480">
        <v>63020</v>
      </c>
      <c r="D25" s="480">
        <f t="shared" si="0"/>
        <v>5066470</v>
      </c>
      <c r="E25" s="46">
        <f>IF(ISBLANK(A25),"-",D25/PLAYER_EXP_MAX)</f>
        <v>0.18225702843057406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43888.303387225787</v>
      </c>
      <c r="H25" s="480" t="str">
        <f t="shared" ca="1" si="1"/>
        <v>-424 D 16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80">
        <v>167</v>
      </c>
      <c r="C26" s="480">
        <v>60034</v>
      </c>
      <c r="D26" s="480">
        <f t="shared" si="0"/>
        <v>5069456</v>
      </c>
      <c r="E26" s="46">
        <f>IF(ISBLANK(A26),"-",D26/PLAYER_EXP_MAX)</f>
        <v>0.1823644443408417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43881.543738552216</v>
      </c>
      <c r="H26" s="480" t="str">
        <f t="shared" ca="1" si="1"/>
        <v>-431 D 10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80">
        <v>167</v>
      </c>
      <c r="C27" s="480">
        <v>51593</v>
      </c>
      <c r="D27" s="480">
        <f t="shared" si="0"/>
        <v>5077897</v>
      </c>
      <c r="E27" s="46">
        <f>IF(ISBLANK(A27),"-",D27/PLAYER_EXP_MAX)</f>
        <v>0.1826680939384871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43899.668673390923</v>
      </c>
      <c r="H27" s="480" t="str">
        <f t="shared" ca="1" si="1"/>
        <v>-413 D 07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80">
        <v>168</v>
      </c>
      <c r="C28" s="480">
        <v>100662</v>
      </c>
      <c r="D28" s="480">
        <f t="shared" si="0"/>
        <v>5171828</v>
      </c>
      <c r="E28" s="46">
        <f>IF(ISBLANK(A28),"-",D28/PLAYER_EXP_MAX)</f>
        <v>0.18604709054510121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43991.698545956053</v>
      </c>
      <c r="H28" s="480" t="str">
        <f t="shared" ca="1" si="1"/>
        <v>-321 D 06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80">
        <v>168</v>
      </c>
      <c r="C29" s="480">
        <v>60111</v>
      </c>
      <c r="D29" s="480">
        <f t="shared" si="0"/>
        <v>5212379</v>
      </c>
      <c r="E29" s="46">
        <f>IF(ISBLANK(A29),"-",D29/PLAYER_EXP_MAX)</f>
        <v>0.18750583889649541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44031.077985552576</v>
      </c>
      <c r="H29" s="480" t="str">
        <f t="shared" ca="1" si="1"/>
        <v>-281 D 21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43972.098618567165</v>
      </c>
      <c r="K29" s="36" t="str">
        <f t="shared" ca="1" si="2"/>
        <v>-340 D 21 H</v>
      </c>
      <c r="L29" s="51">
        <f t="shared" si="5"/>
        <v>74908.70992961037</v>
      </c>
      <c r="M29" s="58">
        <f>IF(ISBLANK(A29),NA(),IFERROR(A29+(PLAYER_EXP_MAX-D29)/L29,NA()))</f>
        <v>43975.539443397647</v>
      </c>
      <c r="N29" s="36" t="str">
        <f t="shared" ca="1" si="4"/>
        <v>-337 D 10 H</v>
      </c>
    </row>
    <row r="30" spans="1:14" ht="14.65" customHeight="1" x14ac:dyDescent="0.25">
      <c r="A30" s="8">
        <v>43674.384027777778</v>
      </c>
      <c r="B30" s="480">
        <v>169</v>
      </c>
      <c r="C30" s="480">
        <v>135425</v>
      </c>
      <c r="D30" s="480">
        <f t="shared" si="0"/>
        <v>5283065</v>
      </c>
      <c r="E30" s="46">
        <f>IF(ISBLANK(A30),"-",D30/PLAYER_EXP_MAX)</f>
        <v>0.19004863897458599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43937.263739836984</v>
      </c>
      <c r="H30" s="480" t="str">
        <f t="shared" ca="1" si="1"/>
        <v>-375 D 17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43967.654980201398</v>
      </c>
      <c r="K30" s="36" t="str">
        <f t="shared" ca="1" si="2"/>
        <v>-345 D 07 H</v>
      </c>
      <c r="L30" s="51">
        <f t="shared" si="5"/>
        <v>80767.791627871993</v>
      </c>
      <c r="M30" s="58">
        <f>IF(ISBLANK(A30),NA(),IFERROR(A30+(PLAYER_EXP_MAX-D30)/L30,NA()))</f>
        <v>43953.15138721899</v>
      </c>
      <c r="N30" s="36" t="str">
        <f t="shared" ca="1" si="4"/>
        <v>-359 D 19 H</v>
      </c>
    </row>
    <row r="31" spans="1:14" ht="14.65" customHeight="1" x14ac:dyDescent="0.25">
      <c r="A31" s="8">
        <v>43674.999305555561</v>
      </c>
      <c r="B31" s="480">
        <v>169</v>
      </c>
      <c r="C31" s="480">
        <v>107468</v>
      </c>
      <c r="D31" s="480">
        <f t="shared" si="0"/>
        <v>5311022</v>
      </c>
      <c r="E31" s="46">
        <f>IF(ISBLANK(A31),"-",D31/PLAYER_EXP_MAX)</f>
        <v>0.19105434111904426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43950.94070706849</v>
      </c>
      <c r="H31" s="480" t="str">
        <f t="shared" ca="1" si="1"/>
        <v>-362 D 00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43967.85097205385</v>
      </c>
      <c r="K31" s="36" t="str">
        <f t="shared" ca="1" si="2"/>
        <v>-345 D 03 H</v>
      </c>
      <c r="L31" s="51">
        <f t="shared" si="5"/>
        <v>78077.676177303991</v>
      </c>
      <c r="M31" s="58">
        <f>IF(ISBLANK(A31),NA(),IFERROR(A31+(PLAYER_EXP_MAX-D31)/L31,NA()))</f>
        <v>43963.013346200598</v>
      </c>
      <c r="N31" s="36" t="str">
        <f t="shared" ca="1" si="4"/>
        <v>-349 D 23 H</v>
      </c>
    </row>
    <row r="32" spans="1:14" ht="14.65" customHeight="1" x14ac:dyDescent="0.25">
      <c r="A32" s="8">
        <v>43675.103472222225</v>
      </c>
      <c r="B32" s="480">
        <v>169</v>
      </c>
      <c r="C32" s="480">
        <v>95179</v>
      </c>
      <c r="D32" s="480">
        <f t="shared" si="0"/>
        <v>5323311</v>
      </c>
      <c r="E32" s="46">
        <f>IF(ISBLANK(A32),"-",D32/PLAYER_EXP_MAX)</f>
        <v>0.19149641550661262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43920.411289502226</v>
      </c>
      <c r="H32" s="480" t="str">
        <f t="shared" ca="1" si="1"/>
        <v>-392 D 13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43965.874036559646</v>
      </c>
      <c r="K32" s="36" t="str">
        <f t="shared" ca="1" si="2"/>
        <v>-347 D 02 H</v>
      </c>
      <c r="L32" s="51">
        <f t="shared" si="5"/>
        <v>78585.44035290835</v>
      </c>
      <c r="M32" s="58">
        <f>IF(ISBLANK(A32),NA(),IFERROR(A32+(PLAYER_EXP_MAX-D32)/L32,NA()))</f>
        <v>43961.100189922974</v>
      </c>
      <c r="N32" s="36" t="str">
        <f t="shared" ca="1" si="4"/>
        <v>-351 D 21 H</v>
      </c>
    </row>
    <row r="33" spans="1:14" ht="14.65" customHeight="1" x14ac:dyDescent="0.25">
      <c r="A33" s="8">
        <v>43675.160416666666</v>
      </c>
      <c r="B33" s="480">
        <v>169</v>
      </c>
      <c r="C33" s="480">
        <v>89429</v>
      </c>
      <c r="D33" s="480">
        <f t="shared" si="0"/>
        <v>5329061</v>
      </c>
      <c r="E33" s="46">
        <f>IF(ISBLANK(A33),"-",D33/PLAYER_EXP_MAX)</f>
        <v>0.19170326128157542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43922.884597890166</v>
      </c>
      <c r="H33" s="480" t="str">
        <f t="shared" ca="1" si="1"/>
        <v>-390 D 02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43957.778361812627</v>
      </c>
      <c r="K33" s="36" t="str">
        <f t="shared" ca="1" si="2"/>
        <v>-355 D 04 H</v>
      </c>
      <c r="L33" s="51">
        <f t="shared" si="5"/>
        <v>78740.141557109877</v>
      </c>
      <c r="M33" s="58">
        <f>IF(ISBLANK(A33),NA(),IFERROR(A33+(PLAYER_EXP_MAX-D33)/L33,NA()))</f>
        <v>43960.522209973868</v>
      </c>
      <c r="N33" s="36" t="str">
        <f t="shared" ca="1" si="4"/>
        <v>-352 D 10 H</v>
      </c>
    </row>
    <row r="34" spans="1:14" ht="14.65" customHeight="1" x14ac:dyDescent="0.25">
      <c r="A34" s="8">
        <v>43675.356250000004</v>
      </c>
      <c r="B34" s="480">
        <v>169</v>
      </c>
      <c r="C34" s="480">
        <v>71804</v>
      </c>
      <c r="D34" s="480">
        <f t="shared" si="0"/>
        <v>5346686</v>
      </c>
      <c r="E34" s="46">
        <f>IF(ISBLANK(A34),"-",D34/PLAYER_EXP_MAX)</f>
        <v>0.19233728854830923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43924.476594002939</v>
      </c>
      <c r="H34" s="480" t="str">
        <f t="shared" ca="1" si="1"/>
        <v>-388 D 12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43957.408124630885</v>
      </c>
      <c r="K34" s="36" t="str">
        <f t="shared" ca="1" si="2"/>
        <v>-355 D 13 H</v>
      </c>
      <c r="L34" s="51">
        <f t="shared" si="5"/>
        <v>79001.481481413357</v>
      </c>
      <c r="M34" s="58">
        <f>IF(ISBLANK(A34),NA(),IFERROR(A34+(PLAYER_EXP_MAX-D34)/L34,NA()))</f>
        <v>43959.550958491418</v>
      </c>
      <c r="N34" s="36" t="str">
        <f t="shared" ca="1" si="4"/>
        <v>-353 D 10 H</v>
      </c>
    </row>
    <row r="35" spans="1:14" ht="14.65" customHeight="1" x14ac:dyDescent="0.25">
      <c r="A35" s="8">
        <v>43675.500694444447</v>
      </c>
      <c r="B35" s="480">
        <v>169</v>
      </c>
      <c r="C35" s="480">
        <v>55728</v>
      </c>
      <c r="D35" s="480">
        <f t="shared" si="0"/>
        <v>5362762</v>
      </c>
      <c r="E35" s="46">
        <f>IF(ISBLANK(A35),"-",D35/PLAYER_EXP_MAX)</f>
        <v>0.19291559336192698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43996.767596954895</v>
      </c>
      <c r="H35" s="480" t="str">
        <f t="shared" ca="1" si="1"/>
        <v>-316 D 05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43956.595323592592</v>
      </c>
      <c r="K35" s="36" t="str">
        <f t="shared" ca="1" si="2"/>
        <v>-356 D 09 H</v>
      </c>
      <c r="L35" s="51">
        <f t="shared" si="5"/>
        <v>79545.026703302094</v>
      </c>
      <c r="M35" s="58">
        <f>IF(ISBLANK(A35),NA(),IFERROR(A35+(PLAYER_EXP_MAX-D35)/L35,NA()))</f>
        <v>43957.55135090703</v>
      </c>
      <c r="N35" s="36" t="str">
        <f t="shared" ca="1" si="4"/>
        <v>-355 D 10 H</v>
      </c>
    </row>
    <row r="36" spans="1:14" ht="14.65" customHeight="1" x14ac:dyDescent="0.25">
      <c r="A36" s="8">
        <v>43676.070138888892</v>
      </c>
      <c r="B36" s="480">
        <v>169</v>
      </c>
      <c r="C36" s="480">
        <v>32745</v>
      </c>
      <c r="D36" s="480">
        <f t="shared" si="0"/>
        <v>5385745</v>
      </c>
      <c r="E36" s="46">
        <f>IF(ISBLANK(A36),"-",D36/PLAYER_EXP_MAX)</f>
        <v>0.19374236491774788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44000.47985295688</v>
      </c>
      <c r="H36" s="480" t="str">
        <f t="shared" ca="1" si="1"/>
        <v>-312 D 11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43952.91928008807</v>
      </c>
      <c r="K36" s="36" t="str">
        <f t="shared" ca="1" si="2"/>
        <v>-360 D 01 H</v>
      </c>
      <c r="L36" s="51">
        <f t="shared" si="5"/>
        <v>77106.76582177385</v>
      </c>
      <c r="M36" s="58">
        <f>IF(ISBLANK(A36),NA(),IFERROR(A36+(PLAYER_EXP_MAX-D36)/L36,NA()))</f>
        <v>43966.741700082435</v>
      </c>
      <c r="N36" s="36" t="str">
        <f t="shared" ca="1" si="4"/>
        <v>-346 D 05 H</v>
      </c>
    </row>
    <row r="37" spans="1:14" ht="14.65" customHeight="1" x14ac:dyDescent="0.25">
      <c r="A37" s="8">
        <v>43676.309027777781</v>
      </c>
      <c r="B37" s="480">
        <v>170</v>
      </c>
      <c r="C37" s="480">
        <v>141726</v>
      </c>
      <c r="D37" s="480">
        <f t="shared" si="0"/>
        <v>5425764</v>
      </c>
      <c r="E37" s="46">
        <f>IF(ISBLANK(A37),"-",D37/PLAYER_EXP_MAX)</f>
        <v>0.19518197553831074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43975.758617619671</v>
      </c>
      <c r="H37" s="480" t="str">
        <f t="shared" ca="1" si="1"/>
        <v>-337 D 05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43952.415347788883</v>
      </c>
      <c r="K37" s="36" t="str">
        <f t="shared" ca="1" si="2"/>
        <v>-360 D 13 H</v>
      </c>
      <c r="L37" s="51">
        <f t="shared" si="5"/>
        <v>79406.916136614222</v>
      </c>
      <c r="M37" s="58">
        <f>IF(ISBLANK(A37),NA(),IFERROR(A37+(PLAYER_EXP_MAX-D37)/L37,NA()))</f>
        <v>43958.056841299578</v>
      </c>
      <c r="N37" s="36" t="str">
        <f t="shared" ca="1" si="4"/>
        <v>-354 D 22 H</v>
      </c>
    </row>
    <row r="38" spans="1:14" ht="14.65" customHeight="1" x14ac:dyDescent="0.25">
      <c r="A38" s="8">
        <v>43676.438194444447</v>
      </c>
      <c r="B38" s="480">
        <v>170</v>
      </c>
      <c r="C38" s="480">
        <v>124016</v>
      </c>
      <c r="D38" s="480">
        <f t="shared" si="0"/>
        <v>5443474</v>
      </c>
      <c r="E38" s="46">
        <f>IF(ISBLANK(A38),"-",D38/PLAYER_EXP_MAX)</f>
        <v>0.19581906052519618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43949.258479221106</v>
      </c>
      <c r="H38" s="480" t="str">
        <f t="shared" ca="1" si="1"/>
        <v>-363 D 17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43951.487077911304</v>
      </c>
      <c r="K38" s="36" t="str">
        <f t="shared" ca="1" si="2"/>
        <v>-361 D 11 H</v>
      </c>
      <c r="L38" s="51">
        <f t="shared" si="5"/>
        <v>80189.868689772586</v>
      </c>
      <c r="M38" s="58">
        <f>IF(ISBLANK(A38),NA(),IFERROR(A38+(PLAYER_EXP_MAX-D38)/L38,NA()))</f>
        <v>43955.214246397889</v>
      </c>
      <c r="N38" s="36" t="str">
        <f t="shared" ca="1" si="4"/>
        <v>-357 D 18 H</v>
      </c>
    </row>
    <row r="39" spans="1:14" ht="14.65" customHeight="1" x14ac:dyDescent="0.25">
      <c r="A39" s="8">
        <v>43676.506250000006</v>
      </c>
      <c r="B39" s="480">
        <v>170</v>
      </c>
      <c r="C39" s="480">
        <v>115046</v>
      </c>
      <c r="D39" s="480">
        <f t="shared" si="0"/>
        <v>5452444</v>
      </c>
      <c r="E39" s="46">
        <f>IF(ISBLANK(A39),"-",D39/PLAYER_EXP_MAX)</f>
        <v>0.19614173993413814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43924.83022451718</v>
      </c>
      <c r="H39" s="480" t="str">
        <f t="shared" ca="1" si="1"/>
        <v>-388 D 03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43950.534412070068</v>
      </c>
      <c r="K39" s="36" t="str">
        <f t="shared" ca="1" si="2"/>
        <v>-362 D 10 H</v>
      </c>
      <c r="L39" s="51">
        <f t="shared" si="5"/>
        <v>80556.245110748016</v>
      </c>
      <c r="M39" s="58">
        <f>IF(ISBLANK(A39),NA(),IFERROR(A39+(PLAYER_EXP_MAX-D39)/L39,NA()))</f>
        <v>43953.903054794951</v>
      </c>
      <c r="N39" s="36" t="str">
        <f t="shared" ca="1" si="4"/>
        <v>-359 D 01 H</v>
      </c>
    </row>
    <row r="40" spans="1:14" ht="14.65" customHeight="1" x14ac:dyDescent="0.25">
      <c r="A40" s="8">
        <v>43676.578472222223</v>
      </c>
      <c r="B40" s="480">
        <v>170</v>
      </c>
      <c r="C40" s="480">
        <v>99568</v>
      </c>
      <c r="D40" s="480">
        <f t="shared" si="0"/>
        <v>5467922</v>
      </c>
      <c r="E40" s="46">
        <f>IF(ISBLANK(A40),"-",D40/PLAYER_EXP_MAX)</f>
        <v>0.19669853278715976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43906.493372500248</v>
      </c>
      <c r="H40" s="480" t="str">
        <f t="shared" ca="1" si="1"/>
        <v>-406 D 11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43949.022729765951</v>
      </c>
      <c r="K40" s="36" t="str">
        <f t="shared" ca="1" si="2"/>
        <v>-363 D 22 H</v>
      </c>
      <c r="L40" s="51">
        <f t="shared" si="5"/>
        <v>81556.278935983122</v>
      </c>
      <c r="M40" s="58">
        <f>IF(ISBLANK(A40),NA(),IFERROR(A40+(PLAYER_EXP_MAX-D40)/L40,NA()))</f>
        <v>43950.384085859012</v>
      </c>
      <c r="N40" s="36" t="str">
        <f t="shared" ca="1" si="4"/>
        <v>-362 D 14 H</v>
      </c>
    </row>
    <row r="41" spans="1:14" ht="14.65" customHeight="1" x14ac:dyDescent="0.25">
      <c r="A41" s="8">
        <v>43677.051388888889</v>
      </c>
      <c r="B41" s="480">
        <v>170</v>
      </c>
      <c r="C41" s="480">
        <v>88973</v>
      </c>
      <c r="D41" s="480">
        <f t="shared" si="0"/>
        <v>5478517</v>
      </c>
      <c r="E41" s="46">
        <f>IF(ISBLANK(A41),"-",D41/PLAYER_EXP_MAX)</f>
        <v>0.19707966861076515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43939.755340450771</v>
      </c>
      <c r="H41" s="480" t="str">
        <f t="shared" ca="1" si="1"/>
        <v>-373 D 05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43952.119645723105</v>
      </c>
      <c r="K41" s="36" t="str">
        <f t="shared" ca="1" si="2"/>
        <v>-360 D 20 H</v>
      </c>
      <c r="L41" s="51">
        <f t="shared" si="5"/>
        <v>78795.465698009139</v>
      </c>
      <c r="M41" s="58">
        <f>IF(ISBLANK(A41),NA(),IFERROR(A41+(PLAYER_EXP_MAX-D41)/L41,NA()))</f>
        <v>43960.316064111998</v>
      </c>
      <c r="N41" s="36" t="str">
        <f t="shared" ca="1" si="4"/>
        <v>-352 D 15 H</v>
      </c>
    </row>
    <row r="42" spans="1:14" ht="14.65" customHeight="1" x14ac:dyDescent="0.25">
      <c r="A42" s="8">
        <v>43677.199305555558</v>
      </c>
      <c r="B42" s="480">
        <v>170</v>
      </c>
      <c r="C42" s="480">
        <v>70499</v>
      </c>
      <c r="D42" s="480">
        <f t="shared" si="0"/>
        <v>5496991</v>
      </c>
      <c r="E42" s="46">
        <f>IF(ISBLANK(A42),"-",D42/PLAYER_EXP_MAX)</f>
        <v>0.19774423710583694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43937.390828672978</v>
      </c>
      <c r="H42" s="480" t="str">
        <f t="shared" ca="1" si="1"/>
        <v>-375 D 14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43956.514434712517</v>
      </c>
      <c r="K42" s="36" t="str">
        <f t="shared" ca="1" si="2"/>
        <v>-356 D 11 H</v>
      </c>
      <c r="L42" s="51">
        <f t="shared" si="5"/>
        <v>79458.740880804282</v>
      </c>
      <c r="M42" s="58">
        <f>IF(ISBLANK(A42),NA(),IFERROR(A42+(PLAYER_EXP_MAX-D42)/L42,NA()))</f>
        <v>43957.866954611993</v>
      </c>
      <c r="N42" s="36" t="str">
        <f t="shared" ca="1" si="4"/>
        <v>-355 D 02 H</v>
      </c>
    </row>
    <row r="43" spans="1:14" ht="14.65" customHeight="1" x14ac:dyDescent="0.25">
      <c r="A43" s="8">
        <v>43677.533333333333</v>
      </c>
      <c r="B43" s="480">
        <v>170</v>
      </c>
      <c r="C43" s="480">
        <v>31279</v>
      </c>
      <c r="D43" s="480">
        <f t="shared" si="0"/>
        <v>5536211</v>
      </c>
      <c r="E43" s="46">
        <f>IF(ISBLANK(A43),"-",D43/PLAYER_EXP_MAX)</f>
        <v>0.19915510515697454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43991.412063065181</v>
      </c>
      <c r="H43" s="480" t="str">
        <f t="shared" ca="1" si="1"/>
        <v>-321 D 13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43957.819849985084</v>
      </c>
      <c r="K43" s="36" t="str">
        <f t="shared" ca="1" si="2"/>
        <v>-355 D 03 H</v>
      </c>
      <c r="L43" s="51">
        <f t="shared" si="5"/>
        <v>80653.18940135547</v>
      </c>
      <c r="M43" s="58">
        <f>IF(ISBLANK(A43),NA(),IFERROR(A43+(PLAYER_EXP_MAX-D43)/L43,NA()))</f>
        <v>43953.558102660383</v>
      </c>
      <c r="N43" s="36" t="str">
        <f t="shared" ca="1" si="4"/>
        <v>-359 D 10 H</v>
      </c>
    </row>
    <row r="44" spans="1:14" ht="14.65" customHeight="1" x14ac:dyDescent="0.25">
      <c r="A44" s="8">
        <v>43678.117361111115</v>
      </c>
      <c r="B44" s="480">
        <v>170</v>
      </c>
      <c r="C44" s="480">
        <v>12604</v>
      </c>
      <c r="D44" s="480">
        <f t="shared" si="0"/>
        <v>5554886</v>
      </c>
      <c r="E44" s="46">
        <f>IF(ISBLANK(A44),"-",D44/PLAYER_EXP_MAX)</f>
        <v>0.19982690426087549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43994.05524465163</v>
      </c>
      <c r="H44" s="480" t="str">
        <f t="shared" ca="1" si="1"/>
        <v>-318 D 22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43959.626445903254</v>
      </c>
      <c r="K44" s="36" t="str">
        <f t="shared" ca="1" si="2"/>
        <v>-353 D 08 H</v>
      </c>
      <c r="L44" s="51">
        <f t="shared" si="5"/>
        <v>78114.597544288714</v>
      </c>
      <c r="M44" s="58">
        <f>IF(ISBLANK(A44),NA(),IFERROR(A44+(PLAYER_EXP_MAX-D44)/L44,NA()))</f>
        <v>43962.873395185139</v>
      </c>
      <c r="N44" s="36" t="str">
        <f t="shared" ca="1" si="4"/>
        <v>-350 D 02 H</v>
      </c>
    </row>
    <row r="45" spans="1:14" ht="14.65" customHeight="1" x14ac:dyDescent="0.25">
      <c r="A45" s="8">
        <v>43678.161805555559</v>
      </c>
      <c r="B45" s="480">
        <v>170</v>
      </c>
      <c r="C45" s="480">
        <v>7087</v>
      </c>
      <c r="D45" s="480">
        <f t="shared" si="0"/>
        <v>5560403</v>
      </c>
      <c r="E45" s="46">
        <f>IF(ISBLANK(A45),"-",D45/PLAYER_EXP_MAX)</f>
        <v>0.20002536828530501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44005.159132337794</v>
      </c>
      <c r="H45" s="480" t="str">
        <f t="shared" ca="1" si="1"/>
        <v>-307 D 19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43963.543474305276</v>
      </c>
      <c r="K45" s="36" t="str">
        <f t="shared" ca="1" si="2"/>
        <v>-349 D 10 H</v>
      </c>
      <c r="L45" s="51">
        <f t="shared" si="5"/>
        <v>78296.508956100733</v>
      </c>
      <c r="M45" s="58">
        <f>IF(ISBLANK(A45),NA(),IFERROR(A45+(PLAYER_EXP_MAX-D45)/L45,NA()))</f>
        <v>43962.185784357331</v>
      </c>
      <c r="N45" s="36" t="str">
        <f t="shared" ca="1" si="4"/>
        <v>-350 D 19 H</v>
      </c>
    </row>
    <row r="46" spans="1:14" ht="14.65" customHeight="1" x14ac:dyDescent="0.25">
      <c r="A46" s="8">
        <v>43678.216666666667</v>
      </c>
      <c r="B46" s="480">
        <v>170</v>
      </c>
      <c r="C46" s="480">
        <v>309</v>
      </c>
      <c r="D46" s="480">
        <f t="shared" si="0"/>
        <v>5567181</v>
      </c>
      <c r="E46" s="46">
        <f>IF(ISBLANK(A46),"-",D46/PLAYER_EXP_MAX)</f>
        <v>0.20026919448751332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44049.06091460013</v>
      </c>
      <c r="H46" s="480" t="str">
        <f t="shared" ca="1" si="1"/>
        <v>-263 D 22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43963.964350592723</v>
      </c>
      <c r="K46" s="36" t="str">
        <f t="shared" ca="1" si="2"/>
        <v>-349 D 00 H</v>
      </c>
      <c r="L46" s="51">
        <f t="shared" si="5"/>
        <v>78516.245620481655</v>
      </c>
      <c r="M46" s="58">
        <f>IF(ISBLANK(A46),NA(),IFERROR(A46+(PLAYER_EXP_MAX-D46)/L46,NA()))</f>
        <v>43961.359445900634</v>
      </c>
      <c r="N46" s="36" t="str">
        <f t="shared" ca="1" si="4"/>
        <v>-351 D 14 H</v>
      </c>
    </row>
    <row r="47" spans="1:14" ht="14.65" customHeight="1" x14ac:dyDescent="0.25">
      <c r="A47" s="8">
        <v>43678.29791666667</v>
      </c>
      <c r="B47" s="480">
        <v>171</v>
      </c>
      <c r="C47" s="480">
        <v>143636</v>
      </c>
      <c r="D47" s="480">
        <f t="shared" si="0"/>
        <v>5575854</v>
      </c>
      <c r="E47" s="46">
        <f>IF(ISBLANK(A47),"-",D47/PLAYER_EXP_MAX)</f>
        <v>0.20058118986251375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44036.335169393955</v>
      </c>
      <c r="H47" s="480" t="str">
        <f t="shared" ca="1" si="1"/>
        <v>-276 D 15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43965.532230877361</v>
      </c>
      <c r="K47" s="36" t="str">
        <f t="shared" ca="1" si="2"/>
        <v>-347 D 10 H</v>
      </c>
      <c r="L47" s="51">
        <f t="shared" si="5"/>
        <v>78717.803002519548</v>
      </c>
      <c r="M47" s="58">
        <f>IF(ISBLANK(A47),NA(),IFERROR(A47+(PLAYER_EXP_MAX-D47)/L47,NA()))</f>
        <v>43960.605528825115</v>
      </c>
      <c r="N47" s="36" t="str">
        <f t="shared" ca="1" si="4"/>
        <v>-352 D 08 H</v>
      </c>
    </row>
    <row r="48" spans="1:14" ht="14.65" customHeight="1" x14ac:dyDescent="0.25">
      <c r="A48" s="8">
        <v>43678.412500000006</v>
      </c>
      <c r="B48" s="480">
        <v>171</v>
      </c>
      <c r="C48" s="480">
        <v>128810</v>
      </c>
      <c r="D48" s="480">
        <f t="shared" si="0"/>
        <v>5590680</v>
      </c>
      <c r="E48" s="46">
        <f>IF(ISBLANK(A48),"-",D48/PLAYER_EXP_MAX)</f>
        <v>0.20111452820331349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44014.272424075614</v>
      </c>
      <c r="H48" s="480" t="str">
        <f t="shared" ca="1" si="1"/>
        <v>-298 D 16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43965.078204850273</v>
      </c>
      <c r="K48" s="36" t="str">
        <f t="shared" ca="1" si="2"/>
        <v>-347 D 21 H</v>
      </c>
      <c r="L48" s="51">
        <f t="shared" si="5"/>
        <v>79222.96900483378</v>
      </c>
      <c r="M48" s="58">
        <f>IF(ISBLANK(A48),NA(),IFERROR(A48+(PLAYER_EXP_MAX-D48)/L48,NA()))</f>
        <v>43958.732832335001</v>
      </c>
      <c r="N48" s="36" t="str">
        <f t="shared" ca="1" si="4"/>
        <v>-354 D 05 H</v>
      </c>
    </row>
    <row r="49" spans="1:14" ht="14.65" customHeight="1" x14ac:dyDescent="0.25">
      <c r="A49" s="8">
        <v>43678.514583333337</v>
      </c>
      <c r="B49" s="480">
        <v>171</v>
      </c>
      <c r="C49" s="480">
        <v>114853</v>
      </c>
      <c r="D49" s="480">
        <f t="shared" si="0"/>
        <v>5604637</v>
      </c>
      <c r="E49" s="46">
        <f>IF(ISBLANK(A49),"-",D49/PLAYER_EXP_MAX)</f>
        <v>0.20161660585221017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43991.029318819121</v>
      </c>
      <c r="H49" s="480" t="str">
        <f t="shared" ca="1" si="1"/>
        <v>-321 D 22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43964.828696352648</v>
      </c>
      <c r="K49" s="36" t="str">
        <f t="shared" ca="1" si="2"/>
        <v>-348 D 03 H</v>
      </c>
      <c r="L49" s="51">
        <f t="shared" si="5"/>
        <v>79729.155587448811</v>
      </c>
      <c r="M49" s="58">
        <f>IF(ISBLANK(A49),NA(),IFERROR(A49+(PLAYER_EXP_MAX-D49)/L49,NA()))</f>
        <v>43956.880155331113</v>
      </c>
      <c r="N49" s="36" t="str">
        <f t="shared" ca="1" si="4"/>
        <v>-356 D 02 H</v>
      </c>
    </row>
    <row r="50" spans="1:14" ht="14.65" customHeight="1" x14ac:dyDescent="0.25">
      <c r="A50" s="8">
        <v>43678.996527777781</v>
      </c>
      <c r="B50" s="480">
        <v>171</v>
      </c>
      <c r="C50" s="480">
        <v>97173</v>
      </c>
      <c r="D50" s="480">
        <f t="shared" si="0"/>
        <v>5622317</v>
      </c>
      <c r="E50" s="46">
        <f>IF(ISBLANK(A50),"-",D50/PLAYER_EXP_MAX)</f>
        <v>0.20225261164374797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44019.502394296236</v>
      </c>
      <c r="H50" s="480" t="str">
        <f t="shared" ca="1" si="1"/>
        <v>-293 D 11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43958.856072342554</v>
      </c>
      <c r="K50" s="36" t="str">
        <f t="shared" ca="1" si="2"/>
        <v>-354 D 02 H</v>
      </c>
      <c r="L50" s="51">
        <f t="shared" si="5"/>
        <v>78011.536338506776</v>
      </c>
      <c r="M50" s="58">
        <f>IF(ISBLANK(A50),NA(),IFERROR(A50+(PLAYER_EXP_MAX-D50)/L50,NA()))</f>
        <v>43963.264381493333</v>
      </c>
      <c r="N50" s="36" t="str">
        <f t="shared" ca="1" si="4"/>
        <v>-349 D 17 H</v>
      </c>
    </row>
    <row r="51" spans="1:14" ht="14.65" customHeight="1" x14ac:dyDescent="0.25">
      <c r="A51" s="8">
        <v>43679.132638888892</v>
      </c>
      <c r="B51" s="480">
        <v>171</v>
      </c>
      <c r="C51" s="480">
        <v>76491</v>
      </c>
      <c r="D51" s="480">
        <f t="shared" si="0"/>
        <v>5642999</v>
      </c>
      <c r="E51" s="46">
        <f>IF(ISBLANK(A51),"-",D51/PLAYER_EXP_MAX)</f>
        <v>0.2029966089164055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43956.811741089528</v>
      </c>
      <c r="H51" s="480" t="str">
        <f t="shared" ca="1" si="1"/>
        <v>-356 D 04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43959.067670742115</v>
      </c>
      <c r="K51" s="36" t="str">
        <f t="shared" ca="1" si="2"/>
        <v>-353 D 21 H</v>
      </c>
      <c r="L51" s="51">
        <f t="shared" si="5"/>
        <v>78835.496929686196</v>
      </c>
      <c r="M51" s="58">
        <f>IF(ISBLANK(A51),NA(),IFERROR(A51+(PLAYER_EXP_MAX-D51)/L51,NA()))</f>
        <v>43960.167082291468</v>
      </c>
      <c r="N51" s="36" t="str">
        <f t="shared" ca="1" si="4"/>
        <v>-352 D 19 H</v>
      </c>
    </row>
    <row r="52" spans="1:14" ht="14.65" customHeight="1" x14ac:dyDescent="0.25">
      <c r="A52" s="8">
        <v>43679.166666666672</v>
      </c>
      <c r="B52" s="480">
        <v>171</v>
      </c>
      <c r="C52" s="480">
        <v>69602</v>
      </c>
      <c r="D52" s="480">
        <f t="shared" si="0"/>
        <v>5649888</v>
      </c>
      <c r="E52" s="46">
        <f>IF(ISBLANK(A52),"-",D52/PLAYER_EXP_MAX)</f>
        <v>0.20324442814140006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43956.734177937746</v>
      </c>
      <c r="H52" s="480" t="str">
        <f t="shared" ca="1" si="1"/>
        <v>-356 D 05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43958.861722632937</v>
      </c>
      <c r="K52" s="36" t="str">
        <f t="shared" ca="1" si="2"/>
        <v>-354 D 02 H</v>
      </c>
      <c r="L52" s="51">
        <f t="shared" si="5"/>
        <v>79178.935193009878</v>
      </c>
      <c r="M52" s="58">
        <f>IF(ISBLANK(A52),NA(),IFERROR(A52+(PLAYER_EXP_MAX-D52)/L52,NA()))</f>
        <v>43958.895119013367</v>
      </c>
      <c r="N52" s="36" t="str">
        <f t="shared" ca="1" si="4"/>
        <v>-354 D 02 H</v>
      </c>
    </row>
    <row r="53" spans="1:14" ht="14.65" customHeight="1" x14ac:dyDescent="0.25">
      <c r="A53" s="8">
        <v>43679.974305555559</v>
      </c>
      <c r="B53" s="480">
        <v>171</v>
      </c>
      <c r="C53" s="480">
        <v>21494</v>
      </c>
      <c r="D53" s="480">
        <f t="shared" si="0"/>
        <v>5697996</v>
      </c>
      <c r="E53" s="46">
        <f>IF(ISBLANK(A53),"-",D53/PLAYER_EXP_MAX)</f>
        <v>0.20497502580086277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44015.247439035636</v>
      </c>
      <c r="H53" s="480" t="str">
        <f t="shared" ca="1" si="1"/>
        <v>-297 D 17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43960.687862244995</v>
      </c>
      <c r="K53" s="36" t="str">
        <f t="shared" ca="1" si="2"/>
        <v>-352 D 07 H</v>
      </c>
      <c r="L53" s="51">
        <f t="shared" si="5"/>
        <v>77965.659574429461</v>
      </c>
      <c r="M53" s="58">
        <f>IF(ISBLANK(A53),NA(),IFERROR(A53+(PLAYER_EXP_MAX-D53)/L53,NA()))</f>
        <v>43963.438757990567</v>
      </c>
      <c r="N53" s="36" t="str">
        <f t="shared" ca="1" si="4"/>
        <v>-349 D 12 H</v>
      </c>
    </row>
    <row r="54" spans="1:14" ht="14.65" customHeight="1" x14ac:dyDescent="0.25">
      <c r="A54" s="8">
        <v>43680.202777777777</v>
      </c>
      <c r="B54" s="480">
        <v>172</v>
      </c>
      <c r="C54" s="480">
        <v>144260</v>
      </c>
      <c r="D54" s="480">
        <f t="shared" si="0"/>
        <v>5730230</v>
      </c>
      <c r="E54" s="46">
        <f>IF(ISBLANK(A54),"-",D54/PLAYER_EXP_MAX)</f>
        <v>0.20613458522871514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43983.284721857126</v>
      </c>
      <c r="H54" s="480" t="str">
        <f t="shared" ca="1" si="1"/>
        <v>-329 D 16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43959.204318036231</v>
      </c>
      <c r="K54" s="36" t="str">
        <f t="shared" ca="1" si="2"/>
        <v>-353 D 18 H</v>
      </c>
      <c r="L54" s="51">
        <f t="shared" si="5"/>
        <v>79051.249934643609</v>
      </c>
      <c r="M54" s="58">
        <f>IF(ISBLANK(A54),NA(),IFERROR(A54+(PLAYER_EXP_MAX-D54)/L54,NA()))</f>
        <v>43959.36672544774</v>
      </c>
      <c r="N54" s="36" t="str">
        <f t="shared" ca="1" si="4"/>
        <v>-353 D 14 H</v>
      </c>
    </row>
    <row r="55" spans="1:14" ht="14.65" customHeight="1" x14ac:dyDescent="0.25">
      <c r="A55" s="8">
        <v>43680.578472222223</v>
      </c>
      <c r="B55" s="480">
        <v>172</v>
      </c>
      <c r="C55" s="480">
        <v>86973</v>
      </c>
      <c r="D55" s="480">
        <f t="shared" si="0"/>
        <v>5787517</v>
      </c>
      <c r="E55" s="46">
        <f>IF(ISBLANK(A55),"-",D55/PLAYER_EXP_MAX)</f>
        <v>0.208195380691375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43916.319157894097</v>
      </c>
      <c r="H55" s="480" t="str">
        <f t="shared" ca="1" si="1"/>
        <v>-396 D 15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43955.55386640397</v>
      </c>
      <c r="K55" s="36" t="str">
        <f t="shared" ca="1" si="2"/>
        <v>-357 D 10 H</v>
      </c>
      <c r="L55" s="51">
        <f t="shared" si="5"/>
        <v>81070.901881013124</v>
      </c>
      <c r="M55" s="58">
        <f>IF(ISBLANK(A55),NA(),IFERROR(A55+(PLAYER_EXP_MAX-D55)/L55,NA()))</f>
        <v>43952.081212284313</v>
      </c>
      <c r="N55" s="36" t="str">
        <f t="shared" ca="1" si="4"/>
        <v>-360 D 21 H</v>
      </c>
    </row>
    <row r="56" spans="1:14" ht="14.65" customHeight="1" x14ac:dyDescent="0.25">
      <c r="A56" s="8">
        <v>43680.97152777778</v>
      </c>
      <c r="B56" s="480">
        <v>172</v>
      </c>
      <c r="C56" s="480">
        <v>67052</v>
      </c>
      <c r="D56" s="480">
        <f t="shared" si="0"/>
        <v>5807438</v>
      </c>
      <c r="E56" s="46">
        <f>IF(ISBLANK(A56),"-",D56/PLAYER_EXP_MAX)</f>
        <v>0.20891200237538091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43918.12307149596</v>
      </c>
      <c r="H56" s="480" t="str">
        <f t="shared" ca="1" si="1"/>
        <v>-394 D 20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43954.348728526515</v>
      </c>
      <c r="K56" s="36" t="str">
        <f t="shared" ca="1" si="2"/>
        <v>-358 D 15 H</v>
      </c>
      <c r="L56" s="51">
        <f t="shared" si="5"/>
        <v>80220.936944033325</v>
      </c>
      <c r="M56" s="58">
        <f>IF(ISBLANK(A56),NA(),IFERROR(A56+(PLAYER_EXP_MAX-D56)/L56,NA()))</f>
        <v>43955.10259427657</v>
      </c>
      <c r="N56" s="36" t="str">
        <f t="shared" ca="1" si="4"/>
        <v>-357 D 21 H</v>
      </c>
    </row>
    <row r="57" spans="1:14" ht="14.65" customHeight="1" x14ac:dyDescent="0.25">
      <c r="A57" s="8">
        <v>43681.293055555558</v>
      </c>
      <c r="B57" s="480">
        <v>172</v>
      </c>
      <c r="C57" s="480">
        <v>29428</v>
      </c>
      <c r="D57" s="480">
        <f t="shared" si="0"/>
        <v>5845062</v>
      </c>
      <c r="E57" s="46">
        <f>IF(ISBLANK(A57),"-",D57/PLAYER_EXP_MAX)</f>
        <v>0.21026545723402448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43902.315124261528</v>
      </c>
      <c r="H57" s="480" t="str">
        <f t="shared" ca="1" si="1"/>
        <v>-410 D 15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43951.670897497061</v>
      </c>
      <c r="K57" s="36" t="str">
        <f t="shared" ca="1" si="2"/>
        <v>-361 D 07 H</v>
      </c>
      <c r="L57" s="51">
        <f t="shared" si="5"/>
        <v>81043.984733533754</v>
      </c>
      <c r="M57" s="58">
        <f>IF(ISBLANK(A57),NA(),IFERROR(A57+(PLAYER_EXP_MAX-D57)/L57,NA()))</f>
        <v>43952.175923323979</v>
      </c>
      <c r="N57" s="36" t="str">
        <f t="shared" ca="1" si="4"/>
        <v>-360 D 19 H</v>
      </c>
    </row>
    <row r="58" spans="1:14" ht="14.65" customHeight="1" x14ac:dyDescent="0.25">
      <c r="A58" s="8">
        <v>43681.466666666667</v>
      </c>
      <c r="B58" s="480">
        <v>173</v>
      </c>
      <c r="C58" s="480">
        <v>151875</v>
      </c>
      <c r="D58" s="480">
        <f t="shared" si="0"/>
        <v>5880615</v>
      </c>
      <c r="E58" s="46">
        <f>IF(ISBLANK(A58),"-",D58/PLAYER_EXP_MAX)</f>
        <v>0.21154441164050319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43882.881429462832</v>
      </c>
      <c r="H58" s="480" t="str">
        <f t="shared" ca="1" si="1"/>
        <v>-430 D 02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43949.738603104503</v>
      </c>
      <c r="K58" s="36" t="str">
        <f t="shared" ca="1" si="2"/>
        <v>-363 D 05 H</v>
      </c>
      <c r="L58" s="51">
        <f t="shared" si="5"/>
        <v>82520.681655429682</v>
      </c>
      <c r="M58" s="58">
        <f>IF(ISBLANK(A58),NA(),IFERROR(A58+(PLAYER_EXP_MAX-D58)/L58,NA()))</f>
        <v>43947.07128311324</v>
      </c>
      <c r="N58" s="36" t="str">
        <f t="shared" ca="1" si="4"/>
        <v>-365 D 21 H</v>
      </c>
    </row>
    <row r="59" spans="1:14" ht="14.65" customHeight="1" x14ac:dyDescent="0.25">
      <c r="A59" s="8">
        <v>43681.725000000006</v>
      </c>
      <c r="B59" s="480">
        <v>173</v>
      </c>
      <c r="C59" s="480">
        <v>116505</v>
      </c>
      <c r="D59" s="480">
        <f t="shared" si="0"/>
        <v>5915985</v>
      </c>
      <c r="E59" s="46">
        <f>IF(ISBLANK(A59),"-",D59/PLAYER_EXP_MAX)</f>
        <v>0.21281678295536136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43872.574560803041</v>
      </c>
      <c r="H59" s="480" t="str">
        <f t="shared" ca="1" si="1"/>
        <v>-440 D 09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43944.868672802782</v>
      </c>
      <c r="K59" s="36" t="str">
        <f t="shared" ca="1" si="2"/>
        <v>-368 D 02 H</v>
      </c>
      <c r="L59" s="51">
        <f t="shared" si="5"/>
        <v>83469.750949718611</v>
      </c>
      <c r="M59" s="58">
        <f>IF(ISBLANK(A59),NA(),IFERROR(A59+(PLAYER_EXP_MAX-D59)/L59,NA()))</f>
        <v>43943.88588763919</v>
      </c>
      <c r="N59" s="36" t="str">
        <f t="shared" ca="1" si="4"/>
        <v>-369 D 02 H</v>
      </c>
    </row>
    <row r="60" spans="1:14" ht="14.65" customHeight="1" x14ac:dyDescent="0.25">
      <c r="A60" s="8">
        <v>43681.9</v>
      </c>
      <c r="B60" s="480">
        <v>173</v>
      </c>
      <c r="C60" s="480">
        <v>99053</v>
      </c>
      <c r="D60" s="480">
        <f t="shared" si="0"/>
        <v>5933437</v>
      </c>
      <c r="E60" s="46">
        <f>IF(ISBLANK(A60),"-",D60/PLAYER_EXP_MAX)</f>
        <v>0.21344458686225715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43867.393936156615</v>
      </c>
      <c r="H60" s="480" t="str">
        <f t="shared" ca="1" si="1"/>
        <v>-445 D 14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43941.069837996452</v>
      </c>
      <c r="K60" s="36" t="str">
        <f t="shared" ca="1" si="2"/>
        <v>-371 D 21 H</v>
      </c>
      <c r="L60" s="51">
        <f t="shared" si="5"/>
        <v>83659.641218165023</v>
      </c>
      <c r="M60" s="58">
        <f>IF(ISBLANK(A60),NA(),IFERROR(A60+(PLAYER_EXP_MAX-D60)/L60,NA()))</f>
        <v>43943.257228905408</v>
      </c>
      <c r="N60" s="36" t="str">
        <f t="shared" ca="1" si="4"/>
        <v>-369 D 17 H</v>
      </c>
    </row>
    <row r="61" spans="1:14" ht="14.65" customHeight="1" x14ac:dyDescent="0.25">
      <c r="A61" s="8">
        <v>43682.024305555555</v>
      </c>
      <c r="B61" s="480">
        <v>173</v>
      </c>
      <c r="C61" s="480">
        <v>80278</v>
      </c>
      <c r="D61" s="480">
        <f t="shared" si="0"/>
        <v>5952212</v>
      </c>
      <c r="E61" s="46">
        <f>IF(ISBLANK(A61),"-",D61/PLAYER_EXP_MAX)</f>
        <v>0.21411998328398352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43838.679240219746</v>
      </c>
      <c r="H61" s="480" t="str">
        <f t="shared" ca="1" si="1"/>
        <v>-474 D 07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43935.432679030557</v>
      </c>
      <c r="K61" s="36" t="str">
        <f t="shared" ca="1" si="2"/>
        <v>-377 D 13 H</v>
      </c>
      <c r="L61" s="51">
        <f t="shared" si="5"/>
        <v>84214.115483621965</v>
      </c>
      <c r="M61" s="58">
        <f>IF(ISBLANK(A61),NA(),IFERROR(A61+(PLAYER_EXP_MAX-D61)/L61,NA()))</f>
        <v>43941.437788373034</v>
      </c>
      <c r="N61" s="36" t="str">
        <f t="shared" ca="1" si="4"/>
        <v>-371 D 13 H</v>
      </c>
    </row>
    <row r="62" spans="1:14" ht="14.65" customHeight="1" x14ac:dyDescent="0.25">
      <c r="A62" s="8">
        <v>43682.135416666672</v>
      </c>
      <c r="B62" s="480">
        <v>173</v>
      </c>
      <c r="C62" s="480">
        <v>62703</v>
      </c>
      <c r="D62" s="480">
        <f t="shared" si="0"/>
        <v>5969787</v>
      </c>
      <c r="E62" s="46">
        <f>IF(ISBLANK(A62),"-",D62/PLAYER_EXP_MAX)</f>
        <v>0.21475221189180463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43838.203070043739</v>
      </c>
      <c r="H62" s="480" t="str">
        <f t="shared" ca="1" si="1"/>
        <v>-474 D 18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43931.618250968633</v>
      </c>
      <c r="K62" s="36" t="str">
        <f t="shared" ca="1" si="2"/>
        <v>-381 D 08 H</v>
      </c>
      <c r="L62" s="51">
        <f t="shared" si="5"/>
        <v>84754.173055816573</v>
      </c>
      <c r="M62" s="58">
        <f>IF(ISBLANK(A62),NA(),IFERROR(A62+(PLAYER_EXP_MAX-D62)/L62,NA()))</f>
        <v>43939.68854016449</v>
      </c>
      <c r="N62" s="36" t="str">
        <f t="shared" ca="1" si="4"/>
        <v>-373 D 06 H</v>
      </c>
    </row>
    <row r="63" spans="1:14" ht="14.65" customHeight="1" x14ac:dyDescent="0.25">
      <c r="A63" s="8">
        <v>43682.183333333334</v>
      </c>
      <c r="B63" s="480">
        <v>173</v>
      </c>
      <c r="C63" s="480">
        <v>54185</v>
      </c>
      <c r="D63" s="480">
        <f t="shared" si="0"/>
        <v>5978305</v>
      </c>
      <c r="E63" s="46">
        <f>IF(ISBLANK(A63),"-",D63/PLAYER_EXP_MAX)</f>
        <v>0.21505863142417561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43837.247111721081</v>
      </c>
      <c r="H63" s="480" t="str">
        <f t="shared" ca="1" si="1"/>
        <v>-475 D 17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43927.796601566719</v>
      </c>
      <c r="K63" s="36" t="str">
        <f t="shared" ca="1" si="2"/>
        <v>-385 D 04 H</v>
      </c>
      <c r="L63" s="51">
        <f t="shared" si="5"/>
        <v>85046.147127042655</v>
      </c>
      <c r="M63" s="58">
        <f>IF(ISBLANK(A63),NA(),IFERROR(A63+(PLAYER_EXP_MAX-D63)/L63,NA()))</f>
        <v>43938.752087322915</v>
      </c>
      <c r="N63" s="36" t="str">
        <f t="shared" ca="1" si="4"/>
        <v>-374 D 05 H</v>
      </c>
    </row>
    <row r="64" spans="1:14" ht="14.65" customHeight="1" x14ac:dyDescent="0.25">
      <c r="A64" s="8">
        <v>43682.317361111112</v>
      </c>
      <c r="B64" s="480">
        <v>173</v>
      </c>
      <c r="C64" s="480">
        <v>33737</v>
      </c>
      <c r="D64" s="480">
        <f t="shared" si="0"/>
        <v>5998753</v>
      </c>
      <c r="E64" s="46">
        <f>IF(ISBLANK(A64),"-",D64/PLAYER_EXP_MAX)</f>
        <v>0.2157942109731216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43834.097337422645</v>
      </c>
      <c r="H64" s="480" t="str">
        <f t="shared" ca="1" si="1"/>
        <v>-478 D 21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43924.821437206054</v>
      </c>
      <c r="K64" s="36" t="str">
        <f t="shared" ca="1" si="2"/>
        <v>-388 D 03 H</v>
      </c>
      <c r="L64" s="51">
        <f t="shared" si="5"/>
        <v>85633.827004576597</v>
      </c>
      <c r="M64" s="58">
        <f>IF(ISBLANK(A64),NA(),IFERROR(A64+(PLAYER_EXP_MAX-D64)/L64,NA()))</f>
        <v>43936.886574733144</v>
      </c>
      <c r="N64" s="36" t="str">
        <f t="shared" ca="1" si="4"/>
        <v>-376 D 02 H</v>
      </c>
    </row>
    <row r="65" spans="1:14" ht="14.65" customHeight="1" x14ac:dyDescent="0.25">
      <c r="A65" s="8">
        <v>43682.372222222228</v>
      </c>
      <c r="B65" s="480">
        <v>173</v>
      </c>
      <c r="C65" s="480">
        <v>23979</v>
      </c>
      <c r="D65" s="480">
        <f t="shared" si="0"/>
        <v>6008511</v>
      </c>
      <c r="E65" s="46">
        <f>IF(ISBLANK(A65),"-",D65/PLAYER_EXP_MAX)</f>
        <v>0.21614523724652804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43832.605134624544</v>
      </c>
      <c r="H65" s="480" t="str">
        <f t="shared" ca="1" si="1"/>
        <v>-480 D 08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43920.899677027883</v>
      </c>
      <c r="K65" s="36" t="str">
        <f t="shared" ca="1" si="2"/>
        <v>-392 D 01 H</v>
      </c>
      <c r="L65" s="51">
        <f t="shared" si="5"/>
        <v>85961.263649798202</v>
      </c>
      <c r="M65" s="58">
        <f>IF(ISBLANK(A65),NA(),IFERROR(A65+(PLAYER_EXP_MAX-D65)/L65,NA()))</f>
        <v>43935.858235280051</v>
      </c>
      <c r="N65" s="36" t="str">
        <f t="shared" ca="1" si="4"/>
        <v>-377 D 02 H</v>
      </c>
    </row>
    <row r="66" spans="1:14" ht="14.65" customHeight="1" x14ac:dyDescent="0.25">
      <c r="A66" s="8">
        <v>43682.470138888893</v>
      </c>
      <c r="B66" s="480">
        <v>173</v>
      </c>
      <c r="C66" s="480">
        <v>14795</v>
      </c>
      <c r="D66" s="480">
        <f t="shared" si="0"/>
        <v>6017695</v>
      </c>
      <c r="E66" s="46">
        <f>IF(ISBLANK(A66),"-",D66/PLAYER_EXP_MAX)</f>
        <v>0.21647561491561645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43838.112458105898</v>
      </c>
      <c r="H66" s="480" t="str">
        <f t="shared" ca="1" si="1"/>
        <v>-474 D 20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43918.724490405533</v>
      </c>
      <c r="K66" s="36" t="str">
        <f t="shared" ca="1" si="2"/>
        <v>-394 D 06 H</v>
      </c>
      <c r="L66" s="51">
        <f t="shared" si="5"/>
        <v>86010.581405692545</v>
      </c>
      <c r="M66" s="58">
        <f>IF(ISBLANK(A66),NA(),IFERROR(A66+(PLAYER_EXP_MAX-D66)/L66,NA()))</f>
        <v>43935.704027603875</v>
      </c>
      <c r="N66" s="36" t="str">
        <f t="shared" ca="1" si="4"/>
        <v>-377 D 06 H</v>
      </c>
    </row>
    <row r="67" spans="1:14" ht="14.65" customHeight="1" x14ac:dyDescent="0.25">
      <c r="A67" s="8">
        <v>43682.546527777777</v>
      </c>
      <c r="B67" s="480">
        <v>173</v>
      </c>
      <c r="C67" s="480">
        <v>2607</v>
      </c>
      <c r="D67" s="480">
        <f t="shared" ref="D67:D130" si="6">IF(ISBLANK(A67),"-",INDEX(DATA_PLAYER_EXP, B67, 3) + INDEX(DATA_PLAYER_EXP, B67, 2) - C67)</f>
        <v>6029883</v>
      </c>
      <c r="E67" s="46">
        <f>IF(ISBLANK(A67),"-",D67/PLAYER_EXP_MAX)</f>
        <v>0.21691405601218108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43837.671280760936</v>
      </c>
      <c r="H67" s="480" t="str">
        <f t="shared" ref="H67:H130" ca="1" si="7">IF(ISBLANK(A67),NA(),IFERROR(TEXT(TRUNC(G67-NOW()),"000") &amp; " D " &amp; TEXT(TRUNC(ABS(G67-NOW()-TRUNC(G67-NOW()))*24),"00") &amp; " H", NA()))</f>
        <v>-475 D 07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43915.024985791628</v>
      </c>
      <c r="K67" s="36" t="str">
        <f t="shared" ref="K67:K130" ca="1" si="8">IF(ISBLANK(A67),NA(),IFERROR(TEXT(TRUNC(J67-NOW()),"000") &amp; " D " &amp; TEXT(TRUNC(ABS(J67-NOW()-TRUNC(J67-NOW()))*24),"00") &amp; " H", NA()))</f>
        <v>-397 D 22 H</v>
      </c>
      <c r="L67" s="51">
        <f t="shared" si="5"/>
        <v>86370.053323843706</v>
      </c>
      <c r="M67" s="58">
        <f>IF(ISBLANK(A67),NA(),IFERROR(A67+(PLAYER_EXP_MAX-D67)/L67,NA()))</f>
        <v>43934.585344037143</v>
      </c>
      <c r="N67" s="36" t="str">
        <f t="shared" ref="N67:N130" ca="1" si="9">IF(ISBLANK(D67),NA(),IFERROR(TEXT(TRUNC(M67-NOW()),"000") &amp; " D " &amp; TEXT(TRUNC(ABS(M67-NOW()-TRUNC(M67-NOW()))*24),"00") &amp; " H", NA()))</f>
        <v>-378 D 09 H</v>
      </c>
    </row>
    <row r="68" spans="1:14" ht="14.65" customHeight="1" x14ac:dyDescent="0.25">
      <c r="A68" s="8">
        <v>43682.586805555555</v>
      </c>
      <c r="B68" s="480">
        <v>174</v>
      </c>
      <c r="C68" s="480">
        <v>156426</v>
      </c>
      <c r="D68" s="480">
        <f t="shared" si="6"/>
        <v>6037064</v>
      </c>
      <c r="E68" s="46">
        <f>IF(ISBLANK(A68),"-",D68/PLAYER_EXP_MAX)</f>
        <v>0.21717237940522593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43836.828067260081</v>
      </c>
      <c r="H68" s="480" t="str">
        <f t="shared" ca="1" si="7"/>
        <v>-476 D 03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43913.126482819163</v>
      </c>
      <c r="K68" s="36" t="str">
        <f t="shared" ca="1" si="8"/>
        <v>-399 D 20 H</v>
      </c>
      <c r="L68" s="51">
        <f t="shared" ref="L68:L131" si="10">IFERROR(IF(OR(ISBLANK($A68),$A68-$A$3 &lt; $C$1),NA(),($D68-$D$3)/($A68-$A$3)),NA())</f>
        <v>86606.343409260604</v>
      </c>
      <c r="M68" s="58">
        <f>IF(ISBLANK(A68),NA(),IFERROR(A68+(PLAYER_EXP_MAX-D68)/L68,NA()))</f>
        <v>43933.855063091447</v>
      </c>
      <c r="N68" s="36" t="str">
        <f t="shared" ca="1" si="9"/>
        <v>-379 D 02 H</v>
      </c>
    </row>
    <row r="69" spans="1:14" ht="14.65" customHeight="1" x14ac:dyDescent="0.25">
      <c r="A69" s="8">
        <v>43682.931944444448</v>
      </c>
      <c r="B69" s="480">
        <v>174</v>
      </c>
      <c r="C69" s="480">
        <v>139206</v>
      </c>
      <c r="D69" s="480">
        <f t="shared" si="6"/>
        <v>6054284</v>
      </c>
      <c r="E69" s="46">
        <f>IF(ISBLANK(A69),"-",D69/PLAYER_EXP_MAX)</f>
        <v>0.21779183753476672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43856.564858061261</v>
      </c>
      <c r="H69" s="480" t="str">
        <f t="shared" ca="1" si="7"/>
        <v>-456 D 09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43912.247628883088</v>
      </c>
      <c r="K69" s="36" t="str">
        <f t="shared" ca="1" si="8"/>
        <v>-400 D 17 H</v>
      </c>
      <c r="L69" s="51">
        <f t="shared" si="10"/>
        <v>85815.044884825053</v>
      </c>
      <c r="M69" s="58">
        <f>IF(ISBLANK(A69),NA(),IFERROR(A69+(PLAYER_EXP_MAX-D69)/L69,NA()))</f>
        <v>43936.31647659943</v>
      </c>
      <c r="N69" s="36" t="str">
        <f t="shared" ca="1" si="9"/>
        <v>-376 D 15 H</v>
      </c>
    </row>
    <row r="70" spans="1:14" ht="14.65" customHeight="1" x14ac:dyDescent="0.25">
      <c r="A70" s="8">
        <v>43682.96875</v>
      </c>
      <c r="B70" s="480">
        <v>174</v>
      </c>
      <c r="C70" s="480">
        <v>131512</v>
      </c>
      <c r="D70" s="480">
        <f t="shared" si="6"/>
        <v>6061978</v>
      </c>
      <c r="E70" s="46">
        <f>IF(ISBLANK(A70),"-",D70/PLAYER_EXP_MAX)</f>
        <v>0.2180686151682561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43866.262545796832</v>
      </c>
      <c r="H70" s="480" t="str">
        <f t="shared" ca="1" si="7"/>
        <v>-446 D 17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43911.162577768824</v>
      </c>
      <c r="K70" s="36" t="str">
        <f t="shared" ca="1" si="8"/>
        <v>-401 D 19 H</v>
      </c>
      <c r="L70" s="51">
        <f t="shared" si="10"/>
        <v>86097.632398738278</v>
      </c>
      <c r="M70" s="58">
        <f>IF(ISBLANK(A70),NA(),IFERROR(A70+(PLAYER_EXP_MAX-D70)/L70,NA()))</f>
        <v>43935.432266062009</v>
      </c>
      <c r="N70" s="36" t="str">
        <f t="shared" ca="1" si="9"/>
        <v>-377 D 13 H</v>
      </c>
    </row>
    <row r="71" spans="1:14" ht="14.65" customHeight="1" x14ac:dyDescent="0.25">
      <c r="A71" s="8">
        <v>43683.018750000003</v>
      </c>
      <c r="B71" s="480">
        <v>174</v>
      </c>
      <c r="C71" s="480">
        <v>121754</v>
      </c>
      <c r="D71" s="480">
        <f t="shared" si="6"/>
        <v>6071736</v>
      </c>
      <c r="E71" s="46">
        <f>IF(ISBLANK(A71),"-",D71/PLAYER_EXP_MAX)</f>
        <v>0.21841964144166254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43869.154025115342</v>
      </c>
      <c r="H71" s="480" t="str">
        <f t="shared" ca="1" si="7"/>
        <v>-443 D 19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43910.039202629749</v>
      </c>
      <c r="K71" s="36" t="str">
        <f t="shared" ca="1" si="8"/>
        <v>-402 D 22 H</v>
      </c>
      <c r="L71" s="51">
        <f t="shared" si="10"/>
        <v>86436.335403695455</v>
      </c>
      <c r="M71" s="58">
        <f>IF(ISBLANK(A71),NA(),IFERROR(A71+(PLAYER_EXP_MAX-D71)/L71,NA()))</f>
        <v>43934.380088938386</v>
      </c>
      <c r="N71" s="36" t="str">
        <f t="shared" ca="1" si="9"/>
        <v>-378 D 14 H</v>
      </c>
    </row>
    <row r="72" spans="1:14" ht="14.65" customHeight="1" x14ac:dyDescent="0.25">
      <c r="A72" s="8">
        <v>43683.190972222226</v>
      </c>
      <c r="B72" s="480">
        <v>174</v>
      </c>
      <c r="C72" s="480">
        <v>96578</v>
      </c>
      <c r="D72" s="480">
        <f t="shared" si="6"/>
        <v>6096912</v>
      </c>
      <c r="E72" s="46">
        <f>IF(ISBLANK(A72),"-",D72/PLAYER_EXP_MAX)</f>
        <v>0.21932530217739532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43891.844203070221</v>
      </c>
      <c r="H72" s="480" t="str">
        <f t="shared" ca="1" si="7"/>
        <v>-421 D 03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43906.679699409637</v>
      </c>
      <c r="K72" s="36" t="str">
        <f t="shared" ca="1" si="8"/>
        <v>-406 D 07 H</v>
      </c>
      <c r="L72" s="51">
        <f t="shared" si="10"/>
        <v>87068.685558173791</v>
      </c>
      <c r="M72" s="58">
        <f>IF(ISBLANK(A72),NA(),IFERROR(A72+(PLAYER_EXP_MAX-D72)/L72,NA()))</f>
        <v>43932.437608494234</v>
      </c>
      <c r="N72" s="36" t="str">
        <f t="shared" ca="1" si="9"/>
        <v>-380 D 13 H</v>
      </c>
    </row>
    <row r="73" spans="1:14" ht="14.65" customHeight="1" x14ac:dyDescent="0.25">
      <c r="A73" s="8">
        <v>43683.255555555559</v>
      </c>
      <c r="B73" s="480">
        <v>174</v>
      </c>
      <c r="C73" s="480">
        <v>81001</v>
      </c>
      <c r="D73" s="480">
        <f t="shared" si="6"/>
        <v>6112489</v>
      </c>
      <c r="E73" s="46">
        <f>IF(ISBLANK(A73),"-",D73/PLAYER_EXP_MAX)</f>
        <v>0.21988565637506413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43880.684119517566</v>
      </c>
      <c r="H73" s="480" t="str">
        <f t="shared" ca="1" si="7"/>
        <v>-432 D 07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43905.194659170396</v>
      </c>
      <c r="K73" s="36" t="str">
        <f t="shared" ca="1" si="8"/>
        <v>-407 D 18 H</v>
      </c>
      <c r="L73" s="51">
        <f t="shared" si="10"/>
        <v>87677.973219944033</v>
      </c>
      <c r="M73" s="58">
        <f>IF(ISBLANK(A73),NA(),IFERROR(A73+(PLAYER_EXP_MAX-D73)/L73,NA()))</f>
        <v>43930.592477288454</v>
      </c>
      <c r="N73" s="36" t="str">
        <f t="shared" ca="1" si="9"/>
        <v>-382 D 09 H</v>
      </c>
    </row>
    <row r="74" spans="1:14" ht="14.65" customHeight="1" x14ac:dyDescent="0.25">
      <c r="A74" s="8">
        <v>43683.352777777778</v>
      </c>
      <c r="B74" s="480">
        <v>174</v>
      </c>
      <c r="C74" s="480">
        <v>61198</v>
      </c>
      <c r="D74" s="480">
        <f t="shared" si="6"/>
        <v>6132292</v>
      </c>
      <c r="E74" s="46">
        <f>IF(ISBLANK(A74),"-",D74/PLAYER_EXP_MAX)</f>
        <v>0.22059803322403604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43872.465418885069</v>
      </c>
      <c r="H74" s="480" t="str">
        <f t="shared" ca="1" si="7"/>
        <v>-440 D 12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43902.8881713991</v>
      </c>
      <c r="K74" s="36" t="str">
        <f t="shared" ca="1" si="8"/>
        <v>-410 D 02 H</v>
      </c>
      <c r="L74" s="51">
        <f t="shared" si="10"/>
        <v>88364.278047732456</v>
      </c>
      <c r="M74" s="58">
        <f>IF(ISBLANK(A74),NA(),IFERROR(A74+(PLAYER_EXP_MAX-D74)/L74,NA()))</f>
        <v>43928.544584678486</v>
      </c>
      <c r="N74" s="36" t="str">
        <f t="shared" ca="1" si="9"/>
        <v>-384 D 10 H</v>
      </c>
    </row>
    <row r="75" spans="1:14" ht="14.65" customHeight="1" x14ac:dyDescent="0.25">
      <c r="A75" s="8">
        <v>43683.452777777777</v>
      </c>
      <c r="B75" s="480">
        <v>174</v>
      </c>
      <c r="C75" s="480">
        <v>43286</v>
      </c>
      <c r="D75" s="480">
        <f t="shared" si="6"/>
        <v>6150204</v>
      </c>
      <c r="E75" s="46">
        <f>IF(ISBLANK(A75),"-",D75/PLAYER_EXP_MAX)</f>
        <v>0.22124238479292885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43860.416961012939</v>
      </c>
      <c r="H75" s="480" t="str">
        <f t="shared" ca="1" si="7"/>
        <v>-452 D 13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43899.601535508598</v>
      </c>
      <c r="K75" s="36" t="str">
        <f t="shared" ca="1" si="8"/>
        <v>-413 D 09 H</v>
      </c>
      <c r="L75" s="51">
        <f t="shared" si="10"/>
        <v>88913.180729966494</v>
      </c>
      <c r="M75" s="58">
        <f>IF(ISBLANK(A75),NA(),IFERROR(A75+(PLAYER_EXP_MAX-D75)/L75,NA()))</f>
        <v>43926.929445941823</v>
      </c>
      <c r="N75" s="36" t="str">
        <f t="shared" ca="1" si="9"/>
        <v>-386 D 01 H</v>
      </c>
    </row>
    <row r="76" spans="1:14" ht="14.65" customHeight="1" x14ac:dyDescent="0.25">
      <c r="A76" s="8">
        <v>43683.760416666672</v>
      </c>
      <c r="B76" s="480">
        <v>174</v>
      </c>
      <c r="C76" s="480">
        <v>5223</v>
      </c>
      <c r="D76" s="480">
        <f t="shared" si="6"/>
        <v>6188267</v>
      </c>
      <c r="E76" s="46">
        <f>IF(ISBLANK(A76),"-",D76/PLAYER_EXP_MAX)</f>
        <v>0.22261163187682612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43835.147993347666</v>
      </c>
      <c r="H76" s="480" t="str">
        <f t="shared" ca="1" si="7"/>
        <v>-477 D 19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43893.053567437237</v>
      </c>
      <c r="K76" s="36" t="str">
        <f t="shared" ca="1" si="8"/>
        <v>-419 D 22 H</v>
      </c>
      <c r="L76" s="51">
        <f t="shared" si="10"/>
        <v>89549.094507628208</v>
      </c>
      <c r="M76" s="58">
        <f>IF(ISBLANK(A76),NA(),IFERROR(A76+(PLAYER_EXP_MAX-D76)/L76,NA()))</f>
        <v>43925.0830354918</v>
      </c>
      <c r="N76" s="36" t="str">
        <f t="shared" ca="1" si="9"/>
        <v>-387 D 21 H</v>
      </c>
    </row>
    <row r="77" spans="1:14" ht="14.65" customHeight="1" x14ac:dyDescent="0.25">
      <c r="A77" s="8">
        <v>43684.124305555561</v>
      </c>
      <c r="B77" s="480">
        <v>175</v>
      </c>
      <c r="C77" s="480">
        <v>109755</v>
      </c>
      <c r="D77" s="480">
        <f t="shared" si="6"/>
        <v>6247735</v>
      </c>
      <c r="E77" s="46">
        <f>IF(ISBLANK(A77),"-",D77/PLAYER_EXP_MAX)</f>
        <v>0.22475088484125882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43820.702109041056</v>
      </c>
      <c r="H77" s="480" t="str">
        <f t="shared" ca="1" si="7"/>
        <v>-492 D 06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43886.832389928866</v>
      </c>
      <c r="K77" s="36" t="str">
        <f t="shared" ca="1" si="8"/>
        <v>-426 D 03 H</v>
      </c>
      <c r="L77" s="51">
        <f t="shared" si="10"/>
        <v>91111.5014529771</v>
      </c>
      <c r="M77" s="58">
        <f>IF(ISBLANK(A77),NA(),IFERROR(A77+(PLAYER_EXP_MAX-D77)/L77,NA()))</f>
        <v>43920.655958050855</v>
      </c>
      <c r="N77" s="36" t="str">
        <f t="shared" ca="1" si="9"/>
        <v>-392 D 07 H</v>
      </c>
    </row>
    <row r="78" spans="1:14" ht="14.65" customHeight="1" x14ac:dyDescent="0.25">
      <c r="A78" s="8">
        <v>43684.243055555555</v>
      </c>
      <c r="B78" s="480">
        <v>175</v>
      </c>
      <c r="C78" s="480">
        <v>89950</v>
      </c>
      <c r="D78" s="480">
        <f t="shared" si="6"/>
        <v>6267540</v>
      </c>
      <c r="E78" s="46">
        <f>IF(ISBLANK(A78),"-",D78/PLAYER_EXP_MAX)</f>
        <v>0.22546333363658722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43822.260010512422</v>
      </c>
      <c r="H78" s="480" t="str">
        <f t="shared" ca="1" si="7"/>
        <v>-490 D 17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43882.473730738951</v>
      </c>
      <c r="K78" s="36" t="str">
        <f t="shared" ca="1" si="8"/>
        <v>-430 D 12 H</v>
      </c>
      <c r="L78" s="51">
        <f t="shared" si="10"/>
        <v>91630.166352656539</v>
      </c>
      <c r="M78" s="58">
        <f>IF(ISBLANK(A78),NA(),IFERROR(A78+(PLAYER_EXP_MAX-D78)/L78,NA()))</f>
        <v>43919.219699787915</v>
      </c>
      <c r="N78" s="36" t="str">
        <f t="shared" ca="1" si="9"/>
        <v>-393 D 18 H</v>
      </c>
    </row>
    <row r="79" spans="1:14" ht="14.65" customHeight="1" x14ac:dyDescent="0.25">
      <c r="A79" s="8">
        <v>43684.358333333337</v>
      </c>
      <c r="B79" s="480">
        <v>175</v>
      </c>
      <c r="C79" s="480">
        <v>74167</v>
      </c>
      <c r="D79" s="480">
        <f t="shared" si="6"/>
        <v>6283323</v>
      </c>
      <c r="E79" s="46">
        <f>IF(ISBLANK(A79),"-",D79/PLAYER_EXP_MAX)</f>
        <v>0.22603109830897644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43827.771780211944</v>
      </c>
      <c r="H79" s="480" t="str">
        <f t="shared" ca="1" si="7"/>
        <v>-485 D 04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43880.435145792864</v>
      </c>
      <c r="K79" s="36" t="str">
        <f t="shared" ca="1" si="8"/>
        <v>-432 D 13 H</v>
      </c>
      <c r="L79" s="51">
        <f t="shared" si="10"/>
        <v>91929.489905590774</v>
      </c>
      <c r="M79" s="58">
        <f>IF(ISBLANK(A79),NA(),IFERROR(A79+(PLAYER_EXP_MAX-D79)/L79,NA()))</f>
        <v>43918.398204783676</v>
      </c>
      <c r="N79" s="36" t="str">
        <f t="shared" ca="1" si="9"/>
        <v>-394 D 13 H</v>
      </c>
    </row>
    <row r="80" spans="1:14" ht="14.65" customHeight="1" x14ac:dyDescent="0.25">
      <c r="A80" s="8">
        <v>43684.490277777782</v>
      </c>
      <c r="B80" s="480">
        <v>175</v>
      </c>
      <c r="C80" s="480">
        <v>55946</v>
      </c>
      <c r="D80" s="480">
        <f t="shared" si="6"/>
        <v>6301544</v>
      </c>
      <c r="E80" s="46">
        <f>IF(ISBLANK(A80),"-",D80/PLAYER_EXP_MAX)</f>
        <v>0.22668656558994987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43828.343876654661</v>
      </c>
      <c r="H80" s="480" t="str">
        <f t="shared" ca="1" si="7"/>
        <v>-484 D 15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43878.557839267545</v>
      </c>
      <c r="K80" s="36" t="str">
        <f t="shared" ca="1" si="8"/>
        <v>-434 D 10 H</v>
      </c>
      <c r="L80" s="51">
        <f t="shared" si="10"/>
        <v>92276.153815713158</v>
      </c>
      <c r="M80" s="58">
        <f>IF(ISBLANK(A80),NA(),IFERROR(A80+(PLAYER_EXP_MAX-D80)/L80,NA()))</f>
        <v>43917.453444436549</v>
      </c>
      <c r="N80" s="36" t="str">
        <f t="shared" ca="1" si="9"/>
        <v>-395 D 12 H</v>
      </c>
    </row>
    <row r="81" spans="1:14" ht="14.65" customHeight="1" x14ac:dyDescent="0.25">
      <c r="A81" s="8">
        <v>43684.535416666666</v>
      </c>
      <c r="B81" s="480">
        <v>175</v>
      </c>
      <c r="C81" s="480">
        <v>49424</v>
      </c>
      <c r="D81" s="480">
        <f t="shared" si="6"/>
        <v>6308066</v>
      </c>
      <c r="E81" s="46">
        <f>IF(ISBLANK(A81),"-",D81/PLAYER_EXP_MAX)</f>
        <v>0.22692118265852507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43828.75757824177</v>
      </c>
      <c r="H81" s="480" t="str">
        <f t="shared" ca="1" si="7"/>
        <v>-484 D 05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43874.385178157143</v>
      </c>
      <c r="K81" s="36" t="str">
        <f t="shared" ca="1" si="8"/>
        <v>-438 D 14 H</v>
      </c>
      <c r="L81" s="51">
        <f t="shared" si="10"/>
        <v>92409.933774824254</v>
      </c>
      <c r="M81" s="58">
        <f>IF(ISBLANK(A81),NA(),IFERROR(A81+(PLAYER_EXP_MAX-D81)/L81,NA()))</f>
        <v>43917.090750516007</v>
      </c>
      <c r="N81" s="36" t="str">
        <f t="shared" ca="1" si="9"/>
        <v>-395 D 21 H</v>
      </c>
    </row>
    <row r="82" spans="1:14" ht="14.65" customHeight="1" x14ac:dyDescent="0.25">
      <c r="A82" s="8">
        <v>43684.581250000003</v>
      </c>
      <c r="B82" s="480">
        <v>175</v>
      </c>
      <c r="C82" s="480">
        <v>41675</v>
      </c>
      <c r="D82" s="480">
        <f t="shared" si="6"/>
        <v>6315815</v>
      </c>
      <c r="E82" s="46">
        <f>IF(ISBLANK(A82),"-",D82/PLAYER_EXP_MAX)</f>
        <v>0.22719993881681844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43828.681103977666</v>
      </c>
      <c r="H82" s="480" t="str">
        <f t="shared" ca="1" si="7"/>
        <v>-484 D 07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43872.95437273354</v>
      </c>
      <c r="K82" s="36" t="str">
        <f t="shared" ca="1" si="8"/>
        <v>-440 D 00 H</v>
      </c>
      <c r="L82" s="51">
        <f t="shared" si="10"/>
        <v>92608.860580295033</v>
      </c>
      <c r="M82" s="58">
        <f>IF(ISBLANK(A82),NA(),IFERROR(A82+(PLAYER_EXP_MAX-D82)/L82,NA()))</f>
        <v>43916.55337302784</v>
      </c>
      <c r="N82" s="36" t="str">
        <f t="shared" ca="1" si="9"/>
        <v>-396 D 10 H</v>
      </c>
    </row>
    <row r="83" spans="1:14" ht="14.65" customHeight="1" x14ac:dyDescent="0.25">
      <c r="A83" s="8">
        <v>43685.039583333339</v>
      </c>
      <c r="B83" s="480">
        <v>176</v>
      </c>
      <c r="C83" s="480">
        <v>163630</v>
      </c>
      <c r="D83" s="480">
        <f t="shared" si="6"/>
        <v>6360860</v>
      </c>
      <c r="E83" s="46">
        <f>IF(ISBLANK(A83),"-",D83/PLAYER_EXP_MAX)</f>
        <v>0.22882035063128792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43842.157328341622</v>
      </c>
      <c r="H83" s="480" t="str">
        <f t="shared" ca="1" si="7"/>
        <v>-470 D 19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43871.868090837343</v>
      </c>
      <c r="K83" s="36" t="str">
        <f t="shared" ca="1" si="8"/>
        <v>-441 D 02 H</v>
      </c>
      <c r="L83" s="51">
        <f t="shared" si="10"/>
        <v>92752.301678504591</v>
      </c>
      <c r="M83" s="58">
        <f>IF(ISBLANK(A83),NA(),IFERROR(A83+(PLAYER_EXP_MAX-D83)/L83,NA()))</f>
        <v>43916.167313988546</v>
      </c>
      <c r="N83" s="36" t="str">
        <f t="shared" ca="1" si="9"/>
        <v>-396 D 19 H</v>
      </c>
    </row>
    <row r="84" spans="1:14" ht="14.65" customHeight="1" x14ac:dyDescent="0.25">
      <c r="A84" s="8">
        <v>43685.32916666667</v>
      </c>
      <c r="B84" s="480">
        <v>176</v>
      </c>
      <c r="C84" s="480">
        <v>126558</v>
      </c>
      <c r="D84" s="480">
        <f t="shared" si="6"/>
        <v>6397932</v>
      </c>
      <c r="E84" s="46">
        <f>IF(ISBLANK(A84),"-",D84/PLAYER_EXP_MAX)</f>
        <v>0.23015394829553507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43869.282531463752</v>
      </c>
      <c r="H84" s="480" t="str">
        <f t="shared" ca="1" si="7"/>
        <v>-443 D 16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43863.432664539083</v>
      </c>
      <c r="K84" s="36" t="str">
        <f t="shared" ca="1" si="8"/>
        <v>-449 D 13 H</v>
      </c>
      <c r="L84" s="51">
        <f t="shared" si="10"/>
        <v>93307.013692397595</v>
      </c>
      <c r="M84" s="58">
        <f>IF(ISBLANK(A84),NA(),IFERROR(A84+(PLAYER_EXP_MAX-D84)/L84,NA()))</f>
        <v>43914.685526420617</v>
      </c>
      <c r="N84" s="36" t="str">
        <f t="shared" ca="1" si="9"/>
        <v>-398 D 07 H</v>
      </c>
    </row>
    <row r="85" spans="1:14" ht="14.65" customHeight="1" x14ac:dyDescent="0.25">
      <c r="A85" s="8">
        <v>43685.415972222225</v>
      </c>
      <c r="B85" s="480">
        <v>176</v>
      </c>
      <c r="C85" s="480">
        <v>113846</v>
      </c>
      <c r="D85" s="480">
        <f t="shared" si="6"/>
        <v>6410644</v>
      </c>
      <c r="E85" s="46">
        <f>IF(ISBLANK(A85),"-",D85/PLAYER_EXP_MAX)</f>
        <v>0.23061123933750499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43870.244969468382</v>
      </c>
      <c r="H85" s="480" t="str">
        <f t="shared" ca="1" si="7"/>
        <v>-442 D 17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43860.377167177146</v>
      </c>
      <c r="K85" s="36" t="str">
        <f t="shared" ca="1" si="8"/>
        <v>-452 D 14 H</v>
      </c>
      <c r="L85" s="51">
        <f t="shared" si="10"/>
        <v>93556.371827573937</v>
      </c>
      <c r="M85" s="58">
        <f>IF(ISBLANK(A85),NA(),IFERROR(A85+(PLAYER_EXP_MAX-D85)/L85,NA()))</f>
        <v>43914.025147441396</v>
      </c>
      <c r="N85" s="36" t="str">
        <f t="shared" ca="1" si="9"/>
        <v>-398 D 22 H</v>
      </c>
    </row>
    <row r="86" spans="1:14" ht="14.65" customHeight="1" x14ac:dyDescent="0.25">
      <c r="A86" s="8">
        <v>43685.504166666666</v>
      </c>
      <c r="B86" s="480">
        <v>176</v>
      </c>
      <c r="C86" s="480">
        <v>104837</v>
      </c>
      <c r="D86" s="480">
        <f t="shared" si="6"/>
        <v>6419653</v>
      </c>
      <c r="E86" s="46">
        <f>IF(ISBLANK(A86),"-",D86/PLAYER_EXP_MAX)</f>
        <v>0.2309353217003989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43872.024257653997</v>
      </c>
      <c r="H86" s="480" t="str">
        <f t="shared" ca="1" si="7"/>
        <v>-440 D 22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43859.765434078989</v>
      </c>
      <c r="K86" s="36" t="str">
        <f t="shared" ca="1" si="8"/>
        <v>-453 D 05 H</v>
      </c>
      <c r="L86" s="51">
        <f t="shared" si="10"/>
        <v>93597.148301750116</v>
      </c>
      <c r="M86" s="58">
        <f>IF(ISBLANK(A86),NA(),IFERROR(A86+(PLAYER_EXP_MAX-D86)/L86,NA()))</f>
        <v>43913.91749322525</v>
      </c>
      <c r="N86" s="36" t="str">
        <f t="shared" ca="1" si="9"/>
        <v>-399 D 01 H</v>
      </c>
    </row>
    <row r="87" spans="1:14" ht="14.65" customHeight="1" x14ac:dyDescent="0.25">
      <c r="A87" s="8">
        <v>43685.577083333337</v>
      </c>
      <c r="B87" s="480">
        <v>176</v>
      </c>
      <c r="C87" s="480">
        <v>93325</v>
      </c>
      <c r="D87" s="480">
        <f t="shared" si="6"/>
        <v>6431165</v>
      </c>
      <c r="E87" s="46">
        <f>IF(ISBLANK(A87),"-",D87/PLAYER_EXP_MAX)</f>
        <v>0.23134944492846357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43870.318730964136</v>
      </c>
      <c r="H87" s="480" t="str">
        <f t="shared" ca="1" si="7"/>
        <v>-442 D 15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43856.586542036472</v>
      </c>
      <c r="K87" s="36" t="str">
        <f t="shared" ca="1" si="8"/>
        <v>-456 D 09 H</v>
      </c>
      <c r="L87" s="51">
        <f t="shared" si="10"/>
        <v>93848.360875356637</v>
      </c>
      <c r="M87" s="58">
        <f>IF(ISBLANK(A87),NA(),IFERROR(A87+(PLAYER_EXP_MAX-D87)/L87,NA()))</f>
        <v>43913.256328881151</v>
      </c>
      <c r="N87" s="36" t="str">
        <f t="shared" ca="1" si="9"/>
        <v>-399 D 17 H</v>
      </c>
    </row>
    <row r="88" spans="1:14" ht="14.65" customHeight="1" x14ac:dyDescent="0.25">
      <c r="A88" s="8">
        <v>43686.179166666669</v>
      </c>
      <c r="B88" s="480">
        <v>176</v>
      </c>
      <c r="C88" s="480">
        <v>36590</v>
      </c>
      <c r="D88" s="480">
        <f t="shared" si="6"/>
        <v>6487900</v>
      </c>
      <c r="E88" s="46">
        <f>IF(ISBLANK(A88),"-",D88/PLAYER_EXP_MAX)</f>
        <v>0.23339038319672697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43879.454270276517</v>
      </c>
      <c r="H88" s="480" t="str">
        <f t="shared" ca="1" si="7"/>
        <v>-433 D 12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43849.741939513391</v>
      </c>
      <c r="K88" s="36" t="str">
        <f t="shared" ca="1" si="8"/>
        <v>-463 D 05 H</v>
      </c>
      <c r="L88" s="51">
        <f t="shared" si="10"/>
        <v>93860.326663037471</v>
      </c>
      <c r="M88" s="58">
        <f>IF(ISBLANK(A88),NA(),IFERROR(A88+(PLAYER_EXP_MAX-D88)/L88,NA()))</f>
        <v>43913.224924524577</v>
      </c>
      <c r="N88" s="36" t="str">
        <f t="shared" ca="1" si="9"/>
        <v>-399 D 18 H</v>
      </c>
    </row>
    <row r="89" spans="1:14" ht="14.65" customHeight="1" x14ac:dyDescent="0.25">
      <c r="A89" s="8">
        <v>43686.44027777778</v>
      </c>
      <c r="B89" s="480">
        <v>177</v>
      </c>
      <c r="C89" s="480">
        <v>166208</v>
      </c>
      <c r="D89" s="480">
        <f t="shared" si="6"/>
        <v>6528282</v>
      </c>
      <c r="E89" s="46">
        <f>IF(ISBLANK(A89),"-",D89/PLAYER_EXP_MAX)</f>
        <v>0.23484305208099621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43879.360674758987</v>
      </c>
      <c r="H89" s="480" t="str">
        <f t="shared" ca="1" si="7"/>
        <v>-433 D 14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43850.034298029452</v>
      </c>
      <c r="K89" s="36" t="str">
        <f t="shared" ca="1" si="8"/>
        <v>-462 D 22 H</v>
      </c>
      <c r="L89" s="51">
        <f t="shared" si="10"/>
        <v>94673.481555240331</v>
      </c>
      <c r="M89" s="58">
        <f>IF(ISBLANK(A89),NA(),IFERROR(A89+(PLAYER_EXP_MAX-D89)/L89,NA()))</f>
        <v>43911.109389450714</v>
      </c>
      <c r="N89" s="36" t="str">
        <f t="shared" ca="1" si="9"/>
        <v>-401 D 20 H</v>
      </c>
    </row>
    <row r="90" spans="1:14" ht="14.65" customHeight="1" x14ac:dyDescent="0.25">
      <c r="A90" s="8">
        <v>43686.808333333334</v>
      </c>
      <c r="B90" s="480">
        <v>177</v>
      </c>
      <c r="C90" s="480">
        <v>123880</v>
      </c>
      <c r="D90" s="480">
        <f t="shared" si="6"/>
        <v>6570610</v>
      </c>
      <c r="E90" s="46">
        <f>IF(ISBLANK(A90),"-",D90/PLAYER_EXP_MAX)</f>
        <v>0.23636572477014847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43872.809138962555</v>
      </c>
      <c r="H90" s="480" t="str">
        <f t="shared" ca="1" si="7"/>
        <v>-440 D 04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43850.562045268678</v>
      </c>
      <c r="K90" s="36" t="str">
        <f t="shared" ca="1" si="8"/>
        <v>-462 D 10 H</v>
      </c>
      <c r="L90" s="51">
        <f t="shared" si="10"/>
        <v>95049.703571784121</v>
      </c>
      <c r="M90" s="58">
        <f>IF(ISBLANK(A90),NA(),IFERROR(A90+(PLAYER_EXP_MAX-D90)/L90,NA()))</f>
        <v>43910.142843618974</v>
      </c>
      <c r="N90" s="36" t="str">
        <f t="shared" ca="1" si="9"/>
        <v>-402 D 20 H</v>
      </c>
    </row>
    <row r="91" spans="1:14" ht="14.65" customHeight="1" x14ac:dyDescent="0.25">
      <c r="A91" s="8">
        <v>43687.155555555561</v>
      </c>
      <c r="B91" s="480">
        <v>177</v>
      </c>
      <c r="C91" s="480">
        <v>80799</v>
      </c>
      <c r="D91" s="480">
        <f t="shared" si="6"/>
        <v>6613691</v>
      </c>
      <c r="E91" s="46">
        <f>IF(ISBLANK(A91),"-",D91/PLAYER_EXP_MAX)</f>
        <v>0.23791548526252632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43868.072707712403</v>
      </c>
      <c r="H91" s="480" t="str">
        <f t="shared" ca="1" si="7"/>
        <v>-444 D 21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43848.702720666908</v>
      </c>
      <c r="K91" s="36" t="str">
        <f t="shared" ca="1" si="8"/>
        <v>-464 D 06 H</v>
      </c>
      <c r="L91" s="51">
        <f t="shared" si="10"/>
        <v>95547.688823269957</v>
      </c>
      <c r="M91" s="58">
        <f>IF(ISBLANK(A91),NA(),IFERROR(A91+(PLAYER_EXP_MAX-D91)/L91,NA()))</f>
        <v>43908.875183323682</v>
      </c>
      <c r="N91" s="36" t="str">
        <f t="shared" ca="1" si="9"/>
        <v>-404 D 02 H</v>
      </c>
    </row>
    <row r="92" spans="1:14" ht="14.65" customHeight="1" x14ac:dyDescent="0.25">
      <c r="A92" s="8">
        <v>43687.426388888889</v>
      </c>
      <c r="B92" s="480">
        <v>177</v>
      </c>
      <c r="C92" s="480">
        <v>36772</v>
      </c>
      <c r="D92" s="480">
        <f t="shared" si="6"/>
        <v>6657718</v>
      </c>
      <c r="E92" s="46">
        <f>IF(ISBLANK(A92),"-",D92/PLAYER_EXP_MAX)</f>
        <v>0.23949927638153282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43847.580808451741</v>
      </c>
      <c r="H92" s="480" t="str">
        <f t="shared" ca="1" si="7"/>
        <v>-465 D 09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43848.694508391331</v>
      </c>
      <c r="K92" s="36" t="str">
        <f t="shared" ca="1" si="8"/>
        <v>-464 D 06 H</v>
      </c>
      <c r="L92" s="51">
        <f t="shared" si="10"/>
        <v>96432.700551947899</v>
      </c>
      <c r="M92" s="58">
        <f>IF(ISBLANK(A92),NA(),IFERROR(A92+(PLAYER_EXP_MAX-D92)/L92,NA()))</f>
        <v>43906.654626602831</v>
      </c>
      <c r="N92" s="36" t="str">
        <f t="shared" ca="1" si="9"/>
        <v>-406 D 07 H</v>
      </c>
    </row>
    <row r="93" spans="1:14" ht="14.65" customHeight="1" x14ac:dyDescent="0.25">
      <c r="A93" s="8">
        <v>43687.495833333334</v>
      </c>
      <c r="B93" s="480">
        <v>177</v>
      </c>
      <c r="C93" s="480">
        <v>26912</v>
      </c>
      <c r="D93" s="480">
        <f t="shared" si="6"/>
        <v>6667578</v>
      </c>
      <c r="E93" s="46">
        <f>IF(ISBLANK(A93),"-",D93/PLAYER_EXP_MAX)</f>
        <v>0.23985397191912122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43846.78363692628</v>
      </c>
      <c r="H93" s="480" t="str">
        <f t="shared" ca="1" si="7"/>
        <v>-466 D 04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43848.944045619974</v>
      </c>
      <c r="K93" s="36" t="str">
        <f t="shared" ca="1" si="8"/>
        <v>-464 D 00 H</v>
      </c>
      <c r="L93" s="51">
        <f t="shared" si="10"/>
        <v>96586.429077636945</v>
      </c>
      <c r="M93" s="58">
        <f>IF(ISBLANK(A93),NA(),IFERROR(A93+(PLAYER_EXP_MAX-D93)/L93,NA()))</f>
        <v>43906.273059096748</v>
      </c>
      <c r="N93" s="36" t="str">
        <f t="shared" ca="1" si="9"/>
        <v>-406 D 16 H</v>
      </c>
    </row>
    <row r="94" spans="1:14" ht="14.65" customHeight="1" x14ac:dyDescent="0.25">
      <c r="A94" s="8">
        <v>43687.976388888892</v>
      </c>
      <c r="B94" s="480">
        <v>177</v>
      </c>
      <c r="C94" s="480">
        <v>5661</v>
      </c>
      <c r="D94" s="480">
        <f t="shared" si="6"/>
        <v>6688829</v>
      </c>
      <c r="E94" s="46">
        <f>IF(ISBLANK(A94),"-",D94/PLAYER_EXP_MAX)</f>
        <v>0.24061843793020549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43888.65498867524</v>
      </c>
      <c r="H94" s="480" t="str">
        <f t="shared" ca="1" si="7"/>
        <v>-424 D 07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43850.099604086485</v>
      </c>
      <c r="K94" s="36" t="str">
        <f t="shared" ca="1" si="8"/>
        <v>-462 D 21 H</v>
      </c>
      <c r="L94" s="51">
        <f t="shared" si="10"/>
        <v>95391.416416554377</v>
      </c>
      <c r="M94" s="58">
        <f>IF(ISBLANK(A94),NA(),IFERROR(A94+(PLAYER_EXP_MAX-D94)/L94,NA()))</f>
        <v>43909.271561903399</v>
      </c>
      <c r="N94" s="36" t="str">
        <f t="shared" ca="1" si="9"/>
        <v>-403 D 16 H</v>
      </c>
    </row>
    <row r="95" spans="1:14" ht="14.65" customHeight="1" x14ac:dyDescent="0.25">
      <c r="A95" s="8">
        <v>43688.018055555556</v>
      </c>
      <c r="B95" s="480">
        <v>178</v>
      </c>
      <c r="C95" s="480">
        <v>169427</v>
      </c>
      <c r="D95" s="480">
        <f t="shared" si="6"/>
        <v>6698063</v>
      </c>
      <c r="E95" s="46">
        <f>IF(ISBLANK(A95),"-",D95/PLAYER_EXP_MAX)</f>
        <v>0.24095061425820663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43897.948145482784</v>
      </c>
      <c r="H95" s="480" t="str">
        <f t="shared" ca="1" si="7"/>
        <v>-415 D 00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43851.350450340215</v>
      </c>
      <c r="K95" s="36" t="str">
        <f t="shared" ca="1" si="8"/>
        <v>-461 D 15 H</v>
      </c>
      <c r="L95" s="51">
        <f t="shared" si="10"/>
        <v>95640.683276816315</v>
      </c>
      <c r="M95" s="58">
        <f>IF(ISBLANK(A95),NA(),IFERROR(A95+(PLAYER_EXP_MAX-D95)/L95,NA()))</f>
        <v>43908.639921450515</v>
      </c>
      <c r="N95" s="36" t="str">
        <f t="shared" ca="1" si="9"/>
        <v>-404 D 08 H</v>
      </c>
    </row>
    <row r="96" spans="1:14" ht="14.65" customHeight="1" x14ac:dyDescent="0.25">
      <c r="A96" s="8">
        <v>43688.25</v>
      </c>
      <c r="B96" s="480">
        <v>178</v>
      </c>
      <c r="C96" s="480">
        <v>127528</v>
      </c>
      <c r="D96" s="480">
        <f t="shared" si="6"/>
        <v>6739962</v>
      </c>
      <c r="E96" s="46">
        <f>IF(ISBLANK(A96),"-",D96/PLAYER_EXP_MAX)</f>
        <v>0.24245785445388776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43905.8369309603</v>
      </c>
      <c r="H96" s="480" t="str">
        <f t="shared" ca="1" si="7"/>
        <v>-407 D 03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43851.951807520214</v>
      </c>
      <c r="K96" s="36" t="str">
        <f t="shared" ca="1" si="8"/>
        <v>-461 D 00 H</v>
      </c>
      <c r="L96" s="51">
        <f t="shared" si="10"/>
        <v>96564.945795474661</v>
      </c>
      <c r="M96" s="58">
        <f>IF(ISBLANK(A96),NA(),IFERROR(A96+(PLAYER_EXP_MAX-D96)/L96,NA()))</f>
        <v>43906.326309436365</v>
      </c>
      <c r="N96" s="36" t="str">
        <f t="shared" ca="1" si="9"/>
        <v>-406 D 15 H</v>
      </c>
    </row>
    <row r="97" spans="1:14" ht="14.65" customHeight="1" x14ac:dyDescent="0.25">
      <c r="A97" s="8">
        <v>43688.70694444445</v>
      </c>
      <c r="B97" s="480">
        <v>178</v>
      </c>
      <c r="C97" s="480">
        <v>50275</v>
      </c>
      <c r="D97" s="480">
        <f t="shared" si="6"/>
        <v>6817215</v>
      </c>
      <c r="E97" s="46">
        <f>IF(ISBLANK(A97),"-",D97/PLAYER_EXP_MAX)</f>
        <v>0.24523689039357499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43852.714456578644</v>
      </c>
      <c r="H97" s="480" t="str">
        <f t="shared" ca="1" si="7"/>
        <v>-460 D 06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43852.764821588076</v>
      </c>
      <c r="K97" s="36" t="str">
        <f t="shared" ca="1" si="8"/>
        <v>-460 D 05 H</v>
      </c>
      <c r="L97" s="51">
        <f t="shared" si="10"/>
        <v>98085.410677254447</v>
      </c>
      <c r="M97" s="58">
        <f>IF(ISBLANK(A97),NA(),IFERROR(A97+(PLAYER_EXP_MAX-D97)/L97,NA()))</f>
        <v>43902.615148071571</v>
      </c>
      <c r="N97" s="36" t="str">
        <f t="shared" ca="1" si="9"/>
        <v>-410 D 08 H</v>
      </c>
    </row>
    <row r="98" spans="1:14" ht="14.65" customHeight="1" x14ac:dyDescent="0.25">
      <c r="A98" s="8">
        <v>43688.764583333337</v>
      </c>
      <c r="B98" s="480">
        <v>178</v>
      </c>
      <c r="C98" s="480">
        <v>39943</v>
      </c>
      <c r="D98" s="480">
        <f t="shared" si="6"/>
        <v>6827547</v>
      </c>
      <c r="E98" s="46">
        <f>IF(ISBLANK(A98),"-",D98/PLAYER_EXP_MAX)</f>
        <v>0.24560856527129946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43841.733850937191</v>
      </c>
      <c r="H98" s="480" t="str">
        <f t="shared" ca="1" si="7"/>
        <v>-471 D 05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43852.867146982586</v>
      </c>
      <c r="K98" s="36" t="str">
        <f t="shared" ca="1" si="8"/>
        <v>-460 D 02 H</v>
      </c>
      <c r="L98" s="51">
        <f t="shared" si="10"/>
        <v>98299.568949044406</v>
      </c>
      <c r="M98" s="58">
        <f>IF(ISBLANK(A98),NA(),IFERROR(A98+(PLAYER_EXP_MAX-D98)/L98,NA()))</f>
        <v>43902.101653111036</v>
      </c>
      <c r="N98" s="36" t="str">
        <f t="shared" ca="1" si="9"/>
        <v>-410 D 21 H</v>
      </c>
    </row>
    <row r="99" spans="1:14" ht="14.65" customHeight="1" x14ac:dyDescent="0.25">
      <c r="A99" s="8">
        <v>43689.26666666667</v>
      </c>
      <c r="B99" s="480">
        <v>179</v>
      </c>
      <c r="C99" s="480">
        <v>147950</v>
      </c>
      <c r="D99" s="480">
        <f t="shared" si="6"/>
        <v>6895540</v>
      </c>
      <c r="E99" s="46">
        <f>IF(ISBLANK(A99),"-",D99/PLAYER_EXP_MAX)</f>
        <v>0.24805448958035092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43826.101948865886</v>
      </c>
      <c r="H99" s="480" t="str">
        <f t="shared" ca="1" si="7"/>
        <v>-486 D 21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43853.53392893292</v>
      </c>
      <c r="K99" s="36" t="str">
        <f t="shared" ca="1" si="8"/>
        <v>-459 D 10 H</v>
      </c>
      <c r="L99" s="51">
        <f t="shared" si="10"/>
        <v>99133.580684226719</v>
      </c>
      <c r="M99" s="58">
        <f>IF(ISBLANK(A99),NA(),IFERROR(A99+(PLAYER_EXP_MAX-D99)/L99,NA()))</f>
        <v>43900.123057162469</v>
      </c>
      <c r="N99" s="36" t="str">
        <f t="shared" ca="1" si="9"/>
        <v>-412 D 20 H</v>
      </c>
    </row>
    <row r="100" spans="1:14" ht="14.65" customHeight="1" x14ac:dyDescent="0.25">
      <c r="A100" s="8">
        <v>43689.381944444445</v>
      </c>
      <c r="B100" s="480">
        <v>179</v>
      </c>
      <c r="C100" s="480">
        <v>131406</v>
      </c>
      <c r="D100" s="480">
        <f t="shared" si="6"/>
        <v>6912084</v>
      </c>
      <c r="E100" s="46">
        <f>IF(ISBLANK(A100),"-",D100/PLAYER_EXP_MAX)</f>
        <v>0.24864962984139174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43828.84708318115</v>
      </c>
      <c r="H100" s="480" t="str">
        <f t="shared" ca="1" si="7"/>
        <v>-484 D 03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43853.471778776016</v>
      </c>
      <c r="K100" s="36" t="str">
        <f t="shared" ca="1" si="8"/>
        <v>-459 D 12 H</v>
      </c>
      <c r="L100" s="51">
        <f t="shared" si="10"/>
        <v>99361.335517960484</v>
      </c>
      <c r="M100" s="58">
        <f>IF(ISBLANK(A100),NA(),IFERROR(A100+(PLAYER_EXP_MAX-D100)/L100,NA()))</f>
        <v>43899.588509111891</v>
      </c>
      <c r="N100" s="36" t="str">
        <f t="shared" ca="1" si="9"/>
        <v>-413 D 09 H</v>
      </c>
    </row>
    <row r="101" spans="1:14" ht="14.65" customHeight="1" x14ac:dyDescent="0.25">
      <c r="A101" s="8">
        <v>43689.458333333336</v>
      </c>
      <c r="B101" s="480">
        <v>179</v>
      </c>
      <c r="C101" s="480">
        <v>119981</v>
      </c>
      <c r="D101" s="480">
        <f t="shared" si="6"/>
        <v>6923509</v>
      </c>
      <c r="E101" s="46">
        <f>IF(ISBLANK(A101),"-",D101/PLAYER_EXP_MAX)</f>
        <v>0.24906062340294827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43829.847128880458</v>
      </c>
      <c r="H101" s="480" t="str">
        <f t="shared" ca="1" si="7"/>
        <v>-483 D 03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43853.142782890231</v>
      </c>
      <c r="K101" s="36" t="str">
        <f t="shared" ca="1" si="8"/>
        <v>-459 D 20 H</v>
      </c>
      <c r="L101" s="51">
        <f t="shared" si="10"/>
        <v>99531.476106825503</v>
      </c>
      <c r="M101" s="58">
        <f>IF(ISBLANK(A101),NA(),IFERROR(A101+(PLAYER_EXP_MAX-D101)/L101,NA()))</f>
        <v>43899.190779957513</v>
      </c>
      <c r="N101" s="36" t="str">
        <f t="shared" ca="1" si="9"/>
        <v>-413 D 18 H</v>
      </c>
    </row>
    <row r="102" spans="1:14" ht="14.65" customHeight="1" x14ac:dyDescent="0.25">
      <c r="A102" s="8">
        <v>43689.56527777778</v>
      </c>
      <c r="B102" s="480">
        <v>179</v>
      </c>
      <c r="C102" s="480">
        <v>100465</v>
      </c>
      <c r="D102" s="480">
        <f t="shared" si="6"/>
        <v>6943025</v>
      </c>
      <c r="E102" s="46">
        <f>IF(ISBLANK(A102),"-",D102/PLAYER_EXP_MAX)</f>
        <v>0.24976267594976115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43829.127756921996</v>
      </c>
      <c r="H102" s="480" t="str">
        <f t="shared" ca="1" si="7"/>
        <v>-483 D 20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43852.804361612616</v>
      </c>
      <c r="K102" s="36" t="str">
        <f t="shared" ca="1" si="8"/>
        <v>-460 D 04 H</v>
      </c>
      <c r="L102" s="51">
        <f t="shared" si="10"/>
        <v>99923.220999028708</v>
      </c>
      <c r="M102" s="58">
        <f>IF(ISBLANK(A102),NA(),IFERROR(A102+(PLAYER_EXP_MAX-D102)/L102,NA()))</f>
        <v>43898.280166984594</v>
      </c>
      <c r="N102" s="36" t="str">
        <f t="shared" ca="1" si="9"/>
        <v>-414 D 16 H</v>
      </c>
    </row>
    <row r="103" spans="1:14" ht="14.65" customHeight="1" x14ac:dyDescent="0.25">
      <c r="A103" s="8">
        <v>43689.613888888889</v>
      </c>
      <c r="B103" s="480">
        <v>179</v>
      </c>
      <c r="C103" s="480">
        <v>92577</v>
      </c>
      <c r="D103" s="480">
        <f t="shared" si="6"/>
        <v>6950913</v>
      </c>
      <c r="E103" s="46">
        <f>IF(ISBLANK(A103),"-",D103/PLAYER_EXP_MAX)</f>
        <v>0.25004643237983187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43828.582415106379</v>
      </c>
      <c r="H103" s="480" t="str">
        <f t="shared" ca="1" si="7"/>
        <v>-484 D 09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43852.430859859676</v>
      </c>
      <c r="K103" s="36" t="str">
        <f t="shared" ca="1" si="8"/>
        <v>-460 D 13 H</v>
      </c>
      <c r="L103" s="51">
        <f t="shared" si="10"/>
        <v>100056.75713716097</v>
      </c>
      <c r="M103" s="58">
        <f>IF(ISBLANK(A103),NA(),IFERROR(A103+(PLAYER_EXP_MAX-D103)/L103,NA()))</f>
        <v>43897.97139113555</v>
      </c>
      <c r="N103" s="36" t="str">
        <f t="shared" ca="1" si="9"/>
        <v>-415 D 00 H</v>
      </c>
    </row>
    <row r="104" spans="1:14" ht="14.65" customHeight="1" x14ac:dyDescent="0.25">
      <c r="A104" s="8">
        <v>43690.145138888889</v>
      </c>
      <c r="B104" s="480">
        <v>179</v>
      </c>
      <c r="C104" s="480">
        <v>78291</v>
      </c>
      <c r="D104" s="480">
        <f t="shared" si="6"/>
        <v>6965199</v>
      </c>
      <c r="E104" s="46">
        <f>IF(ISBLANK(A104),"-",D104/PLAYER_EXP_MAX)</f>
        <v>0.25056034520437426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43889.601577072186</v>
      </c>
      <c r="H104" s="480" t="str">
        <f t="shared" ca="1" si="7"/>
        <v>-423 D 09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43855.274511588061</v>
      </c>
      <c r="K104" s="36" t="str">
        <f t="shared" ca="1" si="8"/>
        <v>-457 D 16 H</v>
      </c>
      <c r="L104" s="51">
        <f t="shared" si="10"/>
        <v>98383.266160364903</v>
      </c>
      <c r="M104" s="58">
        <f>IF(ISBLANK(A104),NA(),IFERROR(A104+(PLAYER_EXP_MAX-D104)/L104,NA()))</f>
        <v>43901.901576879492</v>
      </c>
      <c r="N104" s="36" t="str">
        <f t="shared" ca="1" si="9"/>
        <v>-411 D 01 H</v>
      </c>
    </row>
    <row r="105" spans="1:14" ht="14.65" customHeight="1" x14ac:dyDescent="0.25">
      <c r="A105" s="8">
        <v>43690.409722222226</v>
      </c>
      <c r="B105" s="480">
        <v>179</v>
      </c>
      <c r="C105" s="480">
        <v>49127</v>
      </c>
      <c r="D105" s="480">
        <f t="shared" si="6"/>
        <v>6994363</v>
      </c>
      <c r="E105" s="46">
        <f>IF(ISBLANK(A105),"-",D105/PLAYER_EXP_MAX)</f>
        <v>0.2516094669749856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43998.836590566723</v>
      </c>
      <c r="H105" s="480" t="str">
        <f t="shared" ca="1" si="7"/>
        <v>-314 D 03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43858.582928508535</v>
      </c>
      <c r="K105" s="36" t="str">
        <f t="shared" ca="1" si="8"/>
        <v>-454 D 09 H</v>
      </c>
      <c r="L105" s="51">
        <f t="shared" si="10"/>
        <v>98516.654743223276</v>
      </c>
      <c r="M105" s="58">
        <f>IF(ISBLANK(A105),NA(),IFERROR(A105+(PLAYER_EXP_MAX-D105)/L105,NA()))</f>
        <v>43901.583417210393</v>
      </c>
      <c r="N105" s="36" t="str">
        <f t="shared" ca="1" si="9"/>
        <v>-411 D 09 H</v>
      </c>
    </row>
    <row r="106" spans="1:14" ht="14.65" customHeight="1" x14ac:dyDescent="0.25">
      <c r="A106" s="8">
        <v>43690.547222222223</v>
      </c>
      <c r="B106" s="480">
        <v>179</v>
      </c>
      <c r="C106" s="480">
        <v>25420</v>
      </c>
      <c r="D106" s="480">
        <f t="shared" si="6"/>
        <v>7018070</v>
      </c>
      <c r="E106" s="46">
        <f>IF(ISBLANK(A106),"-",D106/PLAYER_EXP_MAX)</f>
        <v>0.25246228311186264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43982.931466133894</v>
      </c>
      <c r="H106" s="480" t="str">
        <f t="shared" ca="1" si="7"/>
        <v>-330 D 01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43859.793131106744</v>
      </c>
      <c r="K106" s="36" t="str">
        <f t="shared" ca="1" si="8"/>
        <v>-453 D 04 H</v>
      </c>
      <c r="L106" s="51">
        <f t="shared" si="10"/>
        <v>98946.685084479774</v>
      </c>
      <c r="M106" s="58">
        <f>IF(ISBLANK(A106),NA(),IFERROR(A106+(PLAYER_EXP_MAX-D106)/L106,NA()))</f>
        <v>43900.563545480123</v>
      </c>
      <c r="N106" s="36" t="str">
        <f t="shared" ca="1" si="9"/>
        <v>-412 D 09 H</v>
      </c>
    </row>
    <row r="107" spans="1:14" ht="14.65" customHeight="1" x14ac:dyDescent="0.25">
      <c r="A107" s="8">
        <v>43690.630555555559</v>
      </c>
      <c r="B107" s="480">
        <v>179</v>
      </c>
      <c r="C107" s="480">
        <v>12788</v>
      </c>
      <c r="D107" s="480">
        <f t="shared" si="6"/>
        <v>7030702</v>
      </c>
      <c r="E107" s="46">
        <f>IF(ISBLANK(A107),"-",D107/PLAYER_EXP_MAX)</f>
        <v>0.25291669629957225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43960.150194317037</v>
      </c>
      <c r="H107" s="480" t="str">
        <f t="shared" ca="1" si="7"/>
        <v>-352 D 19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43860.246276663122</v>
      </c>
      <c r="K107" s="36" t="str">
        <f t="shared" ca="1" si="8"/>
        <v>-452 D 17 H</v>
      </c>
      <c r="L107" s="51">
        <f t="shared" si="10"/>
        <v>99131.674915773227</v>
      </c>
      <c r="M107" s="58">
        <f>IF(ISBLANK(A107),NA(),IFERROR(A107+(PLAYER_EXP_MAX-D107)/L107,NA()))</f>
        <v>43900.127540425885</v>
      </c>
      <c r="N107" s="36" t="str">
        <f t="shared" ca="1" si="9"/>
        <v>-412 D 20 H</v>
      </c>
    </row>
    <row r="108" spans="1:14" ht="14.65" customHeight="1" x14ac:dyDescent="0.25">
      <c r="A108" s="8">
        <v>43691.04791666667</v>
      </c>
      <c r="B108" s="480">
        <v>180</v>
      </c>
      <c r="C108" s="480">
        <v>144540</v>
      </c>
      <c r="D108" s="480">
        <f t="shared" si="6"/>
        <v>7077950</v>
      </c>
      <c r="E108" s="46">
        <f>IF(ISBLANK(A108),"-",D108/PLAYER_EXP_MAX)</f>
        <v>0.25461635702573621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43917.656011659587</v>
      </c>
      <c r="H108" s="480" t="str">
        <f t="shared" ca="1" si="7"/>
        <v>-395 D 07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43861.344923560719</v>
      </c>
      <c r="K108" s="36" t="str">
        <f t="shared" ca="1" si="8"/>
        <v>-451 D 15 H</v>
      </c>
      <c r="L108" s="51">
        <f t="shared" si="10"/>
        <v>99375.126921058472</v>
      </c>
      <c r="M108" s="58">
        <f>IF(ISBLANK(A108),NA(),IFERROR(A108+(PLAYER_EXP_MAX-D108)/L108,NA()))</f>
        <v>43899.556218914775</v>
      </c>
      <c r="N108" s="36" t="str">
        <f t="shared" ca="1" si="9"/>
        <v>-413 D 10 H</v>
      </c>
    </row>
    <row r="109" spans="1:14" ht="14.65" customHeight="1" x14ac:dyDescent="0.25">
      <c r="A109" s="8">
        <v>43691.166666666672</v>
      </c>
      <c r="B109" s="480">
        <v>180</v>
      </c>
      <c r="C109" s="480">
        <v>123938</v>
      </c>
      <c r="D109" s="480">
        <f t="shared" si="6"/>
        <v>7098552</v>
      </c>
      <c r="E109" s="46">
        <f>IF(ISBLANK(A109),"-",D109/PLAYER_EXP_MAX)</f>
        <v>0.25535747644413337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43850.971366361635</v>
      </c>
      <c r="H109" s="480" t="str">
        <f t="shared" ca="1" si="7"/>
        <v>-462 D 00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43862.130417149026</v>
      </c>
      <c r="K109" s="36" t="str">
        <f t="shared" ca="1" si="8"/>
        <v>-450 D 20 H</v>
      </c>
      <c r="L109" s="51">
        <f t="shared" si="10"/>
        <v>99738.094337969625</v>
      </c>
      <c r="M109" s="58">
        <f>IF(ISBLANK(A109),NA(),IFERROR(A109+(PLAYER_EXP_MAX-D109)/L109,NA()))</f>
        <v>43898.70960336904</v>
      </c>
      <c r="N109" s="36" t="str">
        <f t="shared" ca="1" si="9"/>
        <v>-414 D 06 H</v>
      </c>
    </row>
    <row r="110" spans="1:14" ht="14.65" customHeight="1" x14ac:dyDescent="0.25">
      <c r="A110" s="8">
        <v>43691.233333333337</v>
      </c>
      <c r="B110" s="480">
        <v>180</v>
      </c>
      <c r="C110" s="480">
        <v>112745</v>
      </c>
      <c r="D110" s="480">
        <f t="shared" si="6"/>
        <v>7109745</v>
      </c>
      <c r="E110" s="46">
        <f>IF(ISBLANK(A110),"-",D110/PLAYER_EXP_MAX)</f>
        <v>0.25576012422833488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43848.402031315025</v>
      </c>
      <c r="H110" s="480" t="str">
        <f t="shared" ca="1" si="7"/>
        <v>-464 D 13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43862.213785530097</v>
      </c>
      <c r="K110" s="36" t="str">
        <f t="shared" ca="1" si="8"/>
        <v>-450 D 18 H</v>
      </c>
      <c r="L110" s="51">
        <f t="shared" si="10"/>
        <v>99924.969582698512</v>
      </c>
      <c r="M110" s="58">
        <f>IF(ISBLANK(A110),NA(),IFERROR(A110+(PLAYER_EXP_MAX-D110)/L110,NA()))</f>
        <v>43898.276118398964</v>
      </c>
      <c r="N110" s="36" t="str">
        <f t="shared" ca="1" si="9"/>
        <v>-414 D 16 H</v>
      </c>
    </row>
    <row r="111" spans="1:14" ht="14.65" customHeight="1" x14ac:dyDescent="0.25">
      <c r="A111" s="8">
        <v>43691.299305555556</v>
      </c>
      <c r="B111" s="480">
        <v>180</v>
      </c>
      <c r="C111" s="480">
        <v>102987</v>
      </c>
      <c r="D111" s="480">
        <f t="shared" si="6"/>
        <v>7119503</v>
      </c>
      <c r="E111" s="46">
        <f>IF(ISBLANK(A111),"-",D111/PLAYER_EXP_MAX)</f>
        <v>0.25611115050174132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43846.709881366165</v>
      </c>
      <c r="H111" s="480" t="str">
        <f t="shared" ca="1" si="7"/>
        <v>-466 D 06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43862.398166992803</v>
      </c>
      <c r="K111" s="36" t="str">
        <f t="shared" ca="1" si="8"/>
        <v>-450 D 13 H</v>
      </c>
      <c r="L111" s="51">
        <f t="shared" si="10"/>
        <v>100054.81599633952</v>
      </c>
      <c r="M111" s="58">
        <f>IF(ISBLANK(A111),NA(),IFERROR(A111+(PLAYER_EXP_MAX-D111)/L111,NA()))</f>
        <v>43897.975873735508</v>
      </c>
      <c r="N111" s="36" t="str">
        <f t="shared" ca="1" si="9"/>
        <v>-415 D 00 H</v>
      </c>
    </row>
    <row r="112" spans="1:14" ht="14.65" customHeight="1" x14ac:dyDescent="0.25">
      <c r="A112" s="8">
        <v>43691.458333333336</v>
      </c>
      <c r="B112" s="480">
        <v>180</v>
      </c>
      <c r="C112" s="480">
        <v>74861</v>
      </c>
      <c r="D112" s="480">
        <f t="shared" si="6"/>
        <v>7147629</v>
      </c>
      <c r="E112" s="46">
        <f>IF(ISBLANK(A112),"-",D112/PLAYER_EXP_MAX)</f>
        <v>0.2571229321133246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43840.148578058375</v>
      </c>
      <c r="H112" s="480" t="str">
        <f t="shared" ca="1" si="7"/>
        <v>-472 D 19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43862.136122538417</v>
      </c>
      <c r="K112" s="36" t="str">
        <f t="shared" ca="1" si="8"/>
        <v>-450 D 20 H</v>
      </c>
      <c r="L112" s="51">
        <f t="shared" si="10"/>
        <v>100552.5630358895</v>
      </c>
      <c r="M112" s="58">
        <f>IF(ISBLANK(A112),NA(),IFERROR(A112+(PLAYER_EXP_MAX-D112)/L112,NA()))</f>
        <v>43896.832113737415</v>
      </c>
      <c r="N112" s="36" t="str">
        <f t="shared" ca="1" si="9"/>
        <v>-416 D 03 H</v>
      </c>
    </row>
    <row r="113" spans="1:14" ht="14.65" customHeight="1" x14ac:dyDescent="0.25">
      <c r="A113" s="8">
        <v>43691.592361111114</v>
      </c>
      <c r="B113" s="480">
        <v>180</v>
      </c>
      <c r="C113" s="480">
        <v>54345</v>
      </c>
      <c r="D113" s="480">
        <f t="shared" si="6"/>
        <v>7168145</v>
      </c>
      <c r="E113" s="46">
        <f>IF(ISBLANK(A113),"-",D113/PLAYER_EXP_MAX)</f>
        <v>0.25786095783839186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43837.567407472568</v>
      </c>
      <c r="H113" s="480" t="str">
        <f t="shared" ca="1" si="7"/>
        <v>-475 D 09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43861.377865392991</v>
      </c>
      <c r="K113" s="36" t="str">
        <f t="shared" ca="1" si="8"/>
        <v>-451 D 14 H</v>
      </c>
      <c r="L113" s="51">
        <f t="shared" si="10"/>
        <v>100837.85420768867</v>
      </c>
      <c r="M113" s="58">
        <f>IF(ISBLANK(A113),NA(),IFERROR(A113+(PLAYER_EXP_MAX-D113)/L113,NA()))</f>
        <v>43896.181641219249</v>
      </c>
      <c r="N113" s="36" t="str">
        <f t="shared" ca="1" si="9"/>
        <v>-416 D 19 H</v>
      </c>
    </row>
    <row r="114" spans="1:14" ht="14.65" customHeight="1" x14ac:dyDescent="0.25">
      <c r="A114" s="8">
        <v>43691.950000000004</v>
      </c>
      <c r="B114" s="480">
        <v>180</v>
      </c>
      <c r="C114" s="480">
        <v>37873</v>
      </c>
      <c r="D114" s="480">
        <f t="shared" si="6"/>
        <v>7184617</v>
      </c>
      <c r="E114" s="46">
        <f>IF(ISBLANK(A114),"-",D114/PLAYER_EXP_MAX)</f>
        <v>0.25845350803059836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43855.695705321996</v>
      </c>
      <c r="H114" s="480" t="str">
        <f t="shared" ca="1" si="7"/>
        <v>-457 D 06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43862.112101275728</v>
      </c>
      <c r="K114" s="36" t="str">
        <f t="shared" ca="1" si="8"/>
        <v>-450 D 20 H</v>
      </c>
      <c r="L114" s="51">
        <f t="shared" si="10"/>
        <v>100055.17103617566</v>
      </c>
      <c r="M114" s="58">
        <f>IF(ISBLANK(A114),NA(),IFERROR(A114+(PLAYER_EXP_MAX-D114)/L114,NA()))</f>
        <v>43897.975053843016</v>
      </c>
      <c r="N114" s="36" t="str">
        <f t="shared" ca="1" si="9"/>
        <v>-415 D 00 H</v>
      </c>
    </row>
    <row r="115" spans="1:14" ht="14.65" customHeight="1" x14ac:dyDescent="0.25">
      <c r="A115" s="8">
        <v>43692.168750000004</v>
      </c>
      <c r="B115" s="480">
        <v>180</v>
      </c>
      <c r="C115" s="480">
        <v>14099</v>
      </c>
      <c r="D115" s="480">
        <f t="shared" si="6"/>
        <v>7208391</v>
      </c>
      <c r="E115" s="46">
        <f>IF(ISBLANK(A115),"-",D115/PLAYER_EXP_MAX)</f>
        <v>0.25930873437041846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43887.209159937272</v>
      </c>
      <c r="H115" s="480" t="str">
        <f t="shared" ca="1" si="7"/>
        <v>-425 D 18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43862.378087962075</v>
      </c>
      <c r="K115" s="36" t="str">
        <f t="shared" ca="1" si="8"/>
        <v>-450 D 14 H</v>
      </c>
      <c r="L115" s="51">
        <f t="shared" si="10"/>
        <v>100129.90099007016</v>
      </c>
      <c r="M115" s="58">
        <f>IF(ISBLANK(A115),NA(),IFERROR(A115+(PLAYER_EXP_MAX-D115)/L115,NA()))</f>
        <v>43897.802609580489</v>
      </c>
      <c r="N115" s="36" t="str">
        <f t="shared" ca="1" si="9"/>
        <v>-415 D 04 H</v>
      </c>
    </row>
    <row r="116" spans="1:14" ht="14.65" customHeight="1" x14ac:dyDescent="0.25">
      <c r="A116" s="8">
        <v>43692.247222222228</v>
      </c>
      <c r="B116" s="480">
        <v>180</v>
      </c>
      <c r="C116" s="480">
        <v>7316</v>
      </c>
      <c r="D116" s="480">
        <f t="shared" si="6"/>
        <v>7215174</v>
      </c>
      <c r="E116" s="46">
        <f>IF(ISBLANK(A116),"-",D116/PLAYER_EXP_MAX)</f>
        <v>0.25955274043851806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43902.944671433819</v>
      </c>
      <c r="H116" s="480" t="str">
        <f t="shared" ca="1" si="7"/>
        <v>-410 D 00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43862.956360733049</v>
      </c>
      <c r="K116" s="480" t="str">
        <f t="shared" ca="1" si="8"/>
        <v>-450 D 00 H</v>
      </c>
      <c r="L116" s="51">
        <f t="shared" si="10"/>
        <v>100087.48169875766</v>
      </c>
      <c r="M116" s="58">
        <f>IF(ISBLANK(A116),NA(),IFERROR(A116+(PLAYER_EXP_MAX-D116)/L116,NA()))</f>
        <v>43897.900463273407</v>
      </c>
      <c r="N116" s="480" t="str">
        <f t="shared" ca="1" si="9"/>
        <v>-415 D 01 H</v>
      </c>
    </row>
    <row r="117" spans="1:14" ht="14.65" customHeight="1" x14ac:dyDescent="0.25">
      <c r="A117" s="8">
        <v>43692.295833333337</v>
      </c>
      <c r="B117" s="480">
        <v>181</v>
      </c>
      <c r="C117" s="480">
        <v>181969</v>
      </c>
      <c r="D117" s="480">
        <f t="shared" si="6"/>
        <v>7222521</v>
      </c>
      <c r="E117" s="46">
        <f>IF(ISBLANK(A117),"-",D117/PLAYER_EXP_MAX)</f>
        <v>0.25981703537915318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43902.703375707853</v>
      </c>
      <c r="H117" s="480" t="str">
        <f t="shared" ca="1" si="7"/>
        <v>-410 D 06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43863.37211925305</v>
      </c>
      <c r="K117" s="480" t="str">
        <f t="shared" ca="1" si="8"/>
        <v>-449 D 14 H</v>
      </c>
      <c r="L117" s="51">
        <f t="shared" si="10"/>
        <v>100185.27214511727</v>
      </c>
      <c r="M117" s="58">
        <f>IF(ISBLANK(A117),NA(),IFERROR(A117+(PLAYER_EXP_MAX-D117)/L117,NA()))</f>
        <v>43897.675002940181</v>
      </c>
      <c r="N117" s="480" t="str">
        <f t="shared" ca="1" si="9"/>
        <v>-415 D 07 H</v>
      </c>
    </row>
    <row r="118" spans="1:14" ht="14.65" customHeight="1" x14ac:dyDescent="0.25">
      <c r="A118" s="8">
        <v>43693.11319444445</v>
      </c>
      <c r="B118" s="480">
        <v>181</v>
      </c>
      <c r="C118" s="480">
        <v>151591</v>
      </c>
      <c r="D118" s="480">
        <f t="shared" si="6"/>
        <v>7252899</v>
      </c>
      <c r="E118" s="46">
        <f>IF(ISBLANK(A118),"-",D118/PLAYER_EXP_MAX)</f>
        <v>0.26090982858816536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44080.705039493681</v>
      </c>
      <c r="H118" s="480" t="str">
        <f t="shared" ca="1" si="7"/>
        <v>-232 D 06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43867.491574800042</v>
      </c>
      <c r="K118" s="480" t="str">
        <f t="shared" ca="1" si="8"/>
        <v>-445 D 11 H</v>
      </c>
      <c r="L118" s="51">
        <f t="shared" si="10"/>
        <v>98218.841993607013</v>
      </c>
      <c r="M118" s="58">
        <f>IF(ISBLANK(A118),NA(),IFERROR(A118+(PLAYER_EXP_MAX-D118)/L118,NA()))</f>
        <v>43902.294952068281</v>
      </c>
      <c r="N118" s="480" t="str">
        <f t="shared" ca="1" si="9"/>
        <v>-410 D 16 H</v>
      </c>
    </row>
    <row r="119" spans="1:14" ht="14.65" customHeight="1" x14ac:dyDescent="0.25">
      <c r="A119" s="8">
        <v>43693.369444444448</v>
      </c>
      <c r="B119" s="480">
        <v>181</v>
      </c>
      <c r="C119" s="480">
        <v>92346</v>
      </c>
      <c r="D119" s="480">
        <f t="shared" si="6"/>
        <v>7312144</v>
      </c>
      <c r="E119" s="46">
        <f>IF(ISBLANK(A119),"-",D119/PLAYER_EXP_MAX)</f>
        <v>0.26304105953384732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43977.041673800653</v>
      </c>
      <c r="H119" s="480" t="str">
        <f t="shared" ca="1" si="7"/>
        <v>-335 D 22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43869.335712875603</v>
      </c>
      <c r="K119" s="480" t="str">
        <f t="shared" ca="1" si="8"/>
        <v>-443 D 15 H</v>
      </c>
      <c r="L119" s="51">
        <f t="shared" si="10"/>
        <v>99507.141694427526</v>
      </c>
      <c r="M119" s="58">
        <f>IF(ISBLANK(A119),NA(),IFERROR(A119+(PLAYER_EXP_MAX-D119)/L119,NA()))</f>
        <v>43899.247581944473</v>
      </c>
      <c r="N119" s="480" t="str">
        <f t="shared" ca="1" si="9"/>
        <v>-413 D 17 H</v>
      </c>
    </row>
    <row r="120" spans="1:14" ht="14.65" customHeight="1" x14ac:dyDescent="0.25">
      <c r="A120" s="8">
        <v>43694.386805555558</v>
      </c>
      <c r="B120" s="480">
        <v>182</v>
      </c>
      <c r="C120" s="480">
        <v>109517</v>
      </c>
      <c r="D120" s="480">
        <f t="shared" si="6"/>
        <v>7479973</v>
      </c>
      <c r="E120" s="46">
        <f>IF(ISBLANK(A120),"-",D120/PLAYER_EXP_MAX)</f>
        <v>0.26907840206710515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43817.555435612674</v>
      </c>
      <c r="H120" s="480" t="str">
        <f t="shared" ca="1" si="7"/>
        <v>-495 D 10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43871.135242637589</v>
      </c>
      <c r="K120" s="480" t="str">
        <f t="shared" ca="1" si="8"/>
        <v>-441 D 20 H</v>
      </c>
      <c r="L120" s="51">
        <f t="shared" si="10"/>
        <v>101931.5689942677</v>
      </c>
      <c r="M120" s="58">
        <f>IF(ISBLANK(A120),NA(),IFERROR(A120+(PLAYER_EXP_MAX-D120)/L120,NA()))</f>
        <v>43893.721675022178</v>
      </c>
      <c r="N120" s="480" t="str">
        <f t="shared" ca="1" si="9"/>
        <v>-419 D 06 H</v>
      </c>
    </row>
    <row r="121" spans="1:14" ht="14.65" customHeight="1" x14ac:dyDescent="0.25">
      <c r="A121" s="8">
        <v>43695.855555555558</v>
      </c>
      <c r="B121" s="480">
        <v>182</v>
      </c>
      <c r="C121" s="480">
        <v>46463</v>
      </c>
      <c r="D121" s="480">
        <f t="shared" si="6"/>
        <v>7543027</v>
      </c>
      <c r="E121" s="46">
        <f>IF(ISBLANK(A121),"-",D121/PLAYER_EXP_MAX)</f>
        <v>0.27134665484875814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44167.676690019667</v>
      </c>
      <c r="H121" s="480" t="str">
        <f t="shared" ca="1" si="7"/>
        <v>-145 D 07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43891.989576107</v>
      </c>
      <c r="K121" s="480" t="str">
        <f t="shared" ca="1" si="8"/>
        <v>-420 D 23 H</v>
      </c>
      <c r="L121" s="51">
        <f t="shared" si="10"/>
        <v>98936.836497139026</v>
      </c>
      <c r="M121" s="58">
        <f>IF(ISBLANK(A121),NA(),IFERROR(A121+(PLAYER_EXP_MAX-D121)/L121,NA()))</f>
        <v>43900.586803462254</v>
      </c>
      <c r="N121" s="480" t="str">
        <f t="shared" ca="1" si="9"/>
        <v>-412 D 09 H</v>
      </c>
    </row>
    <row r="122" spans="1:14" ht="14.65" customHeight="1" x14ac:dyDescent="0.25">
      <c r="A122" s="8">
        <v>43696.416666666672</v>
      </c>
      <c r="B122" s="480">
        <v>182</v>
      </c>
      <c r="C122" s="480">
        <v>11000</v>
      </c>
      <c r="D122" s="480">
        <f t="shared" si="6"/>
        <v>7578490</v>
      </c>
      <c r="E122" s="46">
        <f>IF(ISBLANK(A122),"-",D122/PLAYER_EXP_MAX)</f>
        <v>0.27262237166919395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44122.992212959609</v>
      </c>
      <c r="H122" s="480" t="str">
        <f t="shared" ca="1" si="7"/>
        <v>-189 D 23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43900.861250705857</v>
      </c>
      <c r="K122" s="480" t="str">
        <f t="shared" ca="1" si="8"/>
        <v>-412 D 02 H</v>
      </c>
      <c r="L122" s="51">
        <f t="shared" si="10"/>
        <v>98257.07465213885</v>
      </c>
      <c r="M122" s="58">
        <f>IF(ISBLANK(A122),NA(),IFERROR(A122+(PLAYER_EXP_MAX-D122)/L122,NA()))</f>
        <v>43902.2033651979</v>
      </c>
      <c r="N122" s="480" t="str">
        <f t="shared" ca="1" si="9"/>
        <v>-410 D 18 H</v>
      </c>
    </row>
    <row r="123" spans="1:14" ht="14.65" customHeight="1" x14ac:dyDescent="0.25">
      <c r="A123" s="8">
        <v>43696.540972222225</v>
      </c>
      <c r="B123" s="480">
        <v>183</v>
      </c>
      <c r="C123" s="480">
        <v>183759</v>
      </c>
      <c r="D123" s="480">
        <f t="shared" si="6"/>
        <v>7593731</v>
      </c>
      <c r="E123" s="46">
        <f>IF(ISBLANK(A123),"-",D123/PLAYER_EXP_MAX)</f>
        <v>0.27317063887896931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44095.003592394009</v>
      </c>
      <c r="H123" s="480" t="str">
        <f t="shared" ca="1" si="7"/>
        <v>-217 D 23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43904.713763260479</v>
      </c>
      <c r="K123" s="480" t="str">
        <f t="shared" ca="1" si="8"/>
        <v>-408 D 06 H</v>
      </c>
      <c r="L123" s="51">
        <f t="shared" si="10"/>
        <v>98359.264816185794</v>
      </c>
      <c r="M123" s="58">
        <f>IF(ISBLANK(A123),NA(),IFERROR(A123+(PLAYER_EXP_MAX-D123)/L123,NA()))</f>
        <v>43901.958916711323</v>
      </c>
      <c r="N123" s="480" t="str">
        <f t="shared" ca="1" si="9"/>
        <v>-411 D 00 H</v>
      </c>
    </row>
    <row r="124" spans="1:14" ht="14.65" customHeight="1" x14ac:dyDescent="0.25">
      <c r="A124" s="8">
        <v>43697.338888888895</v>
      </c>
      <c r="B124" s="480">
        <v>183</v>
      </c>
      <c r="C124" s="480">
        <v>104328</v>
      </c>
      <c r="D124" s="480">
        <f t="shared" si="6"/>
        <v>7673162</v>
      </c>
      <c r="E124" s="46">
        <f>IF(ISBLANK(A124),"-",D124/PLAYER_EXP_MAX)</f>
        <v>0.27602802440089458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43922.970482758501</v>
      </c>
      <c r="H124" s="480" t="str">
        <f t="shared" ca="1" si="7"/>
        <v>-390 D 00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43907.186509042484</v>
      </c>
      <c r="K124" s="480" t="str">
        <f t="shared" ca="1" si="8"/>
        <v>-405 D 19 H</v>
      </c>
      <c r="L124" s="51">
        <f t="shared" si="10"/>
        <v>98390.444926349504</v>
      </c>
      <c r="M124" s="58">
        <f>IF(ISBLANK(A124),NA(),IFERROR(A124+(PLAYER_EXP_MAX-D124)/L124,NA()))</f>
        <v>43901.884432056882</v>
      </c>
      <c r="N124" s="480" t="str">
        <f t="shared" ca="1" si="9"/>
        <v>-411 D 02 H</v>
      </c>
    </row>
    <row r="125" spans="1:14" ht="14.65" customHeight="1" x14ac:dyDescent="0.25">
      <c r="A125" s="8">
        <v>43697.827083333337</v>
      </c>
      <c r="B125" s="480">
        <v>183</v>
      </c>
      <c r="C125" s="480">
        <v>32675</v>
      </c>
      <c r="D125" s="480">
        <f t="shared" si="6"/>
        <v>7744815</v>
      </c>
      <c r="E125" s="46">
        <f>IF(ISBLANK(A125),"-",D125/PLAYER_EXP_MAX)</f>
        <v>0.27860561054235716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43871.119025010557</v>
      </c>
      <c r="H125" s="480" t="str">
        <f t="shared" ca="1" si="7"/>
        <v>-441 D 20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43911.543269625843</v>
      </c>
      <c r="K125" s="480" t="str">
        <f t="shared" ca="1" si="8"/>
        <v>-401 D 10 H</v>
      </c>
      <c r="L125" s="51">
        <f t="shared" si="10"/>
        <v>99154.618495529576</v>
      </c>
      <c r="M125" s="58">
        <f>IF(ISBLANK(A125),NA(),IFERROR(A125+(PLAYER_EXP_MAX-D125)/L125,NA()))</f>
        <v>43900.073577790921</v>
      </c>
      <c r="N125" s="480" t="str">
        <f t="shared" ca="1" si="9"/>
        <v>-412 D 21 H</v>
      </c>
    </row>
    <row r="126" spans="1:14" ht="14.65" customHeight="1" x14ac:dyDescent="0.25">
      <c r="A126" s="8">
        <v>43698.55</v>
      </c>
      <c r="B126" s="480">
        <v>184</v>
      </c>
      <c r="C126" s="480">
        <v>169365</v>
      </c>
      <c r="D126" s="480">
        <f t="shared" si="6"/>
        <v>7799125</v>
      </c>
      <c r="E126" s="46">
        <f>IF(ISBLANK(A126),"-",D126/PLAYER_EXP_MAX)</f>
        <v>0.2805593138533537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43894.995083268674</v>
      </c>
      <c r="H126" s="480" t="str">
        <f t="shared" ca="1" si="7"/>
        <v>-417 D 23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43916.776064193844</v>
      </c>
      <c r="K126" s="480" t="str">
        <f t="shared" ca="1" si="8"/>
        <v>-396 D 04 H</v>
      </c>
      <c r="L126" s="51">
        <f t="shared" si="10"/>
        <v>98605.461371252357</v>
      </c>
      <c r="M126" s="58">
        <f>IF(ISBLANK(A126),NA(),IFERROR(A126+(PLAYER_EXP_MAX-D126)/L126,NA()))</f>
        <v>43901.372072143669</v>
      </c>
      <c r="N126" s="480" t="str">
        <f t="shared" ca="1" si="9"/>
        <v>-411 D 14 H</v>
      </c>
    </row>
    <row r="127" spans="1:14" ht="14.65" customHeight="1" x14ac:dyDescent="0.25">
      <c r="A127" s="8">
        <v>43698.892361111117</v>
      </c>
      <c r="B127" s="480">
        <v>184</v>
      </c>
      <c r="C127" s="480">
        <v>116937</v>
      </c>
      <c r="D127" s="480">
        <f t="shared" si="6"/>
        <v>7851553</v>
      </c>
      <c r="E127" s="46">
        <f>IF(ISBLANK(A127),"-",D127/PLAYER_EXP_MAX)</f>
        <v>0.28244531564287539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43906.002568156851</v>
      </c>
      <c r="H127" s="480" t="str">
        <f t="shared" ca="1" si="7"/>
        <v>-406 D 23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43913.674770097547</v>
      </c>
      <c r="K127" s="480" t="str">
        <f t="shared" ca="1" si="8"/>
        <v>-399 D 07 H</v>
      </c>
      <c r="L127" s="51">
        <f t="shared" si="10"/>
        <v>99189.359280630204</v>
      </c>
      <c r="M127" s="58">
        <f>IF(ISBLANK(A127),NA(),IFERROR(A127+(PLAYER_EXP_MAX-D127)/L127,NA()))</f>
        <v>43899.991915989434</v>
      </c>
      <c r="N127" s="480" t="str">
        <f t="shared" ca="1" si="9"/>
        <v>-412 D 23 H</v>
      </c>
    </row>
    <row r="128" spans="1:14" ht="14.65" customHeight="1" x14ac:dyDescent="0.25">
      <c r="A128" s="8">
        <v>43699.05069444445</v>
      </c>
      <c r="B128" s="480">
        <v>184</v>
      </c>
      <c r="C128" s="480">
        <v>96674</v>
      </c>
      <c r="D128" s="480">
        <f t="shared" si="6"/>
        <v>7871816</v>
      </c>
      <c r="E128" s="46">
        <f>IF(ISBLANK(A128),"-",D128/PLAYER_EXP_MAX)</f>
        <v>0.28317424015384435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43892.241104552872</v>
      </c>
      <c r="H128" s="480" t="str">
        <f t="shared" ca="1" si="7"/>
        <v>-420 D 17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43910.265815529317</v>
      </c>
      <c r="K128" s="480" t="str">
        <f t="shared" ca="1" si="8"/>
        <v>-402 D 17 H</v>
      </c>
      <c r="L128" s="51">
        <f t="shared" si="10"/>
        <v>99331.212448645849</v>
      </c>
      <c r="M128" s="58">
        <f>IF(ISBLANK(A128),NA(),IFERROR(A128+(PLAYER_EXP_MAX-D128)/L128,NA()))</f>
        <v>43899.659068275607</v>
      </c>
      <c r="N128" s="480" t="str">
        <f t="shared" ca="1" si="9"/>
        <v>-413 D 07 H</v>
      </c>
    </row>
    <row r="129" spans="1:14" ht="14.65" customHeight="1" x14ac:dyDescent="0.25">
      <c r="A129" s="8">
        <v>43699.563888888893</v>
      </c>
      <c r="B129" s="480">
        <v>184</v>
      </c>
      <c r="C129" s="480">
        <v>53751</v>
      </c>
      <c r="D129" s="480">
        <f t="shared" si="6"/>
        <v>7914739</v>
      </c>
      <c r="E129" s="46">
        <f>IF(ISBLANK(A129),"-",D129/PLAYER_EXP_MAX)</f>
        <v>0.28471831688405796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43877.035964723931</v>
      </c>
      <c r="H129" s="480" t="str">
        <f t="shared" ca="1" si="7"/>
        <v>-435 D 22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43907.602319847967</v>
      </c>
      <c r="K129" s="480" t="str">
        <f t="shared" ca="1" si="8"/>
        <v>-405 D 09 H</v>
      </c>
      <c r="L129" s="51">
        <f t="shared" si="10"/>
        <v>99084.522538214791</v>
      </c>
      <c r="M129" s="58">
        <f>IF(ISBLANK(A129),NA(),IFERROR(A129+(PLAYER_EXP_MAX-D129)/L129,NA()))</f>
        <v>43900.238519907391</v>
      </c>
      <c r="N129" s="480" t="str">
        <f t="shared" ca="1" si="9"/>
        <v>-412 D 17 H</v>
      </c>
    </row>
    <row r="130" spans="1:14" ht="14.65" customHeight="1" x14ac:dyDescent="0.25">
      <c r="A130" s="8">
        <v>43700.182638888888</v>
      </c>
      <c r="B130" s="480">
        <v>185</v>
      </c>
      <c r="C130" s="480">
        <v>166928</v>
      </c>
      <c r="D130" s="480">
        <f t="shared" si="6"/>
        <v>7995562</v>
      </c>
      <c r="E130" s="46">
        <f>IF(ISBLANK(A130),"-",D130/PLAYER_EXP_MAX)</f>
        <v>0.28762577707011344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43880.138244343856</v>
      </c>
      <c r="H130" s="480" t="str">
        <f t="shared" ca="1" si="7"/>
        <v>-432 D 20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43902.314476628293</v>
      </c>
      <c r="K130" s="480" t="str">
        <f t="shared" ca="1" si="8"/>
        <v>-410 D 15 H</v>
      </c>
      <c r="L130" s="51">
        <f t="shared" si="10"/>
        <v>99671.178288095369</v>
      </c>
      <c r="M130" s="58">
        <f>IF(ISBLANK(A130),NA(),IFERROR(A130+(PLAYER_EXP_MAX-D130)/L130,NA()))</f>
        <v>43898.865220354521</v>
      </c>
      <c r="N130" s="480" t="str">
        <f t="shared" ca="1" si="9"/>
        <v>-414 D 02 H</v>
      </c>
    </row>
    <row r="131" spans="1:14" ht="14.65" customHeight="1" x14ac:dyDescent="0.25">
      <c r="A131" s="8">
        <v>43700.598611111112</v>
      </c>
      <c r="B131" s="480">
        <v>185</v>
      </c>
      <c r="C131" s="480">
        <v>133297</v>
      </c>
      <c r="D131" s="480">
        <f t="shared" ref="D131:D194" si="11">IF(ISBLANK(A131),"-",INDEX(DATA_PLAYER_EXP, B131, 3) + INDEX(DATA_PLAYER_EXP, B131, 2) - C131)</f>
        <v>8029193</v>
      </c>
      <c r="E131" s="46">
        <f>IF(ISBLANK(A131),"-",D131/PLAYER_EXP_MAX)</f>
        <v>0.28883559102798717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43876.863428843331</v>
      </c>
      <c r="H131" s="480" t="str">
        <f t="shared" ref="H131:H194" ca="1" si="12">IF(ISBLANK(A131),NA(),IFERROR(TEXT(TRUNC(G131-NOW()),"000") &amp; " D " &amp; TEXT(TRUNC(ABS(G131-NOW()-TRUNC(G131-NOW()))*24),"00") &amp; " H", NA()))</f>
        <v>-436 D 02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43905.274957171714</v>
      </c>
      <c r="K131" s="480" t="str">
        <f t="shared" ref="K131:K194" ca="1" si="13">IF(ISBLANK(A131),NA(),IFERROR(TEXT(TRUNC(J131-NOW()),"000") &amp; " D " &amp; TEXT(TRUNC(ABS(J131-NOW()-TRUNC(J131-NOW()))*24),"00") &amp; " H", NA()))</f>
        <v>-407 D 16 H</v>
      </c>
      <c r="L131" s="51">
        <f t="shared" si="10"/>
        <v>99438.711726002555</v>
      </c>
      <c r="M131" s="58">
        <f>IF(ISBLANK(A131),NA(),IFERROR(A131+(PLAYER_EXP_MAX-D131)/L131,NA()))</f>
        <v>43899.407461878138</v>
      </c>
      <c r="N131" s="480" t="str">
        <f t="shared" ref="N131:N194" ca="1" si="14">IF(ISBLANK(D131),NA(),IFERROR(TEXT(TRUNC(M131-NOW()),"000") &amp; " D " &amp; TEXT(TRUNC(ABS(M131-NOW()-TRUNC(M131-NOW()))*24),"00") &amp; " H", NA()))</f>
        <v>-413 D 13 H</v>
      </c>
    </row>
    <row r="132" spans="1:14" ht="14.65" customHeight="1" x14ac:dyDescent="0.25">
      <c r="A132" s="8">
        <v>43700.984722222223</v>
      </c>
      <c r="B132" s="480">
        <v>185</v>
      </c>
      <c r="C132" s="480">
        <v>80385</v>
      </c>
      <c r="D132" s="480">
        <f t="shared" si="11"/>
        <v>8082105</v>
      </c>
      <c r="E132" s="46">
        <f>IF(ISBLANK(A132),"-",D132/PLAYER_EXP_MAX)</f>
        <v>0.29073900383578405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43872.521373616219</v>
      </c>
      <c r="H132" s="480" t="str">
        <f t="shared" ca="1" si="12"/>
        <v>-440 D 10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43902.113257459372</v>
      </c>
      <c r="K132" s="480" t="str">
        <f t="shared" ca="1" si="13"/>
        <v>-410 D 20 H</v>
      </c>
      <c r="L132" s="51">
        <f t="shared" ref="L132:L195" si="15">IFERROR(IF(OR(ISBLANK($A132),$A132-$A$3 &lt; $C$1),NA(),($D132-$D$3)/($A132-$A$3)),NA())</f>
        <v>99864.873305461602</v>
      </c>
      <c r="M132" s="58">
        <f>IF(ISBLANK(A132),NA(),IFERROR(A132+(PLAYER_EXP_MAX-D132)/L132,NA()))</f>
        <v>43898.415343695029</v>
      </c>
      <c r="N132" s="480" t="str">
        <f t="shared" ca="1" si="14"/>
        <v>-414 D 13 H</v>
      </c>
    </row>
    <row r="133" spans="1:14" ht="14.65" customHeight="1" x14ac:dyDescent="0.25">
      <c r="A133" s="8">
        <v>43701.518750000003</v>
      </c>
      <c r="B133" s="480">
        <v>185</v>
      </c>
      <c r="C133" s="480">
        <v>34907</v>
      </c>
      <c r="D133" s="480">
        <f t="shared" si="11"/>
        <v>8127583</v>
      </c>
      <c r="E133" s="46">
        <f>IF(ISBLANK(A133),"-",D133/PLAYER_EXP_MAX)</f>
        <v>0.29237499203643769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43894.842221639425</v>
      </c>
      <c r="H133" s="480" t="str">
        <f t="shared" ca="1" si="12"/>
        <v>-418 D 03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43900.049253588673</v>
      </c>
      <c r="K133" s="480" t="str">
        <f t="shared" ca="1" si="13"/>
        <v>-412 D 22 H</v>
      </c>
      <c r="L133" s="51">
        <f t="shared" si="15"/>
        <v>99637.919075127749</v>
      </c>
      <c r="M133" s="58">
        <f>IF(ISBLANK(A133),NA(),IFERROR(A133+(PLAYER_EXP_MAX-D133)/L133,NA()))</f>
        <v>43898.942644262264</v>
      </c>
      <c r="N133" s="480" t="str">
        <f t="shared" ca="1" si="14"/>
        <v>-414 D 00 H</v>
      </c>
    </row>
    <row r="134" spans="1:14" ht="14.65" customHeight="1" x14ac:dyDescent="0.25">
      <c r="A134" s="8">
        <v>43701.775694444441</v>
      </c>
      <c r="B134" s="480">
        <v>186</v>
      </c>
      <c r="C134" s="480">
        <v>193737</v>
      </c>
      <c r="D134" s="480">
        <f t="shared" si="11"/>
        <v>8165753</v>
      </c>
      <c r="E134" s="46">
        <f>IF(ISBLANK(A134),"-",D134/PLAYER_EXP_MAX)</f>
        <v>0.29374808825040816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43879.021666957902</v>
      </c>
      <c r="H134" s="480" t="str">
        <f t="shared" ca="1" si="12"/>
        <v>-433 D 22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43897.56415324167</v>
      </c>
      <c r="K134" s="480" t="str">
        <f t="shared" ca="1" si="13"/>
        <v>-415 D 09 H</v>
      </c>
      <c r="L134" s="51">
        <f t="shared" si="15"/>
        <v>99998.495437703576</v>
      </c>
      <c r="M134" s="58">
        <f>IF(ISBLANK(A134),NA(),IFERROR(A134+(PLAYER_EXP_MAX-D134)/L134,NA()))</f>
        <v>43898.106008356321</v>
      </c>
      <c r="N134" s="480" t="str">
        <f t="shared" ca="1" si="14"/>
        <v>-414 D 20 H</v>
      </c>
    </row>
    <row r="135" spans="1:14" ht="14.65" customHeight="1" x14ac:dyDescent="0.25">
      <c r="A135" s="8">
        <v>43703.731249999997</v>
      </c>
      <c r="B135" s="480">
        <v>187</v>
      </c>
      <c r="C135" s="480">
        <v>168485</v>
      </c>
      <c r="D135" s="480">
        <f t="shared" si="11"/>
        <v>8391005</v>
      </c>
      <c r="E135" s="46">
        <f>IF(ISBLANK(A135),"-",D135/PLAYER_EXP_MAX)</f>
        <v>0.30185111859856845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43872.219934475906</v>
      </c>
      <c r="H135" s="480" t="str">
        <f t="shared" ca="1" si="12"/>
        <v>-440 D 18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43879.989570120088</v>
      </c>
      <c r="K135" s="480" t="str">
        <f t="shared" ca="1" si="13"/>
        <v>-432 D 23 H</v>
      </c>
      <c r="L135" s="51">
        <f t="shared" si="15"/>
        <v>100805.26994906622</v>
      </c>
      <c r="M135" s="58">
        <f>IF(ISBLANK(A135),NA(),IFERROR(A135+(PLAYER_EXP_MAX-D135)/L135,NA()))</f>
        <v>43896.255748072428</v>
      </c>
      <c r="N135" s="480" t="str">
        <f t="shared" ca="1" si="14"/>
        <v>-416 D 17 H</v>
      </c>
    </row>
    <row r="136" spans="1:14" ht="14.65" customHeight="1" x14ac:dyDescent="0.25">
      <c r="A136" s="8">
        <v>43704.039583333331</v>
      </c>
      <c r="B136" s="480">
        <v>187</v>
      </c>
      <c r="C136" s="480">
        <v>138373</v>
      </c>
      <c r="D136" s="480">
        <f t="shared" si="11"/>
        <v>8421117</v>
      </c>
      <c r="E136" s="46">
        <f>IF(ISBLANK(A136),"-",D136/PLAYER_EXP_MAX)</f>
        <v>0.30293434294216492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43874.541624007426</v>
      </c>
      <c r="H136" s="480" t="str">
        <f t="shared" ca="1" si="12"/>
        <v>-438 D 10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43879.477397569484</v>
      </c>
      <c r="K136" s="480" t="str">
        <f t="shared" ca="1" si="13"/>
        <v>-433 D 12 H</v>
      </c>
      <c r="L136" s="51">
        <f t="shared" si="15"/>
        <v>100779.14917498895</v>
      </c>
      <c r="M136" s="58">
        <f>IF(ISBLANK(A136),NA(),IFERROR(A136+(PLAYER_EXP_MAX-D136)/L136,NA()))</f>
        <v>43896.315189533918</v>
      </c>
      <c r="N136" s="480" t="str">
        <f t="shared" ca="1" si="14"/>
        <v>-416 D 15 H</v>
      </c>
    </row>
    <row r="137" spans="1:14" ht="14.65" customHeight="1" x14ac:dyDescent="0.25">
      <c r="A137" s="8">
        <v>43704.647222222222</v>
      </c>
      <c r="B137" s="480">
        <v>187</v>
      </c>
      <c r="C137" s="480">
        <v>81012</v>
      </c>
      <c r="D137" s="480">
        <f t="shared" si="11"/>
        <v>8478478</v>
      </c>
      <c r="E137" s="46">
        <f>IF(ISBLANK(A137),"-",D137/PLAYER_EXP_MAX)</f>
        <v>0.30499780042001562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43879.763077040683</v>
      </c>
      <c r="H137" s="480" t="str">
        <f t="shared" ca="1" si="12"/>
        <v>-433 D 05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43879.674331191134</v>
      </c>
      <c r="K137" s="480" t="str">
        <f t="shared" ca="1" si="13"/>
        <v>-433 D 07 H</v>
      </c>
      <c r="L137" s="51">
        <f t="shared" si="15"/>
        <v>100676.40633914898</v>
      </c>
      <c r="M137" s="58">
        <f>IF(ISBLANK(A137),NA(),IFERROR(A137+(PLAYER_EXP_MAX-D137)/L137,NA()))</f>
        <v>43896.549294440774</v>
      </c>
      <c r="N137" s="480" t="str">
        <f t="shared" ca="1" si="14"/>
        <v>-416 D 10 H</v>
      </c>
    </row>
    <row r="138" spans="1:14" ht="14.65" customHeight="1" x14ac:dyDescent="0.25">
      <c r="A138" s="8">
        <v>43706.906944444447</v>
      </c>
      <c r="B138" s="480">
        <v>188</v>
      </c>
      <c r="C138" s="480">
        <v>47030</v>
      </c>
      <c r="D138" s="480">
        <f t="shared" si="11"/>
        <v>8715460</v>
      </c>
      <c r="E138" s="46">
        <f>IF(ISBLANK(A138),"-",D138/PLAYER_EXP_MAX)</f>
        <v>0.31352279614910006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43888.871586057146</v>
      </c>
      <c r="H138" s="480" t="str">
        <f t="shared" ca="1" si="12"/>
        <v>-424 D 02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43881.10450589293</v>
      </c>
      <c r="K138" s="480" t="str">
        <f t="shared" ca="1" si="13"/>
        <v>-431 D 21 H</v>
      </c>
      <c r="L138" s="51">
        <f t="shared" si="15"/>
        <v>100913.50850075974</v>
      </c>
      <c r="M138" s="58">
        <f>IF(ISBLANK(A138),NA(),IFERROR(A138+(PLAYER_EXP_MAX-D138)/L138,NA()))</f>
        <v>43896.009764111608</v>
      </c>
      <c r="N138" s="480" t="str">
        <f t="shared" ca="1" si="14"/>
        <v>-416 D 23 H</v>
      </c>
    </row>
    <row r="139" spans="1:14" ht="14.65" customHeight="1" x14ac:dyDescent="0.25">
      <c r="A139" s="8">
        <v>43707.510416666664</v>
      </c>
      <c r="B139" s="480">
        <v>189</v>
      </c>
      <c r="C139" s="480">
        <v>201162</v>
      </c>
      <c r="D139" s="480">
        <f t="shared" si="11"/>
        <v>8767328</v>
      </c>
      <c r="E139" s="46">
        <f>IF(ISBLANK(A139),"-",D139/PLAYER_EXP_MAX)</f>
        <v>0.31538865295879931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43894.13450301157</v>
      </c>
      <c r="H139" s="480" t="str">
        <f t="shared" ca="1" si="12"/>
        <v>-418 D 20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43884.812268034577</v>
      </c>
      <c r="K139" s="480" t="str">
        <f t="shared" ca="1" si="13"/>
        <v>-428 D 04 H</v>
      </c>
      <c r="L139" s="51">
        <f t="shared" si="15"/>
        <v>100691.0367480998</v>
      </c>
      <c r="M139" s="58">
        <f>IF(ISBLANK(A139),NA(),IFERROR(A139+(PLAYER_EXP_MAX-D139)/L139,NA()))</f>
        <v>43896.515929119676</v>
      </c>
      <c r="N139" s="480" t="str">
        <f t="shared" ca="1" si="14"/>
        <v>-416 D 11 H</v>
      </c>
    </row>
    <row r="140" spans="1:14" ht="14.65" customHeight="1" x14ac:dyDescent="0.25">
      <c r="A140" s="8">
        <v>43707.730555555558</v>
      </c>
      <c r="B140" s="480">
        <v>189</v>
      </c>
      <c r="C140" s="480">
        <v>172462</v>
      </c>
      <c r="D140" s="480">
        <f t="shared" si="11"/>
        <v>8796028</v>
      </c>
      <c r="E140" s="46">
        <f>IF(ISBLANK(A140),"-",D140/PLAYER_EXP_MAX)</f>
        <v>0.31642108317470063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43893.449010244818</v>
      </c>
      <c r="H140" s="480" t="str">
        <f t="shared" ca="1" si="12"/>
        <v>-419 D 12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43885.495153573182</v>
      </c>
      <c r="K140" s="480" t="str">
        <f t="shared" ca="1" si="13"/>
        <v>-427 D 11 H</v>
      </c>
      <c r="L140" s="51">
        <f t="shared" si="15"/>
        <v>100851.13716413878</v>
      </c>
      <c r="M140" s="58">
        <f>IF(ISBLANK(A140),NA(),IFERROR(A140+(PLAYER_EXP_MAX-D140)/L140,NA()))</f>
        <v>43896.151445337622</v>
      </c>
      <c r="N140" s="480" t="str">
        <f t="shared" ca="1" si="14"/>
        <v>-416 D 19 H</v>
      </c>
    </row>
    <row r="141" spans="1:14" ht="14.65" customHeight="1" x14ac:dyDescent="0.25">
      <c r="A141" s="8">
        <v>43708.020833333336</v>
      </c>
      <c r="B141" s="480">
        <v>189</v>
      </c>
      <c r="C141" s="480">
        <v>134519</v>
      </c>
      <c r="D141" s="480">
        <f t="shared" si="11"/>
        <v>8833971</v>
      </c>
      <c r="E141" s="46">
        <f>IF(ISBLANK(A141),"-",D141/PLAYER_EXP_MAX)</f>
        <v>0.31778601347720736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43888.648251697487</v>
      </c>
      <c r="H141" s="480" t="str">
        <f t="shared" ca="1" si="12"/>
        <v>-424 D 07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43886.441575596633</v>
      </c>
      <c r="K141" s="480" t="str">
        <f t="shared" ca="1" si="13"/>
        <v>-426 D 12 H</v>
      </c>
      <c r="L141" s="51">
        <f t="shared" si="15"/>
        <v>101062.03051344423</v>
      </c>
      <c r="M141" s="58">
        <f>IF(ISBLANK(A141),NA(),IFERROR(A141+(PLAYER_EXP_MAX-D141)/L141,NA()))</f>
        <v>43895.673089117736</v>
      </c>
      <c r="N141" s="480" t="str">
        <f t="shared" ca="1" si="14"/>
        <v>-417 D 07 H</v>
      </c>
    </row>
    <row r="142" spans="1:14" ht="14.65" customHeight="1" x14ac:dyDescent="0.25">
      <c r="A142" s="8">
        <v>43708.252083333333</v>
      </c>
      <c r="B142" s="480">
        <v>189</v>
      </c>
      <c r="C142" s="480">
        <v>109469</v>
      </c>
      <c r="D142" s="480">
        <f t="shared" si="11"/>
        <v>8859021</v>
      </c>
      <c r="E142" s="46">
        <f>IF(ISBLANK(A142),"-",D142/PLAYER_EXP_MAX)</f>
        <v>0.31868714159248007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43883.092806226712</v>
      </c>
      <c r="H142" s="480" t="str">
        <f t="shared" ca="1" si="12"/>
        <v>-429 D 21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43886.287610489082</v>
      </c>
      <c r="K142" s="480" t="str">
        <f t="shared" ca="1" si="13"/>
        <v>-426 D 16 H</v>
      </c>
      <c r="L142" s="51">
        <f t="shared" si="15"/>
        <v>101102.66129031665</v>
      </c>
      <c r="M142" s="58">
        <f>IF(ISBLANK(A142),NA(),IFERROR(A142+(PLAYER_EXP_MAX-D142)/L142,NA()))</f>
        <v>43895.581158139932</v>
      </c>
      <c r="N142" s="480" t="str">
        <f t="shared" ca="1" si="14"/>
        <v>-417 D 09 H</v>
      </c>
    </row>
    <row r="143" spans="1:14" ht="14.65" customHeight="1" x14ac:dyDescent="0.25">
      <c r="A143" s="8">
        <v>43708.755555555559</v>
      </c>
      <c r="B143" s="480">
        <v>189</v>
      </c>
      <c r="C143" s="480">
        <v>82912</v>
      </c>
      <c r="D143" s="480">
        <f t="shared" si="11"/>
        <v>8885578</v>
      </c>
      <c r="E143" s="46">
        <f>IF(ISBLANK(A143),"-",D143/PLAYER_EXP_MAX)</f>
        <v>0.31964248128738221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43929.903884083004</v>
      </c>
      <c r="H143" s="480" t="str">
        <f t="shared" ca="1" si="12"/>
        <v>-383 D 01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43888.623562356224</v>
      </c>
      <c r="K143" s="480" t="str">
        <f t="shared" ca="1" si="13"/>
        <v>-424 D 08 H</v>
      </c>
      <c r="L143" s="51">
        <f t="shared" si="15"/>
        <v>100520.74827784984</v>
      </c>
      <c r="M143" s="58">
        <f>IF(ISBLANK(A143),NA(),IFERROR(A143+(PLAYER_EXP_MAX-D143)/L143,NA()))</f>
        <v>43896.904881182571</v>
      </c>
      <c r="N143" s="480" t="str">
        <f t="shared" ca="1" si="14"/>
        <v>-416 D 01 H</v>
      </c>
    </row>
    <row r="144" spans="1:14" ht="14.65" customHeight="1" x14ac:dyDescent="0.25">
      <c r="A144" s="8">
        <v>43708.856944444444</v>
      </c>
      <c r="B144" s="480">
        <v>189</v>
      </c>
      <c r="C144" s="480">
        <v>68833</v>
      </c>
      <c r="D144" s="480">
        <f t="shared" si="11"/>
        <v>8899657</v>
      </c>
      <c r="E144" s="46">
        <f>IF(ISBLANK(A144),"-",D144/PLAYER_EXP_MAX)</f>
        <v>0.32014894766402591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43931.428812791462</v>
      </c>
      <c r="H144" s="480" t="str">
        <f t="shared" ca="1" si="12"/>
        <v>-381 D 13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43892.200095709595</v>
      </c>
      <c r="K144" s="480" t="str">
        <f t="shared" ca="1" si="13"/>
        <v>-420 D 18 H</v>
      </c>
      <c r="L144" s="51">
        <f t="shared" si="15"/>
        <v>100613.43975095084</v>
      </c>
      <c r="M144" s="58">
        <f>IF(ISBLANK(A144),NA(),IFERROR(A144+(PLAYER_EXP_MAX-D144)/L144,NA()))</f>
        <v>43896.69300339224</v>
      </c>
      <c r="N144" s="480" t="str">
        <f t="shared" ca="1" si="14"/>
        <v>-416 D 06 H</v>
      </c>
    </row>
    <row r="145" spans="1:14" ht="14.65" customHeight="1" x14ac:dyDescent="0.25">
      <c r="A145" s="8">
        <v>43709.65</v>
      </c>
      <c r="B145" s="480">
        <v>190</v>
      </c>
      <c r="C145" s="480">
        <v>202507</v>
      </c>
      <c r="D145" s="480">
        <f t="shared" si="11"/>
        <v>8974983</v>
      </c>
      <c r="E145" s="46">
        <f>IF(ISBLANK(A145),"-",D145/PLAYER_EXP_MAX)</f>
        <v>0.32285866328921692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43931.035880009455</v>
      </c>
      <c r="H145" s="480" t="str">
        <f t="shared" ca="1" si="12"/>
        <v>-381 D 22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43893.633697826212</v>
      </c>
      <c r="K145" s="480" t="str">
        <f t="shared" ca="1" si="13"/>
        <v>-419 D 08 H</v>
      </c>
      <c r="L145" s="51">
        <f t="shared" si="15"/>
        <v>100508.92496708056</v>
      </c>
      <c r="M145" s="58">
        <f>IF(ISBLANK(A145),NA(),IFERROR(A145+(PLAYER_EXP_MAX-D145)/L145,NA()))</f>
        <v>43896.931935471555</v>
      </c>
      <c r="N145" s="480" t="str">
        <f t="shared" ca="1" si="14"/>
        <v>-416 D 01 H</v>
      </c>
    </row>
    <row r="146" spans="1:14" ht="14.65" customHeight="1" x14ac:dyDescent="0.25">
      <c r="A146" s="8">
        <v>43709.729861111111</v>
      </c>
      <c r="B146" s="480">
        <v>190</v>
      </c>
      <c r="C146" s="480">
        <v>190166</v>
      </c>
      <c r="D146" s="480">
        <f t="shared" si="11"/>
        <v>8987324</v>
      </c>
      <c r="E146" s="46">
        <f>IF(ISBLANK(A146),"-",D146/PLAYER_EXP_MAX)</f>
        <v>0.32330260828205448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43920.174324935775</v>
      </c>
      <c r="H146" s="480" t="str">
        <f t="shared" ca="1" si="12"/>
        <v>-392 D 19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43894.226975382357</v>
      </c>
      <c r="K146" s="480" t="str">
        <f t="shared" ca="1" si="13"/>
        <v>-418 D 18 H</v>
      </c>
      <c r="L146" s="51">
        <f t="shared" si="15"/>
        <v>100609.69893588765</v>
      </c>
      <c r="M146" s="58">
        <f>IF(ISBLANK(A146),NA(),IFERROR(A146+(PLAYER_EXP_MAX-D146)/L146,NA()))</f>
        <v>43896.701546733457</v>
      </c>
      <c r="N146" s="480" t="str">
        <f t="shared" ca="1" si="14"/>
        <v>-416 D 06 H</v>
      </c>
    </row>
    <row r="147" spans="1:14" ht="14.65" customHeight="1" x14ac:dyDescent="0.25">
      <c r="A147" s="8">
        <v>43709.788888888892</v>
      </c>
      <c r="B147" s="480">
        <v>190</v>
      </c>
      <c r="C147" s="480">
        <v>180121</v>
      </c>
      <c r="D147" s="480">
        <f t="shared" si="11"/>
        <v>8997369</v>
      </c>
      <c r="E147" s="46">
        <f>IF(ISBLANK(A147),"-",D147/PLAYER_EXP_MAX)</f>
        <v>0.32366395885761995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43891.938720879887</v>
      </c>
      <c r="H147" s="480" t="str">
        <f t="shared" ca="1" si="12"/>
        <v>-421 D 00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43894.403001646227</v>
      </c>
      <c r="K147" s="480" t="str">
        <f t="shared" ca="1" si="13"/>
        <v>-418 D 13 H</v>
      </c>
      <c r="L147" s="51">
        <f t="shared" si="15"/>
        <v>100705.48199502911</v>
      </c>
      <c r="M147" s="58">
        <f>IF(ISBLANK(A147),NA(),IFERROR(A147+(PLAYER_EXP_MAX-D147)/L147,NA()))</f>
        <v>43896.482995580402</v>
      </c>
      <c r="N147" s="480" t="str">
        <f t="shared" ca="1" si="14"/>
        <v>-416 D 11 H</v>
      </c>
    </row>
    <row r="148" spans="1:14" ht="14.65" customHeight="1" x14ac:dyDescent="0.25">
      <c r="A148" s="8">
        <v>43709.885416666664</v>
      </c>
      <c r="B148" s="480">
        <v>190</v>
      </c>
      <c r="C148" s="480">
        <v>165366</v>
      </c>
      <c r="D148" s="480">
        <f t="shared" si="11"/>
        <v>9012124</v>
      </c>
      <c r="E148" s="46">
        <f>IF(ISBLANK(A148),"-",D148/PLAYER_EXP_MAX)</f>
        <v>0.32419474310276358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43888.306812796807</v>
      </c>
      <c r="H148" s="480" t="str">
        <f t="shared" ca="1" si="12"/>
        <v>-424 D 16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43894.263223741058</v>
      </c>
      <c r="K148" s="480" t="str">
        <f t="shared" ca="1" si="13"/>
        <v>-418 D 17 H</v>
      </c>
      <c r="L148" s="51">
        <f t="shared" si="15"/>
        <v>100822.645461597</v>
      </c>
      <c r="M148" s="58">
        <f>IF(ISBLANK(A148),NA(),IFERROR(A148+(PLAYER_EXP_MAX-D148)/L148,NA()))</f>
        <v>43896.216224730568</v>
      </c>
      <c r="N148" s="480" t="str">
        <f t="shared" ca="1" si="14"/>
        <v>-416 D 18 H</v>
      </c>
    </row>
    <row r="149" spans="1:14" ht="14.65" customHeight="1" x14ac:dyDescent="0.25">
      <c r="A149" s="8">
        <v>43709.972916666666</v>
      </c>
      <c r="B149" s="480">
        <v>190</v>
      </c>
      <c r="C149" s="480">
        <v>153774</v>
      </c>
      <c r="D149" s="480">
        <f t="shared" si="11"/>
        <v>9023716</v>
      </c>
      <c r="E149" s="46">
        <f>IF(ISBLANK(A149),"-",D149/PLAYER_EXP_MAX)</f>
        <v>0.32461174418508865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43882.843631825119</v>
      </c>
      <c r="H149" s="480" t="str">
        <f t="shared" ca="1" si="12"/>
        <v>-430 D 03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43894.04233056376</v>
      </c>
      <c r="K149" s="480" t="str">
        <f t="shared" ca="1" si="13"/>
        <v>-418 D 22 H</v>
      </c>
      <c r="L149" s="51">
        <f t="shared" si="15"/>
        <v>100886.98345107453</v>
      </c>
      <c r="M149" s="58">
        <f>IF(ISBLANK(A149),NA(),IFERROR(A149+(PLAYER_EXP_MAX-D149)/L149,NA()))</f>
        <v>43896.069996366794</v>
      </c>
      <c r="N149" s="480" t="str">
        <f t="shared" ca="1" si="14"/>
        <v>-416 D 21 H</v>
      </c>
    </row>
    <row r="150" spans="1:14" ht="14.65" customHeight="1" x14ac:dyDescent="0.25">
      <c r="A150" s="8">
        <v>43710.634722222225</v>
      </c>
      <c r="B150" s="480">
        <v>190</v>
      </c>
      <c r="C150" s="480">
        <v>106981</v>
      </c>
      <c r="D150" s="480">
        <f t="shared" si="11"/>
        <v>9070509</v>
      </c>
      <c r="E150" s="46">
        <f>IF(ISBLANK(A150),"-",D150/PLAYER_EXP_MAX)</f>
        <v>0.32629503711514679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43900.326186006037</v>
      </c>
      <c r="H150" s="480" t="str">
        <f t="shared" ca="1" si="12"/>
        <v>-412 D 15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43895.10070363681</v>
      </c>
      <c r="K150" s="480" t="str">
        <f t="shared" ca="1" si="13"/>
        <v>-417 D 21 H</v>
      </c>
      <c r="L150" s="51">
        <f t="shared" si="15"/>
        <v>100430.06655969254</v>
      </c>
      <c r="M150" s="58">
        <f>IF(ISBLANK(A150),NA(),IFERROR(A150+(PLAYER_EXP_MAX-D150)/L150,NA()))</f>
        <v>43897.112543471791</v>
      </c>
      <c r="N150" s="480" t="str">
        <f t="shared" ca="1" si="14"/>
        <v>-415 D 20 H</v>
      </c>
    </row>
    <row r="151" spans="1:14" ht="14.65" customHeight="1" x14ac:dyDescent="0.25">
      <c r="A151" s="8">
        <v>43711.76666666667</v>
      </c>
      <c r="B151" s="480">
        <v>191</v>
      </c>
      <c r="C151" s="480">
        <v>177557</v>
      </c>
      <c r="D151" s="480">
        <f t="shared" si="11"/>
        <v>9211933</v>
      </c>
      <c r="E151" s="46">
        <f>IF(ISBLANK(A151),"-",D151/PLAYER_EXP_MAX)</f>
        <v>0.33138250787659718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43860.531719313818</v>
      </c>
      <c r="H151" s="480" t="str">
        <f t="shared" ca="1" si="12"/>
        <v>-452 D 10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43896.773518118818</v>
      </c>
      <c r="K151" s="480" t="str">
        <f t="shared" ca="1" si="13"/>
        <v>-416 D 04 H</v>
      </c>
      <c r="L151" s="51">
        <f t="shared" si="15"/>
        <v>101048.66260973169</v>
      </c>
      <c r="M151" s="58">
        <f>IF(ISBLANK(A151),NA(),IFERROR(A151+(PLAYER_EXP_MAX-D151)/L151,NA()))</f>
        <v>43895.703351427997</v>
      </c>
      <c r="N151" s="480" t="str">
        <f t="shared" ca="1" si="14"/>
        <v>-417 D 06 H</v>
      </c>
    </row>
    <row r="152" spans="1:14" ht="14.65" customHeight="1" x14ac:dyDescent="0.25">
      <c r="A152" s="8">
        <v>43711.905555555553</v>
      </c>
      <c r="B152" s="480">
        <v>191</v>
      </c>
      <c r="C152" s="480">
        <v>167223</v>
      </c>
      <c r="D152" s="480">
        <f t="shared" si="11"/>
        <v>9222267</v>
      </c>
      <c r="E152" s="46">
        <f>IF(ISBLANK(A152),"-",D152/PLAYER_EXP_MAX)</f>
        <v>0.33175425470067815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43864.739141137987</v>
      </c>
      <c r="H152" s="480" t="str">
        <f t="shared" ca="1" si="12"/>
        <v>-448 D 05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43895.753255559575</v>
      </c>
      <c r="K152" s="480" t="str">
        <f t="shared" ca="1" si="13"/>
        <v>-417 D 05 H</v>
      </c>
      <c r="L152" s="51">
        <f t="shared" si="15"/>
        <v>100966.40434695213</v>
      </c>
      <c r="M152" s="58">
        <f>IF(ISBLANK(A152),NA(),IFERROR(A152+(PLAYER_EXP_MAX-D152)/L152,NA()))</f>
        <v>43895.889744357271</v>
      </c>
      <c r="N152" s="480" t="str">
        <f t="shared" ca="1" si="14"/>
        <v>-417 D 02 H</v>
      </c>
    </row>
    <row r="153" spans="1:14" ht="14.65" customHeight="1" x14ac:dyDescent="0.25">
      <c r="A153" s="8">
        <v>43712.520833333336</v>
      </c>
      <c r="B153" s="480">
        <v>191</v>
      </c>
      <c r="C153" s="480">
        <v>114634</v>
      </c>
      <c r="D153" s="480">
        <f t="shared" si="11"/>
        <v>9274856</v>
      </c>
      <c r="E153" s="46">
        <f>IF(ISBLANK(A153),"-",D153/PLAYER_EXP_MAX)</f>
        <v>0.33364604817189886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43880.224710888018</v>
      </c>
      <c r="H153" s="480" t="str">
        <f t="shared" ca="1" si="12"/>
        <v>-432 D 18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43896.019987496496</v>
      </c>
      <c r="K153" s="480" t="str">
        <f t="shared" ca="1" si="13"/>
        <v>-416 D 23 H</v>
      </c>
      <c r="L153" s="51">
        <f t="shared" si="15"/>
        <v>100757.34843984384</v>
      </c>
      <c r="M153" s="58">
        <f>IF(ISBLANK(A153),NA(),IFERROR(A153+(PLAYER_EXP_MAX-D153)/L153,NA()))</f>
        <v>43896.364823740245</v>
      </c>
      <c r="N153" s="480" t="str">
        <f t="shared" ca="1" si="14"/>
        <v>-416 D 14 H</v>
      </c>
    </row>
    <row r="154" spans="1:14" ht="14.65" customHeight="1" x14ac:dyDescent="0.25">
      <c r="A154" s="8">
        <v>43712.629166666666</v>
      </c>
      <c r="B154" s="480">
        <v>191</v>
      </c>
      <c r="C154" s="480">
        <v>98269</v>
      </c>
      <c r="D154" s="480">
        <f t="shared" si="11"/>
        <v>9291221</v>
      </c>
      <c r="E154" s="46">
        <f>IF(ISBLANK(A154),"-",D154/PLAYER_EXP_MAX)</f>
        <v>0.33423474923403212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43882.663670624832</v>
      </c>
      <c r="H154" s="480" t="str">
        <f t="shared" ca="1" si="12"/>
        <v>-430 D 07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43895.642682115664</v>
      </c>
      <c r="K154" s="480" t="str">
        <f t="shared" ca="1" si="13"/>
        <v>-417 D 08 H</v>
      </c>
      <c r="L154" s="51">
        <f t="shared" si="15"/>
        <v>100876.56898044328</v>
      </c>
      <c r="M154" s="58">
        <f>IF(ISBLANK(A154),NA(),IFERROR(A154+(PLAYER_EXP_MAX-D154)/L154,NA()))</f>
        <v>43896.093653881609</v>
      </c>
      <c r="N154" s="480" t="str">
        <f t="shared" ca="1" si="14"/>
        <v>-416 D 21 H</v>
      </c>
    </row>
    <row r="155" spans="1:14" ht="14.65" customHeight="1" x14ac:dyDescent="0.25">
      <c r="A155" s="8">
        <v>43712.790972222225</v>
      </c>
      <c r="B155" s="480">
        <v>191</v>
      </c>
      <c r="C155" s="480">
        <v>66801</v>
      </c>
      <c r="D155" s="480">
        <f t="shared" si="11"/>
        <v>9322689</v>
      </c>
      <c r="E155" s="46">
        <f>IF(ISBLANK(A155),"-",D155/PLAYER_EXP_MAX)</f>
        <v>0.33536675320734161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43895.858708062959</v>
      </c>
      <c r="H155" s="480" t="str">
        <f t="shared" ca="1" si="12"/>
        <v>-417 D 02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43894.239138038174</v>
      </c>
      <c r="K155" s="480" t="str">
        <f t="shared" ca="1" si="13"/>
        <v>-418 D 17 H</v>
      </c>
      <c r="L155" s="51">
        <f t="shared" si="15"/>
        <v>101206.73852487585</v>
      </c>
      <c r="M155" s="58">
        <f>IF(ISBLANK(A155),NA(),IFERROR(A155+(PLAYER_EXP_MAX-D155)/L155,NA()))</f>
        <v>43895.346010249254</v>
      </c>
      <c r="N155" s="480" t="str">
        <f t="shared" ca="1" si="14"/>
        <v>-417 D 15 H</v>
      </c>
    </row>
    <row r="156" spans="1:14" ht="14.65" customHeight="1" x14ac:dyDescent="0.25">
      <c r="A156" s="8">
        <v>43712.988194444442</v>
      </c>
      <c r="B156" s="480">
        <v>191</v>
      </c>
      <c r="C156" s="480">
        <v>35854</v>
      </c>
      <c r="D156" s="480">
        <f t="shared" si="11"/>
        <v>9353636</v>
      </c>
      <c r="E156" s="46">
        <f>IF(ISBLANK(A156),"-",D156/PLAYER_EXP_MAX)</f>
        <v>0.33648001515478054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43868.289670397084</v>
      </c>
      <c r="H156" s="480" t="str">
        <f t="shared" ca="1" si="12"/>
        <v>-444 D 16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43892.575391625309</v>
      </c>
      <c r="K156" s="480" t="str">
        <f t="shared" ca="1" si="13"/>
        <v>-420 D 09 H</v>
      </c>
      <c r="L156" s="51">
        <f t="shared" si="15"/>
        <v>101445.22158576849</v>
      </c>
      <c r="M156" s="58">
        <f>IF(ISBLANK(A156),NA(),IFERROR(A156+(PLAYER_EXP_MAX-D156)/L156,NA()))</f>
        <v>43894.809010759636</v>
      </c>
      <c r="N156" s="480" t="str">
        <f t="shared" ca="1" si="14"/>
        <v>-418 D 04 H</v>
      </c>
    </row>
    <row r="157" spans="1:14" ht="14.65" customHeight="1" x14ac:dyDescent="0.25">
      <c r="A157" s="8">
        <v>43713.013888888891</v>
      </c>
      <c r="B157" s="480">
        <v>191</v>
      </c>
      <c r="C157" s="480">
        <v>31836</v>
      </c>
      <c r="D157" s="480">
        <f t="shared" si="11"/>
        <v>9357654</v>
      </c>
      <c r="E157" s="46">
        <f>IF(ISBLANK(A157),"-",D157/PLAYER_EXP_MAX)</f>
        <v>0.33662455538500674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43861.798411002077</v>
      </c>
      <c r="H157" s="480" t="str">
        <f t="shared" ca="1" si="12"/>
        <v>-451 D 04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43891.374109285702</v>
      </c>
      <c r="K157" s="480" t="str">
        <f t="shared" ca="1" si="13"/>
        <v>-421 D 14 H</v>
      </c>
      <c r="L157" s="51">
        <f t="shared" si="15"/>
        <v>101475.84133057141</v>
      </c>
      <c r="M157" s="58">
        <f>IF(ISBLANK(A157),NA(),IFERROR(A157+(PLAYER_EXP_MAX-D157)/L157,NA()))</f>
        <v>43894.740246199166</v>
      </c>
      <c r="N157" s="480" t="str">
        <f t="shared" ca="1" si="14"/>
        <v>-418 D 05 H</v>
      </c>
    </row>
    <row r="158" spans="1:14" ht="14.65" customHeight="1" x14ac:dyDescent="0.25">
      <c r="A158" s="8">
        <v>43713.513194444444</v>
      </c>
      <c r="B158" s="480">
        <v>192</v>
      </c>
      <c r="C158" s="480">
        <v>205633</v>
      </c>
      <c r="D158" s="480">
        <f t="shared" si="11"/>
        <v>9398857</v>
      </c>
      <c r="E158" s="46">
        <f>IF(ISBLANK(A158),"-",D158/PLAYER_EXP_MAX)</f>
        <v>0.3381067582486228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43870.15476775766</v>
      </c>
      <c r="H158" s="480" t="str">
        <f t="shared" ca="1" si="12"/>
        <v>-442 D 19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43890.995149658957</v>
      </c>
      <c r="K158" s="480" t="str">
        <f t="shared" ca="1" si="13"/>
        <v>-421 D 23 H</v>
      </c>
      <c r="L158" s="51">
        <f t="shared" si="15"/>
        <v>101272.71730057932</v>
      </c>
      <c r="M158" s="58">
        <f>IF(ISBLANK(A158),NA(),IFERROR(A158+(PLAYER_EXP_MAX-D158)/L158,NA()))</f>
        <v>43895.197190790561</v>
      </c>
      <c r="N158" s="480" t="str">
        <f t="shared" ca="1" si="14"/>
        <v>-417 D 18 H</v>
      </c>
    </row>
    <row r="159" spans="1:14" ht="14.65" customHeight="1" x14ac:dyDescent="0.25">
      <c r="A159" s="8">
        <v>43713.556944444441</v>
      </c>
      <c r="B159" s="480">
        <v>192</v>
      </c>
      <c r="C159" s="480">
        <v>198171</v>
      </c>
      <c r="D159" s="480">
        <f t="shared" si="11"/>
        <v>9406319</v>
      </c>
      <c r="E159" s="46">
        <f>IF(ISBLANK(A159),"-",D159/PLAYER_EXP_MAX)</f>
        <v>0.33837519010475714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43864.350425201177</v>
      </c>
      <c r="H159" s="480" t="str">
        <f t="shared" ca="1" si="12"/>
        <v>-448 D 15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43890.479323223968</v>
      </c>
      <c r="K159" s="480" t="str">
        <f t="shared" ca="1" si="13"/>
        <v>-422 D 12 H</v>
      </c>
      <c r="L159" s="51">
        <f t="shared" si="15"/>
        <v>101337.71378370872</v>
      </c>
      <c r="M159" s="58">
        <f>IF(ISBLANK(A159),NA(),IFERROR(A159+(PLAYER_EXP_MAX-D159)/L159,NA()))</f>
        <v>43895.050776437289</v>
      </c>
      <c r="N159" s="480" t="str">
        <f t="shared" ca="1" si="14"/>
        <v>-417 D 22 H</v>
      </c>
    </row>
    <row r="160" spans="1:14" ht="14.65" customHeight="1" x14ac:dyDescent="0.25">
      <c r="A160" s="8">
        <v>43713.772222222222</v>
      </c>
      <c r="B160" s="480">
        <v>192</v>
      </c>
      <c r="C160" s="480">
        <v>172223</v>
      </c>
      <c r="D160" s="480">
        <f t="shared" si="11"/>
        <v>9432267</v>
      </c>
      <c r="E160" s="46">
        <f>IF(ISBLANK(A160),"-",D160/PLAYER_EXP_MAX)</f>
        <v>0.33930862213410234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43875.93186827506</v>
      </c>
      <c r="H160" s="480" t="str">
        <f t="shared" ca="1" si="12"/>
        <v>-437 D 01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43889.906578404487</v>
      </c>
      <c r="K160" s="480" t="str">
        <f t="shared" ca="1" si="13"/>
        <v>-423 D 01 H</v>
      </c>
      <c r="L160" s="51">
        <f t="shared" si="15"/>
        <v>101425.90878773395</v>
      </c>
      <c r="M160" s="58">
        <f>IF(ISBLANK(A160),NA(),IFERROR(A160+(PLAYER_EXP_MAX-D160)/L160,NA()))</f>
        <v>43894.852403997444</v>
      </c>
      <c r="N160" s="480" t="str">
        <f t="shared" ca="1" si="14"/>
        <v>-418 D 03 H</v>
      </c>
    </row>
    <row r="161" spans="1:14" ht="14.65" customHeight="1" x14ac:dyDescent="0.25">
      <c r="A161" s="8">
        <v>43713.874305555553</v>
      </c>
      <c r="B161" s="480">
        <v>192</v>
      </c>
      <c r="C161" s="480">
        <v>154716</v>
      </c>
      <c r="D161" s="480">
        <f t="shared" si="11"/>
        <v>9449774</v>
      </c>
      <c r="E161" s="46">
        <f>IF(ISBLANK(A161),"-",D161/PLAYER_EXP_MAX)</f>
        <v>0.3399384045658021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43884.852355290735</v>
      </c>
      <c r="H161" s="480" t="str">
        <f t="shared" ca="1" si="12"/>
        <v>-428 D 03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43889.160583698271</v>
      </c>
      <c r="K161" s="480" t="str">
        <f t="shared" ca="1" si="13"/>
        <v>-423 D 19 H</v>
      </c>
      <c r="L161" s="51">
        <f t="shared" si="15"/>
        <v>101578.24656885804</v>
      </c>
      <c r="M161" s="58">
        <f>IF(ISBLANK(A161),NA(),IFERROR(A161+(PLAYER_EXP_MAX-D161)/L161,NA()))</f>
        <v>43894.510569911246</v>
      </c>
      <c r="N161" s="480" t="str">
        <f t="shared" ca="1" si="14"/>
        <v>-418 D 11 H</v>
      </c>
    </row>
    <row r="162" spans="1:14" ht="14.65" customHeight="1" x14ac:dyDescent="0.25">
      <c r="A162" s="8">
        <v>43714.000694444447</v>
      </c>
      <c r="B162" s="480">
        <v>192</v>
      </c>
      <c r="C162" s="480">
        <v>132617</v>
      </c>
      <c r="D162" s="480">
        <f t="shared" si="11"/>
        <v>9471873</v>
      </c>
      <c r="E162" s="46">
        <f>IF(ISBLANK(A162),"-",D162/PLAYER_EXP_MAX)</f>
        <v>0.3407333758320461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43880.153775449078</v>
      </c>
      <c r="H162" s="480" t="str">
        <f t="shared" ca="1" si="12"/>
        <v>-432 D 19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43887.177142707158</v>
      </c>
      <c r="K162" s="480" t="str">
        <f t="shared" ca="1" si="13"/>
        <v>-425 D 19 H</v>
      </c>
      <c r="L162" s="51">
        <f t="shared" si="15"/>
        <v>101774.93849374969</v>
      </c>
      <c r="M162" s="58">
        <f>IF(ISBLANK(A162),NA(),IFERROR(A162+(PLAYER_EXP_MAX-D162)/L162,NA()))</f>
        <v>43894.070722206001</v>
      </c>
      <c r="N162" s="480" t="str">
        <f t="shared" ca="1" si="14"/>
        <v>-418 D 21 H</v>
      </c>
    </row>
    <row r="163" spans="1:14" ht="14.65" customHeight="1" x14ac:dyDescent="0.25">
      <c r="A163" s="8">
        <v>43714.567361111112</v>
      </c>
      <c r="B163" s="480">
        <v>192</v>
      </c>
      <c r="C163" s="480">
        <v>74273</v>
      </c>
      <c r="D163" s="480">
        <f t="shared" si="11"/>
        <v>9530217</v>
      </c>
      <c r="E163" s="46">
        <f>IF(ISBLANK(A163),"-",D163/PLAYER_EXP_MAX)</f>
        <v>0.34283219494412087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43863.05379290806</v>
      </c>
      <c r="H163" s="480" t="str">
        <f t="shared" ca="1" si="12"/>
        <v>-449 D 22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43885.471890926943</v>
      </c>
      <c r="K163" s="480" t="str">
        <f t="shared" ca="1" si="13"/>
        <v>-427 D 12 H</v>
      </c>
      <c r="L163" s="51">
        <f t="shared" si="15"/>
        <v>101789.0319759726</v>
      </c>
      <c r="M163" s="58">
        <f>IF(ISBLANK(A163),NA(),IFERROR(A163+(PLAYER_EXP_MAX-D163)/L163,NA()))</f>
        <v>43894.039271250826</v>
      </c>
      <c r="N163" s="480" t="str">
        <f t="shared" ca="1" si="14"/>
        <v>-418 D 22 H</v>
      </c>
    </row>
    <row r="164" spans="1:14" ht="14.65" customHeight="1" x14ac:dyDescent="0.25">
      <c r="A164" s="8">
        <v>43714.884722222225</v>
      </c>
      <c r="B164" s="480">
        <v>192</v>
      </c>
      <c r="C164" s="480">
        <v>48606</v>
      </c>
      <c r="D164" s="480">
        <f t="shared" si="11"/>
        <v>9555884</v>
      </c>
      <c r="E164" s="46">
        <f>IF(ISBLANK(A164),"-",D164/PLAYER_EXP_MAX)</f>
        <v>0.34375551851037661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43891.357639639529</v>
      </c>
      <c r="H164" s="480" t="str">
        <f t="shared" ca="1" si="12"/>
        <v>-421 D 14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43884.846983939817</v>
      </c>
      <c r="K164" s="480" t="str">
        <f t="shared" ca="1" si="13"/>
        <v>-428 D 03 H</v>
      </c>
      <c r="L164" s="51">
        <f t="shared" si="15"/>
        <v>101650.66554703415</v>
      </c>
      <c r="M164" s="58">
        <f>IF(ISBLANK(A164),NA(),IFERROR(A164+(PLAYER_EXP_MAX-D164)/L164,NA()))</f>
        <v>43894.348426683253</v>
      </c>
      <c r="N164" s="480" t="str">
        <f t="shared" ca="1" si="14"/>
        <v>-418 D 15 H</v>
      </c>
    </row>
    <row r="165" spans="1:14" ht="14.65" customHeight="1" x14ac:dyDescent="0.25">
      <c r="A165" s="8">
        <v>43714.961805555555</v>
      </c>
      <c r="B165" s="480">
        <v>192</v>
      </c>
      <c r="C165" s="480">
        <v>36186</v>
      </c>
      <c r="D165" s="480">
        <f t="shared" si="11"/>
        <v>9568304</v>
      </c>
      <c r="E165" s="46">
        <f>IF(ISBLANK(A165),"-",D165/PLAYER_EXP_MAX)</f>
        <v>0.34420230538429625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43890.253885183229</v>
      </c>
      <c r="H165" s="480" t="str">
        <f t="shared" ca="1" si="12"/>
        <v>-422 D 17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43884.408816658404</v>
      </c>
      <c r="K165" s="480" t="str">
        <f t="shared" ca="1" si="13"/>
        <v>-428 D 13 H</v>
      </c>
      <c r="L165" s="51">
        <f t="shared" si="15"/>
        <v>101746.08886704189</v>
      </c>
      <c r="M165" s="58">
        <f>IF(ISBLANK(A165),NA(),IFERROR(A165+(PLAYER_EXP_MAX-D165)/L165,NA()))</f>
        <v>43894.135130083268</v>
      </c>
      <c r="N165" s="480" t="str">
        <f t="shared" ca="1" si="14"/>
        <v>-418 D 20 H</v>
      </c>
    </row>
    <row r="166" spans="1:14" ht="14.65" customHeight="1" x14ac:dyDescent="0.25">
      <c r="A166" s="8">
        <v>43715.133333333331</v>
      </c>
      <c r="B166" s="480">
        <v>192</v>
      </c>
      <c r="C166" s="480">
        <v>2685</v>
      </c>
      <c r="D166" s="480">
        <f t="shared" si="11"/>
        <v>9601805</v>
      </c>
      <c r="E166" s="46">
        <f>IF(ISBLANK(A166),"-",D166/PLAYER_EXP_MAX)</f>
        <v>0.34540744282899694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43884.086108738142</v>
      </c>
      <c r="H166" s="480" t="str">
        <f t="shared" ca="1" si="12"/>
        <v>-428 D 21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43882.596234325007</v>
      </c>
      <c r="K166" s="480" t="str">
        <f t="shared" ca="1" si="13"/>
        <v>-430 D 09 H</v>
      </c>
      <c r="L166" s="51">
        <f t="shared" si="15"/>
        <v>102078.94914228719</v>
      </c>
      <c r="M166" s="58">
        <f>IF(ISBLANK(A166),NA(),IFERROR(A166+(PLAYER_EXP_MAX-D166)/L166,NA()))</f>
        <v>43893.394220155707</v>
      </c>
      <c r="N166" s="480" t="str">
        <f t="shared" ca="1" si="14"/>
        <v>-419 D 14 H</v>
      </c>
    </row>
    <row r="167" spans="1:14" ht="14.65" customHeight="1" x14ac:dyDescent="0.25">
      <c r="A167" s="8">
        <v>43715.556250000001</v>
      </c>
      <c r="B167" s="480">
        <v>193</v>
      </c>
      <c r="C167" s="480">
        <v>181103</v>
      </c>
      <c r="D167" s="480">
        <f t="shared" si="11"/>
        <v>9641387</v>
      </c>
      <c r="E167" s="46">
        <f>IF(ISBLANK(A167),"-",D167/PLAYER_EXP_MAX)</f>
        <v>0.34683133317066261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43880.587854657242</v>
      </c>
      <c r="H167" s="480" t="str">
        <f t="shared" ca="1" si="12"/>
        <v>-432 D 09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43880.814127861173</v>
      </c>
      <c r="K167" s="480" t="str">
        <f t="shared" ca="1" si="13"/>
        <v>-432 D 03 H</v>
      </c>
      <c r="L167" s="51">
        <f t="shared" si="15"/>
        <v>102005.16062707899</v>
      </c>
      <c r="M167" s="58">
        <f>IF(ISBLANK(A167),NA(),IFERROR(A167+(PLAYER_EXP_MAX-D167)/L167,NA()))</f>
        <v>43893.558048030405</v>
      </c>
      <c r="N167" s="480" t="str">
        <f t="shared" ca="1" si="14"/>
        <v>-419 D 10 H</v>
      </c>
    </row>
    <row r="168" spans="1:14" ht="14.65" customHeight="1" x14ac:dyDescent="0.25">
      <c r="A168" s="8">
        <v>43715.693055555559</v>
      </c>
      <c r="B168" s="480">
        <v>193</v>
      </c>
      <c r="C168" s="480">
        <v>162276</v>
      </c>
      <c r="D168" s="480">
        <f t="shared" si="11"/>
        <v>9660214</v>
      </c>
      <c r="E168" s="46">
        <f>IF(ISBLANK(A168),"-",D168/PLAYER_EXP_MAX)</f>
        <v>0.34750860019765822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43868.768247679604</v>
      </c>
      <c r="H168" s="480" t="str">
        <f t="shared" ca="1" si="12"/>
        <v>-444 D 05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43880.266355993714</v>
      </c>
      <c r="K168" s="480" t="str">
        <f t="shared" ca="1" si="13"/>
        <v>-432 D 17 H</v>
      </c>
      <c r="L168" s="51">
        <f t="shared" si="15"/>
        <v>102105.05189718871</v>
      </c>
      <c r="M168" s="58">
        <f>IF(ISBLANK(A168),NA(),IFERROR(A168+(PLAYER_EXP_MAX-D168)/L168,NA()))</f>
        <v>43893.336322592571</v>
      </c>
      <c r="N168" s="480" t="str">
        <f t="shared" ca="1" si="14"/>
        <v>-419 D 15 H</v>
      </c>
    </row>
    <row r="169" spans="1:14" ht="14.65" customHeight="1" x14ac:dyDescent="0.25">
      <c r="A169" s="8">
        <v>43716.106944444444</v>
      </c>
      <c r="B169" s="480">
        <v>193</v>
      </c>
      <c r="C169" s="480">
        <v>118819</v>
      </c>
      <c r="D169" s="480">
        <f t="shared" si="11"/>
        <v>9703671</v>
      </c>
      <c r="E169" s="46">
        <f>IF(ISBLANK(A169),"-",D169/PLAYER_EXP_MAX)</f>
        <v>0.34907188660505972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43874.701757864212</v>
      </c>
      <c r="H169" s="480" t="str">
        <f t="shared" ca="1" si="12"/>
        <v>-438 D 06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43877.984586736864</v>
      </c>
      <c r="K169" s="480" t="str">
        <f t="shared" ca="1" si="13"/>
        <v>-434 D 23 H</v>
      </c>
      <c r="L169" s="51">
        <f t="shared" si="15"/>
        <v>102129.38402676325</v>
      </c>
      <c r="M169" s="58">
        <f>IF(ISBLANK(A169),NA(),IFERROR(A169+(PLAYER_EXP_MAX-D169)/L169,NA()))</f>
        <v>43893.2823790408</v>
      </c>
      <c r="N169" s="480" t="str">
        <f t="shared" ca="1" si="14"/>
        <v>-419 D 16 H</v>
      </c>
    </row>
    <row r="170" spans="1:14" ht="14.65" customHeight="1" x14ac:dyDescent="0.25">
      <c r="A170" s="8">
        <v>43716.180555555555</v>
      </c>
      <c r="B170" s="480">
        <v>193</v>
      </c>
      <c r="C170" s="480">
        <v>106399</v>
      </c>
      <c r="D170" s="480">
        <f t="shared" si="11"/>
        <v>9716091</v>
      </c>
      <c r="E170" s="46">
        <f>IF(ISBLANK(A170),"-",D170/PLAYER_EXP_MAX)</f>
        <v>0.34951867347897936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43882.617766744028</v>
      </c>
      <c r="H170" s="480" t="str">
        <f t="shared" ca="1" si="12"/>
        <v>-430 D 08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43877.579717843073</v>
      </c>
      <c r="K170" s="480" t="str">
        <f t="shared" ca="1" si="13"/>
        <v>-435 D 09 H</v>
      </c>
      <c r="L170" s="51">
        <f t="shared" si="15"/>
        <v>102228.89606269916</v>
      </c>
      <c r="M170" s="58">
        <f>IF(ISBLANK(A170),NA(),IFERROR(A170+(PLAYER_EXP_MAX-D170)/L170,NA()))</f>
        <v>43893.062031306887</v>
      </c>
      <c r="N170" s="480" t="str">
        <f t="shared" ca="1" si="14"/>
        <v>-419 D 22 H</v>
      </c>
    </row>
    <row r="171" spans="1:14" ht="14.65" customHeight="1" x14ac:dyDescent="0.25">
      <c r="A171" s="8">
        <v>43717.479166666664</v>
      </c>
      <c r="B171" s="480">
        <v>194</v>
      </c>
      <c r="C171" s="480">
        <v>197588</v>
      </c>
      <c r="D171" s="480">
        <f t="shared" si="11"/>
        <v>9845902</v>
      </c>
      <c r="E171" s="46">
        <f>IF(ISBLANK(A171),"-",D171/PLAYER_EXP_MAX)</f>
        <v>0.35418838772136141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43897.074339274222</v>
      </c>
      <c r="H171" s="480" t="str">
        <f t="shared" ca="1" si="12"/>
        <v>-415 D 21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43875.668526881447</v>
      </c>
      <c r="K171" s="480" t="str">
        <f t="shared" ca="1" si="13"/>
        <v>-437 D 07 H</v>
      </c>
      <c r="L171" s="51">
        <f t="shared" si="15"/>
        <v>102170.65721702485</v>
      </c>
      <c r="M171" s="58">
        <f>IF(ISBLANK(A171),NA(),IFERROR(A171+(PLAYER_EXP_MAX-D171)/L171,NA()))</f>
        <v>43893.190936454601</v>
      </c>
      <c r="N171" s="480" t="str">
        <f t="shared" ca="1" si="14"/>
        <v>-419 D 18 H</v>
      </c>
    </row>
    <row r="172" spans="1:14" ht="14.65" customHeight="1" x14ac:dyDescent="0.25">
      <c r="A172" s="8">
        <v>43717.622916666667</v>
      </c>
      <c r="B172" s="480">
        <v>194</v>
      </c>
      <c r="C172" s="480">
        <v>177547</v>
      </c>
      <c r="D172" s="480">
        <f t="shared" si="11"/>
        <v>9865943</v>
      </c>
      <c r="E172" s="46">
        <f>IF(ISBLANK(A172),"-",D172/PLAYER_EXP_MAX)</f>
        <v>0.35490932618675786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43892.854031782423</v>
      </c>
      <c r="H172" s="480" t="str">
        <f t="shared" ca="1" si="12"/>
        <v>-420 D 03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43876.043004654734</v>
      </c>
      <c r="K172" s="480" t="str">
        <f t="shared" ca="1" si="13"/>
        <v>-436 D 22 H</v>
      </c>
      <c r="L172" s="51">
        <f t="shared" si="15"/>
        <v>102276.24948639302</v>
      </c>
      <c r="M172" s="58">
        <f>IF(ISBLANK(A172),NA(),IFERROR(A172+(PLAYER_EXP_MAX-D172)/L172,NA()))</f>
        <v>43892.957328028569</v>
      </c>
      <c r="N172" s="480" t="str">
        <f t="shared" ca="1" si="14"/>
        <v>-420 D 00 H</v>
      </c>
    </row>
    <row r="173" spans="1:14" ht="14.65" customHeight="1" x14ac:dyDescent="0.25">
      <c r="A173" s="8">
        <v>43717.665277777778</v>
      </c>
      <c r="B173" s="480">
        <v>194</v>
      </c>
      <c r="C173" s="480">
        <v>170659</v>
      </c>
      <c r="D173" s="480">
        <f t="shared" si="11"/>
        <v>9872831</v>
      </c>
      <c r="E173" s="46">
        <f>IF(ISBLANK(A173),"-",D173/PLAYER_EXP_MAX)</f>
        <v>0.35515710943857415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43890.393214751086</v>
      </c>
      <c r="H173" s="480" t="str">
        <f t="shared" ca="1" si="12"/>
        <v>-422 D 14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43874.925189111935</v>
      </c>
      <c r="K173" s="480" t="str">
        <f t="shared" ca="1" si="13"/>
        <v>-438 D 01 H</v>
      </c>
      <c r="L173" s="51">
        <f t="shared" si="15"/>
        <v>102326.60691070165</v>
      </c>
      <c r="M173" s="58">
        <f>IF(ISBLANK(A173),NA(),IFERROR(A173+(PLAYER_EXP_MAX-D173)/L173,NA()))</f>
        <v>43892.846088919534</v>
      </c>
      <c r="N173" s="480" t="str">
        <f t="shared" ca="1" si="14"/>
        <v>-420 D 03 H</v>
      </c>
    </row>
    <row r="174" spans="1:14" ht="14.65" customHeight="1" x14ac:dyDescent="0.25">
      <c r="A174" s="8">
        <v>43717.717361111114</v>
      </c>
      <c r="B174" s="480">
        <v>194</v>
      </c>
      <c r="C174" s="480">
        <v>167330</v>
      </c>
      <c r="D174" s="480">
        <f t="shared" si="11"/>
        <v>9876160</v>
      </c>
      <c r="E174" s="46">
        <f>IF(ISBLANK(A174),"-",D174/PLAYER_EXP_MAX)</f>
        <v>0.35527686414898307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43889.992990462793</v>
      </c>
      <c r="H174" s="480" t="str">
        <f t="shared" ca="1" si="12"/>
        <v>-422 D 23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43875.330785500024</v>
      </c>
      <c r="K174" s="480" t="str">
        <f t="shared" ca="1" si="13"/>
        <v>-437 D 15 H</v>
      </c>
      <c r="L174" s="51">
        <f t="shared" si="15"/>
        <v>102287.22570060378</v>
      </c>
      <c r="M174" s="58">
        <f>IF(ISBLANK(A174),NA(),IFERROR(A174+(PLAYER_EXP_MAX-D174)/L174,NA()))</f>
        <v>43892.933072332562</v>
      </c>
      <c r="N174" s="480" t="str">
        <f t="shared" ca="1" si="14"/>
        <v>-420 D 01 H</v>
      </c>
    </row>
    <row r="175" spans="1:14" ht="14.65" customHeight="1" x14ac:dyDescent="0.25">
      <c r="A175" s="8">
        <v>43717.854166666664</v>
      </c>
      <c r="B175" s="480">
        <v>194</v>
      </c>
      <c r="C175" s="480">
        <v>145455</v>
      </c>
      <c r="D175" s="480">
        <f t="shared" si="11"/>
        <v>9898035</v>
      </c>
      <c r="E175" s="46">
        <f>IF(ISBLANK(A175),"-",D175/PLAYER_EXP_MAX)</f>
        <v>0.35606377742329809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43886.817050027028</v>
      </c>
      <c r="H175" s="480" t="str">
        <f t="shared" ca="1" si="12"/>
        <v>-426 D 03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43875.292165085506</v>
      </c>
      <c r="K175" s="480" t="str">
        <f t="shared" ca="1" si="13"/>
        <v>-437 D 16 H</v>
      </c>
      <c r="L175" s="51">
        <f t="shared" si="15"/>
        <v>102441.96163442171</v>
      </c>
      <c r="M175" s="58">
        <f>IF(ISBLANK(A175),NA(),IFERROR(A175+(PLAYER_EXP_MAX-D175)/L175,NA()))</f>
        <v>43892.591683543586</v>
      </c>
      <c r="N175" s="480" t="str">
        <f t="shared" ca="1" si="14"/>
        <v>-420 D 09 H</v>
      </c>
    </row>
    <row r="176" spans="1:14" ht="14.65" customHeight="1" x14ac:dyDescent="0.25">
      <c r="A176" s="8">
        <v>43717.909722222219</v>
      </c>
      <c r="B176" s="480">
        <v>194</v>
      </c>
      <c r="C176" s="480">
        <v>139475</v>
      </c>
      <c r="D176" s="480">
        <f t="shared" si="11"/>
        <v>9904015</v>
      </c>
      <c r="E176" s="46">
        <f>IF(ISBLANK(A176),"-",D176/PLAYER_EXP_MAX)</f>
        <v>0.35627889702925941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43884.854889685674</v>
      </c>
      <c r="H176" s="480" t="str">
        <f t="shared" ca="1" si="12"/>
        <v>-428 D 02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43875.320950589492</v>
      </c>
      <c r="K176" s="480" t="str">
        <f t="shared" ca="1" si="13"/>
        <v>-437 D 15 H</v>
      </c>
      <c r="L176" s="51">
        <f t="shared" si="15"/>
        <v>102447.62498808405</v>
      </c>
      <c r="M176" s="58">
        <f>IF(ISBLANK(A176),NA(),IFERROR(A176+(PLAYER_EXP_MAX-D176)/L176,NA()))</f>
        <v>43892.579208235991</v>
      </c>
      <c r="N176" s="480" t="str">
        <f t="shared" ca="1" si="14"/>
        <v>-420 D 09 H</v>
      </c>
    </row>
    <row r="177" spans="1:14" ht="14.65" customHeight="1" x14ac:dyDescent="0.25">
      <c r="A177" s="8">
        <v>43718.010416666664</v>
      </c>
      <c r="B177" s="480">
        <v>194</v>
      </c>
      <c r="C177" s="480">
        <v>131061</v>
      </c>
      <c r="D177" s="480">
        <f t="shared" si="11"/>
        <v>9912429</v>
      </c>
      <c r="E177" s="46">
        <f>IF(ISBLANK(A177),"-",D177/PLAYER_EXP_MAX)</f>
        <v>0.35658157535109192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43884.131226271973</v>
      </c>
      <c r="H177" s="480" t="str">
        <f t="shared" ca="1" si="12"/>
        <v>-428 D 20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43875.474112207099</v>
      </c>
      <c r="K177" s="480" t="str">
        <f t="shared" ca="1" si="13"/>
        <v>-437 D 12 H</v>
      </c>
      <c r="L177" s="51">
        <f t="shared" si="15"/>
        <v>102410.39960854576</v>
      </c>
      <c r="M177" s="58">
        <f>IF(ISBLANK(A177),NA(),IFERROR(A177+(PLAYER_EXP_MAX-D177)/L177,NA()))</f>
        <v>43892.661234048181</v>
      </c>
      <c r="N177" s="480" t="str">
        <f t="shared" ca="1" si="14"/>
        <v>-420 D 07 H</v>
      </c>
    </row>
    <row r="178" spans="1:14" ht="14.65" customHeight="1" x14ac:dyDescent="0.25">
      <c r="A178" s="8">
        <v>43718.691666666666</v>
      </c>
      <c r="B178" s="480">
        <v>194</v>
      </c>
      <c r="C178" s="480">
        <v>67457</v>
      </c>
      <c r="D178" s="480">
        <f t="shared" si="11"/>
        <v>9976033</v>
      </c>
      <c r="E178" s="46">
        <f>IF(ISBLANK(A178),"-",D178/PLAYER_EXP_MAX)</f>
        <v>0.35886961338078482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43897.253092751147</v>
      </c>
      <c r="H178" s="480" t="str">
        <f t="shared" ca="1" si="12"/>
        <v>-415 D 17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43876.218482765835</v>
      </c>
      <c r="K178" s="480" t="str">
        <f t="shared" ca="1" si="13"/>
        <v>-436 D 18 H</v>
      </c>
      <c r="L178" s="51">
        <f t="shared" si="15"/>
        <v>102291.35889903443</v>
      </c>
      <c r="M178" s="58">
        <f>IF(ISBLANK(A178),NA(),IFERROR(A178+(PLAYER_EXP_MAX-D178)/L178,NA()))</f>
        <v>43892.923939967397</v>
      </c>
      <c r="N178" s="480" t="str">
        <f t="shared" ca="1" si="14"/>
        <v>-420 D 01 H</v>
      </c>
    </row>
    <row r="179" spans="1:14" ht="14.65" customHeight="1" x14ac:dyDescent="0.25">
      <c r="A179" s="8">
        <v>43718.944444444445</v>
      </c>
      <c r="B179" s="480">
        <v>194</v>
      </c>
      <c r="C179" s="480">
        <v>23374</v>
      </c>
      <c r="D179" s="480">
        <f t="shared" si="11"/>
        <v>10020116</v>
      </c>
      <c r="E179" s="46">
        <f>IF(ISBLANK(A179),"-",D179/PLAYER_EXP_MAX)</f>
        <v>0.36045541899777356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43884.378562769314</v>
      </c>
      <c r="H179" s="480" t="str">
        <f t="shared" ca="1" si="12"/>
        <v>-428 D 14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43876.317816798066</v>
      </c>
      <c r="K179" s="480" t="str">
        <f t="shared" ca="1" si="13"/>
        <v>-436 D 15 H</v>
      </c>
      <c r="L179" s="51">
        <f t="shared" si="15"/>
        <v>102641.68613264614</v>
      </c>
      <c r="M179" s="58">
        <f>IF(ISBLANK(A179),NA(),IFERROR(A179+(PLAYER_EXP_MAX-D179)/L179,NA()))</f>
        <v>43892.152559683556</v>
      </c>
      <c r="N179" s="480" t="str">
        <f t="shared" ca="1" si="14"/>
        <v>-420 D 19 H</v>
      </c>
    </row>
    <row r="180" spans="1:14" ht="14.65" customHeight="1" x14ac:dyDescent="0.25">
      <c r="A180" s="8">
        <v>43719.072916666664</v>
      </c>
      <c r="B180" s="480">
        <v>195</v>
      </c>
      <c r="C180" s="480">
        <v>221633</v>
      </c>
      <c r="D180" s="480">
        <f t="shared" si="11"/>
        <v>10045857</v>
      </c>
      <c r="E180" s="46">
        <f>IF(ISBLANK(A180),"-",D180/PLAYER_EXP_MAX)</f>
        <v>0.36138140457922013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43865.286308437513</v>
      </c>
      <c r="H180" s="480" t="str">
        <f t="shared" ca="1" si="12"/>
        <v>-447 D 16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43875.769030681266</v>
      </c>
      <c r="K180" s="480" t="str">
        <f t="shared" ca="1" si="13"/>
        <v>-437 D 05 H</v>
      </c>
      <c r="L180" s="51">
        <f t="shared" si="15"/>
        <v>102882.40313173988</v>
      </c>
      <c r="M180" s="58">
        <f>IF(ISBLANK(A180),NA(),IFERROR(A180+(PLAYER_EXP_MAX-D180)/L180,NA()))</f>
        <v>43891.625573482699</v>
      </c>
      <c r="N180" s="480" t="str">
        <f t="shared" ca="1" si="14"/>
        <v>-421 D 08 H</v>
      </c>
    </row>
    <row r="181" spans="1:14" ht="14.65" customHeight="1" x14ac:dyDescent="0.25">
      <c r="A181" s="8">
        <v>43719.487500000003</v>
      </c>
      <c r="B181" s="480">
        <v>195</v>
      </c>
      <c r="C181" s="480">
        <v>184036</v>
      </c>
      <c r="D181" s="480">
        <f t="shared" si="11"/>
        <v>10083454</v>
      </c>
      <c r="E181" s="46">
        <f>IF(ISBLANK(A181),"-",D181/PLAYER_EXP_MAX)</f>
        <v>0.36273388816205082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43867.511109263192</v>
      </c>
      <c r="H181" s="480" t="str">
        <f t="shared" ca="1" si="12"/>
        <v>-445 D 11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43875.800217911798</v>
      </c>
      <c r="K181" s="480" t="str">
        <f t="shared" ca="1" si="13"/>
        <v>-437 D 04 H</v>
      </c>
      <c r="L181" s="51">
        <f t="shared" si="15"/>
        <v>102786.21804778317</v>
      </c>
      <c r="M181" s="58">
        <f>IF(ISBLANK(A181),NA(),IFERROR(A181+(PLAYER_EXP_MAX-D181)/L181,NA()))</f>
        <v>43891.835849189818</v>
      </c>
      <c r="N181" s="480" t="str">
        <f t="shared" ca="1" si="14"/>
        <v>-421 D 03 H</v>
      </c>
    </row>
    <row r="182" spans="1:14" ht="14.65" customHeight="1" x14ac:dyDescent="0.25">
      <c r="A182" s="8">
        <v>43719.552777777775</v>
      </c>
      <c r="B182" s="480">
        <v>195</v>
      </c>
      <c r="C182" s="480">
        <v>173242</v>
      </c>
      <c r="D182" s="480">
        <f t="shared" si="11"/>
        <v>10094248</v>
      </c>
      <c r="E182" s="46">
        <f>IF(ISBLANK(A182),"-",D182/PLAYER_EXP_MAX)</f>
        <v>0.36312218264812884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43866.794326415853</v>
      </c>
      <c r="H182" s="480" t="str">
        <f t="shared" ca="1" si="12"/>
        <v>-446 D 04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43875.63790930355</v>
      </c>
      <c r="K182" s="480" t="str">
        <f t="shared" ca="1" si="13"/>
        <v>-437 D 08 H</v>
      </c>
      <c r="L182" s="51">
        <f t="shared" si="15"/>
        <v>102863.81697518178</v>
      </c>
      <c r="M182" s="58">
        <f>IF(ISBLANK(A182),NA(),IFERROR(A182+(PLAYER_EXP_MAX-D182)/L182,NA()))</f>
        <v>43891.666175089013</v>
      </c>
      <c r="N182" s="480" t="str">
        <f t="shared" ca="1" si="14"/>
        <v>-421 D 07 H</v>
      </c>
    </row>
    <row r="183" spans="1:14" ht="14.65" customHeight="1" x14ac:dyDescent="0.25">
      <c r="A183" s="8">
        <v>43719.76458333333</v>
      </c>
      <c r="B183" s="480">
        <v>195</v>
      </c>
      <c r="C183" s="480">
        <v>140237</v>
      </c>
      <c r="D183" s="480">
        <f t="shared" si="11"/>
        <v>10127253</v>
      </c>
      <c r="E183" s="46">
        <f>IF(ISBLANK(A183),"-",D183/PLAYER_EXP_MAX)</f>
        <v>0.36430947739641534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43853.587304672335</v>
      </c>
      <c r="H183" s="480" t="str">
        <f t="shared" ca="1" si="12"/>
        <v>-459 D 09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43875.690313537874</v>
      </c>
      <c r="K183" s="480" t="str">
        <f t="shared" ca="1" si="13"/>
        <v>-437 D 06 H</v>
      </c>
      <c r="L183" s="51">
        <f t="shared" si="15"/>
        <v>103076.09240716013</v>
      </c>
      <c r="M183" s="58">
        <f>IF(ISBLANK(A183),NA(),IFERROR(A183+(PLAYER_EXP_MAX-D183)/L183,NA()))</f>
        <v>43891.20332909211</v>
      </c>
      <c r="N183" s="480" t="str">
        <f t="shared" ca="1" si="14"/>
        <v>-421 D 18 H</v>
      </c>
    </row>
    <row r="184" spans="1:14" ht="14.65" customHeight="1" x14ac:dyDescent="0.25">
      <c r="A184" s="8">
        <v>43719.807638888888</v>
      </c>
      <c r="B184" s="480">
        <v>195</v>
      </c>
      <c r="C184" s="480">
        <v>131340</v>
      </c>
      <c r="D184" s="480">
        <f t="shared" si="11"/>
        <v>10136150</v>
      </c>
      <c r="E184" s="46">
        <f>IF(ISBLANK(A184),"-",D184/PLAYER_EXP_MAX)</f>
        <v>0.3646295307633447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43851.435739242581</v>
      </c>
      <c r="H184" s="480" t="str">
        <f t="shared" ca="1" si="12"/>
        <v>-461 D 13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43875.638811876524</v>
      </c>
      <c r="K184" s="480" t="str">
        <f t="shared" ca="1" si="13"/>
        <v>-437 D 08 H</v>
      </c>
      <c r="L184" s="51">
        <f t="shared" si="15"/>
        <v>103160.40126050105</v>
      </c>
      <c r="M184" s="58">
        <f>IF(ISBLANK(A184),NA(),IFERROR(A184+(PLAYER_EXP_MAX-D184)/L184,NA()))</f>
        <v>43891.020030312211</v>
      </c>
      <c r="N184" s="480" t="str">
        <f t="shared" ca="1" si="14"/>
        <v>-421 D 23 H</v>
      </c>
    </row>
    <row r="185" spans="1:14" ht="14.65" customHeight="1" x14ac:dyDescent="0.25">
      <c r="A185" s="8">
        <v>43719.957638888889</v>
      </c>
      <c r="B185" s="480">
        <v>195</v>
      </c>
      <c r="C185" s="480">
        <v>101474</v>
      </c>
      <c r="D185" s="480">
        <f t="shared" si="11"/>
        <v>10166016</v>
      </c>
      <c r="E185" s="46">
        <f>IF(ISBLANK(A185),"-",D185/PLAYER_EXP_MAX)</f>
        <v>0.36570390570509065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43851.415896711522</v>
      </c>
      <c r="H185" s="480" t="str">
        <f t="shared" ca="1" si="12"/>
        <v>-461 D 13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43874.726326329939</v>
      </c>
      <c r="K185" s="480" t="str">
        <f t="shared" ca="1" si="13"/>
        <v>-438 D 06 H</v>
      </c>
      <c r="L185" s="51">
        <f t="shared" si="15"/>
        <v>103431.74819314369</v>
      </c>
      <c r="M185" s="58">
        <f>IF(ISBLANK(A185),NA(),IFERROR(A185+(PLAYER_EXP_MAX-D185)/L185,NA()))</f>
        <v>43890.432114163872</v>
      </c>
      <c r="N185" s="480" t="str">
        <f t="shared" ca="1" si="14"/>
        <v>-422 D 13 H</v>
      </c>
    </row>
    <row r="186" spans="1:14" ht="14.65" customHeight="1" x14ac:dyDescent="0.25">
      <c r="A186" s="8">
        <v>43720.080555555556</v>
      </c>
      <c r="B186" s="480">
        <v>195</v>
      </c>
      <c r="C186" s="480">
        <v>83558</v>
      </c>
      <c r="D186" s="480">
        <f t="shared" si="11"/>
        <v>10183932</v>
      </c>
      <c r="E186" s="46">
        <f>IF(ISBLANK(A186),"-",D186/PLAYER_EXP_MAX)</f>
        <v>0.36634840116669648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43844.848453671235</v>
      </c>
      <c r="H186" s="480" t="str">
        <f t="shared" ca="1" si="12"/>
        <v>-468 D 03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43873.672346016661</v>
      </c>
      <c r="K186" s="480" t="str">
        <f t="shared" ca="1" si="13"/>
        <v>-439 D 07 H</v>
      </c>
      <c r="L186" s="51">
        <f t="shared" si="15"/>
        <v>103529.61007405941</v>
      </c>
      <c r="M186" s="58">
        <f>IF(ISBLANK(A186),NA(),IFERROR(A186+(PLAYER_EXP_MAX-D186)/L186,NA()))</f>
        <v>43890.220837040237</v>
      </c>
      <c r="N186" s="480" t="str">
        <f t="shared" ca="1" si="14"/>
        <v>-422 D 18 H</v>
      </c>
    </row>
    <row r="187" spans="1:14" ht="14.65" customHeight="1" x14ac:dyDescent="0.25">
      <c r="A187" s="8">
        <v>43720.570833333331</v>
      </c>
      <c r="B187" s="480">
        <v>195</v>
      </c>
      <c r="C187" s="480">
        <v>63886</v>
      </c>
      <c r="D187" s="480">
        <f t="shared" si="11"/>
        <v>10203604</v>
      </c>
      <c r="E187" s="46">
        <f>IF(ISBLANK(A187),"-",D187/PLAYER_EXP_MAX)</f>
        <v>0.36705606552931708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43884.207306911405</v>
      </c>
      <c r="H187" s="480" t="str">
        <f t="shared" ca="1" si="12"/>
        <v>-428 D 18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43874.143454994846</v>
      </c>
      <c r="K187" s="480" t="str">
        <f t="shared" ca="1" si="13"/>
        <v>-438 D 20 H</v>
      </c>
      <c r="L187" s="51">
        <f t="shared" si="15"/>
        <v>102950.20541295974</v>
      </c>
      <c r="M187" s="58">
        <f>IF(ISBLANK(A187),NA(),IFERROR(A187+(PLAYER_EXP_MAX-D187)/L187,NA()))</f>
        <v>43891.47758314915</v>
      </c>
      <c r="N187" s="480" t="str">
        <f t="shared" ca="1" si="14"/>
        <v>-421 D 12 H</v>
      </c>
    </row>
    <row r="188" spans="1:14" ht="14.65" customHeight="1" x14ac:dyDescent="0.25">
      <c r="A188" s="8">
        <v>43720.854861111111</v>
      </c>
      <c r="B188" s="480">
        <v>195</v>
      </c>
      <c r="C188" s="480">
        <v>30307</v>
      </c>
      <c r="D188" s="480">
        <f t="shared" si="11"/>
        <v>10237183</v>
      </c>
      <c r="E188" s="46">
        <f>IF(ISBLANK(A188),"-",D188/PLAYER_EXP_MAX)</f>
        <v>0.36826400888192162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43931.642675623909</v>
      </c>
      <c r="H188" s="480" t="str">
        <f t="shared" ca="1" si="12"/>
        <v>-381 D 08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43874.557904576053</v>
      </c>
      <c r="K188" s="480" t="str">
        <f t="shared" ca="1" si="13"/>
        <v>-438 D 10 H</v>
      </c>
      <c r="L188" s="51">
        <f t="shared" si="15"/>
        <v>103030.63913065345</v>
      </c>
      <c r="M188" s="58">
        <f>IF(ISBLANK(A188),NA(),IFERROR(A188+(PLAYER_EXP_MAX-D188)/L188,NA()))</f>
        <v>43891.302275086004</v>
      </c>
      <c r="N188" s="480" t="str">
        <f t="shared" ca="1" si="14"/>
        <v>-421 D 16 H</v>
      </c>
    </row>
    <row r="189" spans="1:14" ht="14.65" customHeight="1" x14ac:dyDescent="0.25">
      <c r="A189" s="8">
        <v>43721.038888888892</v>
      </c>
      <c r="B189" s="480">
        <v>195</v>
      </c>
      <c r="C189" s="480">
        <v>4017</v>
      </c>
      <c r="D189" s="480">
        <f t="shared" si="11"/>
        <v>10263473</v>
      </c>
      <c r="E189" s="46">
        <f>IF(ISBLANK(A189),"-",D189/PLAYER_EXP_MAX)</f>
        <v>0.36920974373822979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43935.76587381772</v>
      </c>
      <c r="H189" s="480" t="str">
        <f t="shared" ca="1" si="12"/>
        <v>-377 D 05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43874.611399705362</v>
      </c>
      <c r="K189" s="480" t="str">
        <f t="shared" ca="1" si="13"/>
        <v>-438 D 08 H</v>
      </c>
      <c r="L189" s="51">
        <f t="shared" si="15"/>
        <v>103166.06931593947</v>
      </c>
      <c r="M189" s="58">
        <f>IF(ISBLANK(A189),NA(),IFERROR(A189+(PLAYER_EXP_MAX-D189)/L189,NA()))</f>
        <v>43891.007717945467</v>
      </c>
      <c r="N189" s="480" t="str">
        <f t="shared" ca="1" si="14"/>
        <v>-421 D 23 H</v>
      </c>
    </row>
    <row r="190" spans="1:14" ht="14.65" customHeight="1" x14ac:dyDescent="0.25">
      <c r="A190" s="8">
        <v>43721.0625</v>
      </c>
      <c r="B190" s="480">
        <v>196</v>
      </c>
      <c r="C190" s="480">
        <v>226999</v>
      </c>
      <c r="D190" s="480">
        <f t="shared" si="11"/>
        <v>10267491</v>
      </c>
      <c r="E190" s="46">
        <f>IF(ISBLANK(A190),"-",D190/PLAYER_EXP_MAX)</f>
        <v>0.36935428396845599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43924.849632514364</v>
      </c>
      <c r="H190" s="480" t="str">
        <f t="shared" ca="1" si="12"/>
        <v>-388 D 03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43874.617353443711</v>
      </c>
      <c r="K190" s="480" t="str">
        <f t="shared" ca="1" si="13"/>
        <v>-438 D 08 H</v>
      </c>
      <c r="L190" s="51">
        <f t="shared" si="15"/>
        <v>103195.29031512777</v>
      </c>
      <c r="M190" s="58">
        <f>IF(ISBLANK(A190),NA(),IFERROR(A190+(PLAYER_EXP_MAX-D190)/L190,NA()))</f>
        <v>43890.944264433878</v>
      </c>
      <c r="N190" s="480" t="str">
        <f t="shared" ca="1" si="14"/>
        <v>-422 D 00 H</v>
      </c>
    </row>
    <row r="191" spans="1:14" ht="14.65" customHeight="1" x14ac:dyDescent="0.25">
      <c r="A191" s="8">
        <v>43721.089583333334</v>
      </c>
      <c r="B191" s="480">
        <v>196</v>
      </c>
      <c r="C191" s="480">
        <v>222120</v>
      </c>
      <c r="D191" s="480">
        <f t="shared" si="11"/>
        <v>10272370</v>
      </c>
      <c r="E191" s="46">
        <f>IF(ISBLANK(A191),"-",D191/PLAYER_EXP_MAX)</f>
        <v>0.36952979710515921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43915.246937738018</v>
      </c>
      <c r="H191" s="480" t="str">
        <f t="shared" ca="1" si="12"/>
        <v>-397 D 17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43874.56295106723</v>
      </c>
      <c r="K191" s="480" t="str">
        <f t="shared" ca="1" si="13"/>
        <v>-438 D 10 H</v>
      </c>
      <c r="L191" s="51">
        <f t="shared" si="15"/>
        <v>103233.76355664209</v>
      </c>
      <c r="M191" s="58">
        <f>IF(ISBLANK(A191),NA(),IFERROR(A191+(PLAYER_EXP_MAX-D191)/L191,NA()))</f>
        <v>43890.860774426103</v>
      </c>
      <c r="N191" s="480" t="str">
        <f t="shared" ca="1" si="14"/>
        <v>-422 D 02 H</v>
      </c>
    </row>
    <row r="192" spans="1:14" ht="14.65" customHeight="1" x14ac:dyDescent="0.25">
      <c r="A192" s="8">
        <v>43721.568055555559</v>
      </c>
      <c r="B192" s="480">
        <v>196</v>
      </c>
      <c r="C192" s="480">
        <v>194337</v>
      </c>
      <c r="D192" s="480">
        <f t="shared" si="11"/>
        <v>10300153</v>
      </c>
      <c r="E192" s="46">
        <f>IF(ISBLANK(A192),"-",D192/PLAYER_EXP_MAX)</f>
        <v>0.37052923991660125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43925.558986286349</v>
      </c>
      <c r="H192" s="480" t="str">
        <f t="shared" ca="1" si="12"/>
        <v>-387 D 10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43875.206162023809</v>
      </c>
      <c r="K192" s="480" t="str">
        <f t="shared" ca="1" si="13"/>
        <v>-437 D 18 H</v>
      </c>
      <c r="L192" s="51">
        <f t="shared" si="15"/>
        <v>102838.30586440107</v>
      </c>
      <c r="M192" s="58">
        <f>IF(ISBLANK(A192),NA(),IFERROR(A192+(PLAYER_EXP_MAX-D192)/L192,NA()))</f>
        <v>43891.721928209518</v>
      </c>
      <c r="N192" s="480" t="str">
        <f t="shared" ca="1" si="14"/>
        <v>-421 D 06 H</v>
      </c>
    </row>
    <row r="193" spans="1:14" ht="14.65" customHeight="1" x14ac:dyDescent="0.25">
      <c r="A193" s="8">
        <v>43721.752083333333</v>
      </c>
      <c r="B193" s="480">
        <v>196</v>
      </c>
      <c r="C193" s="480">
        <v>170229</v>
      </c>
      <c r="D193" s="480">
        <f t="shared" si="11"/>
        <v>10324261</v>
      </c>
      <c r="E193" s="46">
        <f>IF(ISBLANK(A193),"-",D193/PLAYER_EXP_MAX)</f>
        <v>0.37139648129795833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43904.487971961738</v>
      </c>
      <c r="H193" s="480" t="str">
        <f t="shared" ca="1" si="12"/>
        <v>-408 D 11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43875.817506453051</v>
      </c>
      <c r="K193" s="480" t="str">
        <f t="shared" ca="1" si="13"/>
        <v>-437 D 03 H</v>
      </c>
      <c r="L193" s="51">
        <f t="shared" si="15"/>
        <v>102932.82674771581</v>
      </c>
      <c r="M193" s="58">
        <f>IF(ISBLANK(A193),NA(),IFERROR(A193+(PLAYER_EXP_MAX-D193)/L193,NA()))</f>
        <v>43891.515496542888</v>
      </c>
      <c r="N193" s="480" t="str">
        <f t="shared" ca="1" si="14"/>
        <v>-421 D 11 H</v>
      </c>
    </row>
    <row r="194" spans="1:14" ht="14.65" customHeight="1" x14ac:dyDescent="0.25">
      <c r="A194" s="8">
        <v>43722.067361111112</v>
      </c>
      <c r="B194" s="480">
        <v>196</v>
      </c>
      <c r="C194" s="480">
        <v>147038</v>
      </c>
      <c r="D194" s="480">
        <f t="shared" si="11"/>
        <v>10347452</v>
      </c>
      <c r="E194" s="46">
        <f>IF(ISBLANK(A194),"-",D194/PLAYER_EXP_MAX)</f>
        <v>0.37223073527485612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43945.612658698439</v>
      </c>
      <c r="H194" s="480" t="str">
        <f t="shared" ca="1" si="12"/>
        <v>-367 D 08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43877.217316638016</v>
      </c>
      <c r="K194" s="480" t="str">
        <f t="shared" ca="1" si="13"/>
        <v>-435 D 18 H</v>
      </c>
      <c r="L194" s="51">
        <f t="shared" si="15"/>
        <v>102764.89082528745</v>
      </c>
      <c r="M194" s="58">
        <f>IF(ISBLANK(A194),NA(),IFERROR(A194+(PLAYER_EXP_MAX-D194)/L194,NA()))</f>
        <v>43891.88252716494</v>
      </c>
      <c r="N194" s="480" t="str">
        <f t="shared" ca="1" si="14"/>
        <v>-421 D 02 H</v>
      </c>
    </row>
    <row r="195" spans="1:14" ht="14.65" customHeight="1" x14ac:dyDescent="0.25">
      <c r="A195" s="8">
        <v>43722.120833333334</v>
      </c>
      <c r="B195" s="480">
        <v>196</v>
      </c>
      <c r="C195" s="480">
        <v>136964</v>
      </c>
      <c r="D195" s="480">
        <f t="shared" ref="D195:D258" si="16">IF(ISBLANK(A195),"-",INDEX(DATA_PLAYER_EXP, B195, 3) + INDEX(DATA_PLAYER_EXP, B195, 2) - C195)</f>
        <v>10357526</v>
      </c>
      <c r="E195" s="46">
        <f>IF(ISBLANK(A195),"-",D195/PLAYER_EXP_MAX)</f>
        <v>0.37259312907259096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43934.365890431494</v>
      </c>
      <c r="H195" s="480" t="str">
        <f t="shared" ref="H195:H221" ca="1" si="17">IF(ISBLANK(A195),NA(),IFERROR(TEXT(TRUNC(G195-NOW()),"000") &amp; " D " &amp; TEXT(TRUNC(ABS(G195-NOW()-TRUNC(G195-NOW()))*24),"00") &amp; " H", NA()))</f>
        <v>-378 D 14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43877.922538390616</v>
      </c>
      <c r="K195" s="480" t="str">
        <f t="shared" ref="K195:K258" ca="1" si="18">IF(ISBLANK(A195),NA(),IFERROR(TEXT(TRUNC(J195-NOW()),"000") &amp; " D " &amp; TEXT(TRUNC(ABS(J195-NOW()-TRUNC(J195-NOW()))*24),"00") &amp; " H", NA()))</f>
        <v>-435 D 01 H</v>
      </c>
      <c r="L195" s="51">
        <f t="shared" si="15"/>
        <v>102847.83937803557</v>
      </c>
      <c r="M195" s="58">
        <f>IF(ISBLANK(A195),NA(),IFERROR(A195+(PLAYER_EXP_MAX-D195)/L195,NA()))</f>
        <v>43891.701090006427</v>
      </c>
      <c r="N195" s="480" t="str">
        <f t="shared" ref="N195:N258" ca="1" si="19">IF(ISBLANK(D195),NA(),IFERROR(TEXT(TRUNC(M195-NOW()),"000") &amp; " D " &amp; TEXT(TRUNC(ABS(M195-NOW()-TRUNC(M195-NOW()))*24),"00") &amp; " H", NA()))</f>
        <v>-421 D 06 H</v>
      </c>
    </row>
    <row r="196" spans="1:14" ht="14.65" customHeight="1" x14ac:dyDescent="0.25">
      <c r="A196" s="8">
        <v>43722.193055555559</v>
      </c>
      <c r="B196" s="480">
        <v>196</v>
      </c>
      <c r="C196" s="480">
        <v>124910</v>
      </c>
      <c r="D196" s="480">
        <f t="shared" si="16"/>
        <v>10369580</v>
      </c>
      <c r="E196" s="46">
        <f>IF(ISBLANK(A196),"-",D196/PLAYER_EXP_MAX)</f>
        <v>0.37302674976326949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43923.100929098378</v>
      </c>
      <c r="H196" s="480" t="str">
        <f t="shared" ca="1" si="17"/>
        <v>-389 D 21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43878.77544813545</v>
      </c>
      <c r="K196" s="480" t="str">
        <f t="shared" ca="1" si="18"/>
        <v>-434 D 04 H</v>
      </c>
      <c r="L196" s="51">
        <f t="shared" ref="L196:L259" si="20">IFERROR(IF(OR(ISBLANK($A196),$A196-$A$3 &lt; $C$1),NA(),($D196-$D$3)/($A196-$A$3)),NA())</f>
        <v>102931.53288521944</v>
      </c>
      <c r="M196" s="58">
        <f>IF(ISBLANK(A196),NA(),IFERROR(A196+(PLAYER_EXP_MAX-D196)/L196,NA()))</f>
        <v>43891.518319752635</v>
      </c>
      <c r="N196" s="480" t="str">
        <f t="shared" ca="1" si="19"/>
        <v>-421 D 11 H</v>
      </c>
    </row>
    <row r="197" spans="1:14" ht="14.65" customHeight="1" x14ac:dyDescent="0.25">
      <c r="A197" s="8">
        <v>43722.263194444444</v>
      </c>
      <c r="B197" s="480">
        <v>196</v>
      </c>
      <c r="C197" s="480">
        <v>113717</v>
      </c>
      <c r="D197" s="480">
        <f t="shared" si="16"/>
        <v>10380773</v>
      </c>
      <c r="E197" s="46">
        <f>IF(ISBLANK(A197),"-",D197/PLAYER_EXP_MAX)</f>
        <v>0.37342939754747101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43913.326494848821</v>
      </c>
      <c r="H197" s="480" t="str">
        <f t="shared" ca="1" si="17"/>
        <v>-399 D 15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43879.069398416745</v>
      </c>
      <c r="K197" s="480" t="str">
        <f t="shared" ca="1" si="18"/>
        <v>-433 D 21 H</v>
      </c>
      <c r="L197" s="51">
        <f t="shared" si="20"/>
        <v>103003.32864886148</v>
      </c>
      <c r="M197" s="58">
        <f>IF(ISBLANK(A197),NA(),IFERROR(A197+(PLAYER_EXP_MAX-D197)/L197,NA()))</f>
        <v>43891.361768524286</v>
      </c>
      <c r="N197" s="480" t="str">
        <f t="shared" ca="1" si="19"/>
        <v>-421 D 14 H</v>
      </c>
    </row>
    <row r="198" spans="1:14" ht="14.65" customHeight="1" x14ac:dyDescent="0.25">
      <c r="A198" s="8">
        <v>43722.3125</v>
      </c>
      <c r="B198" s="480">
        <v>196</v>
      </c>
      <c r="C198" s="480">
        <v>107116</v>
      </c>
      <c r="D198" s="480">
        <f t="shared" si="16"/>
        <v>10387374</v>
      </c>
      <c r="E198" s="46">
        <f>IF(ISBLANK(A198),"-",D198/PLAYER_EXP_MAX)</f>
        <v>0.37366685649712833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43906.619568362155</v>
      </c>
      <c r="H198" s="480" t="str">
        <f t="shared" ca="1" si="17"/>
        <v>-406 D 08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43879.298876350236</v>
      </c>
      <c r="K198" s="480" t="str">
        <f t="shared" ca="1" si="18"/>
        <v>-433 D 16 H</v>
      </c>
      <c r="L198" s="51">
        <f t="shared" si="20"/>
        <v>103030.81123772447</v>
      </c>
      <c r="M198" s="58">
        <f>IF(ISBLANK(A198),NA(),IFERROR(A198+(PLAYER_EXP_MAX-D198)/L198,NA()))</f>
        <v>43891.301900266168</v>
      </c>
      <c r="N198" s="480" t="str">
        <f t="shared" ca="1" si="19"/>
        <v>-421 D 16 H</v>
      </c>
    </row>
    <row r="199" spans="1:14" ht="14.65" customHeight="1" x14ac:dyDescent="0.25">
      <c r="A199" s="8">
        <v>43722.539583333331</v>
      </c>
      <c r="B199" s="480">
        <v>196</v>
      </c>
      <c r="C199" s="480">
        <v>75766</v>
      </c>
      <c r="D199" s="480">
        <f t="shared" si="16"/>
        <v>10418724</v>
      </c>
      <c r="E199" s="46">
        <f>IF(ISBLANK(A199),"-",D199/PLAYER_EXP_MAX)</f>
        <v>0.37479461563540378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43895.23883927858</v>
      </c>
      <c r="H199" s="480" t="str">
        <f t="shared" ca="1" si="17"/>
        <v>-417 D 17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43879.285567888743</v>
      </c>
      <c r="K199" s="480" t="str">
        <f t="shared" ca="1" si="18"/>
        <v>-433 D 16 H</v>
      </c>
      <c r="L199" s="51">
        <f t="shared" si="20"/>
        <v>103173.80477938242</v>
      </c>
      <c r="M199" s="58">
        <f>IF(ISBLANK(A199),NA(),IFERROR(A199+(PLAYER_EXP_MAX-D199)/L199,NA()))</f>
        <v>43890.990916858958</v>
      </c>
      <c r="N199" s="480" t="str">
        <f t="shared" ca="1" si="19"/>
        <v>-421 D 23 H</v>
      </c>
    </row>
    <row r="200" spans="1:14" ht="14.65" customHeight="1" x14ac:dyDescent="0.25">
      <c r="A200" s="8">
        <v>43722.578472222223</v>
      </c>
      <c r="B200" s="480">
        <v>196</v>
      </c>
      <c r="C200" s="480">
        <v>69165</v>
      </c>
      <c r="D200" s="480">
        <f t="shared" si="16"/>
        <v>10425325</v>
      </c>
      <c r="E200" s="46">
        <f>IF(ISBLANK(A200),"-",D200/PLAYER_EXP_MAX)</f>
        <v>0.3750320745850611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43864.436703418512</v>
      </c>
      <c r="H200" s="480" t="str">
        <f t="shared" ca="1" si="17"/>
        <v>-448 D 13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43879.117968713937</v>
      </c>
      <c r="K200" s="480" t="str">
        <f t="shared" ca="1" si="18"/>
        <v>-433 D 20 H</v>
      </c>
      <c r="L200" s="51">
        <f t="shared" si="20"/>
        <v>103220.31391140859</v>
      </c>
      <c r="M200" s="58">
        <f>IF(ISBLANK(A200),NA(),IFERROR(A200+(PLAYER_EXP_MAX-D200)/L200,NA()))</f>
        <v>43890.889954155042</v>
      </c>
      <c r="N200" s="480" t="str">
        <f t="shared" ca="1" si="19"/>
        <v>-422 D 02 H</v>
      </c>
    </row>
    <row r="201" spans="1:14" ht="14.65" customHeight="1" x14ac:dyDescent="0.25">
      <c r="A201" s="8">
        <v>43722.943749999999</v>
      </c>
      <c r="B201" s="480">
        <v>196</v>
      </c>
      <c r="C201" s="480">
        <v>55271</v>
      </c>
      <c r="D201" s="480">
        <f t="shared" si="16"/>
        <v>10439219</v>
      </c>
      <c r="E201" s="46">
        <f>IF(ISBLANK(A201),"-",D201/PLAYER_EXP_MAX)</f>
        <v>0.37553188592372772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43882.591841435715</v>
      </c>
      <c r="H201" s="480" t="str">
        <f t="shared" ca="1" si="17"/>
        <v>-430 D 09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43880.325069073733</v>
      </c>
      <c r="K201" s="480" t="str">
        <f t="shared" ca="1" si="18"/>
        <v>-432 D 15 H</v>
      </c>
      <c r="L201" s="51">
        <f t="shared" si="20"/>
        <v>102795.3235162847</v>
      </c>
      <c r="M201" s="58">
        <f>IF(ISBLANK(A201),NA(),IFERROR(A201+(PLAYER_EXP_MAX-D201)/L201,NA()))</f>
        <v>43891.815926342242</v>
      </c>
      <c r="N201" s="480" t="str">
        <f t="shared" ca="1" si="19"/>
        <v>-421 D 03 H</v>
      </c>
    </row>
    <row r="202" spans="1:14" ht="14.65" customHeight="1" x14ac:dyDescent="0.25">
      <c r="A202" s="8">
        <v>43723.011111111111</v>
      </c>
      <c r="B202" s="480">
        <v>196</v>
      </c>
      <c r="C202" s="480">
        <v>43331</v>
      </c>
      <c r="D202" s="480">
        <f t="shared" si="16"/>
        <v>10451159</v>
      </c>
      <c r="E202" s="46">
        <f>IF(ISBLANK(A202),"-",D202/PLAYER_EXP_MAX)</f>
        <v>0.37596140567208525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43888.54299303818</v>
      </c>
      <c r="H202" s="480" t="str">
        <f t="shared" ca="1" si="17"/>
        <v>-424 D 10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43880.823982572772</v>
      </c>
      <c r="K202" s="480" t="str">
        <f t="shared" ca="1" si="18"/>
        <v>-432 D 03 H</v>
      </c>
      <c r="L202" s="51">
        <f t="shared" si="20"/>
        <v>102884.74019783335</v>
      </c>
      <c r="M202" s="58">
        <f>IF(ISBLANK(A202),NA(),IFERROR(A202+(PLAYER_EXP_MAX-D202)/L202,NA()))</f>
        <v>43891.620469181544</v>
      </c>
      <c r="N202" s="480" t="str">
        <f t="shared" ca="1" si="19"/>
        <v>-421 D 08 H</v>
      </c>
    </row>
    <row r="203" spans="1:14" ht="14.65" customHeight="1" x14ac:dyDescent="0.25">
      <c r="A203" s="8">
        <v>43723.50277777778</v>
      </c>
      <c r="B203" s="480">
        <v>197</v>
      </c>
      <c r="C203" s="480">
        <v>191084</v>
      </c>
      <c r="D203" s="480">
        <f t="shared" si="16"/>
        <v>10533406</v>
      </c>
      <c r="E203" s="46">
        <f>IF(ISBLANK(A203),"-",D203/PLAYER_EXP_MAX)</f>
        <v>0.378920091663975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43877.770294825175</v>
      </c>
      <c r="H203" s="480" t="str">
        <f t="shared" ca="1" si="17"/>
        <v>-435 D 05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43880.604355020805</v>
      </c>
      <c r="K203" s="480" t="str">
        <f t="shared" ca="1" si="18"/>
        <v>-432 D 09 H</v>
      </c>
      <c r="L203" s="51">
        <f t="shared" si="20"/>
        <v>103444.29744356724</v>
      </c>
      <c r="M203" s="58">
        <f>IF(ISBLANK(A203),NA(),IFERROR(A203+(PLAYER_EXP_MAX-D203)/L203,NA()))</f>
        <v>43890.404998844329</v>
      </c>
      <c r="N203" s="480" t="str">
        <f t="shared" ca="1" si="19"/>
        <v>-422 D 13 H</v>
      </c>
    </row>
    <row r="204" spans="1:14" ht="14.65" customHeight="1" x14ac:dyDescent="0.25">
      <c r="A204" s="8">
        <v>43723.890972222223</v>
      </c>
      <c r="B204" s="480">
        <v>197</v>
      </c>
      <c r="C204" s="480">
        <v>156811</v>
      </c>
      <c r="D204" s="480">
        <f t="shared" si="16"/>
        <v>10567679</v>
      </c>
      <c r="E204" s="46">
        <f>IF(ISBLANK(A204),"-",D204/PLAYER_EXP_MAX)</f>
        <v>0.38015300040228805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43867.259898845114</v>
      </c>
      <c r="H204" s="480" t="str">
        <f t="shared" ca="1" si="17"/>
        <v>-445 D 17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43880.60011904459</v>
      </c>
      <c r="K204" s="480" t="str">
        <f t="shared" ca="1" si="18"/>
        <v>-432 D 09 H</v>
      </c>
      <c r="L204" s="51">
        <f t="shared" si="20"/>
        <v>103341.02779131397</v>
      </c>
      <c r="M204" s="58">
        <f>IF(ISBLANK(A204),NA(),IFERROR(A204+(PLAYER_EXP_MAX-D204)/L204,NA()))</f>
        <v>43890.628330735781</v>
      </c>
      <c r="N204" s="480" t="str">
        <f t="shared" ca="1" si="19"/>
        <v>-422 D 08 H</v>
      </c>
    </row>
    <row r="205" spans="1:14" ht="14.65" customHeight="1" x14ac:dyDescent="0.25">
      <c r="A205" s="8">
        <v>43723.92291666667</v>
      </c>
      <c r="B205" s="480">
        <v>197</v>
      </c>
      <c r="C205" s="480">
        <v>146691</v>
      </c>
      <c r="D205" s="480">
        <f t="shared" si="16"/>
        <v>10577799</v>
      </c>
      <c r="E205" s="46">
        <f>IF(ISBLANK(A205),"-",D205/PLAYER_EXP_MAX)</f>
        <v>0.38051704896622257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43864.443318904778</v>
      </c>
      <c r="H205" s="480" t="str">
        <f t="shared" ca="1" si="17"/>
        <v>-448 D 12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43880.265472661638</v>
      </c>
      <c r="K205" s="480" t="str">
        <f t="shared" ca="1" si="18"/>
        <v>-432 D 17 H</v>
      </c>
      <c r="L205" s="51">
        <f t="shared" si="20"/>
        <v>103460.6476134671</v>
      </c>
      <c r="M205" s="58">
        <f>IF(ISBLANK(A205),NA(),IFERROR(A205+(PLAYER_EXP_MAX-D205)/L205,NA()))</f>
        <v>43890.369680699478</v>
      </c>
      <c r="N205" s="480" t="str">
        <f t="shared" ca="1" si="19"/>
        <v>-422 D 14 H</v>
      </c>
    </row>
    <row r="206" spans="1:14" ht="14.65" customHeight="1" x14ac:dyDescent="0.25">
      <c r="A206" s="8">
        <v>43723.981944444444</v>
      </c>
      <c r="B206" s="480">
        <v>197</v>
      </c>
      <c r="C206" s="480">
        <v>133811</v>
      </c>
      <c r="D206" s="480">
        <f t="shared" si="16"/>
        <v>10590679</v>
      </c>
      <c r="E206" s="46">
        <f>IF(ISBLANK(A206),"-",D206/PLAYER_EXP_MAX)</f>
        <v>0.38098038350213925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43847.0156268684</v>
      </c>
      <c r="H206" s="480" t="str">
        <f t="shared" ca="1" si="17"/>
        <v>-465 D 23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43879.797548533286</v>
      </c>
      <c r="K206" s="480" t="str">
        <f t="shared" ca="1" si="18"/>
        <v>-433 D 04 H</v>
      </c>
      <c r="L206" s="51">
        <f t="shared" si="20"/>
        <v>103579.33966970905</v>
      </c>
      <c r="M206" s="58">
        <f>IF(ISBLANK(A206),NA(),IFERROR(A206+(PLAYER_EXP_MAX-D206)/L206,NA()))</f>
        <v>43890.11362721894</v>
      </c>
      <c r="N206" s="480" t="str">
        <f t="shared" ca="1" si="19"/>
        <v>-422 D 20 H</v>
      </c>
    </row>
    <row r="207" spans="1:14" ht="14.65" customHeight="1" x14ac:dyDescent="0.25">
      <c r="A207" s="8">
        <v>43724.022222222222</v>
      </c>
      <c r="B207" s="480">
        <v>197</v>
      </c>
      <c r="C207" s="480">
        <v>122271</v>
      </c>
      <c r="D207" s="480">
        <f t="shared" si="16"/>
        <v>10602219</v>
      </c>
      <c r="E207" s="46">
        <f>IF(ISBLANK(A207),"-",D207/PLAYER_EXP_MAX)</f>
        <v>0.38139551397919508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43847.394103954524</v>
      </c>
      <c r="H207" s="480" t="str">
        <f t="shared" ca="1" si="17"/>
        <v>-465 D 14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43879.206089406805</v>
      </c>
      <c r="K207" s="480" t="str">
        <f t="shared" ca="1" si="18"/>
        <v>-433 D 18 H</v>
      </c>
      <c r="L207" s="51">
        <f t="shared" si="20"/>
        <v>103708.3695533159</v>
      </c>
      <c r="M207" s="58">
        <f>IF(ISBLANK(A207),NA(),IFERROR(A207+(PLAYER_EXP_MAX-D207)/L207,NA()))</f>
        <v>43889.835936911462</v>
      </c>
      <c r="N207" s="480" t="str">
        <f t="shared" ca="1" si="19"/>
        <v>-423 D 03 H</v>
      </c>
    </row>
    <row r="208" spans="1:14" ht="14.65" customHeight="1" x14ac:dyDescent="0.25">
      <c r="A208" s="8">
        <v>43724.1</v>
      </c>
      <c r="B208" s="480">
        <v>197</v>
      </c>
      <c r="C208" s="480">
        <v>108366</v>
      </c>
      <c r="D208" s="480">
        <f t="shared" si="16"/>
        <v>10616124</v>
      </c>
      <c r="E208" s="46">
        <f>IF(ISBLANK(A208),"-",D208/PLAYER_EXP_MAX)</f>
        <v>0.38189572102282249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43844.39420833777</v>
      </c>
      <c r="H208" s="480" t="str">
        <f t="shared" ca="1" si="17"/>
        <v>-468 D 14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43878.582153765186</v>
      </c>
      <c r="K208" s="480" t="str">
        <f t="shared" ca="1" si="18"/>
        <v>-434 D 09 H</v>
      </c>
      <c r="L208" s="51">
        <f t="shared" si="20"/>
        <v>103810.47983385898</v>
      </c>
      <c r="M208" s="58">
        <f>IF(ISBLANK(A208),NA(),IFERROR(A208+(PLAYER_EXP_MAX-D208)/L208,NA()))</f>
        <v>43889.616670643452</v>
      </c>
      <c r="N208" s="480" t="str">
        <f t="shared" ca="1" si="19"/>
        <v>-423 D 08 H</v>
      </c>
    </row>
    <row r="209" spans="1:14" ht="14.65" customHeight="1" x14ac:dyDescent="0.25">
      <c r="A209" s="8">
        <v>43724.223611111112</v>
      </c>
      <c r="B209" s="480">
        <v>197</v>
      </c>
      <c r="C209" s="480">
        <v>82158</v>
      </c>
      <c r="D209" s="480">
        <f t="shared" si="16"/>
        <v>10642332</v>
      </c>
      <c r="E209" s="46">
        <f>IF(ISBLANK(A209),"-",D209/PLAYER_EXP_MAX)</f>
        <v>0.38283850607851383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43839.729043858133</v>
      </c>
      <c r="H209" s="480" t="str">
        <f t="shared" ca="1" si="17"/>
        <v>-473 D 06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43877.683582123856</v>
      </c>
      <c r="K209" s="480" t="str">
        <f t="shared" ca="1" si="18"/>
        <v>-435 D 07 H</v>
      </c>
      <c r="L209" s="51">
        <f t="shared" si="20"/>
        <v>104043.89583004364</v>
      </c>
      <c r="M209" s="58">
        <f>IF(ISBLANK(A209),NA(),IFERROR(A209+(PLAYER_EXP_MAX-D209)/L209,NA()))</f>
        <v>43889.117061737226</v>
      </c>
      <c r="N209" s="480" t="str">
        <f t="shared" ca="1" si="19"/>
        <v>-423 D 20 H</v>
      </c>
    </row>
    <row r="210" spans="1:14" ht="14.65" customHeight="1" x14ac:dyDescent="0.25">
      <c r="A210" s="8">
        <v>43724.406944444447</v>
      </c>
      <c r="B210" s="480">
        <v>197</v>
      </c>
      <c r="C210" s="480">
        <v>52718</v>
      </c>
      <c r="D210" s="480">
        <f t="shared" si="16"/>
        <v>10671772</v>
      </c>
      <c r="E210" s="46">
        <f>IF(ISBLANK(A210),"-",D210/PLAYER_EXP_MAX)</f>
        <v>0.3838975564463234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43835.885175144154</v>
      </c>
      <c r="H210" s="480" t="str">
        <f t="shared" ca="1" si="17"/>
        <v>-477 D 02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43876.714202732815</v>
      </c>
      <c r="K210" s="480" t="str">
        <f t="shared" ca="1" si="18"/>
        <v>-436 D 06 H</v>
      </c>
      <c r="L210" s="51">
        <f t="shared" si="20"/>
        <v>104224.19868812707</v>
      </c>
      <c r="M210" s="58">
        <f>IF(ISBLANK(A210),NA(),IFERROR(A210+(PLAYER_EXP_MAX-D210)/L210,NA()))</f>
        <v>43888.732669329591</v>
      </c>
      <c r="N210" s="480" t="str">
        <f t="shared" ca="1" si="19"/>
        <v>-424 D 05 H</v>
      </c>
    </row>
    <row r="211" spans="1:14" ht="14.65" customHeight="1" x14ac:dyDescent="0.25">
      <c r="A211" s="8">
        <v>43724.586805555555</v>
      </c>
      <c r="B211" s="480">
        <v>197</v>
      </c>
      <c r="C211" s="480">
        <v>17068</v>
      </c>
      <c r="D211" s="480">
        <f t="shared" si="16"/>
        <v>10707422</v>
      </c>
      <c r="E211" s="46">
        <f>IF(ISBLANK(A211),"-",D211/PLAYER_EXP_MAX)</f>
        <v>0.38518000025109278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43825.325375534318</v>
      </c>
      <c r="H211" s="480" t="str">
        <f t="shared" ca="1" si="17"/>
        <v>-487 D 15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43875.185515921265</v>
      </c>
      <c r="K211" s="480" t="str">
        <f t="shared" ca="1" si="18"/>
        <v>-437 D 19 H</v>
      </c>
      <c r="L211" s="51">
        <f t="shared" si="20"/>
        <v>104517.32665397851</v>
      </c>
      <c r="M211" s="58">
        <f>IF(ISBLANK(A211),NA(),IFERROR(A211+(PLAYER_EXP_MAX-D211)/L211,NA()))</f>
        <v>43888.110572830839</v>
      </c>
      <c r="N211" s="480" t="str">
        <f t="shared" ca="1" si="19"/>
        <v>-424 D 20 H</v>
      </c>
    </row>
    <row r="212" spans="1:14" ht="14.65" customHeight="1" x14ac:dyDescent="0.25">
      <c r="A212" s="8">
        <v>43724.727777777778</v>
      </c>
      <c r="B212" s="480">
        <v>198</v>
      </c>
      <c r="C212" s="480">
        <v>228277</v>
      </c>
      <c r="D212" s="480">
        <f t="shared" si="16"/>
        <v>10729213</v>
      </c>
      <c r="E212" s="46">
        <f>IF(ISBLANK(A212),"-",D212/PLAYER_EXP_MAX)</f>
        <v>0.38596389177843443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43823.696428670941</v>
      </c>
      <c r="H212" s="480" t="str">
        <f t="shared" ca="1" si="17"/>
        <v>-489 D 06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43874.209011097781</v>
      </c>
      <c r="K212" s="480" t="str">
        <f t="shared" ca="1" si="18"/>
        <v>-438 D 18 H</v>
      </c>
      <c r="L212" s="51">
        <f t="shared" si="20"/>
        <v>104639.40032433796</v>
      </c>
      <c r="M212" s="58">
        <f>IF(ISBLANK(A212),NA(),IFERROR(A212+(PLAYER_EXP_MAX-D212)/L212,NA()))</f>
        <v>43887.85252760521</v>
      </c>
      <c r="N212" s="480" t="str">
        <f t="shared" ca="1" si="19"/>
        <v>-425 D 03 H</v>
      </c>
    </row>
    <row r="213" spans="1:14" ht="14.65" customHeight="1" x14ac:dyDescent="0.25">
      <c r="A213" s="8">
        <v>43724.779861111114</v>
      </c>
      <c r="B213" s="480">
        <v>198</v>
      </c>
      <c r="C213" s="480">
        <v>218617</v>
      </c>
      <c r="D213" s="480">
        <f t="shared" si="16"/>
        <v>10738873</v>
      </c>
      <c r="E213" s="46">
        <f>IF(ISBLANK(A213),"-",D213/PLAYER_EXP_MAX)</f>
        <v>0.38631139268037196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43822.823781036313</v>
      </c>
      <c r="H213" s="480" t="str">
        <f t="shared" ca="1" si="17"/>
        <v>-490 D 03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43872.974376793565</v>
      </c>
      <c r="K213" s="480" t="str">
        <f t="shared" ca="1" si="18"/>
        <v>-440 D 00 H</v>
      </c>
      <c r="L213" s="51">
        <f t="shared" si="20"/>
        <v>104712.16130579868</v>
      </c>
      <c r="M213" s="58">
        <f>IF(ISBLANK(A213),NA(),IFERROR(A213+(PLAYER_EXP_MAX-D213)/L213,NA()))</f>
        <v>43887.699008106654</v>
      </c>
      <c r="N213" s="480" t="str">
        <f t="shared" ca="1" si="19"/>
        <v>-425 D 06 H</v>
      </c>
    </row>
    <row r="214" spans="1:14" ht="14.65" customHeight="1" x14ac:dyDescent="0.25">
      <c r="A214" s="8">
        <v>43724.943749999999</v>
      </c>
      <c r="B214" s="480">
        <v>198</v>
      </c>
      <c r="C214" s="480">
        <v>173307</v>
      </c>
      <c r="D214" s="480">
        <f t="shared" si="16"/>
        <v>10784183</v>
      </c>
      <c r="E214" s="46">
        <f>IF(ISBLANK(A214),"-",D214/PLAYER_EXP_MAX)</f>
        <v>0.38794133738707887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43813.815705940739</v>
      </c>
      <c r="H214" s="480" t="str">
        <f t="shared" ca="1" si="17"/>
        <v>-499 D 03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43870.814454983898</v>
      </c>
      <c r="K214" s="480" t="str">
        <f t="shared" ca="1" si="18"/>
        <v>-442 D 03 H</v>
      </c>
      <c r="L214" s="51">
        <f t="shared" si="20"/>
        <v>105197.27703575781</v>
      </c>
      <c r="M214" s="58">
        <f>IF(ISBLANK(A214),NA(),IFERROR(A214+(PLAYER_EXP_MAX-D214)/L214,NA()))</f>
        <v>43886.680883121961</v>
      </c>
      <c r="N214" s="480" t="str">
        <f t="shared" ca="1" si="19"/>
        <v>-426 D 07 H</v>
      </c>
    </row>
    <row r="215" spans="1:14" ht="14.65" customHeight="1" x14ac:dyDescent="0.25">
      <c r="A215" s="8">
        <v>43725.067361111112</v>
      </c>
      <c r="B215" s="480">
        <v>198</v>
      </c>
      <c r="C215" s="480">
        <v>157897</v>
      </c>
      <c r="D215" s="480">
        <f t="shared" si="16"/>
        <v>10799593</v>
      </c>
      <c r="E215" s="46">
        <f>IF(ISBLANK(A215),"-",D215/PLAYER_EXP_MAX)</f>
        <v>0.38849568406397916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43814.858825537223</v>
      </c>
      <c r="H215" s="480" t="str">
        <f t="shared" ca="1" si="17"/>
        <v>-498 D 02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43868.855264508755</v>
      </c>
      <c r="K215" s="480" t="str">
        <f t="shared" ca="1" si="18"/>
        <v>-444 D 02 H</v>
      </c>
      <c r="L215" s="51">
        <f t="shared" si="20"/>
        <v>105238.66147561758</v>
      </c>
      <c r="M215" s="58">
        <f>IF(ISBLANK(A215),NA(),IFERROR(A215+(PLAYER_EXP_MAX-D215)/L215,NA()))</f>
        <v>43886.594463049201</v>
      </c>
      <c r="N215" s="480" t="str">
        <f t="shared" ca="1" si="19"/>
        <v>-426 D 09 H</v>
      </c>
    </row>
    <row r="216" spans="1:14" ht="14.65" customHeight="1" x14ac:dyDescent="0.25">
      <c r="A216" s="8">
        <v>43725.54791666667</v>
      </c>
      <c r="B216" s="480">
        <v>198</v>
      </c>
      <c r="C216" s="480">
        <v>25187</v>
      </c>
      <c r="D216" s="480">
        <f t="shared" si="16"/>
        <v>10932303</v>
      </c>
      <c r="E216" s="46">
        <f>IF(ISBLANK(A216),"-",D216/PLAYER_EXP_MAX)</f>
        <v>0.39326968455012068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43799.482062274008</v>
      </c>
      <c r="H216" s="480" t="str">
        <f t="shared" ca="1" si="17"/>
        <v>-513 D 11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43864.879695307012</v>
      </c>
      <c r="K216" s="480" t="str">
        <f t="shared" ca="1" si="18"/>
        <v>-448 D 02 H</v>
      </c>
      <c r="L216" s="51">
        <f t="shared" si="20"/>
        <v>106639.61907468116</v>
      </c>
      <c r="M216" s="58">
        <f>IF(ISBLANK(A216),NA(),IFERROR(A216+(PLAYER_EXP_MAX-D216)/L216,NA()))</f>
        <v>43883.708515385508</v>
      </c>
      <c r="N216" s="480" t="str">
        <f t="shared" ca="1" si="19"/>
        <v>-429 D 06 H</v>
      </c>
    </row>
    <row r="217" spans="1:14" ht="14.65" customHeight="1" x14ac:dyDescent="0.25">
      <c r="A217" s="8">
        <v>43725.661805555559</v>
      </c>
      <c r="B217" s="480">
        <v>199</v>
      </c>
      <c r="C217" s="480">
        <v>231925</v>
      </c>
      <c r="D217" s="480">
        <f t="shared" si="16"/>
        <v>10961565</v>
      </c>
      <c r="E217" s="46">
        <f>IF(ISBLANK(A217),"-",D217/PLAYER_EXP_MAX)</f>
        <v>0.39432233169220099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43795.008374017452</v>
      </c>
      <c r="H217" s="480" t="str">
        <f t="shared" ca="1" si="17"/>
        <v>-517 D 23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43861.71385561378</v>
      </c>
      <c r="K217" s="480" t="str">
        <f t="shared" ca="1" si="18"/>
        <v>-451 D 06 H</v>
      </c>
      <c r="L217" s="51">
        <f t="shared" si="20"/>
        <v>106931.00555620054</v>
      </c>
      <c r="M217" s="58">
        <f>IF(ISBLANK(A217),NA(),IFERROR(A217+(PLAYER_EXP_MAX-D217)/L217,NA()))</f>
        <v>43883.117764306</v>
      </c>
      <c r="N217" s="480" t="str">
        <f t="shared" ca="1" si="19"/>
        <v>-429 D 20 H</v>
      </c>
    </row>
    <row r="218" spans="1:14" ht="14.65" customHeight="1" x14ac:dyDescent="0.25">
      <c r="A218" s="8">
        <v>43725.761111111111</v>
      </c>
      <c r="B218" s="480">
        <v>199</v>
      </c>
      <c r="C218" s="480">
        <v>210076</v>
      </c>
      <c r="D218" s="480">
        <f t="shared" si="16"/>
        <v>10983414</v>
      </c>
      <c r="E218" s="46">
        <f>IF(ISBLANK(A218),"-",D218/PLAYER_EXP_MAX)</f>
        <v>0.39510830966388139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43793.053020573323</v>
      </c>
      <c r="H218" s="480" t="str">
        <f t="shared" ca="1" si="17"/>
        <v>-519 D 22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43858.069867628692</v>
      </c>
      <c r="K218" s="480" t="str">
        <f t="shared" ca="1" si="18"/>
        <v>-454 D 21 H</v>
      </c>
      <c r="L218" s="51">
        <f t="shared" si="20"/>
        <v>107121.85712767842</v>
      </c>
      <c r="M218" s="58">
        <f>IF(ISBLANK(A218),NA(),IFERROR(A218+(PLAYER_EXP_MAX-D218)/L218,NA()))</f>
        <v>43882.732577540766</v>
      </c>
      <c r="N218" s="480" t="str">
        <f t="shared" ca="1" si="19"/>
        <v>-430 D 05 H</v>
      </c>
    </row>
    <row r="219" spans="1:14" ht="14.65" customHeight="1" x14ac:dyDescent="0.25">
      <c r="A219" s="8">
        <v>43725.850694444445</v>
      </c>
      <c r="B219" s="480">
        <v>199</v>
      </c>
      <c r="C219" s="480">
        <v>187305</v>
      </c>
      <c r="D219" s="480">
        <f t="shared" si="16"/>
        <v>11006185</v>
      </c>
      <c r="E219" s="46">
        <f>IF(ISBLANK(A219),"-",D219/PLAYER_EXP_MAX)</f>
        <v>0.39592745490591236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43792.557640204883</v>
      </c>
      <c r="H219" s="480" t="str">
        <f t="shared" ca="1" si="17"/>
        <v>-520 D 10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43855.469665222343</v>
      </c>
      <c r="K219" s="480" t="str">
        <f t="shared" ca="1" si="18"/>
        <v>-457 D 12 H</v>
      </c>
      <c r="L219" s="51">
        <f t="shared" si="20"/>
        <v>107345.41443755067</v>
      </c>
      <c r="M219" s="58">
        <f>IF(ISBLANK(A219),NA(),IFERROR(A219+(PLAYER_EXP_MAX-D219)/L219,NA()))</f>
        <v>43882.283124166621</v>
      </c>
      <c r="N219" s="480" t="str">
        <f t="shared" ca="1" si="19"/>
        <v>-430 D 16 H</v>
      </c>
    </row>
    <row r="220" spans="1:14" ht="14.65" customHeight="1" x14ac:dyDescent="0.25">
      <c r="A220" s="8">
        <v>43726.001388888886</v>
      </c>
      <c r="B220" s="480">
        <v>199</v>
      </c>
      <c r="C220" s="480">
        <v>147515</v>
      </c>
      <c r="D220" s="480">
        <f t="shared" si="16"/>
        <v>11045975</v>
      </c>
      <c r="E220" s="46">
        <f>IF(ISBLANK(A220),"-",D220/PLAYER_EXP_MAX)</f>
        <v>0.39735882766865493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43792.043776785045</v>
      </c>
      <c r="H220" s="480" t="str">
        <f t="shared" ca="1" si="17"/>
        <v>-520 D 22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43852.276187777781</v>
      </c>
      <c r="K220" s="480" t="str">
        <f t="shared" ca="1" si="18"/>
        <v>-460 D 16 H</v>
      </c>
      <c r="L220" s="51">
        <f t="shared" si="20"/>
        <v>107745.0858613756</v>
      </c>
      <c r="M220" s="58">
        <f>IF(ISBLANK(A220),NA(),IFERROR(A220+(PLAYER_EXP_MAX-D220)/L220,NA()))</f>
        <v>43881.484247954533</v>
      </c>
      <c r="N220" s="480" t="str">
        <f t="shared" ca="1" si="19"/>
        <v>-431 D 11 H</v>
      </c>
    </row>
    <row r="221" spans="1:14" ht="14.65" customHeight="1" x14ac:dyDescent="0.25">
      <c r="A221" s="8">
        <v>43726.027083333334</v>
      </c>
      <c r="B221" s="480">
        <v>199</v>
      </c>
      <c r="C221" s="480">
        <v>140845</v>
      </c>
      <c r="D221" s="480">
        <f t="shared" si="16"/>
        <v>11052645</v>
      </c>
      <c r="E221" s="46">
        <f>IF(ISBLANK(A221),"-",D221/PLAYER_EXP_MAX)</f>
        <v>0.3975987687676118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43791.987535206361</v>
      </c>
      <c r="H221" s="480" t="str">
        <f t="shared" ca="1" si="17"/>
        <v>-520 D 23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43850.113408696714</v>
      </c>
      <c r="K221" s="480" t="str">
        <f t="shared" ca="1" si="18"/>
        <v>-462 D 20 H</v>
      </c>
      <c r="L221" s="51">
        <f t="shared" si="20"/>
        <v>107811.09262652612</v>
      </c>
      <c r="M221" s="58">
        <f>IF(ISBLANK(A221),NA(),IFERROR(A221+(PLAYER_EXP_MAX-D221)/L221,NA()))</f>
        <v>43881.35288137538</v>
      </c>
      <c r="N221" s="480" t="str">
        <f t="shared" ca="1" si="19"/>
        <v>-431 D 15 H</v>
      </c>
    </row>
    <row r="222" spans="1:14" ht="14.65" customHeight="1" x14ac:dyDescent="0.25">
      <c r="A222" s="8">
        <v>43726.652083333334</v>
      </c>
      <c r="B222" s="480">
        <v>199</v>
      </c>
      <c r="C222" s="480">
        <v>37326</v>
      </c>
      <c r="D222" s="480">
        <f t="shared" si="16"/>
        <v>11156164</v>
      </c>
      <c r="E222" s="46">
        <f>IF(ISBLANK(A222),"-",D222/PLAYER_EXP_MAX)</f>
        <v>0.40132267620732909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43808.786663501465</v>
      </c>
      <c r="H222" s="480" t="str">
        <f ca="1">IF(ISBLANK(A222),NA(),IFERROR(TEXT(TRUNC(G222-NOW()),"000") &amp; " D " &amp; TEXT(TRUNC(ABS(G222-NOW()-TRUNC(G222-NOW()))*24),"00") &amp; " H", NA()))</f>
        <v>-504 D 04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43844.375763485361</v>
      </c>
      <c r="K222" s="480" t="str">
        <f t="shared" ca="1" si="18"/>
        <v>-468 D 14 H</v>
      </c>
      <c r="L222" s="51">
        <f t="shared" si="20"/>
        <v>108416.06584820725</v>
      </c>
      <c r="M222" s="58">
        <f>IF(ISBLANK(A222),NA(),IFERROR(A222+(PLAYER_EXP_MAX-D222)/L222,NA()))</f>
        <v>43880.15631602981</v>
      </c>
      <c r="N222" s="480" t="str">
        <f t="shared" ca="1" si="19"/>
        <v>-432 D 19 H</v>
      </c>
    </row>
    <row r="223" spans="1:14" ht="14.65" customHeight="1" x14ac:dyDescent="0.25">
      <c r="D223" s="480" t="str">
        <f t="shared" si="16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480" t="e">
        <f t="shared" ref="H223:H286" ca="1" si="21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480" t="e">
        <f t="shared" ca="1" si="18"/>
        <v>#N/A</v>
      </c>
      <c r="L223" s="51" t="e">
        <f t="shared" si="20"/>
        <v>#N/A</v>
      </c>
      <c r="M223" s="58" t="e">
        <f>IF(ISBLANK(A223),NA(),IFERROR(A223+(PLAYER_EXP_MAX-D223)/L223,NA()))</f>
        <v>#N/A</v>
      </c>
      <c r="N223" s="480" t="e">
        <f t="shared" ca="1" si="19"/>
        <v>#N/A</v>
      </c>
    </row>
    <row r="224" spans="1:14" ht="14.65" customHeight="1" x14ac:dyDescent="0.25">
      <c r="D224" s="480" t="str">
        <f t="shared" si="16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480" t="e">
        <f t="shared" ca="1" si="21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480" t="e">
        <f t="shared" ca="1" si="18"/>
        <v>#N/A</v>
      </c>
      <c r="L224" s="51" t="e">
        <f t="shared" si="20"/>
        <v>#N/A</v>
      </c>
      <c r="M224" s="58" t="e">
        <f>IF(ISBLANK(A224),NA(),IFERROR(A224+(PLAYER_EXP_MAX-D224)/L224,NA()))</f>
        <v>#N/A</v>
      </c>
      <c r="N224" s="480" t="e">
        <f t="shared" ca="1" si="19"/>
        <v>#N/A</v>
      </c>
    </row>
    <row r="225" spans="4:14" ht="14.65" customHeight="1" x14ac:dyDescent="0.25">
      <c r="D225" s="480" t="str">
        <f t="shared" si="16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480" t="e">
        <f t="shared" ca="1" si="21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480" t="e">
        <f t="shared" ca="1" si="18"/>
        <v>#N/A</v>
      </c>
      <c r="L225" s="51" t="e">
        <f t="shared" si="20"/>
        <v>#N/A</v>
      </c>
      <c r="M225" s="58" t="e">
        <f>IF(ISBLANK(A225),NA(),IFERROR(A225+(PLAYER_EXP_MAX-D225)/L225,NA()))</f>
        <v>#N/A</v>
      </c>
      <c r="N225" s="480" t="e">
        <f t="shared" ca="1" si="19"/>
        <v>#N/A</v>
      </c>
    </row>
    <row r="226" spans="4:14" ht="14.65" customHeight="1" x14ac:dyDescent="0.25">
      <c r="D226" s="480" t="str">
        <f t="shared" si="16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480" t="e">
        <f t="shared" ca="1" si="21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480" t="e">
        <f t="shared" ca="1" si="18"/>
        <v>#N/A</v>
      </c>
      <c r="L226" s="51" t="e">
        <f t="shared" si="20"/>
        <v>#N/A</v>
      </c>
      <c r="M226" s="58" t="e">
        <f>IF(ISBLANK(A226),NA(),IFERROR(A226+(PLAYER_EXP_MAX-D226)/L226,NA()))</f>
        <v>#N/A</v>
      </c>
      <c r="N226" s="480" t="e">
        <f t="shared" ca="1" si="19"/>
        <v>#N/A</v>
      </c>
    </row>
    <row r="227" spans="4:14" ht="14.65" customHeight="1" x14ac:dyDescent="0.25">
      <c r="D227" s="480" t="str">
        <f t="shared" si="16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480" t="e">
        <f t="shared" ca="1" si="21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480" t="e">
        <f t="shared" ca="1" si="18"/>
        <v>#N/A</v>
      </c>
      <c r="L227" s="51" t="e">
        <f t="shared" si="20"/>
        <v>#N/A</v>
      </c>
      <c r="M227" s="58" t="e">
        <f>IF(ISBLANK(A227),NA(),IFERROR(A227+(PLAYER_EXP_MAX-D227)/L227,NA()))</f>
        <v>#N/A</v>
      </c>
      <c r="N227" s="480" t="e">
        <f t="shared" ca="1" si="19"/>
        <v>#N/A</v>
      </c>
    </row>
    <row r="228" spans="4:14" ht="14.65" customHeight="1" x14ac:dyDescent="0.25">
      <c r="D228" s="480" t="str">
        <f t="shared" si="16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480" t="e">
        <f t="shared" ca="1" si="21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480" t="e">
        <f t="shared" ca="1" si="18"/>
        <v>#N/A</v>
      </c>
      <c r="L228" s="51" t="e">
        <f t="shared" si="20"/>
        <v>#N/A</v>
      </c>
      <c r="M228" s="58" t="e">
        <f>IF(ISBLANK(A228),NA(),IFERROR(A228+(PLAYER_EXP_MAX-D228)/L228,NA()))</f>
        <v>#N/A</v>
      </c>
      <c r="N228" s="480" t="e">
        <f t="shared" ca="1" si="19"/>
        <v>#N/A</v>
      </c>
    </row>
    <row r="229" spans="4:14" ht="14.65" customHeight="1" x14ac:dyDescent="0.25">
      <c r="D229" s="480" t="str">
        <f t="shared" si="16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480" t="e">
        <f t="shared" ca="1" si="21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480" t="e">
        <f t="shared" ca="1" si="18"/>
        <v>#N/A</v>
      </c>
      <c r="L229" s="51" t="e">
        <f t="shared" si="20"/>
        <v>#N/A</v>
      </c>
      <c r="M229" s="58" t="e">
        <f>IF(ISBLANK(A229),NA(),IFERROR(A229+(PLAYER_EXP_MAX-D229)/L229,NA()))</f>
        <v>#N/A</v>
      </c>
      <c r="N229" s="480" t="e">
        <f t="shared" ca="1" si="19"/>
        <v>#N/A</v>
      </c>
    </row>
    <row r="230" spans="4:14" ht="14.65" customHeight="1" x14ac:dyDescent="0.25">
      <c r="D230" s="480" t="str">
        <f t="shared" si="16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480" t="e">
        <f t="shared" ca="1" si="21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480" t="e">
        <f t="shared" ca="1" si="18"/>
        <v>#N/A</v>
      </c>
      <c r="L230" s="51" t="e">
        <f t="shared" si="20"/>
        <v>#N/A</v>
      </c>
      <c r="M230" s="58" t="e">
        <f>IF(ISBLANK(A230),NA(),IFERROR(A230+(PLAYER_EXP_MAX-D230)/L230,NA()))</f>
        <v>#N/A</v>
      </c>
      <c r="N230" s="480" t="e">
        <f t="shared" ca="1" si="19"/>
        <v>#N/A</v>
      </c>
    </row>
    <row r="231" spans="4:14" ht="14.65" customHeight="1" x14ac:dyDescent="0.25">
      <c r="D231" s="480" t="str">
        <f t="shared" si="16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480" t="e">
        <f t="shared" ca="1" si="21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480" t="e">
        <f t="shared" ca="1" si="18"/>
        <v>#N/A</v>
      </c>
      <c r="L231" s="51" t="e">
        <f t="shared" si="20"/>
        <v>#N/A</v>
      </c>
      <c r="M231" s="58" t="e">
        <f>IF(ISBLANK(A231),NA(),IFERROR(A231+(PLAYER_EXP_MAX-D231)/L231,NA()))</f>
        <v>#N/A</v>
      </c>
      <c r="N231" s="480" t="e">
        <f t="shared" ca="1" si="19"/>
        <v>#N/A</v>
      </c>
    </row>
    <row r="232" spans="4:14" ht="14.65" customHeight="1" x14ac:dyDescent="0.25">
      <c r="D232" s="480" t="str">
        <f t="shared" si="16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480" t="e">
        <f t="shared" ca="1" si="21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480" t="e">
        <f t="shared" ca="1" si="18"/>
        <v>#N/A</v>
      </c>
      <c r="L232" s="51" t="e">
        <f t="shared" si="20"/>
        <v>#N/A</v>
      </c>
      <c r="M232" s="58" t="e">
        <f>IF(ISBLANK(A232),NA(),IFERROR(A232+(PLAYER_EXP_MAX-D232)/L232,NA()))</f>
        <v>#N/A</v>
      </c>
      <c r="N232" s="480" t="e">
        <f t="shared" ca="1" si="19"/>
        <v>#N/A</v>
      </c>
    </row>
    <row r="233" spans="4:14" ht="14.65" customHeight="1" x14ac:dyDescent="0.25">
      <c r="D233" s="480" t="str">
        <f t="shared" si="16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480" t="e">
        <f t="shared" ca="1" si="21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480" t="e">
        <f t="shared" ca="1" si="18"/>
        <v>#N/A</v>
      </c>
      <c r="L233" s="51" t="e">
        <f t="shared" si="20"/>
        <v>#N/A</v>
      </c>
      <c r="M233" s="58" t="e">
        <f>IF(ISBLANK(A233),NA(),IFERROR(A233+(PLAYER_EXP_MAX-D233)/L233,NA()))</f>
        <v>#N/A</v>
      </c>
      <c r="N233" s="480" t="e">
        <f t="shared" ca="1" si="19"/>
        <v>#N/A</v>
      </c>
    </row>
    <row r="234" spans="4:14" ht="14.65" customHeight="1" x14ac:dyDescent="0.25">
      <c r="D234" s="480" t="str">
        <f t="shared" si="16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480" t="e">
        <f t="shared" ca="1" si="21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480" t="e">
        <f t="shared" ca="1" si="18"/>
        <v>#N/A</v>
      </c>
      <c r="L234" s="51" t="e">
        <f t="shared" si="20"/>
        <v>#N/A</v>
      </c>
      <c r="M234" s="58" t="e">
        <f>IF(ISBLANK(A234),NA(),IFERROR(A234+(PLAYER_EXP_MAX-D234)/L234,NA()))</f>
        <v>#N/A</v>
      </c>
      <c r="N234" s="480" t="e">
        <f t="shared" ca="1" si="19"/>
        <v>#N/A</v>
      </c>
    </row>
    <row r="235" spans="4:14" ht="14.65" customHeight="1" x14ac:dyDescent="0.25">
      <c r="D235" s="480" t="str">
        <f t="shared" si="16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480" t="e">
        <f t="shared" ca="1" si="21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480" t="e">
        <f t="shared" ca="1" si="18"/>
        <v>#N/A</v>
      </c>
      <c r="L235" s="51" t="e">
        <f t="shared" si="20"/>
        <v>#N/A</v>
      </c>
      <c r="M235" s="58" t="e">
        <f>IF(ISBLANK(A235),NA(),IFERROR(A235+(PLAYER_EXP_MAX-D235)/L235,NA()))</f>
        <v>#N/A</v>
      </c>
      <c r="N235" s="480" t="e">
        <f t="shared" ca="1" si="19"/>
        <v>#N/A</v>
      </c>
    </row>
    <row r="236" spans="4:14" ht="14.65" customHeight="1" x14ac:dyDescent="0.25">
      <c r="D236" s="480" t="str">
        <f t="shared" si="16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480" t="e">
        <f t="shared" ca="1" si="21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480" t="e">
        <f t="shared" ca="1" si="18"/>
        <v>#N/A</v>
      </c>
      <c r="L236" s="51" t="e">
        <f t="shared" si="20"/>
        <v>#N/A</v>
      </c>
      <c r="M236" s="58" t="e">
        <f>IF(ISBLANK(A236),NA(),IFERROR(A236+(PLAYER_EXP_MAX-D236)/L236,NA()))</f>
        <v>#N/A</v>
      </c>
      <c r="N236" s="480" t="e">
        <f t="shared" ca="1" si="19"/>
        <v>#N/A</v>
      </c>
    </row>
    <row r="237" spans="4:14" ht="14.65" customHeight="1" x14ac:dyDescent="0.25">
      <c r="D237" s="480" t="str">
        <f t="shared" si="16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480" t="e">
        <f t="shared" ca="1" si="21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480" t="e">
        <f t="shared" ca="1" si="18"/>
        <v>#N/A</v>
      </c>
      <c r="L237" s="51" t="e">
        <f t="shared" si="20"/>
        <v>#N/A</v>
      </c>
      <c r="M237" s="58" t="e">
        <f>IF(ISBLANK(A237),NA(),IFERROR(A237+(PLAYER_EXP_MAX-D237)/L237,NA()))</f>
        <v>#N/A</v>
      </c>
      <c r="N237" s="480" t="e">
        <f t="shared" ca="1" si="19"/>
        <v>#N/A</v>
      </c>
    </row>
    <row r="238" spans="4:14" ht="14.65" customHeight="1" x14ac:dyDescent="0.25">
      <c r="D238" s="480" t="str">
        <f t="shared" si="16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480" t="e">
        <f t="shared" ca="1" si="21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480" t="e">
        <f t="shared" ca="1" si="18"/>
        <v>#N/A</v>
      </c>
      <c r="L238" s="51" t="e">
        <f t="shared" si="20"/>
        <v>#N/A</v>
      </c>
      <c r="M238" s="58" t="e">
        <f>IF(ISBLANK(A238),NA(),IFERROR(A238+(PLAYER_EXP_MAX-D238)/L238,NA()))</f>
        <v>#N/A</v>
      </c>
      <c r="N238" s="480" t="e">
        <f t="shared" ca="1" si="19"/>
        <v>#N/A</v>
      </c>
    </row>
    <row r="239" spans="4:14" ht="14.65" customHeight="1" x14ac:dyDescent="0.25">
      <c r="D239" s="480" t="str">
        <f t="shared" si="16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480" t="e">
        <f t="shared" ca="1" si="21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480" t="e">
        <f t="shared" ca="1" si="18"/>
        <v>#N/A</v>
      </c>
      <c r="L239" s="51" t="e">
        <f t="shared" si="20"/>
        <v>#N/A</v>
      </c>
      <c r="M239" s="58" t="e">
        <f>IF(ISBLANK(A239),NA(),IFERROR(A239+(PLAYER_EXP_MAX-D239)/L239,NA()))</f>
        <v>#N/A</v>
      </c>
      <c r="N239" s="480" t="e">
        <f t="shared" ca="1" si="19"/>
        <v>#N/A</v>
      </c>
    </row>
    <row r="240" spans="4:14" ht="14.65" customHeight="1" x14ac:dyDescent="0.25">
      <c r="D240" s="480" t="str">
        <f t="shared" si="16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480" t="e">
        <f t="shared" ca="1" si="21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480" t="e">
        <f t="shared" ca="1" si="18"/>
        <v>#N/A</v>
      </c>
      <c r="L240" s="51" t="e">
        <f t="shared" si="20"/>
        <v>#N/A</v>
      </c>
      <c r="M240" s="58" t="e">
        <f>IF(ISBLANK(A240),NA(),IFERROR(A240+(PLAYER_EXP_MAX-D240)/L240,NA()))</f>
        <v>#N/A</v>
      </c>
      <c r="N240" s="480" t="e">
        <f t="shared" ca="1" si="19"/>
        <v>#N/A</v>
      </c>
    </row>
    <row r="241" spans="4:14" ht="14.65" customHeight="1" x14ac:dyDescent="0.25">
      <c r="D241" s="480" t="str">
        <f t="shared" si="16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480" t="e">
        <f t="shared" ca="1" si="21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480" t="e">
        <f t="shared" ca="1" si="18"/>
        <v>#N/A</v>
      </c>
      <c r="L241" s="51" t="e">
        <f t="shared" si="20"/>
        <v>#N/A</v>
      </c>
      <c r="M241" s="58" t="e">
        <f>IF(ISBLANK(A241),NA(),IFERROR(A241+(PLAYER_EXP_MAX-D241)/L241,NA()))</f>
        <v>#N/A</v>
      </c>
      <c r="N241" s="480" t="e">
        <f t="shared" ca="1" si="19"/>
        <v>#N/A</v>
      </c>
    </row>
    <row r="242" spans="4:14" ht="14.65" customHeight="1" x14ac:dyDescent="0.25">
      <c r="D242" s="480" t="str">
        <f t="shared" si="16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480" t="e">
        <f t="shared" ca="1" si="21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480" t="e">
        <f t="shared" ca="1" si="18"/>
        <v>#N/A</v>
      </c>
      <c r="L242" s="51" t="e">
        <f t="shared" si="20"/>
        <v>#N/A</v>
      </c>
      <c r="M242" s="58" t="e">
        <f>IF(ISBLANK(A242),NA(),IFERROR(A242+(PLAYER_EXP_MAX-D242)/L242,NA()))</f>
        <v>#N/A</v>
      </c>
      <c r="N242" s="480" t="e">
        <f t="shared" ca="1" si="19"/>
        <v>#N/A</v>
      </c>
    </row>
    <row r="243" spans="4:14" ht="14.65" customHeight="1" x14ac:dyDescent="0.25">
      <c r="D243" s="480" t="str">
        <f t="shared" si="16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480" t="e">
        <f t="shared" ca="1" si="21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480" t="e">
        <f t="shared" ca="1" si="18"/>
        <v>#N/A</v>
      </c>
      <c r="L243" s="51" t="e">
        <f t="shared" si="20"/>
        <v>#N/A</v>
      </c>
      <c r="M243" s="58" t="e">
        <f>IF(ISBLANK(A243),NA(),IFERROR(A243+(PLAYER_EXP_MAX-D243)/L243,NA()))</f>
        <v>#N/A</v>
      </c>
      <c r="N243" s="480" t="e">
        <f t="shared" ca="1" si="19"/>
        <v>#N/A</v>
      </c>
    </row>
    <row r="244" spans="4:14" ht="14.65" customHeight="1" x14ac:dyDescent="0.25">
      <c r="D244" s="480" t="str">
        <f t="shared" si="16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480" t="e">
        <f t="shared" ca="1" si="21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480" t="e">
        <f t="shared" ca="1" si="18"/>
        <v>#N/A</v>
      </c>
      <c r="L244" s="51" t="e">
        <f t="shared" si="20"/>
        <v>#N/A</v>
      </c>
      <c r="M244" s="58" t="e">
        <f>IF(ISBLANK(A244),NA(),IFERROR(A244+(PLAYER_EXP_MAX-D244)/L244,NA()))</f>
        <v>#N/A</v>
      </c>
      <c r="N244" s="480" t="e">
        <f t="shared" ca="1" si="19"/>
        <v>#N/A</v>
      </c>
    </row>
    <row r="245" spans="4:14" ht="14.65" customHeight="1" x14ac:dyDescent="0.25">
      <c r="D245" s="480" t="str">
        <f t="shared" si="16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480" t="e">
        <f t="shared" ca="1" si="21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480" t="e">
        <f t="shared" ca="1" si="18"/>
        <v>#N/A</v>
      </c>
      <c r="L245" s="51" t="e">
        <f t="shared" si="20"/>
        <v>#N/A</v>
      </c>
      <c r="M245" s="58" t="e">
        <f>IF(ISBLANK(A245),NA(),IFERROR(A245+(PLAYER_EXP_MAX-D245)/L245,NA()))</f>
        <v>#N/A</v>
      </c>
      <c r="N245" s="480" t="e">
        <f t="shared" ca="1" si="19"/>
        <v>#N/A</v>
      </c>
    </row>
    <row r="246" spans="4:14" ht="14.65" customHeight="1" x14ac:dyDescent="0.25">
      <c r="D246" s="480" t="str">
        <f t="shared" si="16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480" t="e">
        <f t="shared" ca="1" si="21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480" t="e">
        <f t="shared" ca="1" si="18"/>
        <v>#N/A</v>
      </c>
      <c r="L246" s="51" t="e">
        <f t="shared" si="20"/>
        <v>#N/A</v>
      </c>
      <c r="M246" s="58" t="e">
        <f>IF(ISBLANK(A246),NA(),IFERROR(A246+(PLAYER_EXP_MAX-D246)/L246,NA()))</f>
        <v>#N/A</v>
      </c>
      <c r="N246" s="480" t="e">
        <f t="shared" ca="1" si="19"/>
        <v>#N/A</v>
      </c>
    </row>
    <row r="247" spans="4:14" ht="14.65" customHeight="1" x14ac:dyDescent="0.25">
      <c r="D247" s="480" t="str">
        <f t="shared" si="16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480" t="e">
        <f t="shared" ca="1" si="21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480" t="e">
        <f t="shared" ca="1" si="18"/>
        <v>#N/A</v>
      </c>
      <c r="L247" s="51" t="e">
        <f t="shared" si="20"/>
        <v>#N/A</v>
      </c>
      <c r="M247" s="58" t="e">
        <f>IF(ISBLANK(A247),NA(),IFERROR(A247+(PLAYER_EXP_MAX-D247)/L247,NA()))</f>
        <v>#N/A</v>
      </c>
      <c r="N247" s="480" t="e">
        <f t="shared" ca="1" si="19"/>
        <v>#N/A</v>
      </c>
    </row>
    <row r="248" spans="4:14" ht="14.65" customHeight="1" x14ac:dyDescent="0.25">
      <c r="D248" s="480" t="str">
        <f t="shared" si="16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480" t="e">
        <f t="shared" ca="1" si="21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480" t="e">
        <f t="shared" ca="1" si="18"/>
        <v>#N/A</v>
      </c>
      <c r="L248" s="51" t="e">
        <f t="shared" si="20"/>
        <v>#N/A</v>
      </c>
      <c r="M248" s="58" t="e">
        <f>IF(ISBLANK(A248),NA(),IFERROR(A248+(PLAYER_EXP_MAX-D248)/L248,NA()))</f>
        <v>#N/A</v>
      </c>
      <c r="N248" s="480" t="e">
        <f t="shared" ca="1" si="19"/>
        <v>#N/A</v>
      </c>
    </row>
    <row r="249" spans="4:14" ht="14.65" customHeight="1" x14ac:dyDescent="0.25">
      <c r="D249" s="480" t="str">
        <f t="shared" si="16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480" t="e">
        <f t="shared" ca="1" si="21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480" t="e">
        <f t="shared" ca="1" si="18"/>
        <v>#N/A</v>
      </c>
      <c r="L249" s="51" t="e">
        <f t="shared" si="20"/>
        <v>#N/A</v>
      </c>
      <c r="M249" s="58" t="e">
        <f>IF(ISBLANK(A249),NA(),IFERROR(A249+(PLAYER_EXP_MAX-D249)/L249,NA()))</f>
        <v>#N/A</v>
      </c>
      <c r="N249" s="480" t="e">
        <f t="shared" ca="1" si="19"/>
        <v>#N/A</v>
      </c>
    </row>
    <row r="250" spans="4:14" ht="14.65" customHeight="1" x14ac:dyDescent="0.25">
      <c r="D250" s="480" t="str">
        <f t="shared" si="16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480" t="e">
        <f t="shared" ca="1" si="21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480" t="e">
        <f t="shared" ca="1" si="18"/>
        <v>#N/A</v>
      </c>
      <c r="L250" s="51" t="e">
        <f t="shared" si="20"/>
        <v>#N/A</v>
      </c>
      <c r="M250" s="58" t="e">
        <f>IF(ISBLANK(A250),NA(),IFERROR(A250+(PLAYER_EXP_MAX-D250)/L250,NA()))</f>
        <v>#N/A</v>
      </c>
      <c r="N250" s="480" t="e">
        <f t="shared" ca="1" si="19"/>
        <v>#N/A</v>
      </c>
    </row>
    <row r="251" spans="4:14" ht="14.65" customHeight="1" x14ac:dyDescent="0.25">
      <c r="D251" s="480" t="str">
        <f t="shared" si="16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480" t="e">
        <f t="shared" ca="1" si="21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480" t="e">
        <f t="shared" ca="1" si="18"/>
        <v>#N/A</v>
      </c>
      <c r="L251" s="51" t="e">
        <f t="shared" si="20"/>
        <v>#N/A</v>
      </c>
      <c r="M251" s="58" t="e">
        <f>IF(ISBLANK(A251),NA(),IFERROR(A251+(PLAYER_EXP_MAX-D251)/L251,NA()))</f>
        <v>#N/A</v>
      </c>
      <c r="N251" s="480" t="e">
        <f t="shared" ca="1" si="19"/>
        <v>#N/A</v>
      </c>
    </row>
    <row r="252" spans="4:14" ht="14.65" customHeight="1" x14ac:dyDescent="0.25">
      <c r="D252" s="480" t="str">
        <f t="shared" si="16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480" t="e">
        <f t="shared" ca="1" si="21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480" t="e">
        <f t="shared" ca="1" si="18"/>
        <v>#N/A</v>
      </c>
      <c r="L252" s="51" t="e">
        <f t="shared" si="20"/>
        <v>#N/A</v>
      </c>
      <c r="M252" s="58" t="e">
        <f>IF(ISBLANK(A252),NA(),IFERROR(A252+(PLAYER_EXP_MAX-D252)/L252,NA()))</f>
        <v>#N/A</v>
      </c>
      <c r="N252" s="480" t="e">
        <f t="shared" ca="1" si="19"/>
        <v>#N/A</v>
      </c>
    </row>
    <row r="253" spans="4:14" ht="14.65" customHeight="1" x14ac:dyDescent="0.25">
      <c r="D253" s="480" t="str">
        <f t="shared" si="16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480" t="e">
        <f t="shared" ca="1" si="21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480" t="e">
        <f t="shared" ca="1" si="18"/>
        <v>#N/A</v>
      </c>
      <c r="L253" s="51" t="e">
        <f t="shared" si="20"/>
        <v>#N/A</v>
      </c>
      <c r="M253" s="58" t="e">
        <f>IF(ISBLANK(A253),NA(),IFERROR(A253+(PLAYER_EXP_MAX-D253)/L253,NA()))</f>
        <v>#N/A</v>
      </c>
      <c r="N253" s="480" t="e">
        <f t="shared" ca="1" si="19"/>
        <v>#N/A</v>
      </c>
    </row>
    <row r="254" spans="4:14" ht="14.65" customHeight="1" x14ac:dyDescent="0.25">
      <c r="D254" s="480" t="str">
        <f t="shared" si="16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480" t="e">
        <f t="shared" ca="1" si="21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480" t="e">
        <f t="shared" ca="1" si="18"/>
        <v>#N/A</v>
      </c>
      <c r="L254" s="51" t="e">
        <f t="shared" si="20"/>
        <v>#N/A</v>
      </c>
      <c r="M254" s="58" t="e">
        <f>IF(ISBLANK(A254),NA(),IFERROR(A254+(PLAYER_EXP_MAX-D254)/L254,NA()))</f>
        <v>#N/A</v>
      </c>
      <c r="N254" s="480" t="e">
        <f t="shared" ca="1" si="19"/>
        <v>#N/A</v>
      </c>
    </row>
    <row r="255" spans="4:14" ht="14.65" customHeight="1" x14ac:dyDescent="0.25">
      <c r="D255" s="480" t="str">
        <f t="shared" si="16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480" t="e">
        <f t="shared" ca="1" si="21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480" t="e">
        <f t="shared" ca="1" si="18"/>
        <v>#N/A</v>
      </c>
      <c r="L255" s="51" t="e">
        <f t="shared" si="20"/>
        <v>#N/A</v>
      </c>
      <c r="M255" s="58" t="e">
        <f>IF(ISBLANK(A255),NA(),IFERROR(A255+(PLAYER_EXP_MAX-D255)/L255,NA()))</f>
        <v>#N/A</v>
      </c>
      <c r="N255" s="480" t="e">
        <f t="shared" ca="1" si="19"/>
        <v>#N/A</v>
      </c>
    </row>
    <row r="256" spans="4:14" ht="14.65" customHeight="1" x14ac:dyDescent="0.25">
      <c r="D256" s="480" t="str">
        <f t="shared" si="16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480" t="e">
        <f t="shared" ca="1" si="21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480" t="e">
        <f t="shared" ca="1" si="18"/>
        <v>#N/A</v>
      </c>
      <c r="L256" s="51" t="e">
        <f t="shared" si="20"/>
        <v>#N/A</v>
      </c>
      <c r="M256" s="58" t="e">
        <f>IF(ISBLANK(A256),NA(),IFERROR(A256+(PLAYER_EXP_MAX-D256)/L256,NA()))</f>
        <v>#N/A</v>
      </c>
      <c r="N256" s="480" t="e">
        <f t="shared" ca="1" si="19"/>
        <v>#N/A</v>
      </c>
    </row>
    <row r="257" spans="4:14" ht="14.65" customHeight="1" x14ac:dyDescent="0.25">
      <c r="D257" s="480" t="str">
        <f t="shared" si="16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480" t="e">
        <f t="shared" ca="1" si="21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480" t="e">
        <f t="shared" ca="1" si="18"/>
        <v>#N/A</v>
      </c>
      <c r="L257" s="51" t="e">
        <f t="shared" si="20"/>
        <v>#N/A</v>
      </c>
      <c r="M257" s="58" t="e">
        <f>IF(ISBLANK(A257),NA(),IFERROR(A257+(PLAYER_EXP_MAX-D257)/L257,NA()))</f>
        <v>#N/A</v>
      </c>
      <c r="N257" s="480" t="e">
        <f t="shared" ca="1" si="19"/>
        <v>#N/A</v>
      </c>
    </row>
    <row r="258" spans="4:14" ht="14.65" customHeight="1" x14ac:dyDescent="0.25">
      <c r="D258" s="480" t="str">
        <f t="shared" si="16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480" t="e">
        <f t="shared" ca="1" si="21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480" t="e">
        <f t="shared" ca="1" si="18"/>
        <v>#N/A</v>
      </c>
      <c r="L258" s="51" t="e">
        <f t="shared" si="20"/>
        <v>#N/A</v>
      </c>
      <c r="M258" s="58" t="e">
        <f>IF(ISBLANK(A258),NA(),IFERROR(A258+(PLAYER_EXP_MAX-D258)/L258,NA()))</f>
        <v>#N/A</v>
      </c>
      <c r="N258" s="480" t="e">
        <f t="shared" ca="1" si="19"/>
        <v>#N/A</v>
      </c>
    </row>
    <row r="259" spans="4:14" ht="14.65" customHeight="1" x14ac:dyDescent="0.25">
      <c r="D259" s="480" t="str">
        <f t="shared" ref="D259:D322" si="22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480" t="e">
        <f t="shared" ca="1" si="21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480" t="e">
        <f t="shared" ref="K259:K322" ca="1" si="23">IF(ISBLANK(A259),NA(),IFERROR(TEXT(TRUNC(J259-NOW()),"000") &amp; " D " &amp; TEXT(TRUNC(ABS(J259-NOW()-TRUNC(J259-NOW()))*24),"00") &amp; " H", NA()))</f>
        <v>#N/A</v>
      </c>
      <c r="L259" s="51" t="e">
        <f t="shared" si="20"/>
        <v>#N/A</v>
      </c>
      <c r="M259" s="58" t="e">
        <f>IF(ISBLANK(A259),NA(),IFERROR(A259+(PLAYER_EXP_MAX-D259)/L259,NA()))</f>
        <v>#N/A</v>
      </c>
      <c r="N259" s="480" t="e">
        <f t="shared" ref="N259:N322" ca="1" si="24">IF(ISBLANK(D259),NA(),IFERROR(TEXT(TRUNC(M259-NOW()),"000") &amp; " D " &amp; TEXT(TRUNC(ABS(M259-NOW()-TRUNC(M259-NOW()))*24),"00") &amp; " H", NA()))</f>
        <v>#N/A</v>
      </c>
    </row>
    <row r="260" spans="4:14" ht="14.65" customHeight="1" x14ac:dyDescent="0.25">
      <c r="D260" s="480" t="str">
        <f t="shared" si="22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480" t="e">
        <f t="shared" ca="1" si="21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480" t="e">
        <f t="shared" ca="1" si="23"/>
        <v>#N/A</v>
      </c>
      <c r="L260" s="51" t="e">
        <f t="shared" ref="L260:L323" si="25">IFERROR(IF(OR(ISBLANK($A260),$A260-$A$3 &lt; $C$1),NA(),($D260-$D$3)/($A260-$A$3)),NA())</f>
        <v>#N/A</v>
      </c>
      <c r="M260" s="58" t="e">
        <f>IF(ISBLANK(A260),NA(),IFERROR(A260+(PLAYER_EXP_MAX-D260)/L260,NA()))</f>
        <v>#N/A</v>
      </c>
      <c r="N260" s="480" t="e">
        <f t="shared" ca="1" si="24"/>
        <v>#N/A</v>
      </c>
    </row>
    <row r="261" spans="4:14" ht="14.65" customHeight="1" x14ac:dyDescent="0.25">
      <c r="D261" s="480" t="str">
        <f t="shared" si="22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480" t="e">
        <f t="shared" ca="1" si="21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480" t="e">
        <f t="shared" ca="1" si="23"/>
        <v>#N/A</v>
      </c>
      <c r="L261" s="51" t="e">
        <f t="shared" si="25"/>
        <v>#N/A</v>
      </c>
      <c r="M261" s="58" t="e">
        <f>IF(ISBLANK(A261),NA(),IFERROR(A261+(PLAYER_EXP_MAX-D261)/L261,NA()))</f>
        <v>#N/A</v>
      </c>
      <c r="N261" s="480" t="e">
        <f t="shared" ca="1" si="24"/>
        <v>#N/A</v>
      </c>
    </row>
    <row r="262" spans="4:14" ht="14.65" customHeight="1" x14ac:dyDescent="0.25">
      <c r="D262" s="480" t="str">
        <f t="shared" si="22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480" t="e">
        <f t="shared" ca="1" si="21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480" t="e">
        <f t="shared" ca="1" si="23"/>
        <v>#N/A</v>
      </c>
      <c r="L262" s="51" t="e">
        <f t="shared" si="25"/>
        <v>#N/A</v>
      </c>
      <c r="M262" s="58" t="e">
        <f>IF(ISBLANK(A262),NA(),IFERROR(A262+(PLAYER_EXP_MAX-D262)/L262,NA()))</f>
        <v>#N/A</v>
      </c>
      <c r="N262" s="480" t="e">
        <f t="shared" ca="1" si="24"/>
        <v>#N/A</v>
      </c>
    </row>
    <row r="263" spans="4:14" ht="14.65" customHeight="1" x14ac:dyDescent="0.25">
      <c r="D263" s="480" t="str">
        <f t="shared" si="22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480" t="e">
        <f t="shared" ca="1" si="21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480" t="e">
        <f t="shared" ca="1" si="23"/>
        <v>#N/A</v>
      </c>
      <c r="L263" s="51" t="e">
        <f t="shared" si="25"/>
        <v>#N/A</v>
      </c>
      <c r="M263" s="58" t="e">
        <f>IF(ISBLANK(A263),NA(),IFERROR(A263+(PLAYER_EXP_MAX-D263)/L263,NA()))</f>
        <v>#N/A</v>
      </c>
      <c r="N263" s="480" t="e">
        <f t="shared" ca="1" si="24"/>
        <v>#N/A</v>
      </c>
    </row>
    <row r="264" spans="4:14" ht="14.65" customHeight="1" x14ac:dyDescent="0.25">
      <c r="D264" s="480" t="str">
        <f t="shared" si="22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480" t="e">
        <f t="shared" ca="1" si="21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480" t="e">
        <f t="shared" ca="1" si="23"/>
        <v>#N/A</v>
      </c>
      <c r="L264" s="51" t="e">
        <f t="shared" si="25"/>
        <v>#N/A</v>
      </c>
      <c r="M264" s="58" t="e">
        <f>IF(ISBLANK(A264),NA(),IFERROR(A264+(PLAYER_EXP_MAX-D264)/L264,NA()))</f>
        <v>#N/A</v>
      </c>
      <c r="N264" s="480" t="e">
        <f t="shared" ca="1" si="24"/>
        <v>#N/A</v>
      </c>
    </row>
    <row r="265" spans="4:14" ht="14.65" customHeight="1" x14ac:dyDescent="0.25">
      <c r="D265" s="480" t="str">
        <f t="shared" si="22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480" t="e">
        <f t="shared" ca="1" si="21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480" t="e">
        <f t="shared" ca="1" si="23"/>
        <v>#N/A</v>
      </c>
      <c r="L265" s="51" t="e">
        <f t="shared" si="25"/>
        <v>#N/A</v>
      </c>
      <c r="M265" s="58" t="e">
        <f>IF(ISBLANK(A265),NA(),IFERROR(A265+(PLAYER_EXP_MAX-D265)/L265,NA()))</f>
        <v>#N/A</v>
      </c>
      <c r="N265" s="480" t="e">
        <f t="shared" ca="1" si="24"/>
        <v>#N/A</v>
      </c>
    </row>
    <row r="266" spans="4:14" ht="14.65" customHeight="1" x14ac:dyDescent="0.25">
      <c r="D266" s="480" t="str">
        <f t="shared" si="22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480" t="e">
        <f t="shared" ca="1" si="21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480" t="e">
        <f t="shared" ca="1" si="23"/>
        <v>#N/A</v>
      </c>
      <c r="L266" s="51" t="e">
        <f t="shared" si="25"/>
        <v>#N/A</v>
      </c>
      <c r="M266" s="58" t="e">
        <f>IF(ISBLANK(A266),NA(),IFERROR(A266+(PLAYER_EXP_MAX-D266)/L266,NA()))</f>
        <v>#N/A</v>
      </c>
      <c r="N266" s="480" t="e">
        <f t="shared" ca="1" si="24"/>
        <v>#N/A</v>
      </c>
    </row>
    <row r="267" spans="4:14" ht="14.65" customHeight="1" x14ac:dyDescent="0.25">
      <c r="D267" s="480" t="str">
        <f t="shared" si="22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480" t="e">
        <f t="shared" ca="1" si="21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480" t="e">
        <f t="shared" ca="1" si="23"/>
        <v>#N/A</v>
      </c>
      <c r="L267" s="51" t="e">
        <f t="shared" si="25"/>
        <v>#N/A</v>
      </c>
      <c r="M267" s="58" t="e">
        <f>IF(ISBLANK(A267),NA(),IFERROR(A267+(PLAYER_EXP_MAX-D267)/L267,NA()))</f>
        <v>#N/A</v>
      </c>
      <c r="N267" s="480" t="e">
        <f t="shared" ca="1" si="24"/>
        <v>#N/A</v>
      </c>
    </row>
    <row r="268" spans="4:14" ht="14.65" customHeight="1" x14ac:dyDescent="0.25">
      <c r="D268" s="480" t="str">
        <f t="shared" si="22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480" t="e">
        <f t="shared" ca="1" si="21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480" t="e">
        <f t="shared" ca="1" si="23"/>
        <v>#N/A</v>
      </c>
      <c r="L268" s="51" t="e">
        <f t="shared" si="25"/>
        <v>#N/A</v>
      </c>
      <c r="M268" s="58" t="e">
        <f>IF(ISBLANK(A268),NA(),IFERROR(A268+(PLAYER_EXP_MAX-D268)/L268,NA()))</f>
        <v>#N/A</v>
      </c>
      <c r="N268" s="480" t="e">
        <f t="shared" ca="1" si="24"/>
        <v>#N/A</v>
      </c>
    </row>
    <row r="269" spans="4:14" ht="14.65" customHeight="1" x14ac:dyDescent="0.25">
      <c r="D269" s="480" t="str">
        <f t="shared" si="22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480" t="e">
        <f t="shared" ca="1" si="21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480" t="e">
        <f t="shared" ca="1" si="23"/>
        <v>#N/A</v>
      </c>
      <c r="L269" s="51" t="e">
        <f t="shared" si="25"/>
        <v>#N/A</v>
      </c>
      <c r="M269" s="58" t="e">
        <f>IF(ISBLANK(A269),NA(),IFERROR(A269+(PLAYER_EXP_MAX-D269)/L269,NA()))</f>
        <v>#N/A</v>
      </c>
      <c r="N269" s="480" t="e">
        <f t="shared" ca="1" si="24"/>
        <v>#N/A</v>
      </c>
    </row>
    <row r="270" spans="4:14" ht="14.65" customHeight="1" x14ac:dyDescent="0.25">
      <c r="D270" s="480" t="str">
        <f t="shared" si="22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480" t="e">
        <f t="shared" ca="1" si="21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480" t="e">
        <f t="shared" ca="1" si="23"/>
        <v>#N/A</v>
      </c>
      <c r="L270" s="51" t="e">
        <f t="shared" si="25"/>
        <v>#N/A</v>
      </c>
      <c r="M270" s="58" t="e">
        <f>IF(ISBLANK(A270),NA(),IFERROR(A270+(PLAYER_EXP_MAX-D270)/L270,NA()))</f>
        <v>#N/A</v>
      </c>
      <c r="N270" s="480" t="e">
        <f t="shared" ca="1" si="24"/>
        <v>#N/A</v>
      </c>
    </row>
    <row r="271" spans="4:14" ht="14.65" customHeight="1" x14ac:dyDescent="0.25">
      <c r="D271" s="480" t="str">
        <f t="shared" si="22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480" t="e">
        <f t="shared" ca="1" si="21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480" t="e">
        <f t="shared" ca="1" si="23"/>
        <v>#N/A</v>
      </c>
      <c r="L271" s="51" t="e">
        <f t="shared" si="25"/>
        <v>#N/A</v>
      </c>
      <c r="M271" s="58" t="e">
        <f>IF(ISBLANK(A271),NA(),IFERROR(A271+(PLAYER_EXP_MAX-D271)/L271,NA()))</f>
        <v>#N/A</v>
      </c>
      <c r="N271" s="480" t="e">
        <f t="shared" ca="1" si="24"/>
        <v>#N/A</v>
      </c>
    </row>
    <row r="272" spans="4:14" ht="14.65" customHeight="1" x14ac:dyDescent="0.25">
      <c r="D272" s="480" t="str">
        <f t="shared" si="22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480" t="e">
        <f t="shared" ca="1" si="21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480" t="e">
        <f t="shared" ca="1" si="23"/>
        <v>#N/A</v>
      </c>
      <c r="L272" s="51" t="e">
        <f t="shared" si="25"/>
        <v>#N/A</v>
      </c>
      <c r="M272" s="58" t="e">
        <f>IF(ISBLANK(A272),NA(),IFERROR(A272+(PLAYER_EXP_MAX-D272)/L272,NA()))</f>
        <v>#N/A</v>
      </c>
      <c r="N272" s="480" t="e">
        <f t="shared" ca="1" si="24"/>
        <v>#N/A</v>
      </c>
    </row>
    <row r="273" spans="4:14" ht="14.65" customHeight="1" x14ac:dyDescent="0.25">
      <c r="D273" s="480" t="str">
        <f t="shared" si="22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480" t="e">
        <f t="shared" ca="1" si="21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480" t="e">
        <f t="shared" ca="1" si="23"/>
        <v>#N/A</v>
      </c>
      <c r="L273" s="51" t="e">
        <f t="shared" si="25"/>
        <v>#N/A</v>
      </c>
      <c r="M273" s="58" t="e">
        <f>IF(ISBLANK(A273),NA(),IFERROR(A273+(PLAYER_EXP_MAX-D273)/L273,NA()))</f>
        <v>#N/A</v>
      </c>
      <c r="N273" s="480" t="e">
        <f t="shared" ca="1" si="24"/>
        <v>#N/A</v>
      </c>
    </row>
    <row r="274" spans="4:14" ht="14.65" customHeight="1" x14ac:dyDescent="0.25">
      <c r="D274" s="480" t="str">
        <f t="shared" si="22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480" t="e">
        <f t="shared" ca="1" si="21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480" t="e">
        <f t="shared" ca="1" si="23"/>
        <v>#N/A</v>
      </c>
      <c r="L274" s="51" t="e">
        <f t="shared" si="25"/>
        <v>#N/A</v>
      </c>
      <c r="M274" s="58" t="e">
        <f>IF(ISBLANK(A274),NA(),IFERROR(A274+(PLAYER_EXP_MAX-D274)/L274,NA()))</f>
        <v>#N/A</v>
      </c>
      <c r="N274" s="480" t="e">
        <f t="shared" ca="1" si="24"/>
        <v>#N/A</v>
      </c>
    </row>
    <row r="275" spans="4:14" ht="14.65" customHeight="1" x14ac:dyDescent="0.25">
      <c r="D275" s="480" t="str">
        <f t="shared" si="22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480" t="e">
        <f t="shared" ca="1" si="21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480" t="e">
        <f t="shared" ca="1" si="23"/>
        <v>#N/A</v>
      </c>
      <c r="L275" s="51" t="e">
        <f t="shared" si="25"/>
        <v>#N/A</v>
      </c>
      <c r="M275" s="58" t="e">
        <f>IF(ISBLANK(A275),NA(),IFERROR(A275+(PLAYER_EXP_MAX-D275)/L275,NA()))</f>
        <v>#N/A</v>
      </c>
      <c r="N275" s="480" t="e">
        <f t="shared" ca="1" si="24"/>
        <v>#N/A</v>
      </c>
    </row>
    <row r="276" spans="4:14" ht="14.65" customHeight="1" x14ac:dyDescent="0.25">
      <c r="D276" s="480" t="str">
        <f t="shared" si="22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480" t="e">
        <f t="shared" ca="1" si="21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480" t="e">
        <f t="shared" ca="1" si="23"/>
        <v>#N/A</v>
      </c>
      <c r="L276" s="51" t="e">
        <f t="shared" si="25"/>
        <v>#N/A</v>
      </c>
      <c r="M276" s="58" t="e">
        <f>IF(ISBLANK(A276),NA(),IFERROR(A276+(PLAYER_EXP_MAX-D276)/L276,NA()))</f>
        <v>#N/A</v>
      </c>
      <c r="N276" s="480" t="e">
        <f t="shared" ca="1" si="24"/>
        <v>#N/A</v>
      </c>
    </row>
    <row r="277" spans="4:14" ht="14.65" customHeight="1" x14ac:dyDescent="0.25">
      <c r="D277" s="480" t="str">
        <f t="shared" si="22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480" t="e">
        <f t="shared" ca="1" si="21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480" t="e">
        <f t="shared" ca="1" si="23"/>
        <v>#N/A</v>
      </c>
      <c r="L277" s="51" t="e">
        <f t="shared" si="25"/>
        <v>#N/A</v>
      </c>
      <c r="M277" s="58" t="e">
        <f>IF(ISBLANK(A277),NA(),IFERROR(A277+(PLAYER_EXP_MAX-D277)/L277,NA()))</f>
        <v>#N/A</v>
      </c>
      <c r="N277" s="480" t="e">
        <f t="shared" ca="1" si="24"/>
        <v>#N/A</v>
      </c>
    </row>
    <row r="278" spans="4:14" ht="14.65" customHeight="1" x14ac:dyDescent="0.25">
      <c r="D278" s="480" t="str">
        <f t="shared" si="22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480" t="e">
        <f t="shared" ca="1" si="21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480" t="e">
        <f t="shared" ca="1" si="23"/>
        <v>#N/A</v>
      </c>
      <c r="L278" s="51" t="e">
        <f t="shared" si="25"/>
        <v>#N/A</v>
      </c>
      <c r="M278" s="58" t="e">
        <f>IF(ISBLANK(A278),NA(),IFERROR(A278+(PLAYER_EXP_MAX-D278)/L278,NA()))</f>
        <v>#N/A</v>
      </c>
      <c r="N278" s="480" t="e">
        <f t="shared" ca="1" si="24"/>
        <v>#N/A</v>
      </c>
    </row>
    <row r="279" spans="4:14" ht="14.65" customHeight="1" x14ac:dyDescent="0.25">
      <c r="D279" s="480" t="str">
        <f t="shared" si="22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480" t="e">
        <f t="shared" ca="1" si="21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480" t="e">
        <f t="shared" ca="1" si="23"/>
        <v>#N/A</v>
      </c>
      <c r="L279" s="51" t="e">
        <f t="shared" si="25"/>
        <v>#N/A</v>
      </c>
      <c r="M279" s="58" t="e">
        <f>IF(ISBLANK(A279),NA(),IFERROR(A279+(PLAYER_EXP_MAX-D279)/L279,NA()))</f>
        <v>#N/A</v>
      </c>
      <c r="N279" s="480" t="e">
        <f t="shared" ca="1" si="24"/>
        <v>#N/A</v>
      </c>
    </row>
    <row r="280" spans="4:14" ht="14.65" customHeight="1" x14ac:dyDescent="0.25">
      <c r="D280" s="480" t="str">
        <f t="shared" si="22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480" t="e">
        <f t="shared" ca="1" si="21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480" t="e">
        <f t="shared" ca="1" si="23"/>
        <v>#N/A</v>
      </c>
      <c r="L280" s="51" t="e">
        <f t="shared" si="25"/>
        <v>#N/A</v>
      </c>
      <c r="M280" s="58" t="e">
        <f>IF(ISBLANK(A280),NA(),IFERROR(A280+(PLAYER_EXP_MAX-D280)/L280,NA()))</f>
        <v>#N/A</v>
      </c>
      <c r="N280" s="480" t="e">
        <f t="shared" ca="1" si="24"/>
        <v>#N/A</v>
      </c>
    </row>
    <row r="281" spans="4:14" ht="14.65" customHeight="1" x14ac:dyDescent="0.25">
      <c r="D281" s="480" t="str">
        <f t="shared" si="22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480" t="e">
        <f t="shared" ca="1" si="21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480" t="e">
        <f t="shared" ca="1" si="23"/>
        <v>#N/A</v>
      </c>
      <c r="L281" s="51" t="e">
        <f t="shared" si="25"/>
        <v>#N/A</v>
      </c>
      <c r="M281" s="58" t="e">
        <f>IF(ISBLANK(A281),NA(),IFERROR(A281+(PLAYER_EXP_MAX-D281)/L281,NA()))</f>
        <v>#N/A</v>
      </c>
      <c r="N281" s="480" t="e">
        <f t="shared" ca="1" si="24"/>
        <v>#N/A</v>
      </c>
    </row>
    <row r="282" spans="4:14" ht="14.65" customHeight="1" x14ac:dyDescent="0.25">
      <c r="D282" s="480" t="str">
        <f t="shared" si="22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480" t="e">
        <f t="shared" ca="1" si="21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480" t="e">
        <f t="shared" ca="1" si="23"/>
        <v>#N/A</v>
      </c>
      <c r="L282" s="51" t="e">
        <f t="shared" si="25"/>
        <v>#N/A</v>
      </c>
      <c r="M282" s="58" t="e">
        <f>IF(ISBLANK(A282),NA(),IFERROR(A282+(PLAYER_EXP_MAX-D282)/L282,NA()))</f>
        <v>#N/A</v>
      </c>
      <c r="N282" s="480" t="e">
        <f t="shared" ca="1" si="24"/>
        <v>#N/A</v>
      </c>
    </row>
    <row r="283" spans="4:14" ht="14.65" customHeight="1" x14ac:dyDescent="0.25">
      <c r="D283" s="480" t="str">
        <f t="shared" si="22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480" t="e">
        <f t="shared" ca="1" si="21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480" t="e">
        <f t="shared" ca="1" si="23"/>
        <v>#N/A</v>
      </c>
      <c r="L283" s="51" t="e">
        <f t="shared" si="25"/>
        <v>#N/A</v>
      </c>
      <c r="M283" s="58" t="e">
        <f>IF(ISBLANK(A283),NA(),IFERROR(A283+(PLAYER_EXP_MAX-D283)/L283,NA()))</f>
        <v>#N/A</v>
      </c>
      <c r="N283" s="480" t="e">
        <f t="shared" ca="1" si="24"/>
        <v>#N/A</v>
      </c>
    </row>
    <row r="284" spans="4:14" ht="14.65" customHeight="1" x14ac:dyDescent="0.25">
      <c r="D284" s="480" t="str">
        <f t="shared" si="22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480" t="e">
        <f t="shared" ca="1" si="21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480" t="e">
        <f t="shared" ca="1" si="23"/>
        <v>#N/A</v>
      </c>
      <c r="L284" s="51" t="e">
        <f t="shared" si="25"/>
        <v>#N/A</v>
      </c>
      <c r="M284" s="58" t="e">
        <f>IF(ISBLANK(A284),NA(),IFERROR(A284+(PLAYER_EXP_MAX-D284)/L284,NA()))</f>
        <v>#N/A</v>
      </c>
      <c r="N284" s="480" t="e">
        <f t="shared" ca="1" si="24"/>
        <v>#N/A</v>
      </c>
    </row>
    <row r="285" spans="4:14" ht="14.65" customHeight="1" x14ac:dyDescent="0.25">
      <c r="D285" s="480" t="str">
        <f t="shared" si="22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480" t="e">
        <f t="shared" ca="1" si="21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480" t="e">
        <f t="shared" ca="1" si="23"/>
        <v>#N/A</v>
      </c>
      <c r="L285" s="51" t="e">
        <f t="shared" si="25"/>
        <v>#N/A</v>
      </c>
      <c r="M285" s="58" t="e">
        <f>IF(ISBLANK(A285),NA(),IFERROR(A285+(PLAYER_EXP_MAX-D285)/L285,NA()))</f>
        <v>#N/A</v>
      </c>
      <c r="N285" s="480" t="e">
        <f t="shared" ca="1" si="24"/>
        <v>#N/A</v>
      </c>
    </row>
    <row r="286" spans="4:14" ht="14.65" customHeight="1" x14ac:dyDescent="0.25">
      <c r="D286" s="480" t="str">
        <f t="shared" si="22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480" t="e">
        <f t="shared" ca="1" si="21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480" t="e">
        <f t="shared" ca="1" si="23"/>
        <v>#N/A</v>
      </c>
      <c r="L286" s="51" t="e">
        <f t="shared" si="25"/>
        <v>#N/A</v>
      </c>
      <c r="M286" s="58" t="e">
        <f>IF(ISBLANK(A286),NA(),IFERROR(A286+(PLAYER_EXP_MAX-D286)/L286,NA()))</f>
        <v>#N/A</v>
      </c>
      <c r="N286" s="480" t="e">
        <f t="shared" ca="1" si="24"/>
        <v>#N/A</v>
      </c>
    </row>
    <row r="287" spans="4:14" ht="14.65" customHeight="1" x14ac:dyDescent="0.25">
      <c r="D287" s="480" t="str">
        <f t="shared" si="22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480" t="e">
        <f t="shared" ref="H287:H350" ca="1" si="26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480" t="e">
        <f t="shared" ca="1" si="23"/>
        <v>#N/A</v>
      </c>
      <c r="L287" s="51" t="e">
        <f t="shared" si="25"/>
        <v>#N/A</v>
      </c>
      <c r="M287" s="58" t="e">
        <f>IF(ISBLANK(A287),NA(),IFERROR(A287+(PLAYER_EXP_MAX-D287)/L287,NA()))</f>
        <v>#N/A</v>
      </c>
      <c r="N287" s="480" t="e">
        <f t="shared" ca="1" si="24"/>
        <v>#N/A</v>
      </c>
    </row>
    <row r="288" spans="4:14" ht="14.65" customHeight="1" x14ac:dyDescent="0.25">
      <c r="D288" s="480" t="str">
        <f t="shared" si="22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480" t="e">
        <f t="shared" ca="1" si="26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480" t="e">
        <f t="shared" ca="1" si="23"/>
        <v>#N/A</v>
      </c>
      <c r="L288" s="51" t="e">
        <f t="shared" si="25"/>
        <v>#N/A</v>
      </c>
      <c r="M288" s="58" t="e">
        <f>IF(ISBLANK(A288),NA(),IFERROR(A288+(PLAYER_EXP_MAX-D288)/L288,NA()))</f>
        <v>#N/A</v>
      </c>
      <c r="N288" s="480" t="e">
        <f t="shared" ca="1" si="24"/>
        <v>#N/A</v>
      </c>
    </row>
    <row r="289" spans="4:14" ht="14.65" customHeight="1" x14ac:dyDescent="0.25">
      <c r="D289" s="480" t="str">
        <f t="shared" si="22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480" t="e">
        <f t="shared" ca="1" si="26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480" t="e">
        <f t="shared" ca="1" si="23"/>
        <v>#N/A</v>
      </c>
      <c r="L289" s="51" t="e">
        <f t="shared" si="25"/>
        <v>#N/A</v>
      </c>
      <c r="M289" s="58" t="e">
        <f>IF(ISBLANK(A289),NA(),IFERROR(A289+(PLAYER_EXP_MAX-D289)/L289,NA()))</f>
        <v>#N/A</v>
      </c>
      <c r="N289" s="480" t="e">
        <f t="shared" ca="1" si="24"/>
        <v>#N/A</v>
      </c>
    </row>
    <row r="290" spans="4:14" ht="14.65" customHeight="1" x14ac:dyDescent="0.25">
      <c r="D290" s="480" t="str">
        <f t="shared" si="22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480" t="e">
        <f t="shared" ca="1" si="26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480" t="e">
        <f t="shared" ca="1" si="23"/>
        <v>#N/A</v>
      </c>
      <c r="L290" s="51" t="e">
        <f t="shared" si="25"/>
        <v>#N/A</v>
      </c>
      <c r="M290" s="58" t="e">
        <f>IF(ISBLANK(A290),NA(),IFERROR(A290+(PLAYER_EXP_MAX-D290)/L290,NA()))</f>
        <v>#N/A</v>
      </c>
      <c r="N290" s="480" t="e">
        <f t="shared" ca="1" si="24"/>
        <v>#N/A</v>
      </c>
    </row>
    <row r="291" spans="4:14" ht="14.65" customHeight="1" x14ac:dyDescent="0.25">
      <c r="D291" s="480" t="str">
        <f t="shared" si="22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480" t="e">
        <f t="shared" ca="1" si="26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480" t="e">
        <f t="shared" ca="1" si="23"/>
        <v>#N/A</v>
      </c>
      <c r="L291" s="51" t="e">
        <f t="shared" si="25"/>
        <v>#N/A</v>
      </c>
      <c r="M291" s="58" t="e">
        <f>IF(ISBLANK(A291),NA(),IFERROR(A291+(PLAYER_EXP_MAX-D291)/L291,NA()))</f>
        <v>#N/A</v>
      </c>
      <c r="N291" s="480" t="e">
        <f t="shared" ca="1" si="24"/>
        <v>#N/A</v>
      </c>
    </row>
    <row r="292" spans="4:14" ht="14.65" customHeight="1" x14ac:dyDescent="0.25">
      <c r="D292" s="480" t="str">
        <f t="shared" si="22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480" t="e">
        <f t="shared" ca="1" si="26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480" t="e">
        <f t="shared" ca="1" si="23"/>
        <v>#N/A</v>
      </c>
      <c r="L292" s="51" t="e">
        <f t="shared" si="25"/>
        <v>#N/A</v>
      </c>
      <c r="M292" s="58" t="e">
        <f>IF(ISBLANK(A292),NA(),IFERROR(A292+(PLAYER_EXP_MAX-D292)/L292,NA()))</f>
        <v>#N/A</v>
      </c>
      <c r="N292" s="480" t="e">
        <f t="shared" ca="1" si="24"/>
        <v>#N/A</v>
      </c>
    </row>
    <row r="293" spans="4:14" ht="14.65" customHeight="1" x14ac:dyDescent="0.25">
      <c r="D293" s="480" t="str">
        <f t="shared" si="22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480" t="e">
        <f t="shared" ca="1" si="26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480" t="e">
        <f t="shared" ca="1" si="23"/>
        <v>#N/A</v>
      </c>
      <c r="L293" s="51" t="e">
        <f t="shared" si="25"/>
        <v>#N/A</v>
      </c>
      <c r="M293" s="58" t="e">
        <f>IF(ISBLANK(A293),NA(),IFERROR(A293+(PLAYER_EXP_MAX-D293)/L293,NA()))</f>
        <v>#N/A</v>
      </c>
      <c r="N293" s="480" t="e">
        <f t="shared" ca="1" si="24"/>
        <v>#N/A</v>
      </c>
    </row>
    <row r="294" spans="4:14" ht="14.65" customHeight="1" x14ac:dyDescent="0.25">
      <c r="D294" s="480" t="str">
        <f t="shared" si="22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480" t="e">
        <f t="shared" ca="1" si="26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480" t="e">
        <f t="shared" ca="1" si="23"/>
        <v>#N/A</v>
      </c>
      <c r="L294" s="51" t="e">
        <f t="shared" si="25"/>
        <v>#N/A</v>
      </c>
      <c r="M294" s="58" t="e">
        <f>IF(ISBLANK(A294),NA(),IFERROR(A294+(PLAYER_EXP_MAX-D294)/L294,NA()))</f>
        <v>#N/A</v>
      </c>
      <c r="N294" s="480" t="e">
        <f t="shared" ca="1" si="24"/>
        <v>#N/A</v>
      </c>
    </row>
    <row r="295" spans="4:14" ht="14.65" customHeight="1" x14ac:dyDescent="0.25">
      <c r="D295" s="480" t="str">
        <f t="shared" si="22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480" t="e">
        <f t="shared" ca="1" si="26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480" t="e">
        <f t="shared" ca="1" si="23"/>
        <v>#N/A</v>
      </c>
      <c r="L295" s="51" t="e">
        <f t="shared" si="25"/>
        <v>#N/A</v>
      </c>
      <c r="M295" s="58" t="e">
        <f>IF(ISBLANK(A295),NA(),IFERROR(A295+(PLAYER_EXP_MAX-D295)/L295,NA()))</f>
        <v>#N/A</v>
      </c>
      <c r="N295" s="480" t="e">
        <f t="shared" ca="1" si="24"/>
        <v>#N/A</v>
      </c>
    </row>
    <row r="296" spans="4:14" ht="14.65" customHeight="1" x14ac:dyDescent="0.25">
      <c r="D296" s="480" t="str">
        <f t="shared" si="22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480" t="e">
        <f t="shared" ca="1" si="26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480" t="e">
        <f t="shared" ca="1" si="23"/>
        <v>#N/A</v>
      </c>
      <c r="L296" s="51" t="e">
        <f t="shared" si="25"/>
        <v>#N/A</v>
      </c>
      <c r="M296" s="58" t="e">
        <f>IF(ISBLANK(A296),NA(),IFERROR(A296+(PLAYER_EXP_MAX-D296)/L296,NA()))</f>
        <v>#N/A</v>
      </c>
      <c r="N296" s="480" t="e">
        <f t="shared" ca="1" si="24"/>
        <v>#N/A</v>
      </c>
    </row>
    <row r="297" spans="4:14" ht="14.65" customHeight="1" x14ac:dyDescent="0.25">
      <c r="D297" s="480" t="str">
        <f t="shared" si="22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480" t="e">
        <f t="shared" ca="1" si="26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480" t="e">
        <f t="shared" ca="1" si="23"/>
        <v>#N/A</v>
      </c>
      <c r="L297" s="51" t="e">
        <f t="shared" si="25"/>
        <v>#N/A</v>
      </c>
      <c r="M297" s="58" t="e">
        <f>IF(ISBLANK(A297),NA(),IFERROR(A297+(PLAYER_EXP_MAX-D297)/L297,NA()))</f>
        <v>#N/A</v>
      </c>
      <c r="N297" s="480" t="e">
        <f t="shared" ca="1" si="24"/>
        <v>#N/A</v>
      </c>
    </row>
    <row r="298" spans="4:14" ht="14.65" customHeight="1" x14ac:dyDescent="0.25">
      <c r="D298" s="480" t="str">
        <f t="shared" si="22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480" t="e">
        <f t="shared" ca="1" si="26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480" t="e">
        <f t="shared" ca="1" si="23"/>
        <v>#N/A</v>
      </c>
      <c r="L298" s="51" t="e">
        <f t="shared" si="25"/>
        <v>#N/A</v>
      </c>
      <c r="M298" s="58" t="e">
        <f>IF(ISBLANK(A298),NA(),IFERROR(A298+(PLAYER_EXP_MAX-D298)/L298,NA()))</f>
        <v>#N/A</v>
      </c>
      <c r="N298" s="480" t="e">
        <f t="shared" ca="1" si="24"/>
        <v>#N/A</v>
      </c>
    </row>
    <row r="299" spans="4:14" ht="14.65" customHeight="1" x14ac:dyDescent="0.25">
      <c r="D299" s="480" t="str">
        <f t="shared" si="22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480" t="e">
        <f t="shared" ca="1" si="26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480" t="e">
        <f t="shared" ca="1" si="23"/>
        <v>#N/A</v>
      </c>
      <c r="L299" s="51" t="e">
        <f t="shared" si="25"/>
        <v>#N/A</v>
      </c>
      <c r="M299" s="58" t="e">
        <f>IF(ISBLANK(A299),NA(),IFERROR(A299+(PLAYER_EXP_MAX-D299)/L299,NA()))</f>
        <v>#N/A</v>
      </c>
      <c r="N299" s="480" t="e">
        <f t="shared" ca="1" si="24"/>
        <v>#N/A</v>
      </c>
    </row>
    <row r="300" spans="4:14" ht="14.65" customHeight="1" x14ac:dyDescent="0.25">
      <c r="D300" s="480" t="str">
        <f t="shared" si="22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480" t="e">
        <f t="shared" ca="1" si="26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480" t="e">
        <f t="shared" ca="1" si="23"/>
        <v>#N/A</v>
      </c>
      <c r="L300" s="51" t="e">
        <f t="shared" si="25"/>
        <v>#N/A</v>
      </c>
      <c r="M300" s="58" t="e">
        <f>IF(ISBLANK(A300),NA(),IFERROR(A300+(PLAYER_EXP_MAX-D300)/L300,NA()))</f>
        <v>#N/A</v>
      </c>
      <c r="N300" s="480" t="e">
        <f t="shared" ca="1" si="24"/>
        <v>#N/A</v>
      </c>
    </row>
    <row r="301" spans="4:14" ht="14.65" customHeight="1" x14ac:dyDescent="0.25">
      <c r="D301" s="480" t="str">
        <f t="shared" si="22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480" t="e">
        <f t="shared" ca="1" si="26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480" t="e">
        <f t="shared" ca="1" si="23"/>
        <v>#N/A</v>
      </c>
      <c r="L301" s="51" t="e">
        <f t="shared" si="25"/>
        <v>#N/A</v>
      </c>
      <c r="M301" s="58" t="e">
        <f>IF(ISBLANK(A301),NA(),IFERROR(A301+(PLAYER_EXP_MAX-D301)/L301,NA()))</f>
        <v>#N/A</v>
      </c>
      <c r="N301" s="480" t="e">
        <f t="shared" ca="1" si="24"/>
        <v>#N/A</v>
      </c>
    </row>
    <row r="302" spans="4:14" ht="14.65" customHeight="1" x14ac:dyDescent="0.25">
      <c r="D302" s="480" t="str">
        <f t="shared" si="22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480" t="e">
        <f t="shared" ca="1" si="26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480" t="e">
        <f t="shared" ca="1" si="23"/>
        <v>#N/A</v>
      </c>
      <c r="L302" s="51" t="e">
        <f t="shared" si="25"/>
        <v>#N/A</v>
      </c>
      <c r="M302" s="58" t="e">
        <f>IF(ISBLANK(A302),NA(),IFERROR(A302+(PLAYER_EXP_MAX-D302)/L302,NA()))</f>
        <v>#N/A</v>
      </c>
      <c r="N302" s="480" t="e">
        <f t="shared" ca="1" si="24"/>
        <v>#N/A</v>
      </c>
    </row>
    <row r="303" spans="4:14" ht="14.65" customHeight="1" x14ac:dyDescent="0.25">
      <c r="D303" s="480" t="str">
        <f t="shared" si="22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480" t="e">
        <f t="shared" ca="1" si="26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480" t="e">
        <f t="shared" ca="1" si="23"/>
        <v>#N/A</v>
      </c>
      <c r="L303" s="51" t="e">
        <f t="shared" si="25"/>
        <v>#N/A</v>
      </c>
      <c r="M303" s="58" t="e">
        <f>IF(ISBLANK(A303),NA(),IFERROR(A303+(PLAYER_EXP_MAX-D303)/L303,NA()))</f>
        <v>#N/A</v>
      </c>
      <c r="N303" s="480" t="e">
        <f t="shared" ca="1" si="24"/>
        <v>#N/A</v>
      </c>
    </row>
    <row r="304" spans="4:14" ht="14.65" customHeight="1" x14ac:dyDescent="0.25">
      <c r="D304" s="480" t="str">
        <f t="shared" si="22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480" t="e">
        <f t="shared" ca="1" si="26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480" t="e">
        <f t="shared" ca="1" si="23"/>
        <v>#N/A</v>
      </c>
      <c r="L304" s="51" t="e">
        <f t="shared" si="25"/>
        <v>#N/A</v>
      </c>
      <c r="M304" s="58" t="e">
        <f>IF(ISBLANK(A304),NA(),IFERROR(A304+(PLAYER_EXP_MAX-D304)/L304,NA()))</f>
        <v>#N/A</v>
      </c>
      <c r="N304" s="480" t="e">
        <f t="shared" ca="1" si="24"/>
        <v>#N/A</v>
      </c>
    </row>
    <row r="305" spans="4:14" ht="14.65" customHeight="1" x14ac:dyDescent="0.25">
      <c r="D305" s="480" t="str">
        <f t="shared" si="22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480" t="e">
        <f t="shared" ca="1" si="26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480" t="e">
        <f t="shared" ca="1" si="23"/>
        <v>#N/A</v>
      </c>
      <c r="L305" s="51" t="e">
        <f t="shared" si="25"/>
        <v>#N/A</v>
      </c>
      <c r="M305" s="58" t="e">
        <f>IF(ISBLANK(A305),NA(),IFERROR(A305+(PLAYER_EXP_MAX-D305)/L305,NA()))</f>
        <v>#N/A</v>
      </c>
      <c r="N305" s="480" t="e">
        <f t="shared" ca="1" si="24"/>
        <v>#N/A</v>
      </c>
    </row>
    <row r="306" spans="4:14" ht="14.65" customHeight="1" x14ac:dyDescent="0.25">
      <c r="D306" s="480" t="str">
        <f t="shared" si="22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480" t="e">
        <f t="shared" ca="1" si="26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480" t="e">
        <f t="shared" ca="1" si="23"/>
        <v>#N/A</v>
      </c>
      <c r="L306" s="51" t="e">
        <f t="shared" si="25"/>
        <v>#N/A</v>
      </c>
      <c r="M306" s="58" t="e">
        <f>IF(ISBLANK(A306),NA(),IFERROR(A306+(PLAYER_EXP_MAX-D306)/L306,NA()))</f>
        <v>#N/A</v>
      </c>
      <c r="N306" s="480" t="e">
        <f t="shared" ca="1" si="24"/>
        <v>#N/A</v>
      </c>
    </row>
    <row r="307" spans="4:14" ht="14.65" customHeight="1" x14ac:dyDescent="0.25">
      <c r="D307" s="480" t="str">
        <f t="shared" si="22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480" t="e">
        <f t="shared" ca="1" si="26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480" t="e">
        <f t="shared" ca="1" si="23"/>
        <v>#N/A</v>
      </c>
      <c r="L307" s="51" t="e">
        <f t="shared" si="25"/>
        <v>#N/A</v>
      </c>
      <c r="M307" s="58" t="e">
        <f>IF(ISBLANK(A307),NA(),IFERROR(A307+(PLAYER_EXP_MAX-D307)/L307,NA()))</f>
        <v>#N/A</v>
      </c>
      <c r="N307" s="480" t="e">
        <f t="shared" ca="1" si="24"/>
        <v>#N/A</v>
      </c>
    </row>
    <row r="308" spans="4:14" ht="14.65" customHeight="1" x14ac:dyDescent="0.25">
      <c r="D308" s="480" t="str">
        <f t="shared" si="22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480" t="e">
        <f t="shared" ca="1" si="26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480" t="e">
        <f t="shared" ca="1" si="23"/>
        <v>#N/A</v>
      </c>
      <c r="L308" s="51" t="e">
        <f t="shared" si="25"/>
        <v>#N/A</v>
      </c>
      <c r="M308" s="58" t="e">
        <f>IF(ISBLANK(A308),NA(),IFERROR(A308+(PLAYER_EXP_MAX-D308)/L308,NA()))</f>
        <v>#N/A</v>
      </c>
      <c r="N308" s="480" t="e">
        <f t="shared" ca="1" si="24"/>
        <v>#N/A</v>
      </c>
    </row>
    <row r="309" spans="4:14" ht="14.65" customHeight="1" x14ac:dyDescent="0.25">
      <c r="D309" s="480" t="str">
        <f t="shared" si="22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480" t="e">
        <f t="shared" ca="1" si="26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480" t="e">
        <f t="shared" ca="1" si="23"/>
        <v>#N/A</v>
      </c>
      <c r="L309" s="51" t="e">
        <f t="shared" si="25"/>
        <v>#N/A</v>
      </c>
      <c r="M309" s="58" t="e">
        <f>IF(ISBLANK(A309),NA(),IFERROR(A309+(PLAYER_EXP_MAX-D309)/L309,NA()))</f>
        <v>#N/A</v>
      </c>
      <c r="N309" s="480" t="e">
        <f t="shared" ca="1" si="24"/>
        <v>#N/A</v>
      </c>
    </row>
    <row r="310" spans="4:14" ht="14.65" customHeight="1" x14ac:dyDescent="0.25">
      <c r="D310" s="480" t="str">
        <f t="shared" si="22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480" t="e">
        <f t="shared" ca="1" si="26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480" t="e">
        <f t="shared" ca="1" si="23"/>
        <v>#N/A</v>
      </c>
      <c r="L310" s="51" t="e">
        <f t="shared" si="25"/>
        <v>#N/A</v>
      </c>
      <c r="M310" s="58" t="e">
        <f>IF(ISBLANK(A310),NA(),IFERROR(A310+(PLAYER_EXP_MAX-D310)/L310,NA()))</f>
        <v>#N/A</v>
      </c>
      <c r="N310" s="480" t="e">
        <f t="shared" ca="1" si="24"/>
        <v>#N/A</v>
      </c>
    </row>
    <row r="311" spans="4:14" ht="14.65" customHeight="1" x14ac:dyDescent="0.25">
      <c r="D311" s="480" t="str">
        <f t="shared" si="22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480" t="e">
        <f t="shared" ca="1" si="26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480" t="e">
        <f t="shared" ca="1" si="23"/>
        <v>#N/A</v>
      </c>
      <c r="L311" s="51" t="e">
        <f t="shared" si="25"/>
        <v>#N/A</v>
      </c>
      <c r="M311" s="58" t="e">
        <f>IF(ISBLANK(A311),NA(),IFERROR(A311+(PLAYER_EXP_MAX-D311)/L311,NA()))</f>
        <v>#N/A</v>
      </c>
      <c r="N311" s="480" t="e">
        <f t="shared" ca="1" si="24"/>
        <v>#N/A</v>
      </c>
    </row>
    <row r="312" spans="4:14" ht="14.65" customHeight="1" x14ac:dyDescent="0.25">
      <c r="D312" s="480" t="str">
        <f t="shared" si="22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480" t="e">
        <f t="shared" ca="1" si="26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480" t="e">
        <f t="shared" ca="1" si="23"/>
        <v>#N/A</v>
      </c>
      <c r="L312" s="51" t="e">
        <f t="shared" si="25"/>
        <v>#N/A</v>
      </c>
      <c r="M312" s="58" t="e">
        <f>IF(ISBLANK(A312),NA(),IFERROR(A312+(PLAYER_EXP_MAX-D312)/L312,NA()))</f>
        <v>#N/A</v>
      </c>
      <c r="N312" s="480" t="e">
        <f t="shared" ca="1" si="24"/>
        <v>#N/A</v>
      </c>
    </row>
    <row r="313" spans="4:14" ht="14.65" customHeight="1" x14ac:dyDescent="0.25">
      <c r="D313" s="480" t="str">
        <f t="shared" si="22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480" t="e">
        <f t="shared" ca="1" si="26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480" t="e">
        <f t="shared" ca="1" si="23"/>
        <v>#N/A</v>
      </c>
      <c r="L313" s="51" t="e">
        <f t="shared" si="25"/>
        <v>#N/A</v>
      </c>
      <c r="M313" s="58" t="e">
        <f>IF(ISBLANK(A313),NA(),IFERROR(A313+(PLAYER_EXP_MAX-D313)/L313,NA()))</f>
        <v>#N/A</v>
      </c>
      <c r="N313" s="480" t="e">
        <f t="shared" ca="1" si="24"/>
        <v>#N/A</v>
      </c>
    </row>
    <row r="314" spans="4:14" ht="14.65" customHeight="1" x14ac:dyDescent="0.25">
      <c r="D314" s="480" t="str">
        <f t="shared" si="22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480" t="e">
        <f t="shared" ca="1" si="26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480" t="e">
        <f t="shared" ca="1" si="23"/>
        <v>#N/A</v>
      </c>
      <c r="L314" s="51" t="e">
        <f t="shared" si="25"/>
        <v>#N/A</v>
      </c>
      <c r="M314" s="58" t="e">
        <f>IF(ISBLANK(A314),NA(),IFERROR(A314+(PLAYER_EXP_MAX-D314)/L314,NA()))</f>
        <v>#N/A</v>
      </c>
      <c r="N314" s="480" t="e">
        <f t="shared" ca="1" si="24"/>
        <v>#N/A</v>
      </c>
    </row>
    <row r="315" spans="4:14" ht="14.65" customHeight="1" x14ac:dyDescent="0.25">
      <c r="D315" s="480" t="str">
        <f t="shared" si="22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480" t="e">
        <f t="shared" ca="1" si="26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480" t="e">
        <f t="shared" ca="1" si="23"/>
        <v>#N/A</v>
      </c>
      <c r="L315" s="51" t="e">
        <f t="shared" si="25"/>
        <v>#N/A</v>
      </c>
      <c r="M315" s="58" t="e">
        <f>IF(ISBLANK(A315),NA(),IFERROR(A315+(PLAYER_EXP_MAX-D315)/L315,NA()))</f>
        <v>#N/A</v>
      </c>
      <c r="N315" s="480" t="e">
        <f t="shared" ca="1" si="24"/>
        <v>#N/A</v>
      </c>
    </row>
    <row r="316" spans="4:14" ht="14.65" customHeight="1" x14ac:dyDescent="0.25">
      <c r="D316" s="480" t="str">
        <f t="shared" si="22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480" t="e">
        <f t="shared" ca="1" si="26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480" t="e">
        <f t="shared" ca="1" si="23"/>
        <v>#N/A</v>
      </c>
      <c r="L316" s="51" t="e">
        <f t="shared" si="25"/>
        <v>#N/A</v>
      </c>
      <c r="M316" s="58" t="e">
        <f>IF(ISBLANK(A316),NA(),IFERROR(A316+(PLAYER_EXP_MAX-D316)/L316,NA()))</f>
        <v>#N/A</v>
      </c>
      <c r="N316" s="480" t="e">
        <f t="shared" ca="1" si="24"/>
        <v>#N/A</v>
      </c>
    </row>
    <row r="317" spans="4:14" ht="14.65" customHeight="1" x14ac:dyDescent="0.25">
      <c r="D317" s="480" t="str">
        <f t="shared" si="22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480" t="e">
        <f t="shared" ca="1" si="26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480" t="e">
        <f t="shared" ca="1" si="23"/>
        <v>#N/A</v>
      </c>
      <c r="L317" s="51" t="e">
        <f t="shared" si="25"/>
        <v>#N/A</v>
      </c>
      <c r="M317" s="58" t="e">
        <f>IF(ISBLANK(A317),NA(),IFERROR(A317+(PLAYER_EXP_MAX-D317)/L317,NA()))</f>
        <v>#N/A</v>
      </c>
      <c r="N317" s="480" t="e">
        <f t="shared" ca="1" si="24"/>
        <v>#N/A</v>
      </c>
    </row>
    <row r="318" spans="4:14" ht="14.65" customHeight="1" x14ac:dyDescent="0.25">
      <c r="D318" s="480" t="str">
        <f t="shared" si="22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480" t="e">
        <f t="shared" ca="1" si="26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480" t="e">
        <f t="shared" ca="1" si="23"/>
        <v>#N/A</v>
      </c>
      <c r="L318" s="51" t="e">
        <f t="shared" si="25"/>
        <v>#N/A</v>
      </c>
      <c r="M318" s="58" t="e">
        <f>IF(ISBLANK(A318),NA(),IFERROR(A318+(PLAYER_EXP_MAX-D318)/L318,NA()))</f>
        <v>#N/A</v>
      </c>
      <c r="N318" s="480" t="e">
        <f t="shared" ca="1" si="24"/>
        <v>#N/A</v>
      </c>
    </row>
    <row r="319" spans="4:14" ht="14.65" customHeight="1" x14ac:dyDescent="0.25">
      <c r="D319" s="480" t="str">
        <f t="shared" si="22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480" t="e">
        <f t="shared" ca="1" si="26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480" t="e">
        <f t="shared" ca="1" si="23"/>
        <v>#N/A</v>
      </c>
      <c r="L319" s="51" t="e">
        <f t="shared" si="25"/>
        <v>#N/A</v>
      </c>
      <c r="M319" s="58" t="e">
        <f>IF(ISBLANK(A319),NA(),IFERROR(A319+(PLAYER_EXP_MAX-D319)/L319,NA()))</f>
        <v>#N/A</v>
      </c>
      <c r="N319" s="480" t="e">
        <f t="shared" ca="1" si="24"/>
        <v>#N/A</v>
      </c>
    </row>
    <row r="320" spans="4:14" ht="14.65" customHeight="1" x14ac:dyDescent="0.25">
      <c r="D320" s="480" t="str">
        <f t="shared" si="22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480" t="e">
        <f t="shared" ca="1" si="26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480" t="e">
        <f t="shared" ca="1" si="23"/>
        <v>#N/A</v>
      </c>
      <c r="L320" s="51" t="e">
        <f t="shared" si="25"/>
        <v>#N/A</v>
      </c>
      <c r="M320" s="58" t="e">
        <f>IF(ISBLANK(A320),NA(),IFERROR(A320+(PLAYER_EXP_MAX-D320)/L320,NA()))</f>
        <v>#N/A</v>
      </c>
      <c r="N320" s="480" t="e">
        <f t="shared" ca="1" si="24"/>
        <v>#N/A</v>
      </c>
    </row>
    <row r="321" spans="4:14" ht="14.65" customHeight="1" x14ac:dyDescent="0.25">
      <c r="D321" s="480" t="str">
        <f t="shared" si="22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480" t="e">
        <f t="shared" ca="1" si="26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480" t="e">
        <f t="shared" ca="1" si="23"/>
        <v>#N/A</v>
      </c>
      <c r="L321" s="51" t="e">
        <f t="shared" si="25"/>
        <v>#N/A</v>
      </c>
      <c r="M321" s="58" t="e">
        <f>IF(ISBLANK(A321),NA(),IFERROR(A321+(PLAYER_EXP_MAX-D321)/L321,NA()))</f>
        <v>#N/A</v>
      </c>
      <c r="N321" s="480" t="e">
        <f t="shared" ca="1" si="24"/>
        <v>#N/A</v>
      </c>
    </row>
    <row r="322" spans="4:14" ht="14.65" customHeight="1" x14ac:dyDescent="0.25">
      <c r="D322" s="480" t="str">
        <f t="shared" si="22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480" t="e">
        <f t="shared" ca="1" si="26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480" t="e">
        <f t="shared" ca="1" si="23"/>
        <v>#N/A</v>
      </c>
      <c r="L322" s="51" t="e">
        <f t="shared" si="25"/>
        <v>#N/A</v>
      </c>
      <c r="M322" s="58" t="e">
        <f>IF(ISBLANK(A322),NA(),IFERROR(A322+(PLAYER_EXP_MAX-D322)/L322,NA()))</f>
        <v>#N/A</v>
      </c>
      <c r="N322" s="480" t="e">
        <f t="shared" ca="1" si="24"/>
        <v>#N/A</v>
      </c>
    </row>
    <row r="323" spans="4:14" ht="14.65" customHeight="1" x14ac:dyDescent="0.25">
      <c r="D323" s="480" t="str">
        <f t="shared" ref="D323:D386" si="27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480" t="e">
        <f t="shared" ca="1" si="26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480" t="e">
        <f t="shared" ref="K323:K386" ca="1" si="28">IF(ISBLANK(A323),NA(),IFERROR(TEXT(TRUNC(J323-NOW()),"000") &amp; " D " &amp; TEXT(TRUNC(ABS(J323-NOW()-TRUNC(J323-NOW()))*24),"00") &amp; " H", NA()))</f>
        <v>#N/A</v>
      </c>
      <c r="L323" s="51" t="e">
        <f t="shared" si="25"/>
        <v>#N/A</v>
      </c>
      <c r="M323" s="58" t="e">
        <f>IF(ISBLANK(A323),NA(),IFERROR(A323+(PLAYER_EXP_MAX-D323)/L323,NA()))</f>
        <v>#N/A</v>
      </c>
      <c r="N323" s="480" t="e">
        <f t="shared" ref="N323:N386" ca="1" si="29">IF(ISBLANK(D323),NA(),IFERROR(TEXT(TRUNC(M323-NOW()),"000") &amp; " D " &amp; TEXT(TRUNC(ABS(M323-NOW()-TRUNC(M323-NOW()))*24),"00") &amp; " H", NA()))</f>
        <v>#N/A</v>
      </c>
    </row>
    <row r="324" spans="4:14" ht="14.65" customHeight="1" x14ac:dyDescent="0.25">
      <c r="D324" s="480" t="str">
        <f t="shared" si="27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480" t="e">
        <f t="shared" ca="1" si="26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480" t="e">
        <f t="shared" ca="1" si="28"/>
        <v>#N/A</v>
      </c>
      <c r="L324" s="51" t="e">
        <f t="shared" ref="L324:L387" si="30">IFERROR(IF(OR(ISBLANK($A324),$A324-$A$3 &lt; $C$1),NA(),($D324-$D$3)/($A324-$A$3)),NA())</f>
        <v>#N/A</v>
      </c>
      <c r="M324" s="58" t="e">
        <f>IF(ISBLANK(A324),NA(),IFERROR(A324+(PLAYER_EXP_MAX-D324)/L324,NA()))</f>
        <v>#N/A</v>
      </c>
      <c r="N324" s="480" t="e">
        <f t="shared" ca="1" si="29"/>
        <v>#N/A</v>
      </c>
    </row>
    <row r="325" spans="4:14" ht="14.65" customHeight="1" x14ac:dyDescent="0.25">
      <c r="D325" s="480" t="str">
        <f t="shared" si="27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480" t="e">
        <f t="shared" ca="1" si="26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480" t="e">
        <f t="shared" ca="1" si="28"/>
        <v>#N/A</v>
      </c>
      <c r="L325" s="51" t="e">
        <f t="shared" si="30"/>
        <v>#N/A</v>
      </c>
      <c r="M325" s="58" t="e">
        <f>IF(ISBLANK(A325),NA(),IFERROR(A325+(PLAYER_EXP_MAX-D325)/L325,NA()))</f>
        <v>#N/A</v>
      </c>
      <c r="N325" s="480" t="e">
        <f t="shared" ca="1" si="29"/>
        <v>#N/A</v>
      </c>
    </row>
    <row r="326" spans="4:14" ht="14.65" customHeight="1" x14ac:dyDescent="0.25">
      <c r="D326" s="480" t="str">
        <f t="shared" si="27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480" t="e">
        <f t="shared" ca="1" si="26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480" t="e">
        <f t="shared" ca="1" si="28"/>
        <v>#N/A</v>
      </c>
      <c r="L326" s="51" t="e">
        <f t="shared" si="30"/>
        <v>#N/A</v>
      </c>
      <c r="M326" s="58" t="e">
        <f>IF(ISBLANK(A326),NA(),IFERROR(A326+(PLAYER_EXP_MAX-D326)/L326,NA()))</f>
        <v>#N/A</v>
      </c>
      <c r="N326" s="480" t="e">
        <f t="shared" ca="1" si="29"/>
        <v>#N/A</v>
      </c>
    </row>
    <row r="327" spans="4:14" ht="14.65" customHeight="1" x14ac:dyDescent="0.25">
      <c r="D327" s="480" t="str">
        <f t="shared" si="27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480" t="e">
        <f t="shared" ca="1" si="26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480" t="e">
        <f t="shared" ca="1" si="28"/>
        <v>#N/A</v>
      </c>
      <c r="L327" s="51" t="e">
        <f t="shared" si="30"/>
        <v>#N/A</v>
      </c>
      <c r="M327" s="58" t="e">
        <f>IF(ISBLANK(A327),NA(),IFERROR(A327+(PLAYER_EXP_MAX-D327)/L327,NA()))</f>
        <v>#N/A</v>
      </c>
      <c r="N327" s="480" t="e">
        <f t="shared" ca="1" si="29"/>
        <v>#N/A</v>
      </c>
    </row>
    <row r="328" spans="4:14" ht="14.65" customHeight="1" x14ac:dyDescent="0.25">
      <c r="D328" s="480" t="str">
        <f t="shared" si="27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480" t="e">
        <f t="shared" ca="1" si="26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480" t="e">
        <f t="shared" ca="1" si="28"/>
        <v>#N/A</v>
      </c>
      <c r="L328" s="51" t="e">
        <f t="shared" si="30"/>
        <v>#N/A</v>
      </c>
      <c r="M328" s="58" t="e">
        <f>IF(ISBLANK(A328),NA(),IFERROR(A328+(PLAYER_EXP_MAX-D328)/L328,NA()))</f>
        <v>#N/A</v>
      </c>
      <c r="N328" s="480" t="e">
        <f t="shared" ca="1" si="29"/>
        <v>#N/A</v>
      </c>
    </row>
    <row r="329" spans="4:14" ht="14.65" customHeight="1" x14ac:dyDescent="0.25">
      <c r="D329" s="480" t="str">
        <f t="shared" si="27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480" t="e">
        <f t="shared" ca="1" si="26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480" t="e">
        <f t="shared" ca="1" si="28"/>
        <v>#N/A</v>
      </c>
      <c r="L329" s="51" t="e">
        <f t="shared" si="30"/>
        <v>#N/A</v>
      </c>
      <c r="M329" s="58" t="e">
        <f>IF(ISBLANK(A329),NA(),IFERROR(A329+(PLAYER_EXP_MAX-D329)/L329,NA()))</f>
        <v>#N/A</v>
      </c>
      <c r="N329" s="480" t="e">
        <f t="shared" ca="1" si="29"/>
        <v>#N/A</v>
      </c>
    </row>
    <row r="330" spans="4:14" ht="14.65" customHeight="1" x14ac:dyDescent="0.25">
      <c r="D330" s="480" t="str">
        <f t="shared" si="27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480" t="e">
        <f t="shared" ca="1" si="26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480" t="e">
        <f t="shared" ca="1" si="28"/>
        <v>#N/A</v>
      </c>
      <c r="L330" s="51" t="e">
        <f t="shared" si="30"/>
        <v>#N/A</v>
      </c>
      <c r="M330" s="58" t="e">
        <f>IF(ISBLANK(A330),NA(),IFERROR(A330+(PLAYER_EXP_MAX-D330)/L330,NA()))</f>
        <v>#N/A</v>
      </c>
      <c r="N330" s="480" t="e">
        <f t="shared" ca="1" si="29"/>
        <v>#N/A</v>
      </c>
    </row>
    <row r="331" spans="4:14" ht="14.65" customHeight="1" x14ac:dyDescent="0.25">
      <c r="D331" s="480" t="str">
        <f t="shared" si="27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480" t="e">
        <f t="shared" ca="1" si="26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480" t="e">
        <f t="shared" ca="1" si="28"/>
        <v>#N/A</v>
      </c>
      <c r="L331" s="51" t="e">
        <f t="shared" si="30"/>
        <v>#N/A</v>
      </c>
      <c r="M331" s="58" t="e">
        <f>IF(ISBLANK(A331),NA(),IFERROR(A331+(PLAYER_EXP_MAX-D331)/L331,NA()))</f>
        <v>#N/A</v>
      </c>
      <c r="N331" s="480" t="e">
        <f t="shared" ca="1" si="29"/>
        <v>#N/A</v>
      </c>
    </row>
    <row r="332" spans="4:14" ht="14.65" customHeight="1" x14ac:dyDescent="0.25">
      <c r="D332" s="480" t="str">
        <f t="shared" si="27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480" t="e">
        <f t="shared" ca="1" si="26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480" t="e">
        <f t="shared" ca="1" si="28"/>
        <v>#N/A</v>
      </c>
      <c r="L332" s="51" t="e">
        <f t="shared" si="30"/>
        <v>#N/A</v>
      </c>
      <c r="M332" s="58" t="e">
        <f>IF(ISBLANK(A332),NA(),IFERROR(A332+(PLAYER_EXP_MAX-D332)/L332,NA()))</f>
        <v>#N/A</v>
      </c>
      <c r="N332" s="480" t="e">
        <f t="shared" ca="1" si="29"/>
        <v>#N/A</v>
      </c>
    </row>
    <row r="333" spans="4:14" ht="14.65" customHeight="1" x14ac:dyDescent="0.25">
      <c r="D333" s="480" t="str">
        <f t="shared" si="27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480" t="e">
        <f t="shared" ca="1" si="26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480" t="e">
        <f t="shared" ca="1" si="28"/>
        <v>#N/A</v>
      </c>
      <c r="L333" s="51" t="e">
        <f t="shared" si="30"/>
        <v>#N/A</v>
      </c>
      <c r="M333" s="58" t="e">
        <f>IF(ISBLANK(A333),NA(),IFERROR(A333+(PLAYER_EXP_MAX-D333)/L333,NA()))</f>
        <v>#N/A</v>
      </c>
      <c r="N333" s="480" t="e">
        <f t="shared" ca="1" si="29"/>
        <v>#N/A</v>
      </c>
    </row>
    <row r="334" spans="4:14" ht="14.65" customHeight="1" x14ac:dyDescent="0.25">
      <c r="D334" s="480" t="str">
        <f t="shared" si="27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480" t="e">
        <f t="shared" ca="1" si="26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480" t="e">
        <f t="shared" ca="1" si="28"/>
        <v>#N/A</v>
      </c>
      <c r="L334" s="51" t="e">
        <f t="shared" si="30"/>
        <v>#N/A</v>
      </c>
      <c r="M334" s="58" t="e">
        <f>IF(ISBLANK(A334),NA(),IFERROR(A334+(PLAYER_EXP_MAX-D334)/L334,NA()))</f>
        <v>#N/A</v>
      </c>
      <c r="N334" s="480" t="e">
        <f t="shared" ca="1" si="29"/>
        <v>#N/A</v>
      </c>
    </row>
    <row r="335" spans="4:14" ht="14.65" customHeight="1" x14ac:dyDescent="0.25">
      <c r="D335" s="480" t="str">
        <f t="shared" si="27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480" t="e">
        <f t="shared" ca="1" si="26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480" t="e">
        <f t="shared" ca="1" si="28"/>
        <v>#N/A</v>
      </c>
      <c r="L335" s="51" t="e">
        <f t="shared" si="30"/>
        <v>#N/A</v>
      </c>
      <c r="M335" s="58" t="e">
        <f>IF(ISBLANK(A335),NA(),IFERROR(A335+(PLAYER_EXP_MAX-D335)/L335,NA()))</f>
        <v>#N/A</v>
      </c>
      <c r="N335" s="480" t="e">
        <f t="shared" ca="1" si="29"/>
        <v>#N/A</v>
      </c>
    </row>
    <row r="336" spans="4:14" ht="14.65" customHeight="1" x14ac:dyDescent="0.25">
      <c r="D336" s="480" t="str">
        <f t="shared" si="27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480" t="e">
        <f t="shared" ca="1" si="26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480" t="e">
        <f t="shared" ca="1" si="28"/>
        <v>#N/A</v>
      </c>
      <c r="L336" s="51" t="e">
        <f t="shared" si="30"/>
        <v>#N/A</v>
      </c>
      <c r="M336" s="58" t="e">
        <f>IF(ISBLANK(A336),NA(),IFERROR(A336+(PLAYER_EXP_MAX-D336)/L336,NA()))</f>
        <v>#N/A</v>
      </c>
      <c r="N336" s="480" t="e">
        <f t="shared" ca="1" si="29"/>
        <v>#N/A</v>
      </c>
    </row>
    <row r="337" spans="4:14" ht="14.65" customHeight="1" x14ac:dyDescent="0.25">
      <c r="D337" s="480" t="str">
        <f t="shared" si="27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480" t="e">
        <f t="shared" ca="1" si="26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480" t="e">
        <f t="shared" ca="1" si="28"/>
        <v>#N/A</v>
      </c>
      <c r="L337" s="51" t="e">
        <f t="shared" si="30"/>
        <v>#N/A</v>
      </c>
      <c r="M337" s="58" t="e">
        <f>IF(ISBLANK(A337),NA(),IFERROR(A337+(PLAYER_EXP_MAX-D337)/L337,NA()))</f>
        <v>#N/A</v>
      </c>
      <c r="N337" s="480" t="e">
        <f t="shared" ca="1" si="29"/>
        <v>#N/A</v>
      </c>
    </row>
    <row r="338" spans="4:14" ht="14.65" customHeight="1" x14ac:dyDescent="0.25">
      <c r="D338" s="480" t="str">
        <f t="shared" si="27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480" t="e">
        <f t="shared" ca="1" si="26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480" t="e">
        <f t="shared" ca="1" si="28"/>
        <v>#N/A</v>
      </c>
      <c r="L338" s="51" t="e">
        <f t="shared" si="30"/>
        <v>#N/A</v>
      </c>
      <c r="M338" s="58" t="e">
        <f>IF(ISBLANK(A338),NA(),IFERROR(A338+(PLAYER_EXP_MAX-D338)/L338,NA()))</f>
        <v>#N/A</v>
      </c>
      <c r="N338" s="480" t="e">
        <f t="shared" ca="1" si="29"/>
        <v>#N/A</v>
      </c>
    </row>
    <row r="339" spans="4:14" ht="14.65" customHeight="1" x14ac:dyDescent="0.25">
      <c r="D339" s="480" t="str">
        <f t="shared" si="27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480" t="e">
        <f t="shared" ca="1" si="26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480" t="e">
        <f t="shared" ca="1" si="28"/>
        <v>#N/A</v>
      </c>
      <c r="L339" s="51" t="e">
        <f t="shared" si="30"/>
        <v>#N/A</v>
      </c>
      <c r="M339" s="58" t="e">
        <f>IF(ISBLANK(A339),NA(),IFERROR(A339+(PLAYER_EXP_MAX-D339)/L339,NA()))</f>
        <v>#N/A</v>
      </c>
      <c r="N339" s="480" t="e">
        <f t="shared" ca="1" si="29"/>
        <v>#N/A</v>
      </c>
    </row>
    <row r="340" spans="4:14" ht="14.65" customHeight="1" x14ac:dyDescent="0.25">
      <c r="D340" s="480" t="str">
        <f t="shared" si="27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480" t="e">
        <f t="shared" ca="1" si="26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480" t="e">
        <f t="shared" ca="1" si="28"/>
        <v>#N/A</v>
      </c>
      <c r="L340" s="51" t="e">
        <f t="shared" si="30"/>
        <v>#N/A</v>
      </c>
      <c r="M340" s="58" t="e">
        <f>IF(ISBLANK(A340),NA(),IFERROR(A340+(PLAYER_EXP_MAX-D340)/L340,NA()))</f>
        <v>#N/A</v>
      </c>
      <c r="N340" s="480" t="e">
        <f t="shared" ca="1" si="29"/>
        <v>#N/A</v>
      </c>
    </row>
    <row r="341" spans="4:14" ht="14.65" customHeight="1" x14ac:dyDescent="0.25">
      <c r="D341" s="480" t="str">
        <f t="shared" si="27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480" t="e">
        <f t="shared" ca="1" si="26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480" t="e">
        <f t="shared" ca="1" si="28"/>
        <v>#N/A</v>
      </c>
      <c r="L341" s="51" t="e">
        <f t="shared" si="30"/>
        <v>#N/A</v>
      </c>
      <c r="M341" s="58" t="e">
        <f>IF(ISBLANK(A341),NA(),IFERROR(A341+(PLAYER_EXP_MAX-D341)/L341,NA()))</f>
        <v>#N/A</v>
      </c>
      <c r="N341" s="480" t="e">
        <f t="shared" ca="1" si="29"/>
        <v>#N/A</v>
      </c>
    </row>
    <row r="342" spans="4:14" ht="14.65" customHeight="1" x14ac:dyDescent="0.25">
      <c r="D342" s="480" t="str">
        <f t="shared" si="27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480" t="e">
        <f t="shared" ca="1" si="26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480" t="e">
        <f t="shared" ca="1" si="28"/>
        <v>#N/A</v>
      </c>
      <c r="L342" s="51" t="e">
        <f t="shared" si="30"/>
        <v>#N/A</v>
      </c>
      <c r="M342" s="58" t="e">
        <f>IF(ISBLANK(A342),NA(),IFERROR(A342+(PLAYER_EXP_MAX-D342)/L342,NA()))</f>
        <v>#N/A</v>
      </c>
      <c r="N342" s="480" t="e">
        <f t="shared" ca="1" si="29"/>
        <v>#N/A</v>
      </c>
    </row>
    <row r="343" spans="4:14" ht="14.65" customHeight="1" x14ac:dyDescent="0.25">
      <c r="D343" s="480" t="str">
        <f t="shared" si="27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480" t="e">
        <f t="shared" ca="1" si="26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480" t="e">
        <f t="shared" ca="1" si="28"/>
        <v>#N/A</v>
      </c>
      <c r="L343" s="51" t="e">
        <f t="shared" si="30"/>
        <v>#N/A</v>
      </c>
      <c r="M343" s="58" t="e">
        <f>IF(ISBLANK(A343),NA(),IFERROR(A343+(PLAYER_EXP_MAX-D343)/L343,NA()))</f>
        <v>#N/A</v>
      </c>
      <c r="N343" s="480" t="e">
        <f t="shared" ca="1" si="29"/>
        <v>#N/A</v>
      </c>
    </row>
    <row r="344" spans="4:14" ht="14.65" customHeight="1" x14ac:dyDescent="0.25">
      <c r="D344" s="480" t="str">
        <f t="shared" si="27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480" t="e">
        <f t="shared" ca="1" si="26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480" t="e">
        <f t="shared" ca="1" si="28"/>
        <v>#N/A</v>
      </c>
      <c r="L344" s="51" t="e">
        <f t="shared" si="30"/>
        <v>#N/A</v>
      </c>
      <c r="M344" s="58" t="e">
        <f>IF(ISBLANK(A344),NA(),IFERROR(A344+(PLAYER_EXP_MAX-D344)/L344,NA()))</f>
        <v>#N/A</v>
      </c>
      <c r="N344" s="480" t="e">
        <f t="shared" ca="1" si="29"/>
        <v>#N/A</v>
      </c>
    </row>
    <row r="345" spans="4:14" ht="14.65" customHeight="1" x14ac:dyDescent="0.25">
      <c r="D345" s="480" t="str">
        <f t="shared" si="27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480" t="e">
        <f t="shared" ca="1" si="26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480" t="e">
        <f t="shared" ca="1" si="28"/>
        <v>#N/A</v>
      </c>
      <c r="L345" s="51" t="e">
        <f t="shared" si="30"/>
        <v>#N/A</v>
      </c>
      <c r="M345" s="58" t="e">
        <f>IF(ISBLANK(A345),NA(),IFERROR(A345+(PLAYER_EXP_MAX-D345)/L345,NA()))</f>
        <v>#N/A</v>
      </c>
      <c r="N345" s="480" t="e">
        <f t="shared" ca="1" si="29"/>
        <v>#N/A</v>
      </c>
    </row>
    <row r="346" spans="4:14" ht="14.65" customHeight="1" x14ac:dyDescent="0.25">
      <c r="D346" s="480" t="str">
        <f t="shared" si="27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480" t="e">
        <f t="shared" ca="1" si="26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480" t="e">
        <f t="shared" ca="1" si="28"/>
        <v>#N/A</v>
      </c>
      <c r="L346" s="51" t="e">
        <f t="shared" si="30"/>
        <v>#N/A</v>
      </c>
      <c r="M346" s="58" t="e">
        <f>IF(ISBLANK(A346),NA(),IFERROR(A346+(PLAYER_EXP_MAX-D346)/L346,NA()))</f>
        <v>#N/A</v>
      </c>
      <c r="N346" s="480" t="e">
        <f t="shared" ca="1" si="29"/>
        <v>#N/A</v>
      </c>
    </row>
    <row r="347" spans="4:14" ht="14.65" customHeight="1" x14ac:dyDescent="0.25">
      <c r="D347" s="480" t="str">
        <f t="shared" si="27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480" t="e">
        <f t="shared" ca="1" si="26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480" t="e">
        <f t="shared" ca="1" si="28"/>
        <v>#N/A</v>
      </c>
      <c r="L347" s="51" t="e">
        <f t="shared" si="30"/>
        <v>#N/A</v>
      </c>
      <c r="M347" s="58" t="e">
        <f>IF(ISBLANK(A347),NA(),IFERROR(A347+(PLAYER_EXP_MAX-D347)/L347,NA()))</f>
        <v>#N/A</v>
      </c>
      <c r="N347" s="480" t="e">
        <f t="shared" ca="1" si="29"/>
        <v>#N/A</v>
      </c>
    </row>
    <row r="348" spans="4:14" ht="14.65" customHeight="1" x14ac:dyDescent="0.25">
      <c r="D348" s="480" t="str">
        <f t="shared" si="27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480" t="e">
        <f t="shared" ca="1" si="26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480" t="e">
        <f t="shared" ca="1" si="28"/>
        <v>#N/A</v>
      </c>
      <c r="L348" s="51" t="e">
        <f t="shared" si="30"/>
        <v>#N/A</v>
      </c>
      <c r="M348" s="58" t="e">
        <f>IF(ISBLANK(A348),NA(),IFERROR(A348+(PLAYER_EXP_MAX-D348)/L348,NA()))</f>
        <v>#N/A</v>
      </c>
      <c r="N348" s="480" t="e">
        <f t="shared" ca="1" si="29"/>
        <v>#N/A</v>
      </c>
    </row>
    <row r="349" spans="4:14" ht="14.65" customHeight="1" x14ac:dyDescent="0.25">
      <c r="D349" s="480" t="str">
        <f t="shared" si="27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480" t="e">
        <f t="shared" ca="1" si="26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480" t="e">
        <f t="shared" ca="1" si="28"/>
        <v>#N/A</v>
      </c>
      <c r="L349" s="51" t="e">
        <f t="shared" si="30"/>
        <v>#N/A</v>
      </c>
      <c r="M349" s="58" t="e">
        <f>IF(ISBLANK(A349),NA(),IFERROR(A349+(PLAYER_EXP_MAX-D349)/L349,NA()))</f>
        <v>#N/A</v>
      </c>
      <c r="N349" s="480" t="e">
        <f t="shared" ca="1" si="29"/>
        <v>#N/A</v>
      </c>
    </row>
    <row r="350" spans="4:14" ht="14.65" customHeight="1" x14ac:dyDescent="0.25">
      <c r="D350" s="480" t="str">
        <f t="shared" si="27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480" t="e">
        <f t="shared" ca="1" si="26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480" t="e">
        <f t="shared" ca="1" si="28"/>
        <v>#N/A</v>
      </c>
      <c r="L350" s="51" t="e">
        <f t="shared" si="30"/>
        <v>#N/A</v>
      </c>
      <c r="M350" s="58" t="e">
        <f>IF(ISBLANK(A350),NA(),IFERROR(A350+(PLAYER_EXP_MAX-D350)/L350,NA()))</f>
        <v>#N/A</v>
      </c>
      <c r="N350" s="480" t="e">
        <f t="shared" ca="1" si="29"/>
        <v>#N/A</v>
      </c>
    </row>
    <row r="351" spans="4:14" ht="14.65" customHeight="1" x14ac:dyDescent="0.25">
      <c r="D351" s="480" t="str">
        <f t="shared" si="27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480" t="e">
        <f t="shared" ref="H351:H414" ca="1" si="31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480" t="e">
        <f t="shared" ca="1" si="28"/>
        <v>#N/A</v>
      </c>
      <c r="L351" s="51" t="e">
        <f t="shared" si="30"/>
        <v>#N/A</v>
      </c>
      <c r="M351" s="58" t="e">
        <f>IF(ISBLANK(A351),NA(),IFERROR(A351+(PLAYER_EXP_MAX-D351)/L351,NA()))</f>
        <v>#N/A</v>
      </c>
      <c r="N351" s="480" t="e">
        <f t="shared" ca="1" si="29"/>
        <v>#N/A</v>
      </c>
    </row>
    <row r="352" spans="4:14" ht="14.65" customHeight="1" x14ac:dyDescent="0.25">
      <c r="D352" s="480" t="str">
        <f t="shared" si="27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480" t="e">
        <f t="shared" ca="1" si="31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480" t="e">
        <f t="shared" ca="1" si="28"/>
        <v>#N/A</v>
      </c>
      <c r="L352" s="51" t="e">
        <f t="shared" si="30"/>
        <v>#N/A</v>
      </c>
      <c r="M352" s="58" t="e">
        <f>IF(ISBLANK(A352),NA(),IFERROR(A352+(PLAYER_EXP_MAX-D352)/L352,NA()))</f>
        <v>#N/A</v>
      </c>
      <c r="N352" s="480" t="e">
        <f t="shared" ca="1" si="29"/>
        <v>#N/A</v>
      </c>
    </row>
    <row r="353" spans="4:14" ht="14.65" customHeight="1" x14ac:dyDescent="0.25">
      <c r="D353" s="480" t="str">
        <f t="shared" si="27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480" t="e">
        <f t="shared" ca="1" si="31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480" t="e">
        <f t="shared" ca="1" si="28"/>
        <v>#N/A</v>
      </c>
      <c r="L353" s="51" t="e">
        <f t="shared" si="30"/>
        <v>#N/A</v>
      </c>
      <c r="M353" s="58" t="e">
        <f>IF(ISBLANK(A353),NA(),IFERROR(A353+(PLAYER_EXP_MAX-D353)/L353,NA()))</f>
        <v>#N/A</v>
      </c>
      <c r="N353" s="480" t="e">
        <f t="shared" ca="1" si="29"/>
        <v>#N/A</v>
      </c>
    </row>
    <row r="354" spans="4:14" ht="14.65" customHeight="1" x14ac:dyDescent="0.25">
      <c r="D354" s="480" t="str">
        <f t="shared" si="27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480" t="e">
        <f t="shared" ca="1" si="31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480" t="e">
        <f t="shared" ca="1" si="28"/>
        <v>#N/A</v>
      </c>
      <c r="L354" s="51" t="e">
        <f t="shared" si="30"/>
        <v>#N/A</v>
      </c>
      <c r="M354" s="58" t="e">
        <f>IF(ISBLANK(A354),NA(),IFERROR(A354+(PLAYER_EXP_MAX-D354)/L354,NA()))</f>
        <v>#N/A</v>
      </c>
      <c r="N354" s="480" t="e">
        <f t="shared" ca="1" si="29"/>
        <v>#N/A</v>
      </c>
    </row>
    <row r="355" spans="4:14" ht="14.65" customHeight="1" x14ac:dyDescent="0.25">
      <c r="D355" s="480" t="str">
        <f t="shared" si="27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480" t="e">
        <f t="shared" ca="1" si="31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480" t="e">
        <f t="shared" ca="1" si="28"/>
        <v>#N/A</v>
      </c>
      <c r="L355" s="51" t="e">
        <f t="shared" si="30"/>
        <v>#N/A</v>
      </c>
      <c r="M355" s="58" t="e">
        <f>IF(ISBLANK(A355),NA(),IFERROR(A355+(PLAYER_EXP_MAX-D355)/L355,NA()))</f>
        <v>#N/A</v>
      </c>
      <c r="N355" s="480" t="e">
        <f t="shared" ca="1" si="29"/>
        <v>#N/A</v>
      </c>
    </row>
    <row r="356" spans="4:14" ht="14.65" customHeight="1" x14ac:dyDescent="0.25">
      <c r="D356" s="480" t="str">
        <f t="shared" si="27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480" t="e">
        <f t="shared" ca="1" si="31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480" t="e">
        <f t="shared" ca="1" si="28"/>
        <v>#N/A</v>
      </c>
      <c r="L356" s="51" t="e">
        <f t="shared" si="30"/>
        <v>#N/A</v>
      </c>
      <c r="M356" s="58" t="e">
        <f>IF(ISBLANK(A356),NA(),IFERROR(A356+(PLAYER_EXP_MAX-D356)/L356,NA()))</f>
        <v>#N/A</v>
      </c>
      <c r="N356" s="480" t="e">
        <f t="shared" ca="1" si="29"/>
        <v>#N/A</v>
      </c>
    </row>
    <row r="357" spans="4:14" ht="14.65" customHeight="1" x14ac:dyDescent="0.25">
      <c r="D357" s="480" t="str">
        <f t="shared" si="27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480" t="e">
        <f t="shared" ca="1" si="31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480" t="e">
        <f t="shared" ca="1" si="28"/>
        <v>#N/A</v>
      </c>
      <c r="L357" s="51" t="e">
        <f t="shared" si="30"/>
        <v>#N/A</v>
      </c>
      <c r="M357" s="58" t="e">
        <f>IF(ISBLANK(A357),NA(),IFERROR(A357+(PLAYER_EXP_MAX-D357)/L357,NA()))</f>
        <v>#N/A</v>
      </c>
      <c r="N357" s="480" t="e">
        <f t="shared" ca="1" si="29"/>
        <v>#N/A</v>
      </c>
    </row>
    <row r="358" spans="4:14" ht="14.65" customHeight="1" x14ac:dyDescent="0.25">
      <c r="D358" s="480" t="str">
        <f t="shared" si="27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480" t="e">
        <f t="shared" ca="1" si="31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480" t="e">
        <f t="shared" ca="1" si="28"/>
        <v>#N/A</v>
      </c>
      <c r="L358" s="51" t="e">
        <f t="shared" si="30"/>
        <v>#N/A</v>
      </c>
      <c r="M358" s="58" t="e">
        <f>IF(ISBLANK(A358),NA(),IFERROR(A358+(PLAYER_EXP_MAX-D358)/L358,NA()))</f>
        <v>#N/A</v>
      </c>
      <c r="N358" s="480" t="e">
        <f t="shared" ca="1" si="29"/>
        <v>#N/A</v>
      </c>
    </row>
    <row r="359" spans="4:14" ht="14.65" customHeight="1" x14ac:dyDescent="0.25">
      <c r="D359" s="480" t="str">
        <f t="shared" si="27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480" t="e">
        <f t="shared" ca="1" si="31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480" t="e">
        <f t="shared" ca="1" si="28"/>
        <v>#N/A</v>
      </c>
      <c r="L359" s="51" t="e">
        <f t="shared" si="30"/>
        <v>#N/A</v>
      </c>
      <c r="M359" s="58" t="e">
        <f>IF(ISBLANK(A359),NA(),IFERROR(A359+(PLAYER_EXP_MAX-D359)/L359,NA()))</f>
        <v>#N/A</v>
      </c>
      <c r="N359" s="480" t="e">
        <f t="shared" ca="1" si="29"/>
        <v>#N/A</v>
      </c>
    </row>
    <row r="360" spans="4:14" ht="14.65" customHeight="1" x14ac:dyDescent="0.25">
      <c r="D360" s="480" t="str">
        <f t="shared" si="27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480" t="e">
        <f t="shared" ca="1" si="31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480" t="e">
        <f t="shared" ca="1" si="28"/>
        <v>#N/A</v>
      </c>
      <c r="L360" s="51" t="e">
        <f t="shared" si="30"/>
        <v>#N/A</v>
      </c>
      <c r="M360" s="58" t="e">
        <f>IF(ISBLANK(A360),NA(),IFERROR(A360+(PLAYER_EXP_MAX-D360)/L360,NA()))</f>
        <v>#N/A</v>
      </c>
      <c r="N360" s="480" t="e">
        <f t="shared" ca="1" si="29"/>
        <v>#N/A</v>
      </c>
    </row>
    <row r="361" spans="4:14" ht="14.65" customHeight="1" x14ac:dyDescent="0.25">
      <c r="D361" s="480" t="str">
        <f t="shared" si="27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480" t="e">
        <f t="shared" ca="1" si="31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480" t="e">
        <f t="shared" ca="1" si="28"/>
        <v>#N/A</v>
      </c>
      <c r="L361" s="51" t="e">
        <f t="shared" si="30"/>
        <v>#N/A</v>
      </c>
      <c r="M361" s="58" t="e">
        <f>IF(ISBLANK(A361),NA(),IFERROR(A361+(PLAYER_EXP_MAX-D361)/L361,NA()))</f>
        <v>#N/A</v>
      </c>
      <c r="N361" s="480" t="e">
        <f t="shared" ca="1" si="29"/>
        <v>#N/A</v>
      </c>
    </row>
    <row r="362" spans="4:14" ht="14.65" customHeight="1" x14ac:dyDescent="0.25">
      <c r="D362" s="480" t="str">
        <f t="shared" si="27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480" t="e">
        <f t="shared" ca="1" si="31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480" t="e">
        <f t="shared" ca="1" si="28"/>
        <v>#N/A</v>
      </c>
      <c r="L362" s="51" t="e">
        <f t="shared" si="30"/>
        <v>#N/A</v>
      </c>
      <c r="M362" s="58" t="e">
        <f>IF(ISBLANK(A362),NA(),IFERROR(A362+(PLAYER_EXP_MAX-D362)/L362,NA()))</f>
        <v>#N/A</v>
      </c>
      <c r="N362" s="480" t="e">
        <f t="shared" ca="1" si="29"/>
        <v>#N/A</v>
      </c>
    </row>
    <row r="363" spans="4:14" ht="14.65" customHeight="1" x14ac:dyDescent="0.25">
      <c r="D363" s="480" t="str">
        <f t="shared" si="27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480" t="e">
        <f t="shared" ca="1" si="31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480" t="e">
        <f t="shared" ca="1" si="28"/>
        <v>#N/A</v>
      </c>
      <c r="L363" s="51" t="e">
        <f t="shared" si="30"/>
        <v>#N/A</v>
      </c>
      <c r="M363" s="58" t="e">
        <f>IF(ISBLANK(A363),NA(),IFERROR(A363+(PLAYER_EXP_MAX-D363)/L363,NA()))</f>
        <v>#N/A</v>
      </c>
      <c r="N363" s="480" t="e">
        <f t="shared" ca="1" si="29"/>
        <v>#N/A</v>
      </c>
    </row>
    <row r="364" spans="4:14" ht="14.65" customHeight="1" x14ac:dyDescent="0.25">
      <c r="D364" s="480" t="str">
        <f t="shared" si="27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480" t="e">
        <f t="shared" ca="1" si="31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480" t="e">
        <f t="shared" ca="1" si="28"/>
        <v>#N/A</v>
      </c>
      <c r="L364" s="51" t="e">
        <f t="shared" si="30"/>
        <v>#N/A</v>
      </c>
      <c r="M364" s="58" t="e">
        <f>IF(ISBLANK(A364),NA(),IFERROR(A364+(PLAYER_EXP_MAX-D364)/L364,NA()))</f>
        <v>#N/A</v>
      </c>
      <c r="N364" s="480" t="e">
        <f t="shared" ca="1" si="29"/>
        <v>#N/A</v>
      </c>
    </row>
    <row r="365" spans="4:14" ht="14.65" customHeight="1" x14ac:dyDescent="0.25">
      <c r="D365" s="480" t="str">
        <f t="shared" si="27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480" t="e">
        <f t="shared" ca="1" si="31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480" t="e">
        <f t="shared" ca="1" si="28"/>
        <v>#N/A</v>
      </c>
      <c r="L365" s="51" t="e">
        <f t="shared" si="30"/>
        <v>#N/A</v>
      </c>
      <c r="M365" s="58" t="e">
        <f>IF(ISBLANK(A365),NA(),IFERROR(A365+(PLAYER_EXP_MAX-D365)/L365,NA()))</f>
        <v>#N/A</v>
      </c>
      <c r="N365" s="480" t="e">
        <f t="shared" ca="1" si="29"/>
        <v>#N/A</v>
      </c>
    </row>
    <row r="366" spans="4:14" ht="14.65" customHeight="1" x14ac:dyDescent="0.25">
      <c r="D366" s="480" t="str">
        <f t="shared" si="27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480" t="e">
        <f t="shared" ca="1" si="31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480" t="e">
        <f t="shared" ca="1" si="28"/>
        <v>#N/A</v>
      </c>
      <c r="L366" s="51" t="e">
        <f t="shared" si="30"/>
        <v>#N/A</v>
      </c>
      <c r="M366" s="58" t="e">
        <f>IF(ISBLANK(A366),NA(),IFERROR(A366+(PLAYER_EXP_MAX-D366)/L366,NA()))</f>
        <v>#N/A</v>
      </c>
      <c r="N366" s="480" t="e">
        <f t="shared" ca="1" si="29"/>
        <v>#N/A</v>
      </c>
    </row>
    <row r="367" spans="4:14" ht="14.65" customHeight="1" x14ac:dyDescent="0.25">
      <c r="D367" s="480" t="str">
        <f t="shared" si="27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480" t="e">
        <f t="shared" ca="1" si="31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480" t="e">
        <f t="shared" ca="1" si="28"/>
        <v>#N/A</v>
      </c>
      <c r="L367" s="51" t="e">
        <f t="shared" si="30"/>
        <v>#N/A</v>
      </c>
      <c r="M367" s="58" t="e">
        <f>IF(ISBLANK(A367),NA(),IFERROR(A367+(PLAYER_EXP_MAX-D367)/L367,NA()))</f>
        <v>#N/A</v>
      </c>
      <c r="N367" s="480" t="e">
        <f t="shared" ca="1" si="29"/>
        <v>#N/A</v>
      </c>
    </row>
    <row r="368" spans="4:14" ht="14.65" customHeight="1" x14ac:dyDescent="0.25">
      <c r="D368" s="480" t="str">
        <f t="shared" si="27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480" t="e">
        <f t="shared" ca="1" si="31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480" t="e">
        <f t="shared" ca="1" si="28"/>
        <v>#N/A</v>
      </c>
      <c r="L368" s="51" t="e">
        <f t="shared" si="30"/>
        <v>#N/A</v>
      </c>
      <c r="M368" s="58" t="e">
        <f>IF(ISBLANK(A368),NA(),IFERROR(A368+(PLAYER_EXP_MAX-D368)/L368,NA()))</f>
        <v>#N/A</v>
      </c>
      <c r="N368" s="480" t="e">
        <f t="shared" ca="1" si="29"/>
        <v>#N/A</v>
      </c>
    </row>
    <row r="369" spans="4:14" ht="14.65" customHeight="1" x14ac:dyDescent="0.25">
      <c r="D369" s="480" t="str">
        <f t="shared" si="27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480" t="e">
        <f t="shared" ca="1" si="31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480" t="e">
        <f t="shared" ca="1" si="28"/>
        <v>#N/A</v>
      </c>
      <c r="L369" s="51" t="e">
        <f t="shared" si="30"/>
        <v>#N/A</v>
      </c>
      <c r="M369" s="58" t="e">
        <f>IF(ISBLANK(A369),NA(),IFERROR(A369+(PLAYER_EXP_MAX-D369)/L369,NA()))</f>
        <v>#N/A</v>
      </c>
      <c r="N369" s="480" t="e">
        <f t="shared" ca="1" si="29"/>
        <v>#N/A</v>
      </c>
    </row>
    <row r="370" spans="4:14" ht="14.65" customHeight="1" x14ac:dyDescent="0.25">
      <c r="D370" s="480" t="str">
        <f t="shared" si="27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480" t="e">
        <f t="shared" ca="1" si="31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480" t="e">
        <f t="shared" ca="1" si="28"/>
        <v>#N/A</v>
      </c>
      <c r="L370" s="51" t="e">
        <f t="shared" si="30"/>
        <v>#N/A</v>
      </c>
      <c r="M370" s="58" t="e">
        <f>IF(ISBLANK(A370),NA(),IFERROR(A370+(PLAYER_EXP_MAX-D370)/L370,NA()))</f>
        <v>#N/A</v>
      </c>
      <c r="N370" s="480" t="e">
        <f t="shared" ca="1" si="29"/>
        <v>#N/A</v>
      </c>
    </row>
    <row r="371" spans="4:14" ht="14.65" customHeight="1" x14ac:dyDescent="0.25">
      <c r="D371" s="480" t="str">
        <f t="shared" si="27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480" t="e">
        <f t="shared" ca="1" si="31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480" t="e">
        <f t="shared" ca="1" si="28"/>
        <v>#N/A</v>
      </c>
      <c r="L371" s="51" t="e">
        <f t="shared" si="30"/>
        <v>#N/A</v>
      </c>
      <c r="M371" s="58" t="e">
        <f>IF(ISBLANK(A371),NA(),IFERROR(A371+(PLAYER_EXP_MAX-D371)/L371,NA()))</f>
        <v>#N/A</v>
      </c>
      <c r="N371" s="480" t="e">
        <f t="shared" ca="1" si="29"/>
        <v>#N/A</v>
      </c>
    </row>
    <row r="372" spans="4:14" ht="14.65" customHeight="1" x14ac:dyDescent="0.25">
      <c r="D372" s="480" t="str">
        <f t="shared" si="27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480" t="e">
        <f t="shared" ca="1" si="31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480" t="e">
        <f t="shared" ca="1" si="28"/>
        <v>#N/A</v>
      </c>
      <c r="L372" s="51" t="e">
        <f t="shared" si="30"/>
        <v>#N/A</v>
      </c>
      <c r="M372" s="58" t="e">
        <f>IF(ISBLANK(A372),NA(),IFERROR(A372+(PLAYER_EXP_MAX-D372)/L372,NA()))</f>
        <v>#N/A</v>
      </c>
      <c r="N372" s="480" t="e">
        <f t="shared" ca="1" si="29"/>
        <v>#N/A</v>
      </c>
    </row>
    <row r="373" spans="4:14" ht="14.65" customHeight="1" x14ac:dyDescent="0.25">
      <c r="D373" s="480" t="str">
        <f t="shared" si="27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480" t="e">
        <f t="shared" ca="1" si="31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480" t="e">
        <f t="shared" ca="1" si="28"/>
        <v>#N/A</v>
      </c>
      <c r="L373" s="51" t="e">
        <f t="shared" si="30"/>
        <v>#N/A</v>
      </c>
      <c r="M373" s="58" t="e">
        <f>IF(ISBLANK(A373),NA(),IFERROR(A373+(PLAYER_EXP_MAX-D373)/L373,NA()))</f>
        <v>#N/A</v>
      </c>
      <c r="N373" s="480" t="e">
        <f t="shared" ca="1" si="29"/>
        <v>#N/A</v>
      </c>
    </row>
    <row r="374" spans="4:14" ht="14.65" customHeight="1" x14ac:dyDescent="0.25">
      <c r="D374" s="480" t="str">
        <f t="shared" si="27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480" t="e">
        <f t="shared" ca="1" si="31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480" t="e">
        <f t="shared" ca="1" si="28"/>
        <v>#N/A</v>
      </c>
      <c r="L374" s="51" t="e">
        <f t="shared" si="30"/>
        <v>#N/A</v>
      </c>
      <c r="M374" s="58" t="e">
        <f>IF(ISBLANK(A374),NA(),IFERROR(A374+(PLAYER_EXP_MAX-D374)/L374,NA()))</f>
        <v>#N/A</v>
      </c>
      <c r="N374" s="480" t="e">
        <f t="shared" ca="1" si="29"/>
        <v>#N/A</v>
      </c>
    </row>
    <row r="375" spans="4:14" ht="14.65" customHeight="1" x14ac:dyDescent="0.25">
      <c r="D375" s="480" t="str">
        <f t="shared" si="27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480" t="e">
        <f t="shared" ca="1" si="31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480" t="e">
        <f t="shared" ca="1" si="28"/>
        <v>#N/A</v>
      </c>
      <c r="L375" s="51" t="e">
        <f t="shared" si="30"/>
        <v>#N/A</v>
      </c>
      <c r="M375" s="58" t="e">
        <f>IF(ISBLANK(A375),NA(),IFERROR(A375+(PLAYER_EXP_MAX-D375)/L375,NA()))</f>
        <v>#N/A</v>
      </c>
      <c r="N375" s="480" t="e">
        <f t="shared" ca="1" si="29"/>
        <v>#N/A</v>
      </c>
    </row>
    <row r="376" spans="4:14" ht="14.65" customHeight="1" x14ac:dyDescent="0.25">
      <c r="D376" s="480" t="str">
        <f t="shared" si="27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480" t="e">
        <f t="shared" ca="1" si="31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480" t="e">
        <f t="shared" ca="1" si="28"/>
        <v>#N/A</v>
      </c>
      <c r="L376" s="51" t="e">
        <f t="shared" si="30"/>
        <v>#N/A</v>
      </c>
      <c r="M376" s="58" t="e">
        <f>IF(ISBLANK(A376),NA(),IFERROR(A376+(PLAYER_EXP_MAX-D376)/L376,NA()))</f>
        <v>#N/A</v>
      </c>
      <c r="N376" s="480" t="e">
        <f t="shared" ca="1" si="29"/>
        <v>#N/A</v>
      </c>
    </row>
    <row r="377" spans="4:14" ht="14.65" customHeight="1" x14ac:dyDescent="0.25">
      <c r="D377" s="480" t="str">
        <f t="shared" si="27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480" t="e">
        <f t="shared" ca="1" si="31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480" t="e">
        <f t="shared" ca="1" si="28"/>
        <v>#N/A</v>
      </c>
      <c r="L377" s="51" t="e">
        <f t="shared" si="30"/>
        <v>#N/A</v>
      </c>
      <c r="M377" s="58" t="e">
        <f>IF(ISBLANK(A377),NA(),IFERROR(A377+(PLAYER_EXP_MAX-D377)/L377,NA()))</f>
        <v>#N/A</v>
      </c>
      <c r="N377" s="480" t="e">
        <f t="shared" ca="1" si="29"/>
        <v>#N/A</v>
      </c>
    </row>
    <row r="378" spans="4:14" ht="14.65" customHeight="1" x14ac:dyDescent="0.25">
      <c r="D378" s="480" t="str">
        <f t="shared" si="27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480" t="e">
        <f t="shared" ca="1" si="31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480" t="e">
        <f t="shared" ca="1" si="28"/>
        <v>#N/A</v>
      </c>
      <c r="L378" s="51" t="e">
        <f t="shared" si="30"/>
        <v>#N/A</v>
      </c>
      <c r="M378" s="58" t="e">
        <f>IF(ISBLANK(A378),NA(),IFERROR(A378+(PLAYER_EXP_MAX-D378)/L378,NA()))</f>
        <v>#N/A</v>
      </c>
      <c r="N378" s="480" t="e">
        <f t="shared" ca="1" si="29"/>
        <v>#N/A</v>
      </c>
    </row>
    <row r="379" spans="4:14" ht="14.65" customHeight="1" x14ac:dyDescent="0.25">
      <c r="D379" s="480" t="str">
        <f t="shared" si="27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480" t="e">
        <f t="shared" ca="1" si="31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480" t="e">
        <f t="shared" ca="1" si="28"/>
        <v>#N/A</v>
      </c>
      <c r="L379" s="51" t="e">
        <f t="shared" si="30"/>
        <v>#N/A</v>
      </c>
      <c r="M379" s="58" t="e">
        <f>IF(ISBLANK(A379),NA(),IFERROR(A379+(PLAYER_EXP_MAX-D379)/L379,NA()))</f>
        <v>#N/A</v>
      </c>
      <c r="N379" s="480" t="e">
        <f t="shared" ca="1" si="29"/>
        <v>#N/A</v>
      </c>
    </row>
    <row r="380" spans="4:14" ht="14.65" customHeight="1" x14ac:dyDescent="0.25">
      <c r="D380" s="480" t="str">
        <f t="shared" si="27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480" t="e">
        <f t="shared" ca="1" si="31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480" t="e">
        <f t="shared" ca="1" si="28"/>
        <v>#N/A</v>
      </c>
      <c r="L380" s="51" t="e">
        <f t="shared" si="30"/>
        <v>#N/A</v>
      </c>
      <c r="M380" s="58" t="e">
        <f>IF(ISBLANK(A380),NA(),IFERROR(A380+(PLAYER_EXP_MAX-D380)/L380,NA()))</f>
        <v>#N/A</v>
      </c>
      <c r="N380" s="480" t="e">
        <f t="shared" ca="1" si="29"/>
        <v>#N/A</v>
      </c>
    </row>
    <row r="381" spans="4:14" ht="14.65" customHeight="1" x14ac:dyDescent="0.25">
      <c r="D381" s="480" t="str">
        <f t="shared" si="27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480" t="e">
        <f t="shared" ca="1" si="31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480" t="e">
        <f t="shared" ca="1" si="28"/>
        <v>#N/A</v>
      </c>
      <c r="L381" s="51" t="e">
        <f t="shared" si="30"/>
        <v>#N/A</v>
      </c>
      <c r="M381" s="58" t="e">
        <f>IF(ISBLANK(A381),NA(),IFERROR(A381+(PLAYER_EXP_MAX-D381)/L381,NA()))</f>
        <v>#N/A</v>
      </c>
      <c r="N381" s="480" t="e">
        <f t="shared" ca="1" si="29"/>
        <v>#N/A</v>
      </c>
    </row>
    <row r="382" spans="4:14" ht="14.65" customHeight="1" x14ac:dyDescent="0.25">
      <c r="D382" s="480" t="str">
        <f t="shared" si="27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480" t="e">
        <f t="shared" ca="1" si="31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480" t="e">
        <f t="shared" ca="1" si="28"/>
        <v>#N/A</v>
      </c>
      <c r="L382" s="51" t="e">
        <f t="shared" si="30"/>
        <v>#N/A</v>
      </c>
      <c r="M382" s="58" t="e">
        <f>IF(ISBLANK(A382),NA(),IFERROR(A382+(PLAYER_EXP_MAX-D382)/L382,NA()))</f>
        <v>#N/A</v>
      </c>
      <c r="N382" s="480" t="e">
        <f t="shared" ca="1" si="29"/>
        <v>#N/A</v>
      </c>
    </row>
    <row r="383" spans="4:14" ht="14.65" customHeight="1" x14ac:dyDescent="0.25">
      <c r="D383" s="480" t="str">
        <f t="shared" si="27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480" t="e">
        <f t="shared" ca="1" si="31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480" t="e">
        <f t="shared" ca="1" si="28"/>
        <v>#N/A</v>
      </c>
      <c r="L383" s="51" t="e">
        <f t="shared" si="30"/>
        <v>#N/A</v>
      </c>
      <c r="M383" s="58" t="e">
        <f>IF(ISBLANK(A383),NA(),IFERROR(A383+(PLAYER_EXP_MAX-D383)/L383,NA()))</f>
        <v>#N/A</v>
      </c>
      <c r="N383" s="480" t="e">
        <f t="shared" ca="1" si="29"/>
        <v>#N/A</v>
      </c>
    </row>
    <row r="384" spans="4:14" ht="14.65" customHeight="1" x14ac:dyDescent="0.25">
      <c r="D384" s="480" t="str">
        <f t="shared" si="27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480" t="e">
        <f t="shared" ca="1" si="31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480" t="e">
        <f t="shared" ca="1" si="28"/>
        <v>#N/A</v>
      </c>
      <c r="L384" s="51" t="e">
        <f t="shared" si="30"/>
        <v>#N/A</v>
      </c>
      <c r="M384" s="58" t="e">
        <f>IF(ISBLANK(A384),NA(),IFERROR(A384+(PLAYER_EXP_MAX-D384)/L384,NA()))</f>
        <v>#N/A</v>
      </c>
      <c r="N384" s="480" t="e">
        <f t="shared" ca="1" si="29"/>
        <v>#N/A</v>
      </c>
    </row>
    <row r="385" spans="4:14" ht="14.65" customHeight="1" x14ac:dyDescent="0.25">
      <c r="D385" s="480" t="str">
        <f t="shared" si="27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480" t="e">
        <f t="shared" ca="1" si="31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480" t="e">
        <f t="shared" ca="1" si="28"/>
        <v>#N/A</v>
      </c>
      <c r="L385" s="51" t="e">
        <f t="shared" si="30"/>
        <v>#N/A</v>
      </c>
      <c r="M385" s="58" t="e">
        <f>IF(ISBLANK(A385),NA(),IFERROR(A385+(PLAYER_EXP_MAX-D385)/L385,NA()))</f>
        <v>#N/A</v>
      </c>
      <c r="N385" s="480" t="e">
        <f t="shared" ca="1" si="29"/>
        <v>#N/A</v>
      </c>
    </row>
    <row r="386" spans="4:14" ht="14.65" customHeight="1" x14ac:dyDescent="0.25">
      <c r="D386" s="480" t="str">
        <f t="shared" si="27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480" t="e">
        <f t="shared" ca="1" si="31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480" t="e">
        <f t="shared" ca="1" si="28"/>
        <v>#N/A</v>
      </c>
      <c r="L386" s="51" t="e">
        <f t="shared" si="30"/>
        <v>#N/A</v>
      </c>
      <c r="M386" s="58" t="e">
        <f>IF(ISBLANK(A386),NA(),IFERROR(A386+(PLAYER_EXP_MAX-D386)/L386,NA()))</f>
        <v>#N/A</v>
      </c>
      <c r="N386" s="480" t="e">
        <f t="shared" ca="1" si="29"/>
        <v>#N/A</v>
      </c>
    </row>
    <row r="387" spans="4:14" ht="14.65" customHeight="1" x14ac:dyDescent="0.25">
      <c r="D387" s="480" t="str">
        <f t="shared" ref="D387:D450" si="32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480" t="e">
        <f t="shared" ca="1" si="31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480" t="e">
        <f t="shared" ref="K387:K399" ca="1" si="33">IF(ISBLANK(A387),NA(),IFERROR(TEXT(TRUNC(J387-NOW()),"000") &amp; " D " &amp; TEXT(TRUNC(ABS(J387-NOW()-TRUNC(J387-NOW()))*24),"00") &amp; " H", NA()))</f>
        <v>#N/A</v>
      </c>
      <c r="L387" s="51" t="e">
        <f t="shared" si="30"/>
        <v>#N/A</v>
      </c>
      <c r="M387" s="58" t="e">
        <f>IF(ISBLANK(A387),NA(),IFERROR(A387+(PLAYER_EXP_MAX-D387)/L387,NA()))</f>
        <v>#N/A</v>
      </c>
      <c r="N387" s="480" t="e">
        <f t="shared" ref="N387:N399" ca="1" si="34">IF(ISBLANK(D387),NA(),IFERROR(TEXT(TRUNC(M387-NOW()),"000") &amp; " D " &amp; TEXT(TRUNC(ABS(M387-NOW()-TRUNC(M387-NOW()))*24),"00") &amp; " H", NA()))</f>
        <v>#N/A</v>
      </c>
    </row>
    <row r="388" spans="4:14" ht="14.65" customHeight="1" x14ac:dyDescent="0.25">
      <c r="D388" s="480" t="str">
        <f t="shared" si="32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480" t="e">
        <f t="shared" ca="1" si="31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480" t="e">
        <f t="shared" ca="1" si="33"/>
        <v>#N/A</v>
      </c>
      <c r="L388" s="51" t="e">
        <f t="shared" ref="L388:L451" si="35">IFERROR(IF(OR(ISBLANK($A388),$A388-$A$3 &lt; $C$1),NA(),($D388-$D$3)/($A388-$A$3)),NA())</f>
        <v>#N/A</v>
      </c>
      <c r="M388" s="58" t="e">
        <f>IF(ISBLANK(A388),NA(),IFERROR(A388+(PLAYER_EXP_MAX-D388)/L388,NA()))</f>
        <v>#N/A</v>
      </c>
      <c r="N388" s="480" t="e">
        <f t="shared" ca="1" si="34"/>
        <v>#N/A</v>
      </c>
    </row>
    <row r="389" spans="4:14" ht="14.65" customHeight="1" x14ac:dyDescent="0.25">
      <c r="D389" s="480" t="str">
        <f t="shared" si="32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480" t="e">
        <f t="shared" ca="1" si="31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480" t="e">
        <f t="shared" ca="1" si="33"/>
        <v>#N/A</v>
      </c>
      <c r="L389" s="51" t="e">
        <f t="shared" si="35"/>
        <v>#N/A</v>
      </c>
      <c r="M389" s="58" t="e">
        <f>IF(ISBLANK(A389),NA(),IFERROR(A389+(PLAYER_EXP_MAX-D389)/L389,NA()))</f>
        <v>#N/A</v>
      </c>
      <c r="N389" s="480" t="e">
        <f t="shared" ca="1" si="34"/>
        <v>#N/A</v>
      </c>
    </row>
    <row r="390" spans="4:14" ht="14.65" customHeight="1" x14ac:dyDescent="0.25">
      <c r="D390" s="480" t="str">
        <f t="shared" si="32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480" t="e">
        <f t="shared" ca="1" si="31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480" t="e">
        <f t="shared" ca="1" si="33"/>
        <v>#N/A</v>
      </c>
      <c r="L390" s="51" t="e">
        <f t="shared" si="35"/>
        <v>#N/A</v>
      </c>
      <c r="M390" s="58" t="e">
        <f>IF(ISBLANK(A390),NA(),IFERROR(A390+(PLAYER_EXP_MAX-D390)/L390,NA()))</f>
        <v>#N/A</v>
      </c>
      <c r="N390" s="480" t="e">
        <f t="shared" ca="1" si="34"/>
        <v>#N/A</v>
      </c>
    </row>
    <row r="391" spans="4:14" ht="14.65" customHeight="1" x14ac:dyDescent="0.25">
      <c r="D391" s="480" t="str">
        <f t="shared" si="32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480" t="e">
        <f t="shared" ca="1" si="31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480" t="e">
        <f t="shared" ca="1" si="33"/>
        <v>#N/A</v>
      </c>
      <c r="L391" s="51" t="e">
        <f t="shared" si="35"/>
        <v>#N/A</v>
      </c>
      <c r="M391" s="58" t="e">
        <f>IF(ISBLANK(A391),NA(),IFERROR(A391+(PLAYER_EXP_MAX-D391)/L391,NA()))</f>
        <v>#N/A</v>
      </c>
      <c r="N391" s="480" t="e">
        <f t="shared" ca="1" si="34"/>
        <v>#N/A</v>
      </c>
    </row>
    <row r="392" spans="4:14" ht="14.65" customHeight="1" x14ac:dyDescent="0.25">
      <c r="D392" s="480" t="str">
        <f t="shared" si="32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480" t="e">
        <f t="shared" ca="1" si="31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480" t="e">
        <f t="shared" ca="1" si="33"/>
        <v>#N/A</v>
      </c>
      <c r="L392" s="51" t="e">
        <f t="shared" si="35"/>
        <v>#N/A</v>
      </c>
      <c r="M392" s="58" t="e">
        <f>IF(ISBLANK(A392),NA(),IFERROR(A392+(PLAYER_EXP_MAX-D392)/L392,NA()))</f>
        <v>#N/A</v>
      </c>
      <c r="N392" s="480" t="e">
        <f t="shared" ca="1" si="34"/>
        <v>#N/A</v>
      </c>
    </row>
    <row r="393" spans="4:14" ht="14.65" customHeight="1" x14ac:dyDescent="0.25">
      <c r="D393" s="480" t="str">
        <f t="shared" si="32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480" t="e">
        <f t="shared" ca="1" si="31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480" t="e">
        <f t="shared" ca="1" si="33"/>
        <v>#N/A</v>
      </c>
      <c r="L393" s="51" t="e">
        <f t="shared" si="35"/>
        <v>#N/A</v>
      </c>
      <c r="M393" s="58" t="e">
        <f>IF(ISBLANK(A393),NA(),IFERROR(A393+(PLAYER_EXP_MAX-D393)/L393,NA()))</f>
        <v>#N/A</v>
      </c>
      <c r="N393" s="480" t="e">
        <f t="shared" ca="1" si="34"/>
        <v>#N/A</v>
      </c>
    </row>
    <row r="394" spans="4:14" ht="14.65" customHeight="1" x14ac:dyDescent="0.25">
      <c r="D394" s="480" t="str">
        <f t="shared" si="32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480" t="e">
        <f t="shared" ca="1" si="31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480" t="e">
        <f t="shared" ca="1" si="33"/>
        <v>#N/A</v>
      </c>
      <c r="L394" s="51" t="e">
        <f t="shared" si="35"/>
        <v>#N/A</v>
      </c>
      <c r="M394" s="58" t="e">
        <f>IF(ISBLANK(A394),NA(),IFERROR(A394+(PLAYER_EXP_MAX-D394)/L394,NA()))</f>
        <v>#N/A</v>
      </c>
      <c r="N394" s="480" t="e">
        <f t="shared" ca="1" si="34"/>
        <v>#N/A</v>
      </c>
    </row>
    <row r="395" spans="4:14" ht="14.65" customHeight="1" x14ac:dyDescent="0.25">
      <c r="D395" s="480" t="str">
        <f t="shared" si="32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480" t="e">
        <f t="shared" ca="1" si="31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480" t="e">
        <f t="shared" ca="1" si="33"/>
        <v>#N/A</v>
      </c>
      <c r="L395" s="51" t="e">
        <f t="shared" si="35"/>
        <v>#N/A</v>
      </c>
      <c r="M395" s="58" t="e">
        <f>IF(ISBLANK(A395),NA(),IFERROR(A395+(PLAYER_EXP_MAX-D395)/L395,NA()))</f>
        <v>#N/A</v>
      </c>
      <c r="N395" s="480" t="e">
        <f t="shared" ca="1" si="34"/>
        <v>#N/A</v>
      </c>
    </row>
    <row r="396" spans="4:14" ht="14.65" customHeight="1" x14ac:dyDescent="0.25">
      <c r="D396" s="480" t="str">
        <f t="shared" si="32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480" t="e">
        <f t="shared" ca="1" si="31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480" t="e">
        <f t="shared" ca="1" si="33"/>
        <v>#N/A</v>
      </c>
      <c r="L396" s="51" t="e">
        <f t="shared" si="35"/>
        <v>#N/A</v>
      </c>
      <c r="M396" s="58" t="e">
        <f>IF(ISBLANK(A396),NA(),IFERROR(A396+(PLAYER_EXP_MAX-D396)/L396,NA()))</f>
        <v>#N/A</v>
      </c>
      <c r="N396" s="480" t="e">
        <f t="shared" ca="1" si="34"/>
        <v>#N/A</v>
      </c>
    </row>
    <row r="397" spans="4:14" ht="14.65" customHeight="1" x14ac:dyDescent="0.25">
      <c r="D397" s="480" t="str">
        <f t="shared" si="32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480" t="e">
        <f t="shared" ca="1" si="31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480" t="e">
        <f t="shared" ca="1" si="33"/>
        <v>#N/A</v>
      </c>
      <c r="L397" s="51" t="e">
        <f t="shared" si="35"/>
        <v>#N/A</v>
      </c>
      <c r="M397" s="58" t="e">
        <f>IF(ISBLANK(A397),NA(),IFERROR(A397+(PLAYER_EXP_MAX-D397)/L397,NA()))</f>
        <v>#N/A</v>
      </c>
      <c r="N397" s="480" t="e">
        <f t="shared" ca="1" si="34"/>
        <v>#N/A</v>
      </c>
    </row>
    <row r="398" spans="4:14" ht="14.65" customHeight="1" x14ac:dyDescent="0.25">
      <c r="D398" s="480" t="str">
        <f t="shared" si="32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480" t="e">
        <f t="shared" ca="1" si="31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480" t="e">
        <f t="shared" ca="1" si="33"/>
        <v>#N/A</v>
      </c>
      <c r="L398" s="51" t="e">
        <f t="shared" si="35"/>
        <v>#N/A</v>
      </c>
      <c r="M398" s="58" t="e">
        <f>IF(ISBLANK(A398),NA(),IFERROR(A398+(PLAYER_EXP_MAX-D398)/L398,NA()))</f>
        <v>#N/A</v>
      </c>
      <c r="N398" s="480" t="e">
        <f t="shared" ca="1" si="34"/>
        <v>#N/A</v>
      </c>
    </row>
    <row r="399" spans="4:14" ht="14.65" customHeight="1" x14ac:dyDescent="0.25">
      <c r="D399" s="480" t="str">
        <f t="shared" si="32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480" t="e">
        <f t="shared" ca="1" si="31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480" t="e">
        <f t="shared" ca="1" si="33"/>
        <v>#N/A</v>
      </c>
      <c r="L399" s="51" t="e">
        <f t="shared" si="35"/>
        <v>#N/A</v>
      </c>
      <c r="M399" s="58" t="e">
        <f>IF(ISBLANK(A399),NA(),IFERROR(A399+(PLAYER_EXP_MAX-D399)/L399,NA()))</f>
        <v>#N/A</v>
      </c>
      <c r="N399" s="480" t="e">
        <f t="shared" ca="1" si="34"/>
        <v>#N/A</v>
      </c>
    </row>
    <row r="400" spans="4:14" ht="14.65" customHeight="1" x14ac:dyDescent="0.25">
      <c r="D400" s="480" t="str">
        <f t="shared" si="32"/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480" t="e">
        <f t="shared" ca="1" si="31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480" t="e">
        <f ca="1">IF(ISBLANK(A400),NA(),IFERROR(TEXT(TRUNC(J400-NOW()),"000") &amp; " D " &amp; TEXT(TRUNC(ABS(J400-NOW()-TRUNC(J400-NOW()))*24),"00") &amp; " H", NA()))</f>
        <v>#N/A</v>
      </c>
      <c r="L400" s="51" t="e">
        <f t="shared" si="35"/>
        <v>#N/A</v>
      </c>
      <c r="M400" s="58" t="e">
        <f>IF(ISBLANK(A400),NA(),IFERROR(A400+(PLAYER_EXP_MAX-D400)/L400,NA()))</f>
        <v>#N/A</v>
      </c>
      <c r="N400" s="48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80" t="str">
        <f t="shared" si="32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480" t="e">
        <f t="shared" ca="1" si="31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480" t="e">
        <f t="shared" ref="K401:K464" ca="1" si="36">IF(ISBLANK(A401),NA(),IFERROR(TEXT(TRUNC(J401-NOW()),"000") &amp; " D " &amp; TEXT(TRUNC(ABS(J401-NOW()-TRUNC(J401-NOW()))*24),"00") &amp; " H", NA()))</f>
        <v>#N/A</v>
      </c>
      <c r="L401" s="51" t="e">
        <f t="shared" si="35"/>
        <v>#N/A</v>
      </c>
      <c r="M401" s="58" t="e">
        <f>IF(ISBLANK(A401),NA(),IFERROR(A401+(PLAYER_EXP_MAX-D401)/L401,NA()))</f>
        <v>#N/A</v>
      </c>
      <c r="N401" s="480" t="e">
        <f t="shared" ref="N401:N464" ca="1" si="37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80" t="str">
        <f t="shared" si="32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480" t="e">
        <f t="shared" ca="1" si="31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480" t="e">
        <f t="shared" ca="1" si="36"/>
        <v>#N/A</v>
      </c>
      <c r="L402" s="51" t="e">
        <f t="shared" si="35"/>
        <v>#N/A</v>
      </c>
      <c r="M402" s="58" t="e">
        <f>IF(ISBLANK(A402),NA(),IFERROR(A402+(PLAYER_EXP_MAX-D402)/L402,NA()))</f>
        <v>#N/A</v>
      </c>
      <c r="N402" s="480" t="e">
        <f t="shared" ca="1" si="37"/>
        <v>#N/A</v>
      </c>
    </row>
    <row r="403" spans="4:14" ht="14.65" customHeight="1" x14ac:dyDescent="0.25">
      <c r="D403" s="480" t="str">
        <f t="shared" si="32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480" t="e">
        <f t="shared" ca="1" si="31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480" t="e">
        <f t="shared" ca="1" si="36"/>
        <v>#N/A</v>
      </c>
      <c r="L403" s="51" t="e">
        <f t="shared" si="35"/>
        <v>#N/A</v>
      </c>
      <c r="M403" s="58" t="e">
        <f>IF(ISBLANK(A403),NA(),IFERROR(A403+(PLAYER_EXP_MAX-D403)/L403,NA()))</f>
        <v>#N/A</v>
      </c>
      <c r="N403" s="480" t="e">
        <f t="shared" ca="1" si="37"/>
        <v>#N/A</v>
      </c>
    </row>
    <row r="404" spans="4:14" ht="14.65" customHeight="1" x14ac:dyDescent="0.25">
      <c r="D404" s="480" t="str">
        <f t="shared" si="32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480" t="e">
        <f t="shared" ca="1" si="31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480" t="e">
        <f t="shared" ca="1" si="36"/>
        <v>#N/A</v>
      </c>
      <c r="L404" s="51" t="e">
        <f t="shared" si="35"/>
        <v>#N/A</v>
      </c>
      <c r="M404" s="58" t="e">
        <f>IF(ISBLANK(A404),NA(),IFERROR(A404+(PLAYER_EXP_MAX-D404)/L404,NA()))</f>
        <v>#N/A</v>
      </c>
      <c r="N404" s="480" t="e">
        <f t="shared" ca="1" si="37"/>
        <v>#N/A</v>
      </c>
    </row>
    <row r="405" spans="4:14" ht="14.65" customHeight="1" x14ac:dyDescent="0.25">
      <c r="D405" s="480" t="str">
        <f t="shared" si="32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480" t="e">
        <f t="shared" ca="1" si="31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480" t="e">
        <f t="shared" ca="1" si="36"/>
        <v>#N/A</v>
      </c>
      <c r="L405" s="51" t="e">
        <f t="shared" si="35"/>
        <v>#N/A</v>
      </c>
      <c r="M405" s="58" t="e">
        <f>IF(ISBLANK(A405),NA(),IFERROR(A405+(PLAYER_EXP_MAX-D405)/L405,NA()))</f>
        <v>#N/A</v>
      </c>
      <c r="N405" s="480" t="e">
        <f t="shared" ca="1" si="37"/>
        <v>#N/A</v>
      </c>
    </row>
    <row r="406" spans="4:14" ht="14.65" customHeight="1" x14ac:dyDescent="0.25">
      <c r="D406" s="480" t="str">
        <f t="shared" si="32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480" t="e">
        <f t="shared" ca="1" si="31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480" t="e">
        <f t="shared" ca="1" si="36"/>
        <v>#N/A</v>
      </c>
      <c r="L406" s="51" t="e">
        <f t="shared" si="35"/>
        <v>#N/A</v>
      </c>
      <c r="M406" s="58" t="e">
        <f>IF(ISBLANK(A406),NA(),IFERROR(A406+(PLAYER_EXP_MAX-D406)/L406,NA()))</f>
        <v>#N/A</v>
      </c>
      <c r="N406" s="480" t="e">
        <f t="shared" ca="1" si="37"/>
        <v>#N/A</v>
      </c>
    </row>
    <row r="407" spans="4:14" ht="14.65" customHeight="1" x14ac:dyDescent="0.25">
      <c r="D407" s="480" t="str">
        <f t="shared" si="32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480" t="e">
        <f t="shared" ca="1" si="31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480" t="e">
        <f t="shared" ca="1" si="36"/>
        <v>#N/A</v>
      </c>
      <c r="L407" s="51" t="e">
        <f t="shared" si="35"/>
        <v>#N/A</v>
      </c>
      <c r="M407" s="58" t="e">
        <f>IF(ISBLANK(A407),NA(),IFERROR(A407+(PLAYER_EXP_MAX-D407)/L407,NA()))</f>
        <v>#N/A</v>
      </c>
      <c r="N407" s="480" t="e">
        <f t="shared" ca="1" si="37"/>
        <v>#N/A</v>
      </c>
    </row>
    <row r="408" spans="4:14" ht="14.65" customHeight="1" x14ac:dyDescent="0.25">
      <c r="D408" s="480" t="str">
        <f t="shared" si="32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480" t="e">
        <f t="shared" ca="1" si="31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480" t="e">
        <f t="shared" ca="1" si="36"/>
        <v>#N/A</v>
      </c>
      <c r="L408" s="51" t="e">
        <f t="shared" si="35"/>
        <v>#N/A</v>
      </c>
      <c r="M408" s="58" t="e">
        <f>IF(ISBLANK(A408),NA(),IFERROR(A408+(PLAYER_EXP_MAX-D408)/L408,NA()))</f>
        <v>#N/A</v>
      </c>
      <c r="N408" s="480" t="e">
        <f t="shared" ca="1" si="37"/>
        <v>#N/A</v>
      </c>
    </row>
    <row r="409" spans="4:14" ht="14.65" customHeight="1" x14ac:dyDescent="0.25">
      <c r="D409" s="480" t="str">
        <f t="shared" si="32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480" t="e">
        <f t="shared" ca="1" si="31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480" t="e">
        <f t="shared" ca="1" si="36"/>
        <v>#N/A</v>
      </c>
      <c r="L409" s="51" t="e">
        <f t="shared" si="35"/>
        <v>#N/A</v>
      </c>
      <c r="M409" s="58" t="e">
        <f>IF(ISBLANK(A409),NA(),IFERROR(A409+(PLAYER_EXP_MAX-D409)/L409,NA()))</f>
        <v>#N/A</v>
      </c>
      <c r="N409" s="480" t="e">
        <f t="shared" ca="1" si="37"/>
        <v>#N/A</v>
      </c>
    </row>
    <row r="410" spans="4:14" ht="14.65" customHeight="1" x14ac:dyDescent="0.25">
      <c r="D410" s="480" t="str">
        <f t="shared" si="32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480" t="e">
        <f t="shared" ca="1" si="31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480" t="e">
        <f t="shared" ca="1" si="36"/>
        <v>#N/A</v>
      </c>
      <c r="L410" s="51" t="e">
        <f t="shared" si="35"/>
        <v>#N/A</v>
      </c>
      <c r="M410" s="58" t="e">
        <f>IF(ISBLANK(A410),NA(),IFERROR(A410+(PLAYER_EXP_MAX-D410)/L410,NA()))</f>
        <v>#N/A</v>
      </c>
      <c r="N410" s="480" t="e">
        <f t="shared" ca="1" si="37"/>
        <v>#N/A</v>
      </c>
    </row>
    <row r="411" spans="4:14" ht="14.65" customHeight="1" x14ac:dyDescent="0.25">
      <c r="D411" s="480" t="str">
        <f t="shared" si="32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480" t="e">
        <f t="shared" ca="1" si="31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480" t="e">
        <f t="shared" ca="1" si="36"/>
        <v>#N/A</v>
      </c>
      <c r="L411" s="51" t="e">
        <f t="shared" si="35"/>
        <v>#N/A</v>
      </c>
      <c r="M411" s="58" t="e">
        <f>IF(ISBLANK(A411),NA(),IFERROR(A411+(PLAYER_EXP_MAX-D411)/L411,NA()))</f>
        <v>#N/A</v>
      </c>
      <c r="N411" s="480" t="e">
        <f t="shared" ca="1" si="37"/>
        <v>#N/A</v>
      </c>
    </row>
    <row r="412" spans="4:14" ht="14.65" customHeight="1" x14ac:dyDescent="0.25">
      <c r="D412" s="480" t="str">
        <f t="shared" si="32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480" t="e">
        <f t="shared" ca="1" si="31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480" t="e">
        <f t="shared" ca="1" si="36"/>
        <v>#N/A</v>
      </c>
      <c r="L412" s="51" t="e">
        <f t="shared" si="35"/>
        <v>#N/A</v>
      </c>
      <c r="M412" s="58" t="e">
        <f>IF(ISBLANK(A412),NA(),IFERROR(A412+(PLAYER_EXP_MAX-D412)/L412,NA()))</f>
        <v>#N/A</v>
      </c>
      <c r="N412" s="480" t="e">
        <f t="shared" ca="1" si="37"/>
        <v>#N/A</v>
      </c>
    </row>
    <row r="413" spans="4:14" ht="14.65" customHeight="1" x14ac:dyDescent="0.25">
      <c r="D413" s="480" t="str">
        <f t="shared" si="32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480" t="e">
        <f t="shared" ca="1" si="31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480" t="e">
        <f t="shared" ca="1" si="36"/>
        <v>#N/A</v>
      </c>
      <c r="L413" s="51" t="e">
        <f t="shared" si="35"/>
        <v>#N/A</v>
      </c>
      <c r="M413" s="58" t="e">
        <f>IF(ISBLANK(A413),NA(),IFERROR(A413+(PLAYER_EXP_MAX-D413)/L413,NA()))</f>
        <v>#N/A</v>
      </c>
      <c r="N413" s="480" t="e">
        <f t="shared" ca="1" si="37"/>
        <v>#N/A</v>
      </c>
    </row>
    <row r="414" spans="4:14" ht="14.65" customHeight="1" x14ac:dyDescent="0.25">
      <c r="D414" s="480" t="str">
        <f t="shared" si="32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480" t="e">
        <f t="shared" ca="1" si="31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480" t="e">
        <f t="shared" ca="1" si="36"/>
        <v>#N/A</v>
      </c>
      <c r="L414" s="51" t="e">
        <f t="shared" si="35"/>
        <v>#N/A</v>
      </c>
      <c r="M414" s="58" t="e">
        <f>IF(ISBLANK(A414),NA(),IFERROR(A414+(PLAYER_EXP_MAX-D414)/L414,NA()))</f>
        <v>#N/A</v>
      </c>
      <c r="N414" s="480" t="e">
        <f t="shared" ca="1" si="37"/>
        <v>#N/A</v>
      </c>
    </row>
    <row r="415" spans="4:14" ht="14.65" customHeight="1" x14ac:dyDescent="0.25">
      <c r="D415" s="480" t="str">
        <f t="shared" si="32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480" t="e">
        <f t="shared" ref="H415:H478" ca="1" si="38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480" t="e">
        <f t="shared" ca="1" si="36"/>
        <v>#N/A</v>
      </c>
      <c r="L415" s="51" t="e">
        <f t="shared" si="35"/>
        <v>#N/A</v>
      </c>
      <c r="M415" s="58" t="e">
        <f>IF(ISBLANK(A415),NA(),IFERROR(A415+(PLAYER_EXP_MAX-D415)/L415,NA()))</f>
        <v>#N/A</v>
      </c>
      <c r="N415" s="480" t="e">
        <f t="shared" ca="1" si="37"/>
        <v>#N/A</v>
      </c>
    </row>
    <row r="416" spans="4:14" ht="14.65" customHeight="1" x14ac:dyDescent="0.25">
      <c r="D416" s="480" t="str">
        <f t="shared" si="32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480" t="e">
        <f t="shared" ca="1" si="38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480" t="e">
        <f t="shared" ca="1" si="36"/>
        <v>#N/A</v>
      </c>
      <c r="L416" s="51" t="e">
        <f t="shared" si="35"/>
        <v>#N/A</v>
      </c>
      <c r="M416" s="58" t="e">
        <f>IF(ISBLANK(A416),NA(),IFERROR(A416+(PLAYER_EXP_MAX-D416)/L416,NA()))</f>
        <v>#N/A</v>
      </c>
      <c r="N416" s="480" t="e">
        <f t="shared" ca="1" si="37"/>
        <v>#N/A</v>
      </c>
    </row>
    <row r="417" spans="4:14" ht="14.65" customHeight="1" x14ac:dyDescent="0.25">
      <c r="D417" s="480" t="str">
        <f t="shared" si="32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480" t="e">
        <f t="shared" ca="1" si="38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480" t="e">
        <f t="shared" ca="1" si="36"/>
        <v>#N/A</v>
      </c>
      <c r="L417" s="51" t="e">
        <f t="shared" si="35"/>
        <v>#N/A</v>
      </c>
      <c r="M417" s="58" t="e">
        <f>IF(ISBLANK(A417),NA(),IFERROR(A417+(PLAYER_EXP_MAX-D417)/L417,NA()))</f>
        <v>#N/A</v>
      </c>
      <c r="N417" s="480" t="e">
        <f t="shared" ca="1" si="37"/>
        <v>#N/A</v>
      </c>
    </row>
    <row r="418" spans="4:14" ht="14.65" customHeight="1" x14ac:dyDescent="0.25">
      <c r="D418" s="480" t="str">
        <f t="shared" si="32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480" t="e">
        <f t="shared" ca="1" si="38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480" t="e">
        <f t="shared" ca="1" si="36"/>
        <v>#N/A</v>
      </c>
      <c r="L418" s="51" t="e">
        <f t="shared" si="35"/>
        <v>#N/A</v>
      </c>
      <c r="M418" s="58" t="e">
        <f>IF(ISBLANK(A418),NA(),IFERROR(A418+(PLAYER_EXP_MAX-D418)/L418,NA()))</f>
        <v>#N/A</v>
      </c>
      <c r="N418" s="480" t="e">
        <f t="shared" ca="1" si="37"/>
        <v>#N/A</v>
      </c>
    </row>
    <row r="419" spans="4:14" ht="14.65" customHeight="1" x14ac:dyDescent="0.25">
      <c r="D419" s="480" t="str">
        <f t="shared" si="32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480" t="e">
        <f t="shared" ca="1" si="38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480" t="e">
        <f t="shared" ca="1" si="36"/>
        <v>#N/A</v>
      </c>
      <c r="L419" s="51" t="e">
        <f t="shared" si="35"/>
        <v>#N/A</v>
      </c>
      <c r="M419" s="58" t="e">
        <f>IF(ISBLANK(A419),NA(),IFERROR(A419+(PLAYER_EXP_MAX-D419)/L419,NA()))</f>
        <v>#N/A</v>
      </c>
      <c r="N419" s="480" t="e">
        <f t="shared" ca="1" si="37"/>
        <v>#N/A</v>
      </c>
    </row>
    <row r="420" spans="4:14" ht="14.65" customHeight="1" x14ac:dyDescent="0.25">
      <c r="D420" s="480" t="str">
        <f t="shared" si="32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480" t="e">
        <f t="shared" ca="1" si="38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480" t="e">
        <f t="shared" ca="1" si="36"/>
        <v>#N/A</v>
      </c>
      <c r="L420" s="51" t="e">
        <f t="shared" si="35"/>
        <v>#N/A</v>
      </c>
      <c r="M420" s="58" t="e">
        <f>IF(ISBLANK(A420),NA(),IFERROR(A420+(PLAYER_EXP_MAX-D420)/L420,NA()))</f>
        <v>#N/A</v>
      </c>
      <c r="N420" s="480" t="e">
        <f t="shared" ca="1" si="37"/>
        <v>#N/A</v>
      </c>
    </row>
    <row r="421" spans="4:14" ht="14.65" customHeight="1" x14ac:dyDescent="0.25">
      <c r="D421" s="480" t="str">
        <f t="shared" si="32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480" t="e">
        <f t="shared" ca="1" si="38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480" t="e">
        <f t="shared" ca="1" si="36"/>
        <v>#N/A</v>
      </c>
      <c r="L421" s="51" t="e">
        <f t="shared" si="35"/>
        <v>#N/A</v>
      </c>
      <c r="M421" s="58" t="e">
        <f>IF(ISBLANK(A421),NA(),IFERROR(A421+(PLAYER_EXP_MAX-D421)/L421,NA()))</f>
        <v>#N/A</v>
      </c>
      <c r="N421" s="480" t="e">
        <f t="shared" ca="1" si="37"/>
        <v>#N/A</v>
      </c>
    </row>
    <row r="422" spans="4:14" ht="14.65" customHeight="1" x14ac:dyDescent="0.25">
      <c r="D422" s="480" t="str">
        <f t="shared" si="32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480" t="e">
        <f t="shared" ca="1" si="38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480" t="e">
        <f t="shared" ca="1" si="36"/>
        <v>#N/A</v>
      </c>
      <c r="L422" s="51" t="e">
        <f t="shared" si="35"/>
        <v>#N/A</v>
      </c>
      <c r="M422" s="58" t="e">
        <f>IF(ISBLANK(A422),NA(),IFERROR(A422+(PLAYER_EXP_MAX-D422)/L422,NA()))</f>
        <v>#N/A</v>
      </c>
      <c r="N422" s="480" t="e">
        <f t="shared" ca="1" si="37"/>
        <v>#N/A</v>
      </c>
    </row>
    <row r="423" spans="4:14" ht="14.65" customHeight="1" x14ac:dyDescent="0.25">
      <c r="D423" s="480" t="str">
        <f t="shared" si="32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480" t="e">
        <f t="shared" ca="1" si="38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480" t="e">
        <f t="shared" ca="1" si="36"/>
        <v>#N/A</v>
      </c>
      <c r="L423" s="51" t="e">
        <f t="shared" si="35"/>
        <v>#N/A</v>
      </c>
      <c r="M423" s="58" t="e">
        <f>IF(ISBLANK(A423),NA(),IFERROR(A423+(PLAYER_EXP_MAX-D423)/L423,NA()))</f>
        <v>#N/A</v>
      </c>
      <c r="N423" s="480" t="e">
        <f t="shared" ca="1" si="37"/>
        <v>#N/A</v>
      </c>
    </row>
    <row r="424" spans="4:14" ht="14.65" customHeight="1" x14ac:dyDescent="0.25">
      <c r="D424" s="480" t="str">
        <f t="shared" si="32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480" t="e">
        <f t="shared" ca="1" si="38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480" t="e">
        <f t="shared" ca="1" si="36"/>
        <v>#N/A</v>
      </c>
      <c r="L424" s="51" t="e">
        <f t="shared" si="35"/>
        <v>#N/A</v>
      </c>
      <c r="M424" s="58" t="e">
        <f>IF(ISBLANK(A424),NA(),IFERROR(A424+(PLAYER_EXP_MAX-D424)/L424,NA()))</f>
        <v>#N/A</v>
      </c>
      <c r="N424" s="480" t="e">
        <f t="shared" ca="1" si="37"/>
        <v>#N/A</v>
      </c>
    </row>
    <row r="425" spans="4:14" ht="14.65" customHeight="1" x14ac:dyDescent="0.25">
      <c r="D425" s="480" t="str">
        <f t="shared" si="32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480" t="e">
        <f t="shared" ca="1" si="38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480" t="e">
        <f t="shared" ca="1" si="36"/>
        <v>#N/A</v>
      </c>
      <c r="L425" s="51" t="e">
        <f t="shared" si="35"/>
        <v>#N/A</v>
      </c>
      <c r="M425" s="58" t="e">
        <f>IF(ISBLANK(A425),NA(),IFERROR(A425+(PLAYER_EXP_MAX-D425)/L425,NA()))</f>
        <v>#N/A</v>
      </c>
      <c r="N425" s="480" t="e">
        <f t="shared" ca="1" si="37"/>
        <v>#N/A</v>
      </c>
    </row>
    <row r="426" spans="4:14" ht="14.65" customHeight="1" x14ac:dyDescent="0.25">
      <c r="D426" s="480" t="str">
        <f t="shared" si="32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480" t="e">
        <f t="shared" ca="1" si="38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480" t="e">
        <f t="shared" ca="1" si="36"/>
        <v>#N/A</v>
      </c>
      <c r="L426" s="51" t="e">
        <f t="shared" si="35"/>
        <v>#N/A</v>
      </c>
      <c r="M426" s="58" t="e">
        <f>IF(ISBLANK(A426),NA(),IFERROR(A426+(PLAYER_EXP_MAX-D426)/L426,NA()))</f>
        <v>#N/A</v>
      </c>
      <c r="N426" s="480" t="e">
        <f t="shared" ca="1" si="37"/>
        <v>#N/A</v>
      </c>
    </row>
    <row r="427" spans="4:14" ht="14.65" customHeight="1" x14ac:dyDescent="0.25">
      <c r="D427" s="480" t="str">
        <f t="shared" si="32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480" t="e">
        <f t="shared" ca="1" si="38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480" t="e">
        <f t="shared" ca="1" si="36"/>
        <v>#N/A</v>
      </c>
      <c r="L427" s="51" t="e">
        <f t="shared" si="35"/>
        <v>#N/A</v>
      </c>
      <c r="M427" s="58" t="e">
        <f>IF(ISBLANK(A427),NA(),IFERROR(A427+(PLAYER_EXP_MAX-D427)/L427,NA()))</f>
        <v>#N/A</v>
      </c>
      <c r="N427" s="480" t="e">
        <f t="shared" ca="1" si="37"/>
        <v>#N/A</v>
      </c>
    </row>
    <row r="428" spans="4:14" ht="14.65" customHeight="1" x14ac:dyDescent="0.25">
      <c r="D428" s="480" t="str">
        <f t="shared" si="32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480" t="e">
        <f t="shared" ca="1" si="38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480" t="e">
        <f t="shared" ca="1" si="36"/>
        <v>#N/A</v>
      </c>
      <c r="L428" s="51" t="e">
        <f t="shared" si="35"/>
        <v>#N/A</v>
      </c>
      <c r="M428" s="58" t="e">
        <f>IF(ISBLANK(A428),NA(),IFERROR(A428+(PLAYER_EXP_MAX-D428)/L428,NA()))</f>
        <v>#N/A</v>
      </c>
      <c r="N428" s="480" t="e">
        <f t="shared" ca="1" si="37"/>
        <v>#N/A</v>
      </c>
    </row>
    <row r="429" spans="4:14" ht="14.65" customHeight="1" x14ac:dyDescent="0.25">
      <c r="D429" s="480" t="str">
        <f t="shared" si="32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480" t="e">
        <f t="shared" ca="1" si="38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480" t="e">
        <f t="shared" ca="1" si="36"/>
        <v>#N/A</v>
      </c>
      <c r="L429" s="51" t="e">
        <f t="shared" si="35"/>
        <v>#N/A</v>
      </c>
      <c r="M429" s="58" t="e">
        <f>IF(ISBLANK(A429),NA(),IFERROR(A429+(PLAYER_EXP_MAX-D429)/L429,NA()))</f>
        <v>#N/A</v>
      </c>
      <c r="N429" s="480" t="e">
        <f t="shared" ca="1" si="37"/>
        <v>#N/A</v>
      </c>
    </row>
    <row r="430" spans="4:14" ht="14.65" customHeight="1" x14ac:dyDescent="0.25">
      <c r="D430" s="480" t="str">
        <f t="shared" si="32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480" t="e">
        <f t="shared" ca="1" si="38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480" t="e">
        <f t="shared" ca="1" si="36"/>
        <v>#N/A</v>
      </c>
      <c r="L430" s="51" t="e">
        <f t="shared" si="35"/>
        <v>#N/A</v>
      </c>
      <c r="M430" s="58" t="e">
        <f>IF(ISBLANK(A430),NA(),IFERROR(A430+(PLAYER_EXP_MAX-D430)/L430,NA()))</f>
        <v>#N/A</v>
      </c>
      <c r="N430" s="480" t="e">
        <f t="shared" ca="1" si="37"/>
        <v>#N/A</v>
      </c>
    </row>
    <row r="431" spans="4:14" ht="14.65" customHeight="1" x14ac:dyDescent="0.25">
      <c r="D431" s="480" t="str">
        <f t="shared" si="32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480" t="e">
        <f t="shared" ca="1" si="38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480" t="e">
        <f t="shared" ca="1" si="36"/>
        <v>#N/A</v>
      </c>
      <c r="L431" s="51" t="e">
        <f t="shared" si="35"/>
        <v>#N/A</v>
      </c>
      <c r="M431" s="58" t="e">
        <f>IF(ISBLANK(A431),NA(),IFERROR(A431+(PLAYER_EXP_MAX-D431)/L431,NA()))</f>
        <v>#N/A</v>
      </c>
      <c r="N431" s="480" t="e">
        <f t="shared" ca="1" si="37"/>
        <v>#N/A</v>
      </c>
    </row>
    <row r="432" spans="4:14" ht="14.65" customHeight="1" x14ac:dyDescent="0.25">
      <c r="D432" s="480" t="str">
        <f t="shared" si="32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480" t="e">
        <f t="shared" ca="1" si="38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480" t="e">
        <f t="shared" ca="1" si="36"/>
        <v>#N/A</v>
      </c>
      <c r="L432" s="51" t="e">
        <f t="shared" si="35"/>
        <v>#N/A</v>
      </c>
      <c r="M432" s="58" t="e">
        <f>IF(ISBLANK(A432),NA(),IFERROR(A432+(PLAYER_EXP_MAX-D432)/L432,NA()))</f>
        <v>#N/A</v>
      </c>
      <c r="N432" s="480" t="e">
        <f t="shared" ca="1" si="37"/>
        <v>#N/A</v>
      </c>
    </row>
    <row r="433" spans="4:14" ht="14.65" customHeight="1" x14ac:dyDescent="0.25">
      <c r="D433" s="480" t="str">
        <f t="shared" si="32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480" t="e">
        <f t="shared" ca="1" si="38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480" t="e">
        <f t="shared" ca="1" si="36"/>
        <v>#N/A</v>
      </c>
      <c r="L433" s="51" t="e">
        <f t="shared" si="35"/>
        <v>#N/A</v>
      </c>
      <c r="M433" s="58" t="e">
        <f>IF(ISBLANK(A433),NA(),IFERROR(A433+(PLAYER_EXP_MAX-D433)/L433,NA()))</f>
        <v>#N/A</v>
      </c>
      <c r="N433" s="480" t="e">
        <f t="shared" ca="1" si="37"/>
        <v>#N/A</v>
      </c>
    </row>
    <row r="434" spans="4:14" ht="14.65" customHeight="1" x14ac:dyDescent="0.25">
      <c r="D434" s="480" t="str">
        <f t="shared" si="32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480" t="e">
        <f t="shared" ca="1" si="38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480" t="e">
        <f t="shared" ca="1" si="36"/>
        <v>#N/A</v>
      </c>
      <c r="L434" s="51" t="e">
        <f t="shared" si="35"/>
        <v>#N/A</v>
      </c>
      <c r="M434" s="58" t="e">
        <f>IF(ISBLANK(A434),NA(),IFERROR(A434+(PLAYER_EXP_MAX-D434)/L434,NA()))</f>
        <v>#N/A</v>
      </c>
      <c r="N434" s="480" t="e">
        <f t="shared" ca="1" si="37"/>
        <v>#N/A</v>
      </c>
    </row>
    <row r="435" spans="4:14" ht="14.65" customHeight="1" x14ac:dyDescent="0.25">
      <c r="D435" s="480" t="str">
        <f t="shared" si="32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480" t="e">
        <f t="shared" ca="1" si="38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480" t="e">
        <f t="shared" ca="1" si="36"/>
        <v>#N/A</v>
      </c>
      <c r="L435" s="51" t="e">
        <f t="shared" si="35"/>
        <v>#N/A</v>
      </c>
      <c r="M435" s="58" t="e">
        <f>IF(ISBLANK(A435),NA(),IFERROR(A435+(PLAYER_EXP_MAX-D435)/L435,NA()))</f>
        <v>#N/A</v>
      </c>
      <c r="N435" s="480" t="e">
        <f t="shared" ca="1" si="37"/>
        <v>#N/A</v>
      </c>
    </row>
    <row r="436" spans="4:14" ht="14.65" customHeight="1" x14ac:dyDescent="0.25">
      <c r="D436" s="480" t="str">
        <f t="shared" si="32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480" t="e">
        <f t="shared" ca="1" si="38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480" t="e">
        <f t="shared" ca="1" si="36"/>
        <v>#N/A</v>
      </c>
      <c r="L436" s="51" t="e">
        <f t="shared" si="35"/>
        <v>#N/A</v>
      </c>
      <c r="M436" s="58" t="e">
        <f>IF(ISBLANK(A436),NA(),IFERROR(A436+(PLAYER_EXP_MAX-D436)/L436,NA()))</f>
        <v>#N/A</v>
      </c>
      <c r="N436" s="480" t="e">
        <f t="shared" ca="1" si="37"/>
        <v>#N/A</v>
      </c>
    </row>
    <row r="437" spans="4:14" ht="14.65" customHeight="1" x14ac:dyDescent="0.25">
      <c r="D437" s="480" t="str">
        <f t="shared" si="32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480" t="e">
        <f t="shared" ca="1" si="38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480" t="e">
        <f t="shared" ca="1" si="36"/>
        <v>#N/A</v>
      </c>
      <c r="L437" s="51" t="e">
        <f t="shared" si="35"/>
        <v>#N/A</v>
      </c>
      <c r="M437" s="58" t="e">
        <f>IF(ISBLANK(A437),NA(),IFERROR(A437+(PLAYER_EXP_MAX-D437)/L437,NA()))</f>
        <v>#N/A</v>
      </c>
      <c r="N437" s="480" t="e">
        <f t="shared" ca="1" si="37"/>
        <v>#N/A</v>
      </c>
    </row>
    <row r="438" spans="4:14" ht="14.65" customHeight="1" x14ac:dyDescent="0.25">
      <c r="D438" s="480" t="str">
        <f t="shared" si="32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480" t="e">
        <f t="shared" ca="1" si="38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480" t="e">
        <f t="shared" ca="1" si="36"/>
        <v>#N/A</v>
      </c>
      <c r="L438" s="51" t="e">
        <f t="shared" si="35"/>
        <v>#N/A</v>
      </c>
      <c r="M438" s="58" t="e">
        <f>IF(ISBLANK(A438),NA(),IFERROR(A438+(PLAYER_EXP_MAX-D438)/L438,NA()))</f>
        <v>#N/A</v>
      </c>
      <c r="N438" s="480" t="e">
        <f t="shared" ca="1" si="37"/>
        <v>#N/A</v>
      </c>
    </row>
    <row r="439" spans="4:14" ht="14.65" customHeight="1" x14ac:dyDescent="0.25">
      <c r="D439" s="480" t="str">
        <f t="shared" si="32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480" t="e">
        <f t="shared" ca="1" si="38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480" t="e">
        <f t="shared" ca="1" si="36"/>
        <v>#N/A</v>
      </c>
      <c r="L439" s="51" t="e">
        <f t="shared" si="35"/>
        <v>#N/A</v>
      </c>
      <c r="M439" s="58" t="e">
        <f>IF(ISBLANK(A439),NA(),IFERROR(A439+(PLAYER_EXP_MAX-D439)/L439,NA()))</f>
        <v>#N/A</v>
      </c>
      <c r="N439" s="480" t="e">
        <f t="shared" ca="1" si="37"/>
        <v>#N/A</v>
      </c>
    </row>
    <row r="440" spans="4:14" ht="14.65" customHeight="1" x14ac:dyDescent="0.25">
      <c r="D440" s="480" t="str">
        <f t="shared" si="32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480" t="e">
        <f t="shared" ca="1" si="38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480" t="e">
        <f t="shared" ca="1" si="36"/>
        <v>#N/A</v>
      </c>
      <c r="L440" s="51" t="e">
        <f t="shared" si="35"/>
        <v>#N/A</v>
      </c>
      <c r="M440" s="58" t="e">
        <f>IF(ISBLANK(A440),NA(),IFERROR(A440+(PLAYER_EXP_MAX-D440)/L440,NA()))</f>
        <v>#N/A</v>
      </c>
      <c r="N440" s="480" t="e">
        <f t="shared" ca="1" si="37"/>
        <v>#N/A</v>
      </c>
    </row>
    <row r="441" spans="4:14" ht="14.65" customHeight="1" x14ac:dyDescent="0.25">
      <c r="D441" s="480" t="str">
        <f t="shared" si="32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480" t="e">
        <f t="shared" ca="1" si="38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480" t="e">
        <f t="shared" ca="1" si="36"/>
        <v>#N/A</v>
      </c>
      <c r="L441" s="51" t="e">
        <f t="shared" si="35"/>
        <v>#N/A</v>
      </c>
      <c r="M441" s="58" t="e">
        <f>IF(ISBLANK(A441),NA(),IFERROR(A441+(PLAYER_EXP_MAX-D441)/L441,NA()))</f>
        <v>#N/A</v>
      </c>
      <c r="N441" s="480" t="e">
        <f t="shared" ca="1" si="37"/>
        <v>#N/A</v>
      </c>
    </row>
    <row r="442" spans="4:14" ht="14.65" customHeight="1" x14ac:dyDescent="0.25">
      <c r="D442" s="480" t="str">
        <f t="shared" si="32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480" t="e">
        <f t="shared" ca="1" si="38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480" t="e">
        <f t="shared" ca="1" si="36"/>
        <v>#N/A</v>
      </c>
      <c r="L442" s="51" t="e">
        <f t="shared" si="35"/>
        <v>#N/A</v>
      </c>
      <c r="M442" s="58" t="e">
        <f>IF(ISBLANK(A442),NA(),IFERROR(A442+(PLAYER_EXP_MAX-D442)/L442,NA()))</f>
        <v>#N/A</v>
      </c>
      <c r="N442" s="480" t="e">
        <f t="shared" ca="1" si="37"/>
        <v>#N/A</v>
      </c>
    </row>
    <row r="443" spans="4:14" ht="14.65" customHeight="1" x14ac:dyDescent="0.25">
      <c r="D443" s="480" t="str">
        <f t="shared" si="32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480" t="e">
        <f t="shared" ca="1" si="38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480" t="e">
        <f t="shared" ca="1" si="36"/>
        <v>#N/A</v>
      </c>
      <c r="L443" s="51" t="e">
        <f t="shared" si="35"/>
        <v>#N/A</v>
      </c>
      <c r="M443" s="58" t="e">
        <f>IF(ISBLANK(A443),NA(),IFERROR(A443+(PLAYER_EXP_MAX-D443)/L443,NA()))</f>
        <v>#N/A</v>
      </c>
      <c r="N443" s="480" t="e">
        <f t="shared" ca="1" si="37"/>
        <v>#N/A</v>
      </c>
    </row>
    <row r="444" spans="4:14" ht="14.65" customHeight="1" x14ac:dyDescent="0.25">
      <c r="D444" s="480" t="str">
        <f t="shared" si="32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480" t="e">
        <f t="shared" ca="1" si="38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480" t="e">
        <f t="shared" ca="1" si="36"/>
        <v>#N/A</v>
      </c>
      <c r="L444" s="51" t="e">
        <f t="shared" si="35"/>
        <v>#N/A</v>
      </c>
      <c r="M444" s="58" t="e">
        <f>IF(ISBLANK(A444),NA(),IFERROR(A444+(PLAYER_EXP_MAX-D444)/L444,NA()))</f>
        <v>#N/A</v>
      </c>
      <c r="N444" s="480" t="e">
        <f t="shared" ca="1" si="37"/>
        <v>#N/A</v>
      </c>
    </row>
    <row r="445" spans="4:14" ht="14.65" customHeight="1" x14ac:dyDescent="0.25">
      <c r="D445" s="480" t="str">
        <f t="shared" si="32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480" t="e">
        <f t="shared" ca="1" si="38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480" t="e">
        <f t="shared" ca="1" si="36"/>
        <v>#N/A</v>
      </c>
      <c r="L445" s="51" t="e">
        <f t="shared" si="35"/>
        <v>#N/A</v>
      </c>
      <c r="M445" s="58" t="e">
        <f>IF(ISBLANK(A445),NA(),IFERROR(A445+(PLAYER_EXP_MAX-D445)/L445,NA()))</f>
        <v>#N/A</v>
      </c>
      <c r="N445" s="480" t="e">
        <f t="shared" ca="1" si="37"/>
        <v>#N/A</v>
      </c>
    </row>
    <row r="446" spans="4:14" ht="14.65" customHeight="1" x14ac:dyDescent="0.25">
      <c r="D446" s="480" t="str">
        <f t="shared" si="32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480" t="e">
        <f t="shared" ca="1" si="38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480" t="e">
        <f t="shared" ca="1" si="36"/>
        <v>#N/A</v>
      </c>
      <c r="L446" s="51" t="e">
        <f t="shared" si="35"/>
        <v>#N/A</v>
      </c>
      <c r="M446" s="58" t="e">
        <f>IF(ISBLANK(A446),NA(),IFERROR(A446+(PLAYER_EXP_MAX-D446)/L446,NA()))</f>
        <v>#N/A</v>
      </c>
      <c r="N446" s="480" t="e">
        <f t="shared" ca="1" si="37"/>
        <v>#N/A</v>
      </c>
    </row>
    <row r="447" spans="4:14" ht="14.65" customHeight="1" x14ac:dyDescent="0.25">
      <c r="D447" s="480" t="str">
        <f t="shared" si="32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480" t="e">
        <f t="shared" ca="1" si="38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480" t="e">
        <f t="shared" ca="1" si="36"/>
        <v>#N/A</v>
      </c>
      <c r="L447" s="51" t="e">
        <f t="shared" si="35"/>
        <v>#N/A</v>
      </c>
      <c r="M447" s="58" t="e">
        <f>IF(ISBLANK(A447),NA(),IFERROR(A447+(PLAYER_EXP_MAX-D447)/L447,NA()))</f>
        <v>#N/A</v>
      </c>
      <c r="N447" s="480" t="e">
        <f t="shared" ca="1" si="37"/>
        <v>#N/A</v>
      </c>
    </row>
    <row r="448" spans="4:14" ht="14.65" customHeight="1" x14ac:dyDescent="0.25">
      <c r="D448" s="480" t="str">
        <f t="shared" si="32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480" t="e">
        <f t="shared" ca="1" si="38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480" t="e">
        <f t="shared" ca="1" si="36"/>
        <v>#N/A</v>
      </c>
      <c r="L448" s="51" t="e">
        <f t="shared" si="35"/>
        <v>#N/A</v>
      </c>
      <c r="M448" s="58" t="e">
        <f>IF(ISBLANK(A448),NA(),IFERROR(A448+(PLAYER_EXP_MAX-D448)/L448,NA()))</f>
        <v>#N/A</v>
      </c>
      <c r="N448" s="480" t="e">
        <f t="shared" ca="1" si="37"/>
        <v>#N/A</v>
      </c>
    </row>
    <row r="449" spans="4:14" ht="14.65" customHeight="1" x14ac:dyDescent="0.25">
      <c r="D449" s="480" t="str">
        <f t="shared" si="32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480" t="e">
        <f t="shared" ca="1" si="38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480" t="e">
        <f t="shared" ca="1" si="36"/>
        <v>#N/A</v>
      </c>
      <c r="L449" s="51" t="e">
        <f t="shared" si="35"/>
        <v>#N/A</v>
      </c>
      <c r="M449" s="58" t="e">
        <f>IF(ISBLANK(A449),NA(),IFERROR(A449+(PLAYER_EXP_MAX-D449)/L449,NA()))</f>
        <v>#N/A</v>
      </c>
      <c r="N449" s="480" t="e">
        <f t="shared" ca="1" si="37"/>
        <v>#N/A</v>
      </c>
    </row>
    <row r="450" spans="4:14" ht="14.65" customHeight="1" x14ac:dyDescent="0.25">
      <c r="D450" s="480" t="str">
        <f t="shared" si="32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480" t="e">
        <f t="shared" ca="1" si="38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480" t="e">
        <f t="shared" ca="1" si="36"/>
        <v>#N/A</v>
      </c>
      <c r="L450" s="51" t="e">
        <f t="shared" si="35"/>
        <v>#N/A</v>
      </c>
      <c r="M450" s="58" t="e">
        <f>IF(ISBLANK(A450),NA(),IFERROR(A450+(PLAYER_EXP_MAX-D450)/L450,NA()))</f>
        <v>#N/A</v>
      </c>
      <c r="N450" s="480" t="e">
        <f t="shared" ca="1" si="37"/>
        <v>#N/A</v>
      </c>
    </row>
    <row r="451" spans="4:14" ht="14.65" customHeight="1" x14ac:dyDescent="0.25">
      <c r="D451" s="480" t="str">
        <f t="shared" ref="D451:D514" si="39">IF(ISBLANK(A451),"-",INDEX(DATA_PLAYER_EXP, B451, 3) + INDEX(DATA_PLAYER_EXP, B451, 2) - C451)</f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480" t="e">
        <f t="shared" ca="1" si="38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480" t="e">
        <f t="shared" ca="1" si="36"/>
        <v>#N/A</v>
      </c>
      <c r="L451" s="51" t="e">
        <f t="shared" si="35"/>
        <v>#N/A</v>
      </c>
      <c r="M451" s="58" t="e">
        <f>IF(ISBLANK(A451),NA(),IFERROR(A451+(PLAYER_EXP_MAX-D451)/L451,NA()))</f>
        <v>#N/A</v>
      </c>
      <c r="N451" s="480" t="e">
        <f t="shared" ca="1" si="37"/>
        <v>#N/A</v>
      </c>
    </row>
    <row r="452" spans="4:14" ht="14.65" customHeight="1" x14ac:dyDescent="0.25">
      <c r="D452" s="480" t="str">
        <f t="shared" si="39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480" t="e">
        <f t="shared" ca="1" si="38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480" t="e">
        <f t="shared" ca="1" si="36"/>
        <v>#N/A</v>
      </c>
      <c r="L452" s="51" t="e">
        <f t="shared" ref="L452:L515" si="40">IFERROR(IF(OR(ISBLANK($A452),$A452-$A$3 &lt; $C$1),NA(),($D452-$D$3)/($A452-$A$3)),NA())</f>
        <v>#N/A</v>
      </c>
      <c r="M452" s="58" t="e">
        <f>IF(ISBLANK(A452),NA(),IFERROR(A452+(PLAYER_EXP_MAX-D452)/L452,NA()))</f>
        <v>#N/A</v>
      </c>
      <c r="N452" s="480" t="e">
        <f t="shared" ca="1" si="37"/>
        <v>#N/A</v>
      </c>
    </row>
    <row r="453" spans="4:14" ht="14.65" customHeight="1" x14ac:dyDescent="0.25">
      <c r="D453" s="480" t="str">
        <f t="shared" si="39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480" t="e">
        <f t="shared" ca="1" si="38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480" t="e">
        <f t="shared" ca="1" si="36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480" t="e">
        <f t="shared" ca="1" si="37"/>
        <v>#N/A</v>
      </c>
    </row>
    <row r="454" spans="4:14" ht="14.65" customHeight="1" x14ac:dyDescent="0.25">
      <c r="D454" s="480" t="str">
        <f t="shared" si="39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480" t="e">
        <f t="shared" ca="1" si="38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480" t="e">
        <f t="shared" ca="1" si="36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480" t="e">
        <f t="shared" ca="1" si="37"/>
        <v>#N/A</v>
      </c>
    </row>
    <row r="455" spans="4:14" ht="14.65" customHeight="1" x14ac:dyDescent="0.25">
      <c r="D455" s="480" t="str">
        <f t="shared" si="39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480" t="e">
        <f t="shared" ca="1" si="38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480" t="e">
        <f t="shared" ca="1" si="36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480" t="e">
        <f t="shared" ca="1" si="37"/>
        <v>#N/A</v>
      </c>
    </row>
    <row r="456" spans="4:14" ht="14.65" customHeight="1" x14ac:dyDescent="0.25">
      <c r="D456" s="480" t="str">
        <f t="shared" si="39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480" t="e">
        <f t="shared" ca="1" si="38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480" t="e">
        <f t="shared" ca="1" si="36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480" t="e">
        <f t="shared" ca="1" si="37"/>
        <v>#N/A</v>
      </c>
    </row>
    <row r="457" spans="4:14" ht="14.65" customHeight="1" x14ac:dyDescent="0.25">
      <c r="D457" s="480" t="str">
        <f t="shared" si="39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480" t="e">
        <f t="shared" ca="1" si="38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480" t="e">
        <f t="shared" ca="1" si="36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480" t="e">
        <f t="shared" ca="1" si="37"/>
        <v>#N/A</v>
      </c>
    </row>
    <row r="458" spans="4:14" ht="14.65" customHeight="1" x14ac:dyDescent="0.25">
      <c r="D458" s="480" t="str">
        <f t="shared" si="39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480" t="e">
        <f t="shared" ca="1" si="38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480" t="e">
        <f t="shared" ca="1" si="36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480" t="e">
        <f t="shared" ca="1" si="37"/>
        <v>#N/A</v>
      </c>
    </row>
    <row r="459" spans="4:14" ht="14.65" customHeight="1" x14ac:dyDescent="0.25">
      <c r="D459" s="480" t="str">
        <f t="shared" si="39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480" t="e">
        <f t="shared" ca="1" si="38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480" t="e">
        <f t="shared" ca="1" si="36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480" t="e">
        <f t="shared" ca="1" si="37"/>
        <v>#N/A</v>
      </c>
    </row>
    <row r="460" spans="4:14" ht="14.65" customHeight="1" x14ac:dyDescent="0.25">
      <c r="D460" s="480" t="str">
        <f t="shared" si="39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480" t="e">
        <f t="shared" ca="1" si="38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480" t="e">
        <f t="shared" ca="1" si="36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480" t="e">
        <f t="shared" ca="1" si="37"/>
        <v>#N/A</v>
      </c>
    </row>
    <row r="461" spans="4:14" ht="14.65" customHeight="1" x14ac:dyDescent="0.25">
      <c r="D461" s="480" t="str">
        <f t="shared" si="39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480" t="e">
        <f t="shared" ca="1" si="38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480" t="e">
        <f t="shared" ca="1" si="36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480" t="e">
        <f t="shared" ca="1" si="37"/>
        <v>#N/A</v>
      </c>
    </row>
    <row r="462" spans="4:14" ht="14.65" customHeight="1" x14ac:dyDescent="0.25">
      <c r="D462" s="480" t="str">
        <f t="shared" si="39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480" t="e">
        <f t="shared" ca="1" si="38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480" t="e">
        <f t="shared" ca="1" si="36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480" t="e">
        <f t="shared" ca="1" si="37"/>
        <v>#N/A</v>
      </c>
    </row>
    <row r="463" spans="4:14" ht="14.65" customHeight="1" x14ac:dyDescent="0.25">
      <c r="D463" s="480" t="str">
        <f t="shared" si="39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480" t="e">
        <f t="shared" ca="1" si="38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480" t="e">
        <f t="shared" ca="1" si="36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480" t="e">
        <f t="shared" ca="1" si="37"/>
        <v>#N/A</v>
      </c>
    </row>
    <row r="464" spans="4:14" ht="14.65" customHeight="1" x14ac:dyDescent="0.25">
      <c r="D464" s="480" t="str">
        <f t="shared" si="39"/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480" t="e">
        <f t="shared" ca="1" si="38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480" t="e">
        <f t="shared" ca="1" si="36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480" t="e">
        <f t="shared" ca="1" si="37"/>
        <v>#N/A</v>
      </c>
    </row>
    <row r="465" spans="4:14" ht="14.65" customHeight="1" x14ac:dyDescent="0.25">
      <c r="D465" s="480" t="str">
        <f t="shared" si="39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480" t="e">
        <f t="shared" ca="1" si="38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480" t="e">
        <f t="shared" ref="K465:K528" ca="1" si="41">IF(ISBLANK(A465),NA(),IFERROR(TEXT(TRUNC(J465-NOW()),"000") &amp; " D " &amp; TEXT(TRUNC(ABS(J465-NOW()-TRUNC(J465-NOW()))*24),"00") &amp; " H", NA()))</f>
        <v>#N/A</v>
      </c>
      <c r="L465" s="51" t="e">
        <f t="shared" si="40"/>
        <v>#N/A</v>
      </c>
      <c r="M465" s="58" t="e">
        <f>IF(ISBLANK(A465),NA(),IFERROR(A465+(PLAYER_EXP_MAX-D465)/L465,NA()))</f>
        <v>#N/A</v>
      </c>
      <c r="N465" s="480" t="e">
        <f t="shared" ref="N465:N528" ca="1" si="42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80" t="str">
        <f t="shared" si="39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480" t="e">
        <f t="shared" ca="1" si="38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480" t="e">
        <f t="shared" ca="1" si="41"/>
        <v>#N/A</v>
      </c>
      <c r="L466" s="51" t="e">
        <f t="shared" si="40"/>
        <v>#N/A</v>
      </c>
      <c r="M466" s="58" t="e">
        <f>IF(ISBLANK(A466),NA(),IFERROR(A466+(PLAYER_EXP_MAX-D466)/L466,NA()))</f>
        <v>#N/A</v>
      </c>
      <c r="N466" s="480" t="e">
        <f t="shared" ca="1" si="42"/>
        <v>#N/A</v>
      </c>
    </row>
    <row r="467" spans="4:14" ht="14.65" customHeight="1" x14ac:dyDescent="0.25">
      <c r="D467" s="480" t="str">
        <f t="shared" si="39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480" t="e">
        <f t="shared" ca="1" si="38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480" t="e">
        <f t="shared" ca="1" si="41"/>
        <v>#N/A</v>
      </c>
      <c r="L467" s="51" t="e">
        <f t="shared" si="40"/>
        <v>#N/A</v>
      </c>
      <c r="M467" s="58" t="e">
        <f>IF(ISBLANK(A467),NA(),IFERROR(A467+(PLAYER_EXP_MAX-D467)/L467,NA()))</f>
        <v>#N/A</v>
      </c>
      <c r="N467" s="480" t="e">
        <f t="shared" ca="1" si="42"/>
        <v>#N/A</v>
      </c>
    </row>
    <row r="468" spans="4:14" ht="14.65" customHeight="1" x14ac:dyDescent="0.25">
      <c r="D468" s="480" t="str">
        <f t="shared" si="39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480" t="e">
        <f t="shared" ca="1" si="38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480" t="e">
        <f t="shared" ca="1" si="41"/>
        <v>#N/A</v>
      </c>
      <c r="L468" s="51" t="e">
        <f t="shared" si="40"/>
        <v>#N/A</v>
      </c>
      <c r="M468" s="58" t="e">
        <f>IF(ISBLANK(A468),NA(),IFERROR(A468+(PLAYER_EXP_MAX-D468)/L468,NA()))</f>
        <v>#N/A</v>
      </c>
      <c r="N468" s="480" t="e">
        <f t="shared" ca="1" si="42"/>
        <v>#N/A</v>
      </c>
    </row>
    <row r="469" spans="4:14" ht="14.65" customHeight="1" x14ac:dyDescent="0.25">
      <c r="D469" s="480" t="str">
        <f t="shared" si="39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480" t="e">
        <f t="shared" ca="1" si="38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480" t="e">
        <f t="shared" ca="1" si="41"/>
        <v>#N/A</v>
      </c>
      <c r="L469" s="51" t="e">
        <f t="shared" si="40"/>
        <v>#N/A</v>
      </c>
      <c r="M469" s="58" t="e">
        <f>IF(ISBLANK(A469),NA(),IFERROR(A469+(PLAYER_EXP_MAX-D469)/L469,NA()))</f>
        <v>#N/A</v>
      </c>
      <c r="N469" s="480" t="e">
        <f t="shared" ca="1" si="42"/>
        <v>#N/A</v>
      </c>
    </row>
    <row r="470" spans="4:14" ht="14.65" customHeight="1" x14ac:dyDescent="0.25">
      <c r="D470" s="480" t="str">
        <f t="shared" si="39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480" t="e">
        <f t="shared" ca="1" si="38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480" t="e">
        <f t="shared" ca="1" si="41"/>
        <v>#N/A</v>
      </c>
      <c r="L470" s="51" t="e">
        <f t="shared" si="40"/>
        <v>#N/A</v>
      </c>
      <c r="M470" s="58" t="e">
        <f>IF(ISBLANK(A470),NA(),IFERROR(A470+(PLAYER_EXP_MAX-D470)/L470,NA()))</f>
        <v>#N/A</v>
      </c>
      <c r="N470" s="480" t="e">
        <f t="shared" ca="1" si="42"/>
        <v>#N/A</v>
      </c>
    </row>
    <row r="471" spans="4:14" ht="14.65" customHeight="1" x14ac:dyDescent="0.25">
      <c r="D471" s="480" t="str">
        <f t="shared" si="39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480" t="e">
        <f t="shared" ca="1" si="38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480" t="e">
        <f t="shared" ca="1" si="41"/>
        <v>#N/A</v>
      </c>
      <c r="L471" s="51" t="e">
        <f t="shared" si="40"/>
        <v>#N/A</v>
      </c>
      <c r="M471" s="58" t="e">
        <f>IF(ISBLANK(A471),NA(),IFERROR(A471+(PLAYER_EXP_MAX-D471)/L471,NA()))</f>
        <v>#N/A</v>
      </c>
      <c r="N471" s="480" t="e">
        <f t="shared" ca="1" si="42"/>
        <v>#N/A</v>
      </c>
    </row>
    <row r="472" spans="4:14" ht="14.65" customHeight="1" x14ac:dyDescent="0.25">
      <c r="D472" s="480" t="str">
        <f t="shared" si="39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480" t="e">
        <f t="shared" ca="1" si="38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480" t="e">
        <f t="shared" ca="1" si="41"/>
        <v>#N/A</v>
      </c>
      <c r="L472" s="51" t="e">
        <f t="shared" si="40"/>
        <v>#N/A</v>
      </c>
      <c r="M472" s="58" t="e">
        <f>IF(ISBLANK(A472),NA(),IFERROR(A472+(PLAYER_EXP_MAX-D472)/L472,NA()))</f>
        <v>#N/A</v>
      </c>
      <c r="N472" s="480" t="e">
        <f t="shared" ca="1" si="42"/>
        <v>#N/A</v>
      </c>
    </row>
    <row r="473" spans="4:14" ht="14.65" customHeight="1" x14ac:dyDescent="0.25">
      <c r="D473" s="480" t="str">
        <f t="shared" si="39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480" t="e">
        <f t="shared" ca="1" si="38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480" t="e">
        <f t="shared" ca="1" si="41"/>
        <v>#N/A</v>
      </c>
      <c r="L473" s="51" t="e">
        <f t="shared" si="40"/>
        <v>#N/A</v>
      </c>
      <c r="M473" s="58" t="e">
        <f>IF(ISBLANK(A473),NA(),IFERROR(A473+(PLAYER_EXP_MAX-D473)/L473,NA()))</f>
        <v>#N/A</v>
      </c>
      <c r="N473" s="480" t="e">
        <f t="shared" ca="1" si="42"/>
        <v>#N/A</v>
      </c>
    </row>
    <row r="474" spans="4:14" ht="14.65" customHeight="1" x14ac:dyDescent="0.25">
      <c r="D474" s="480" t="str">
        <f t="shared" si="39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480" t="e">
        <f t="shared" ca="1" si="38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480" t="e">
        <f t="shared" ca="1" si="41"/>
        <v>#N/A</v>
      </c>
      <c r="L474" s="51" t="e">
        <f t="shared" si="40"/>
        <v>#N/A</v>
      </c>
      <c r="M474" s="58" t="e">
        <f>IF(ISBLANK(A474),NA(),IFERROR(A474+(PLAYER_EXP_MAX-D474)/L474,NA()))</f>
        <v>#N/A</v>
      </c>
      <c r="N474" s="480" t="e">
        <f t="shared" ca="1" si="42"/>
        <v>#N/A</v>
      </c>
    </row>
    <row r="475" spans="4:14" ht="14.65" customHeight="1" x14ac:dyDescent="0.25">
      <c r="D475" s="480" t="str">
        <f t="shared" si="39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480" t="e">
        <f t="shared" ca="1" si="38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480" t="e">
        <f t="shared" ca="1" si="41"/>
        <v>#N/A</v>
      </c>
      <c r="L475" s="51" t="e">
        <f t="shared" si="40"/>
        <v>#N/A</v>
      </c>
      <c r="M475" s="58" t="e">
        <f>IF(ISBLANK(A475),NA(),IFERROR(A475+(PLAYER_EXP_MAX-D475)/L475,NA()))</f>
        <v>#N/A</v>
      </c>
      <c r="N475" s="480" t="e">
        <f t="shared" ca="1" si="42"/>
        <v>#N/A</v>
      </c>
    </row>
    <row r="476" spans="4:14" ht="14.65" customHeight="1" x14ac:dyDescent="0.25">
      <c r="D476" s="480" t="str">
        <f t="shared" si="39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480" t="e">
        <f t="shared" ca="1" si="38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480" t="e">
        <f t="shared" ca="1" si="41"/>
        <v>#N/A</v>
      </c>
      <c r="L476" s="51" t="e">
        <f t="shared" si="40"/>
        <v>#N/A</v>
      </c>
      <c r="M476" s="58" t="e">
        <f>IF(ISBLANK(A476),NA(),IFERROR(A476+(PLAYER_EXP_MAX-D476)/L476,NA()))</f>
        <v>#N/A</v>
      </c>
      <c r="N476" s="480" t="e">
        <f t="shared" ca="1" si="42"/>
        <v>#N/A</v>
      </c>
    </row>
    <row r="477" spans="4:14" ht="14.65" customHeight="1" x14ac:dyDescent="0.25">
      <c r="D477" s="480" t="str">
        <f t="shared" si="39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480" t="e">
        <f t="shared" ca="1" si="38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480" t="e">
        <f t="shared" ca="1" si="41"/>
        <v>#N/A</v>
      </c>
      <c r="L477" s="51" t="e">
        <f t="shared" si="40"/>
        <v>#N/A</v>
      </c>
      <c r="M477" s="58" t="e">
        <f>IF(ISBLANK(A477),NA(),IFERROR(A477+(PLAYER_EXP_MAX-D477)/L477,NA()))</f>
        <v>#N/A</v>
      </c>
      <c r="N477" s="480" t="e">
        <f t="shared" ca="1" si="42"/>
        <v>#N/A</v>
      </c>
    </row>
    <row r="478" spans="4:14" ht="14.65" customHeight="1" x14ac:dyDescent="0.25">
      <c r="D478" s="480" t="str">
        <f t="shared" si="39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480" t="e">
        <f t="shared" ca="1" si="38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480" t="e">
        <f t="shared" ca="1" si="41"/>
        <v>#N/A</v>
      </c>
      <c r="L478" s="51" t="e">
        <f t="shared" si="40"/>
        <v>#N/A</v>
      </c>
      <c r="M478" s="58" t="e">
        <f>IF(ISBLANK(A478),NA(),IFERROR(A478+(PLAYER_EXP_MAX-D478)/L478,NA()))</f>
        <v>#N/A</v>
      </c>
      <c r="N478" s="480" t="e">
        <f t="shared" ca="1" si="42"/>
        <v>#N/A</v>
      </c>
    </row>
    <row r="479" spans="4:14" ht="14.65" customHeight="1" x14ac:dyDescent="0.25">
      <c r="D479" s="480" t="str">
        <f t="shared" si="39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480" t="e">
        <f t="shared" ref="H479:H542" ca="1" si="43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480" t="e">
        <f t="shared" ca="1" si="41"/>
        <v>#N/A</v>
      </c>
      <c r="L479" s="51" t="e">
        <f t="shared" si="40"/>
        <v>#N/A</v>
      </c>
      <c r="M479" s="58" t="e">
        <f>IF(ISBLANK(A479),NA(),IFERROR(A479+(PLAYER_EXP_MAX-D479)/L479,NA()))</f>
        <v>#N/A</v>
      </c>
      <c r="N479" s="480" t="e">
        <f t="shared" ca="1" si="42"/>
        <v>#N/A</v>
      </c>
    </row>
    <row r="480" spans="4:14" ht="14.65" customHeight="1" x14ac:dyDescent="0.25">
      <c r="D480" s="480" t="str">
        <f t="shared" si="39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480" t="e">
        <f t="shared" ca="1" si="43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480" t="e">
        <f t="shared" ca="1" si="41"/>
        <v>#N/A</v>
      </c>
      <c r="L480" s="51" t="e">
        <f t="shared" si="40"/>
        <v>#N/A</v>
      </c>
      <c r="M480" s="58" t="e">
        <f>IF(ISBLANK(A480),NA(),IFERROR(A480+(PLAYER_EXP_MAX-D480)/L480,NA()))</f>
        <v>#N/A</v>
      </c>
      <c r="N480" s="480" t="e">
        <f t="shared" ca="1" si="42"/>
        <v>#N/A</v>
      </c>
    </row>
    <row r="481" spans="4:14" ht="14.65" customHeight="1" x14ac:dyDescent="0.25">
      <c r="D481" s="480" t="str">
        <f t="shared" si="39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480" t="e">
        <f t="shared" ca="1" si="43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480" t="e">
        <f t="shared" ca="1" si="41"/>
        <v>#N/A</v>
      </c>
      <c r="L481" s="51" t="e">
        <f t="shared" si="40"/>
        <v>#N/A</v>
      </c>
      <c r="M481" s="58" t="e">
        <f>IF(ISBLANK(A481),NA(),IFERROR(A481+(PLAYER_EXP_MAX-D481)/L481,NA()))</f>
        <v>#N/A</v>
      </c>
      <c r="N481" s="480" t="e">
        <f t="shared" ca="1" si="42"/>
        <v>#N/A</v>
      </c>
    </row>
    <row r="482" spans="4:14" ht="14.65" customHeight="1" x14ac:dyDescent="0.25">
      <c r="D482" s="480" t="str">
        <f t="shared" si="39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480" t="e">
        <f t="shared" ca="1" si="43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480" t="e">
        <f t="shared" ca="1" si="41"/>
        <v>#N/A</v>
      </c>
      <c r="L482" s="51" t="e">
        <f t="shared" si="40"/>
        <v>#N/A</v>
      </c>
      <c r="M482" s="58" t="e">
        <f>IF(ISBLANK(A482),NA(),IFERROR(A482+(PLAYER_EXP_MAX-D482)/L482,NA()))</f>
        <v>#N/A</v>
      </c>
      <c r="N482" s="480" t="e">
        <f t="shared" ca="1" si="42"/>
        <v>#N/A</v>
      </c>
    </row>
    <row r="483" spans="4:14" ht="14.65" customHeight="1" x14ac:dyDescent="0.25">
      <c r="D483" s="480" t="str">
        <f t="shared" si="39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480" t="e">
        <f t="shared" ca="1" si="43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480" t="e">
        <f t="shared" ca="1" si="41"/>
        <v>#N/A</v>
      </c>
      <c r="L483" s="51" t="e">
        <f t="shared" si="40"/>
        <v>#N/A</v>
      </c>
      <c r="M483" s="58" t="e">
        <f>IF(ISBLANK(A483),NA(),IFERROR(A483+(PLAYER_EXP_MAX-D483)/L483,NA()))</f>
        <v>#N/A</v>
      </c>
      <c r="N483" s="480" t="e">
        <f t="shared" ca="1" si="42"/>
        <v>#N/A</v>
      </c>
    </row>
    <row r="484" spans="4:14" ht="14.65" customHeight="1" x14ac:dyDescent="0.25">
      <c r="D484" s="480" t="str">
        <f t="shared" si="39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480" t="e">
        <f t="shared" ca="1" si="43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480" t="e">
        <f t="shared" ca="1" si="41"/>
        <v>#N/A</v>
      </c>
      <c r="L484" s="51" t="e">
        <f t="shared" si="40"/>
        <v>#N/A</v>
      </c>
      <c r="M484" s="58" t="e">
        <f>IF(ISBLANK(A484),NA(),IFERROR(A484+(PLAYER_EXP_MAX-D484)/L484,NA()))</f>
        <v>#N/A</v>
      </c>
      <c r="N484" s="480" t="e">
        <f t="shared" ca="1" si="42"/>
        <v>#N/A</v>
      </c>
    </row>
    <row r="485" spans="4:14" ht="14.65" customHeight="1" x14ac:dyDescent="0.25">
      <c r="D485" s="480" t="str">
        <f t="shared" si="39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480" t="e">
        <f t="shared" ca="1" si="43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480" t="e">
        <f t="shared" ca="1" si="41"/>
        <v>#N/A</v>
      </c>
      <c r="L485" s="51" t="e">
        <f t="shared" si="40"/>
        <v>#N/A</v>
      </c>
      <c r="M485" s="58" t="e">
        <f>IF(ISBLANK(A485),NA(),IFERROR(A485+(PLAYER_EXP_MAX-D485)/L485,NA()))</f>
        <v>#N/A</v>
      </c>
      <c r="N485" s="480" t="e">
        <f t="shared" ca="1" si="42"/>
        <v>#N/A</v>
      </c>
    </row>
    <row r="486" spans="4:14" ht="14.65" customHeight="1" x14ac:dyDescent="0.25">
      <c r="D486" s="480" t="str">
        <f t="shared" si="39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480" t="e">
        <f t="shared" ca="1" si="43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480" t="e">
        <f t="shared" ca="1" si="41"/>
        <v>#N/A</v>
      </c>
      <c r="L486" s="51" t="e">
        <f t="shared" si="40"/>
        <v>#N/A</v>
      </c>
      <c r="M486" s="58" t="e">
        <f>IF(ISBLANK(A486),NA(),IFERROR(A486+(PLAYER_EXP_MAX-D486)/L486,NA()))</f>
        <v>#N/A</v>
      </c>
      <c r="N486" s="480" t="e">
        <f t="shared" ca="1" si="42"/>
        <v>#N/A</v>
      </c>
    </row>
    <row r="487" spans="4:14" ht="14.65" customHeight="1" x14ac:dyDescent="0.25">
      <c r="D487" s="480" t="str">
        <f t="shared" si="39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480" t="e">
        <f t="shared" ca="1" si="43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480" t="e">
        <f t="shared" ca="1" si="41"/>
        <v>#N/A</v>
      </c>
      <c r="L487" s="51" t="e">
        <f t="shared" si="40"/>
        <v>#N/A</v>
      </c>
      <c r="M487" s="58" t="e">
        <f>IF(ISBLANK(A487),NA(),IFERROR(A487+(PLAYER_EXP_MAX-D487)/L487,NA()))</f>
        <v>#N/A</v>
      </c>
      <c r="N487" s="480" t="e">
        <f t="shared" ca="1" si="42"/>
        <v>#N/A</v>
      </c>
    </row>
    <row r="488" spans="4:14" ht="14.65" customHeight="1" x14ac:dyDescent="0.25">
      <c r="D488" s="480" t="str">
        <f t="shared" si="39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480" t="e">
        <f t="shared" ca="1" si="43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480" t="e">
        <f t="shared" ca="1" si="41"/>
        <v>#N/A</v>
      </c>
      <c r="L488" s="51" t="e">
        <f t="shared" si="40"/>
        <v>#N/A</v>
      </c>
      <c r="M488" s="58" t="e">
        <f>IF(ISBLANK(A488),NA(),IFERROR(A488+(PLAYER_EXP_MAX-D488)/L488,NA()))</f>
        <v>#N/A</v>
      </c>
      <c r="N488" s="480" t="e">
        <f t="shared" ca="1" si="42"/>
        <v>#N/A</v>
      </c>
    </row>
    <row r="489" spans="4:14" ht="14.65" customHeight="1" x14ac:dyDescent="0.25">
      <c r="D489" s="480" t="str">
        <f t="shared" si="39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480" t="e">
        <f t="shared" ca="1" si="43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480" t="e">
        <f t="shared" ca="1" si="41"/>
        <v>#N/A</v>
      </c>
      <c r="L489" s="51" t="e">
        <f t="shared" si="40"/>
        <v>#N/A</v>
      </c>
      <c r="M489" s="58" t="e">
        <f>IF(ISBLANK(A489),NA(),IFERROR(A489+(PLAYER_EXP_MAX-D489)/L489,NA()))</f>
        <v>#N/A</v>
      </c>
      <c r="N489" s="480" t="e">
        <f t="shared" ca="1" si="42"/>
        <v>#N/A</v>
      </c>
    </row>
    <row r="490" spans="4:14" ht="14.65" customHeight="1" x14ac:dyDescent="0.25">
      <c r="D490" s="480" t="str">
        <f t="shared" si="39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480" t="e">
        <f t="shared" ca="1" si="43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480" t="e">
        <f t="shared" ca="1" si="41"/>
        <v>#N/A</v>
      </c>
      <c r="L490" s="51" t="e">
        <f t="shared" si="40"/>
        <v>#N/A</v>
      </c>
      <c r="M490" s="58" t="e">
        <f>IF(ISBLANK(A490),NA(),IFERROR(A490+(PLAYER_EXP_MAX-D490)/L490,NA()))</f>
        <v>#N/A</v>
      </c>
      <c r="N490" s="480" t="e">
        <f t="shared" ca="1" si="42"/>
        <v>#N/A</v>
      </c>
    </row>
    <row r="491" spans="4:14" ht="14.65" customHeight="1" x14ac:dyDescent="0.25">
      <c r="D491" s="480" t="str">
        <f t="shared" si="39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480" t="e">
        <f t="shared" ca="1" si="43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480" t="e">
        <f t="shared" ca="1" si="41"/>
        <v>#N/A</v>
      </c>
      <c r="L491" s="51" t="e">
        <f t="shared" si="40"/>
        <v>#N/A</v>
      </c>
      <c r="M491" s="58" t="e">
        <f>IF(ISBLANK(A491),NA(),IFERROR(A491+(PLAYER_EXP_MAX-D491)/L491,NA()))</f>
        <v>#N/A</v>
      </c>
      <c r="N491" s="480" t="e">
        <f t="shared" ca="1" si="42"/>
        <v>#N/A</v>
      </c>
    </row>
    <row r="492" spans="4:14" ht="14.65" customHeight="1" x14ac:dyDescent="0.25">
      <c r="D492" s="480" t="str">
        <f t="shared" si="39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480" t="e">
        <f t="shared" ca="1" si="43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480" t="e">
        <f t="shared" ca="1" si="41"/>
        <v>#N/A</v>
      </c>
      <c r="L492" s="51" t="e">
        <f t="shared" si="40"/>
        <v>#N/A</v>
      </c>
      <c r="M492" s="58" t="e">
        <f>IF(ISBLANK(A492),NA(),IFERROR(A492+(PLAYER_EXP_MAX-D492)/L492,NA()))</f>
        <v>#N/A</v>
      </c>
      <c r="N492" s="480" t="e">
        <f t="shared" ca="1" si="42"/>
        <v>#N/A</v>
      </c>
    </row>
    <row r="493" spans="4:14" ht="14.65" customHeight="1" x14ac:dyDescent="0.25">
      <c r="D493" s="480" t="str">
        <f t="shared" si="39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480" t="e">
        <f t="shared" ca="1" si="43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480" t="e">
        <f t="shared" ca="1" si="41"/>
        <v>#N/A</v>
      </c>
      <c r="L493" s="51" t="e">
        <f t="shared" si="40"/>
        <v>#N/A</v>
      </c>
      <c r="M493" s="58" t="e">
        <f>IF(ISBLANK(A493),NA(),IFERROR(A493+(PLAYER_EXP_MAX-D493)/L493,NA()))</f>
        <v>#N/A</v>
      </c>
      <c r="N493" s="480" t="e">
        <f t="shared" ca="1" si="42"/>
        <v>#N/A</v>
      </c>
    </row>
    <row r="494" spans="4:14" ht="14.65" customHeight="1" x14ac:dyDescent="0.25">
      <c r="D494" s="480" t="str">
        <f t="shared" si="39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480" t="e">
        <f t="shared" ca="1" si="43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480" t="e">
        <f t="shared" ca="1" si="41"/>
        <v>#N/A</v>
      </c>
      <c r="L494" s="51" t="e">
        <f t="shared" si="40"/>
        <v>#N/A</v>
      </c>
      <c r="M494" s="58" t="e">
        <f>IF(ISBLANK(A494),NA(),IFERROR(A494+(PLAYER_EXP_MAX-D494)/L494,NA()))</f>
        <v>#N/A</v>
      </c>
      <c r="N494" s="480" t="e">
        <f t="shared" ca="1" si="42"/>
        <v>#N/A</v>
      </c>
    </row>
    <row r="495" spans="4:14" ht="14.65" customHeight="1" x14ac:dyDescent="0.25">
      <c r="D495" s="480" t="str">
        <f t="shared" si="39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480" t="e">
        <f t="shared" ca="1" si="43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480" t="e">
        <f t="shared" ca="1" si="41"/>
        <v>#N/A</v>
      </c>
      <c r="L495" s="51" t="e">
        <f t="shared" si="40"/>
        <v>#N/A</v>
      </c>
      <c r="M495" s="58" t="e">
        <f>IF(ISBLANK(A495),NA(),IFERROR(A495+(PLAYER_EXP_MAX-D495)/L495,NA()))</f>
        <v>#N/A</v>
      </c>
      <c r="N495" s="480" t="e">
        <f t="shared" ca="1" si="42"/>
        <v>#N/A</v>
      </c>
    </row>
    <row r="496" spans="4:14" ht="14.65" customHeight="1" x14ac:dyDescent="0.25">
      <c r="D496" s="480" t="str">
        <f t="shared" si="39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480" t="e">
        <f t="shared" ca="1" si="43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480" t="e">
        <f t="shared" ca="1" si="41"/>
        <v>#N/A</v>
      </c>
      <c r="L496" s="51" t="e">
        <f t="shared" si="40"/>
        <v>#N/A</v>
      </c>
      <c r="M496" s="58" t="e">
        <f>IF(ISBLANK(A496),NA(),IFERROR(A496+(PLAYER_EXP_MAX-D496)/L496,NA()))</f>
        <v>#N/A</v>
      </c>
      <c r="N496" s="480" t="e">
        <f t="shared" ca="1" si="42"/>
        <v>#N/A</v>
      </c>
    </row>
    <row r="497" spans="4:14" ht="14.65" customHeight="1" x14ac:dyDescent="0.25">
      <c r="D497" s="480" t="str">
        <f t="shared" si="39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480" t="e">
        <f t="shared" ca="1" si="43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480" t="e">
        <f t="shared" ca="1" si="41"/>
        <v>#N/A</v>
      </c>
      <c r="L497" s="51" t="e">
        <f t="shared" si="40"/>
        <v>#N/A</v>
      </c>
      <c r="M497" s="58" t="e">
        <f>IF(ISBLANK(A497),NA(),IFERROR(A497+(PLAYER_EXP_MAX-D497)/L497,NA()))</f>
        <v>#N/A</v>
      </c>
      <c r="N497" s="480" t="e">
        <f t="shared" ca="1" si="42"/>
        <v>#N/A</v>
      </c>
    </row>
    <row r="498" spans="4:14" ht="14.65" customHeight="1" x14ac:dyDescent="0.25">
      <c r="D498" s="480" t="str">
        <f t="shared" si="39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480" t="e">
        <f t="shared" ca="1" si="43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480" t="e">
        <f t="shared" ca="1" si="41"/>
        <v>#N/A</v>
      </c>
      <c r="L498" s="51" t="e">
        <f t="shared" si="40"/>
        <v>#N/A</v>
      </c>
      <c r="M498" s="58" t="e">
        <f>IF(ISBLANK(A498),NA(),IFERROR(A498+(PLAYER_EXP_MAX-D498)/L498,NA()))</f>
        <v>#N/A</v>
      </c>
      <c r="N498" s="480" t="e">
        <f t="shared" ca="1" si="42"/>
        <v>#N/A</v>
      </c>
    </row>
    <row r="499" spans="4:14" ht="14.65" customHeight="1" x14ac:dyDescent="0.25">
      <c r="D499" s="480" t="str">
        <f t="shared" si="39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480" t="e">
        <f t="shared" ca="1" si="43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480" t="e">
        <f t="shared" ca="1" si="41"/>
        <v>#N/A</v>
      </c>
      <c r="L499" s="51" t="e">
        <f t="shared" si="40"/>
        <v>#N/A</v>
      </c>
      <c r="M499" s="58" t="e">
        <f>IF(ISBLANK(A499),NA(),IFERROR(A499+(PLAYER_EXP_MAX-D499)/L499,NA()))</f>
        <v>#N/A</v>
      </c>
      <c r="N499" s="480" t="e">
        <f t="shared" ca="1" si="42"/>
        <v>#N/A</v>
      </c>
    </row>
    <row r="500" spans="4:14" ht="14.65" customHeight="1" x14ac:dyDescent="0.25">
      <c r="D500" s="480" t="str">
        <f t="shared" si="39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480" t="e">
        <f t="shared" ca="1" si="43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480" t="e">
        <f t="shared" ca="1" si="41"/>
        <v>#N/A</v>
      </c>
      <c r="L500" s="51" t="e">
        <f t="shared" si="40"/>
        <v>#N/A</v>
      </c>
      <c r="M500" s="58" t="e">
        <f>IF(ISBLANK(A500),NA(),IFERROR(A500+(PLAYER_EXP_MAX-D500)/L500,NA()))</f>
        <v>#N/A</v>
      </c>
      <c r="N500" s="480" t="e">
        <f t="shared" ca="1" si="42"/>
        <v>#N/A</v>
      </c>
    </row>
    <row r="501" spans="4:14" ht="14.65" customHeight="1" x14ac:dyDescent="0.25">
      <c r="D501" s="480" t="str">
        <f t="shared" si="39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480" t="e">
        <f t="shared" ca="1" si="43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480" t="e">
        <f t="shared" ca="1" si="41"/>
        <v>#N/A</v>
      </c>
      <c r="L501" s="51" t="e">
        <f t="shared" si="40"/>
        <v>#N/A</v>
      </c>
      <c r="M501" s="58" t="e">
        <f>IF(ISBLANK(A501),NA(),IFERROR(A501+(PLAYER_EXP_MAX-D501)/L501,NA()))</f>
        <v>#N/A</v>
      </c>
      <c r="N501" s="480" t="e">
        <f t="shared" ca="1" si="42"/>
        <v>#N/A</v>
      </c>
    </row>
    <row r="502" spans="4:14" ht="14.65" customHeight="1" x14ac:dyDescent="0.25">
      <c r="D502" s="480" t="str">
        <f t="shared" si="39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480" t="e">
        <f t="shared" ca="1" si="43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480" t="e">
        <f t="shared" ca="1" si="41"/>
        <v>#N/A</v>
      </c>
      <c r="L502" s="51" t="e">
        <f t="shared" si="40"/>
        <v>#N/A</v>
      </c>
      <c r="M502" s="58" t="e">
        <f>IF(ISBLANK(A502),NA(),IFERROR(A502+(PLAYER_EXP_MAX-D502)/L502,NA()))</f>
        <v>#N/A</v>
      </c>
      <c r="N502" s="480" t="e">
        <f t="shared" ca="1" si="42"/>
        <v>#N/A</v>
      </c>
    </row>
    <row r="503" spans="4:14" ht="14.65" customHeight="1" x14ac:dyDescent="0.25">
      <c r="D503" s="480" t="str">
        <f t="shared" si="39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480" t="e">
        <f t="shared" ca="1" si="43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480" t="e">
        <f t="shared" ca="1" si="41"/>
        <v>#N/A</v>
      </c>
      <c r="L503" s="51" t="e">
        <f t="shared" si="40"/>
        <v>#N/A</v>
      </c>
      <c r="M503" s="58" t="e">
        <f>IF(ISBLANK(A503),NA(),IFERROR(A503+(PLAYER_EXP_MAX-D503)/L503,NA()))</f>
        <v>#N/A</v>
      </c>
      <c r="N503" s="480" t="e">
        <f t="shared" ca="1" si="42"/>
        <v>#N/A</v>
      </c>
    </row>
    <row r="504" spans="4:14" ht="14.65" customHeight="1" x14ac:dyDescent="0.25">
      <c r="D504" s="480" t="str">
        <f t="shared" si="39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480" t="e">
        <f t="shared" ca="1" si="43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480" t="e">
        <f t="shared" ca="1" si="41"/>
        <v>#N/A</v>
      </c>
      <c r="L504" s="51" t="e">
        <f t="shared" si="40"/>
        <v>#N/A</v>
      </c>
      <c r="M504" s="58" t="e">
        <f>IF(ISBLANK(A504),NA(),IFERROR(A504+(PLAYER_EXP_MAX-D504)/L504,NA()))</f>
        <v>#N/A</v>
      </c>
      <c r="N504" s="480" t="e">
        <f t="shared" ca="1" si="42"/>
        <v>#N/A</v>
      </c>
    </row>
    <row r="505" spans="4:14" ht="14.65" customHeight="1" x14ac:dyDescent="0.25">
      <c r="D505" s="480" t="str">
        <f t="shared" si="39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480" t="e">
        <f t="shared" ca="1" si="43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480" t="e">
        <f t="shared" ca="1" si="41"/>
        <v>#N/A</v>
      </c>
      <c r="L505" s="51" t="e">
        <f t="shared" si="40"/>
        <v>#N/A</v>
      </c>
      <c r="M505" s="58" t="e">
        <f>IF(ISBLANK(A505),NA(),IFERROR(A505+(PLAYER_EXP_MAX-D505)/L505,NA()))</f>
        <v>#N/A</v>
      </c>
      <c r="N505" s="480" t="e">
        <f t="shared" ca="1" si="42"/>
        <v>#N/A</v>
      </c>
    </row>
    <row r="506" spans="4:14" ht="14.65" customHeight="1" x14ac:dyDescent="0.25">
      <c r="D506" s="480" t="str">
        <f t="shared" si="39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480" t="e">
        <f t="shared" ca="1" si="43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480" t="e">
        <f t="shared" ca="1" si="41"/>
        <v>#N/A</v>
      </c>
      <c r="L506" s="51" t="e">
        <f t="shared" si="40"/>
        <v>#N/A</v>
      </c>
      <c r="M506" s="58" t="e">
        <f>IF(ISBLANK(A506),NA(),IFERROR(A506+(PLAYER_EXP_MAX-D506)/L506,NA()))</f>
        <v>#N/A</v>
      </c>
      <c r="N506" s="480" t="e">
        <f t="shared" ca="1" si="42"/>
        <v>#N/A</v>
      </c>
    </row>
    <row r="507" spans="4:14" ht="14.65" customHeight="1" x14ac:dyDescent="0.25">
      <c r="D507" s="480" t="str">
        <f t="shared" si="39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480" t="e">
        <f t="shared" ca="1" si="43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480" t="e">
        <f t="shared" ca="1" si="41"/>
        <v>#N/A</v>
      </c>
      <c r="L507" s="51" t="e">
        <f t="shared" si="40"/>
        <v>#N/A</v>
      </c>
      <c r="M507" s="58" t="e">
        <f>IF(ISBLANK(A507),NA(),IFERROR(A507+(PLAYER_EXP_MAX-D507)/L507,NA()))</f>
        <v>#N/A</v>
      </c>
      <c r="N507" s="480" t="e">
        <f t="shared" ca="1" si="42"/>
        <v>#N/A</v>
      </c>
    </row>
    <row r="508" spans="4:14" ht="14.65" customHeight="1" x14ac:dyDescent="0.25">
      <c r="D508" s="480" t="str">
        <f t="shared" si="39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480" t="e">
        <f t="shared" ca="1" si="43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480" t="e">
        <f t="shared" ca="1" si="41"/>
        <v>#N/A</v>
      </c>
      <c r="L508" s="51" t="e">
        <f t="shared" si="40"/>
        <v>#N/A</v>
      </c>
      <c r="M508" s="58" t="e">
        <f>IF(ISBLANK(A508),NA(),IFERROR(A508+(PLAYER_EXP_MAX-D508)/L508,NA()))</f>
        <v>#N/A</v>
      </c>
      <c r="N508" s="480" t="e">
        <f t="shared" ca="1" si="42"/>
        <v>#N/A</v>
      </c>
    </row>
    <row r="509" spans="4:14" ht="14.65" customHeight="1" x14ac:dyDescent="0.25">
      <c r="D509" s="480" t="str">
        <f t="shared" si="39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480" t="e">
        <f t="shared" ca="1" si="43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480" t="e">
        <f t="shared" ca="1" si="41"/>
        <v>#N/A</v>
      </c>
      <c r="L509" s="51" t="e">
        <f t="shared" si="40"/>
        <v>#N/A</v>
      </c>
      <c r="M509" s="58" t="e">
        <f>IF(ISBLANK(A509),NA(),IFERROR(A509+(PLAYER_EXP_MAX-D509)/L509,NA()))</f>
        <v>#N/A</v>
      </c>
      <c r="N509" s="480" t="e">
        <f t="shared" ca="1" si="42"/>
        <v>#N/A</v>
      </c>
    </row>
    <row r="510" spans="4:14" ht="14.65" customHeight="1" x14ac:dyDescent="0.25">
      <c r="D510" s="480" t="str">
        <f t="shared" si="39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480" t="e">
        <f t="shared" ca="1" si="43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480" t="e">
        <f t="shared" ca="1" si="41"/>
        <v>#N/A</v>
      </c>
      <c r="L510" s="51" t="e">
        <f t="shared" si="40"/>
        <v>#N/A</v>
      </c>
      <c r="M510" s="58" t="e">
        <f>IF(ISBLANK(A510),NA(),IFERROR(A510+(PLAYER_EXP_MAX-D510)/L510,NA()))</f>
        <v>#N/A</v>
      </c>
      <c r="N510" s="480" t="e">
        <f t="shared" ca="1" si="42"/>
        <v>#N/A</v>
      </c>
    </row>
    <row r="511" spans="4:14" ht="14.65" customHeight="1" x14ac:dyDescent="0.25">
      <c r="D511" s="480" t="str">
        <f t="shared" si="39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480" t="e">
        <f t="shared" ca="1" si="43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480" t="e">
        <f t="shared" ca="1" si="41"/>
        <v>#N/A</v>
      </c>
      <c r="L511" s="51" t="e">
        <f t="shared" si="40"/>
        <v>#N/A</v>
      </c>
      <c r="M511" s="58" t="e">
        <f>IF(ISBLANK(A511),NA(),IFERROR(A511+(PLAYER_EXP_MAX-D511)/L511,NA()))</f>
        <v>#N/A</v>
      </c>
      <c r="N511" s="480" t="e">
        <f t="shared" ca="1" si="42"/>
        <v>#N/A</v>
      </c>
    </row>
    <row r="512" spans="4:14" ht="14.65" customHeight="1" x14ac:dyDescent="0.25">
      <c r="D512" s="480" t="str">
        <f t="shared" si="39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480" t="e">
        <f t="shared" ca="1" si="43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480" t="e">
        <f t="shared" ca="1" si="41"/>
        <v>#N/A</v>
      </c>
      <c r="L512" s="51" t="e">
        <f t="shared" si="40"/>
        <v>#N/A</v>
      </c>
      <c r="M512" s="58" t="e">
        <f>IF(ISBLANK(A512),NA(),IFERROR(A512+(PLAYER_EXP_MAX-D512)/L512,NA()))</f>
        <v>#N/A</v>
      </c>
      <c r="N512" s="480" t="e">
        <f t="shared" ca="1" si="42"/>
        <v>#N/A</v>
      </c>
    </row>
    <row r="513" spans="4:14" ht="14.65" customHeight="1" x14ac:dyDescent="0.25">
      <c r="D513" s="480" t="str">
        <f t="shared" si="39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480" t="e">
        <f t="shared" ca="1" si="43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480" t="e">
        <f t="shared" ca="1" si="41"/>
        <v>#N/A</v>
      </c>
      <c r="L513" s="51" t="e">
        <f t="shared" si="40"/>
        <v>#N/A</v>
      </c>
      <c r="M513" s="58" t="e">
        <f>IF(ISBLANK(A513),NA(),IFERROR(A513+(PLAYER_EXP_MAX-D513)/L513,NA()))</f>
        <v>#N/A</v>
      </c>
      <c r="N513" s="480" t="e">
        <f t="shared" ca="1" si="42"/>
        <v>#N/A</v>
      </c>
    </row>
    <row r="514" spans="4:14" ht="14.65" customHeight="1" x14ac:dyDescent="0.25">
      <c r="D514" s="480" t="str">
        <f t="shared" si="39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480" t="e">
        <f t="shared" ca="1" si="43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480" t="e">
        <f t="shared" ca="1" si="41"/>
        <v>#N/A</v>
      </c>
      <c r="L514" s="51" t="e">
        <f t="shared" si="40"/>
        <v>#N/A</v>
      </c>
      <c r="M514" s="58" t="e">
        <f>IF(ISBLANK(A514),NA(),IFERROR(A514+(PLAYER_EXP_MAX-D514)/L514,NA()))</f>
        <v>#N/A</v>
      </c>
      <c r="N514" s="480" t="e">
        <f t="shared" ca="1" si="42"/>
        <v>#N/A</v>
      </c>
    </row>
    <row r="515" spans="4:14" ht="14.65" customHeight="1" x14ac:dyDescent="0.25">
      <c r="D515" s="480" t="str">
        <f t="shared" ref="D515:D578" si="44">IF(ISBLANK(A515),"-",INDEX(DATA_PLAYER_EXP, B515, 3) + INDEX(DATA_PLAYER_EXP, B515, 2) - C515)</f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480" t="e">
        <f t="shared" ca="1" si="43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480" t="e">
        <f t="shared" ca="1" si="41"/>
        <v>#N/A</v>
      </c>
      <c r="L515" s="51" t="e">
        <f t="shared" si="40"/>
        <v>#N/A</v>
      </c>
      <c r="M515" s="58" t="e">
        <f>IF(ISBLANK(A515),NA(),IFERROR(A515+(PLAYER_EXP_MAX-D515)/L515,NA()))</f>
        <v>#N/A</v>
      </c>
      <c r="N515" s="480" t="e">
        <f t="shared" ca="1" si="42"/>
        <v>#N/A</v>
      </c>
    </row>
    <row r="516" spans="4:14" ht="14.65" customHeight="1" x14ac:dyDescent="0.25">
      <c r="D516" s="480" t="str">
        <f t="shared" si="44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480" t="e">
        <f t="shared" ca="1" si="43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480" t="e">
        <f t="shared" ca="1" si="41"/>
        <v>#N/A</v>
      </c>
      <c r="L516" s="51" t="e">
        <f t="shared" ref="L516:L579" si="45">IFERROR(IF(OR(ISBLANK($A516),$A516-$A$3 &lt; $C$1),NA(),($D516-$D$3)/($A516-$A$3)),NA())</f>
        <v>#N/A</v>
      </c>
      <c r="M516" s="58" t="e">
        <f>IF(ISBLANK(A516),NA(),IFERROR(A516+(PLAYER_EXP_MAX-D516)/L516,NA()))</f>
        <v>#N/A</v>
      </c>
      <c r="N516" s="480" t="e">
        <f t="shared" ca="1" si="42"/>
        <v>#N/A</v>
      </c>
    </row>
    <row r="517" spans="4:14" ht="14.65" customHeight="1" x14ac:dyDescent="0.25">
      <c r="D517" s="480" t="str">
        <f t="shared" si="44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480" t="e">
        <f t="shared" ca="1" si="43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480" t="e">
        <f t="shared" ca="1" si="41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480" t="e">
        <f t="shared" ca="1" si="42"/>
        <v>#N/A</v>
      </c>
    </row>
    <row r="518" spans="4:14" ht="14.65" customHeight="1" x14ac:dyDescent="0.25">
      <c r="D518" s="480" t="str">
        <f t="shared" si="44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480" t="e">
        <f t="shared" ca="1" si="43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480" t="e">
        <f t="shared" ca="1" si="41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480" t="e">
        <f t="shared" ca="1" si="42"/>
        <v>#N/A</v>
      </c>
    </row>
    <row r="519" spans="4:14" ht="14.65" customHeight="1" x14ac:dyDescent="0.25">
      <c r="D519" s="480" t="str">
        <f t="shared" si="44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480" t="e">
        <f t="shared" ca="1" si="43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480" t="e">
        <f t="shared" ca="1" si="41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480" t="e">
        <f t="shared" ca="1" si="42"/>
        <v>#N/A</v>
      </c>
    </row>
    <row r="520" spans="4:14" ht="14.65" customHeight="1" x14ac:dyDescent="0.25">
      <c r="D520" s="480" t="str">
        <f t="shared" si="44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480" t="e">
        <f t="shared" ca="1" si="43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480" t="e">
        <f t="shared" ca="1" si="41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480" t="e">
        <f t="shared" ca="1" si="42"/>
        <v>#N/A</v>
      </c>
    </row>
    <row r="521" spans="4:14" ht="14.65" customHeight="1" x14ac:dyDescent="0.25">
      <c r="D521" s="480" t="str">
        <f t="shared" si="44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480" t="e">
        <f t="shared" ca="1" si="43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480" t="e">
        <f t="shared" ca="1" si="41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480" t="e">
        <f t="shared" ca="1" si="42"/>
        <v>#N/A</v>
      </c>
    </row>
    <row r="522" spans="4:14" ht="14.65" customHeight="1" x14ac:dyDescent="0.25">
      <c r="D522" s="480" t="str">
        <f t="shared" si="44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480" t="e">
        <f t="shared" ca="1" si="43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480" t="e">
        <f t="shared" ca="1" si="41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480" t="e">
        <f t="shared" ca="1" si="42"/>
        <v>#N/A</v>
      </c>
    </row>
    <row r="523" spans="4:14" ht="14.65" customHeight="1" x14ac:dyDescent="0.25">
      <c r="D523" s="480" t="str">
        <f t="shared" si="44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480" t="e">
        <f t="shared" ca="1" si="43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480" t="e">
        <f t="shared" ca="1" si="41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480" t="e">
        <f t="shared" ca="1" si="42"/>
        <v>#N/A</v>
      </c>
    </row>
    <row r="524" spans="4:14" ht="14.65" customHeight="1" x14ac:dyDescent="0.25">
      <c r="D524" s="480" t="str">
        <f t="shared" si="44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480" t="e">
        <f t="shared" ca="1" si="43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480" t="e">
        <f t="shared" ca="1" si="41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480" t="e">
        <f t="shared" ca="1" si="42"/>
        <v>#N/A</v>
      </c>
    </row>
    <row r="525" spans="4:14" ht="14.65" customHeight="1" x14ac:dyDescent="0.25">
      <c r="D525" s="480" t="str">
        <f t="shared" si="44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480" t="e">
        <f t="shared" ca="1" si="43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480" t="e">
        <f t="shared" ca="1" si="41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480" t="e">
        <f t="shared" ca="1" si="42"/>
        <v>#N/A</v>
      </c>
    </row>
    <row r="526" spans="4:14" ht="14.65" customHeight="1" x14ac:dyDescent="0.25">
      <c r="D526" s="480" t="str">
        <f t="shared" si="44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480" t="e">
        <f t="shared" ca="1" si="43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480" t="e">
        <f t="shared" ca="1" si="41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480" t="e">
        <f t="shared" ca="1" si="42"/>
        <v>#N/A</v>
      </c>
    </row>
    <row r="527" spans="4:14" ht="14.65" customHeight="1" x14ac:dyDescent="0.25">
      <c r="D527" s="480" t="str">
        <f t="shared" si="44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480" t="e">
        <f t="shared" ca="1" si="43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480" t="e">
        <f t="shared" ca="1" si="41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480" t="e">
        <f t="shared" ca="1" si="42"/>
        <v>#N/A</v>
      </c>
    </row>
    <row r="528" spans="4:14" ht="14.65" customHeight="1" x14ac:dyDescent="0.25">
      <c r="D528" s="480" t="str">
        <f t="shared" si="44"/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480" t="e">
        <f t="shared" ca="1" si="43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480" t="e">
        <f t="shared" ca="1" si="41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480" t="e">
        <f t="shared" ca="1" si="42"/>
        <v>#N/A</v>
      </c>
    </row>
    <row r="529" spans="4:14" ht="14.65" customHeight="1" x14ac:dyDescent="0.25">
      <c r="D529" s="480" t="str">
        <f t="shared" si="44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480" t="e">
        <f t="shared" ca="1" si="43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480" t="e">
        <f t="shared" ref="K529:K592" ca="1" si="46">IF(ISBLANK(A529),NA(),IFERROR(TEXT(TRUNC(J529-NOW()),"000") &amp; " D " &amp; TEXT(TRUNC(ABS(J529-NOW()-TRUNC(J529-NOW()))*24),"00") &amp; " H", NA()))</f>
        <v>#N/A</v>
      </c>
      <c r="L529" s="51" t="e">
        <f t="shared" si="45"/>
        <v>#N/A</v>
      </c>
      <c r="M529" s="58" t="e">
        <f>IF(ISBLANK(A529),NA(),IFERROR(A529+(PLAYER_EXP_MAX-D529)/L529,NA()))</f>
        <v>#N/A</v>
      </c>
      <c r="N529" s="480" t="e">
        <f t="shared" ref="N529:N592" ca="1" si="47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80" t="str">
        <f t="shared" si="44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480" t="e">
        <f t="shared" ca="1" si="43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480" t="e">
        <f t="shared" ca="1" si="46"/>
        <v>#N/A</v>
      </c>
      <c r="L530" s="51" t="e">
        <f t="shared" si="45"/>
        <v>#N/A</v>
      </c>
      <c r="M530" s="58" t="e">
        <f>IF(ISBLANK(A530),NA(),IFERROR(A530+(PLAYER_EXP_MAX-D530)/L530,NA()))</f>
        <v>#N/A</v>
      </c>
      <c r="N530" s="480" t="e">
        <f t="shared" ca="1" si="47"/>
        <v>#N/A</v>
      </c>
    </row>
    <row r="531" spans="4:14" ht="14.65" customHeight="1" x14ac:dyDescent="0.25">
      <c r="D531" s="480" t="str">
        <f t="shared" si="44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480" t="e">
        <f t="shared" ca="1" si="43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480" t="e">
        <f t="shared" ca="1" si="46"/>
        <v>#N/A</v>
      </c>
      <c r="L531" s="51" t="e">
        <f t="shared" si="45"/>
        <v>#N/A</v>
      </c>
      <c r="M531" s="58" t="e">
        <f>IF(ISBLANK(A531),NA(),IFERROR(A531+(PLAYER_EXP_MAX-D531)/L531,NA()))</f>
        <v>#N/A</v>
      </c>
      <c r="N531" s="480" t="e">
        <f t="shared" ca="1" si="47"/>
        <v>#N/A</v>
      </c>
    </row>
    <row r="532" spans="4:14" ht="14.65" customHeight="1" x14ac:dyDescent="0.25">
      <c r="D532" s="480" t="str">
        <f t="shared" si="44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480" t="e">
        <f t="shared" ca="1" si="43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480" t="e">
        <f t="shared" ca="1" si="46"/>
        <v>#N/A</v>
      </c>
      <c r="L532" s="51" t="e">
        <f t="shared" si="45"/>
        <v>#N/A</v>
      </c>
      <c r="M532" s="58" t="e">
        <f>IF(ISBLANK(A532),NA(),IFERROR(A532+(PLAYER_EXP_MAX-D532)/L532,NA()))</f>
        <v>#N/A</v>
      </c>
      <c r="N532" s="480" t="e">
        <f t="shared" ca="1" si="47"/>
        <v>#N/A</v>
      </c>
    </row>
    <row r="533" spans="4:14" ht="14.65" customHeight="1" x14ac:dyDescent="0.25">
      <c r="D533" s="480" t="str">
        <f t="shared" si="44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480" t="e">
        <f t="shared" ca="1" si="43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480" t="e">
        <f t="shared" ca="1" si="46"/>
        <v>#N/A</v>
      </c>
      <c r="L533" s="51" t="e">
        <f t="shared" si="45"/>
        <v>#N/A</v>
      </c>
      <c r="M533" s="58" t="e">
        <f>IF(ISBLANK(A533),NA(),IFERROR(A533+(PLAYER_EXP_MAX-D533)/L533,NA()))</f>
        <v>#N/A</v>
      </c>
      <c r="N533" s="480" t="e">
        <f t="shared" ca="1" si="47"/>
        <v>#N/A</v>
      </c>
    </row>
    <row r="534" spans="4:14" ht="14.65" customHeight="1" x14ac:dyDescent="0.25">
      <c r="D534" s="480" t="str">
        <f t="shared" si="44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480" t="e">
        <f t="shared" ca="1" si="43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480" t="e">
        <f t="shared" ca="1" si="46"/>
        <v>#N/A</v>
      </c>
      <c r="L534" s="51" t="e">
        <f t="shared" si="45"/>
        <v>#N/A</v>
      </c>
      <c r="M534" s="58" t="e">
        <f>IF(ISBLANK(A534),NA(),IFERROR(A534+(PLAYER_EXP_MAX-D534)/L534,NA()))</f>
        <v>#N/A</v>
      </c>
      <c r="N534" s="480" t="e">
        <f t="shared" ca="1" si="47"/>
        <v>#N/A</v>
      </c>
    </row>
    <row r="535" spans="4:14" ht="14.65" customHeight="1" x14ac:dyDescent="0.25">
      <c r="D535" s="480" t="str">
        <f t="shared" si="44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480" t="e">
        <f t="shared" ca="1" si="43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480" t="e">
        <f t="shared" ca="1" si="46"/>
        <v>#N/A</v>
      </c>
      <c r="L535" s="51" t="e">
        <f t="shared" si="45"/>
        <v>#N/A</v>
      </c>
      <c r="M535" s="58" t="e">
        <f>IF(ISBLANK(A535),NA(),IFERROR(A535+(PLAYER_EXP_MAX-D535)/L535,NA()))</f>
        <v>#N/A</v>
      </c>
      <c r="N535" s="480" t="e">
        <f t="shared" ca="1" si="47"/>
        <v>#N/A</v>
      </c>
    </row>
    <row r="536" spans="4:14" ht="14.65" customHeight="1" x14ac:dyDescent="0.25">
      <c r="D536" s="480" t="str">
        <f t="shared" si="44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480" t="e">
        <f t="shared" ca="1" si="43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480" t="e">
        <f t="shared" ca="1" si="46"/>
        <v>#N/A</v>
      </c>
      <c r="L536" s="51" t="e">
        <f t="shared" si="45"/>
        <v>#N/A</v>
      </c>
      <c r="M536" s="58" t="e">
        <f>IF(ISBLANK(A536),NA(),IFERROR(A536+(PLAYER_EXP_MAX-D536)/L536,NA()))</f>
        <v>#N/A</v>
      </c>
      <c r="N536" s="480" t="e">
        <f t="shared" ca="1" si="47"/>
        <v>#N/A</v>
      </c>
    </row>
    <row r="537" spans="4:14" ht="14.65" customHeight="1" x14ac:dyDescent="0.25">
      <c r="D537" s="480" t="str">
        <f t="shared" si="44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480" t="e">
        <f t="shared" ca="1" si="43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480" t="e">
        <f t="shared" ca="1" si="46"/>
        <v>#N/A</v>
      </c>
      <c r="L537" s="51" t="e">
        <f t="shared" si="45"/>
        <v>#N/A</v>
      </c>
      <c r="M537" s="58" t="e">
        <f>IF(ISBLANK(A537),NA(),IFERROR(A537+(PLAYER_EXP_MAX-D537)/L537,NA()))</f>
        <v>#N/A</v>
      </c>
      <c r="N537" s="480" t="e">
        <f t="shared" ca="1" si="47"/>
        <v>#N/A</v>
      </c>
    </row>
    <row r="538" spans="4:14" ht="14.65" customHeight="1" x14ac:dyDescent="0.25">
      <c r="D538" s="480" t="str">
        <f t="shared" si="44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480" t="e">
        <f t="shared" ca="1" si="43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480" t="e">
        <f t="shared" ca="1" si="46"/>
        <v>#N/A</v>
      </c>
      <c r="L538" s="51" t="e">
        <f t="shared" si="45"/>
        <v>#N/A</v>
      </c>
      <c r="M538" s="58" t="e">
        <f>IF(ISBLANK(A538),NA(),IFERROR(A538+(PLAYER_EXP_MAX-D538)/L538,NA()))</f>
        <v>#N/A</v>
      </c>
      <c r="N538" s="480" t="e">
        <f t="shared" ca="1" si="47"/>
        <v>#N/A</v>
      </c>
    </row>
    <row r="539" spans="4:14" ht="14.65" customHeight="1" x14ac:dyDescent="0.25">
      <c r="D539" s="480" t="str">
        <f t="shared" si="44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480" t="e">
        <f t="shared" ca="1" si="43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480" t="e">
        <f t="shared" ca="1" si="46"/>
        <v>#N/A</v>
      </c>
      <c r="L539" s="51" t="e">
        <f t="shared" si="45"/>
        <v>#N/A</v>
      </c>
      <c r="M539" s="58" t="e">
        <f>IF(ISBLANK(A539),NA(),IFERROR(A539+(PLAYER_EXP_MAX-D539)/L539,NA()))</f>
        <v>#N/A</v>
      </c>
      <c r="N539" s="480" t="e">
        <f t="shared" ca="1" si="47"/>
        <v>#N/A</v>
      </c>
    </row>
    <row r="540" spans="4:14" ht="14.65" customHeight="1" x14ac:dyDescent="0.25">
      <c r="D540" s="480" t="str">
        <f t="shared" si="44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480" t="e">
        <f t="shared" ca="1" si="43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480" t="e">
        <f t="shared" ca="1" si="46"/>
        <v>#N/A</v>
      </c>
      <c r="L540" s="51" t="e">
        <f t="shared" si="45"/>
        <v>#N/A</v>
      </c>
      <c r="M540" s="58" t="e">
        <f>IF(ISBLANK(A540),NA(),IFERROR(A540+(PLAYER_EXP_MAX-D540)/L540,NA()))</f>
        <v>#N/A</v>
      </c>
      <c r="N540" s="480" t="e">
        <f t="shared" ca="1" si="47"/>
        <v>#N/A</v>
      </c>
    </row>
    <row r="541" spans="4:14" ht="14.65" customHeight="1" x14ac:dyDescent="0.25">
      <c r="D541" s="480" t="str">
        <f t="shared" si="44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480" t="e">
        <f t="shared" ca="1" si="43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480" t="e">
        <f t="shared" ca="1" si="46"/>
        <v>#N/A</v>
      </c>
      <c r="L541" s="51" t="e">
        <f t="shared" si="45"/>
        <v>#N/A</v>
      </c>
      <c r="M541" s="58" t="e">
        <f>IF(ISBLANK(A541),NA(),IFERROR(A541+(PLAYER_EXP_MAX-D541)/L541,NA()))</f>
        <v>#N/A</v>
      </c>
      <c r="N541" s="480" t="e">
        <f t="shared" ca="1" si="47"/>
        <v>#N/A</v>
      </c>
    </row>
    <row r="542" spans="4:14" ht="14.65" customHeight="1" x14ac:dyDescent="0.25">
      <c r="D542" s="480" t="str">
        <f t="shared" si="44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480" t="e">
        <f t="shared" ca="1" si="43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480" t="e">
        <f t="shared" ca="1" si="46"/>
        <v>#N/A</v>
      </c>
      <c r="L542" s="51" t="e">
        <f t="shared" si="45"/>
        <v>#N/A</v>
      </c>
      <c r="M542" s="58" t="e">
        <f>IF(ISBLANK(A542),NA(),IFERROR(A542+(PLAYER_EXP_MAX-D542)/L542,NA()))</f>
        <v>#N/A</v>
      </c>
      <c r="N542" s="480" t="e">
        <f t="shared" ca="1" si="47"/>
        <v>#N/A</v>
      </c>
    </row>
    <row r="543" spans="4:14" ht="14.65" customHeight="1" x14ac:dyDescent="0.25">
      <c r="D543" s="480" t="str">
        <f t="shared" si="44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480" t="e">
        <f t="shared" ref="H543:H606" ca="1" si="48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480" t="e">
        <f t="shared" ca="1" si="46"/>
        <v>#N/A</v>
      </c>
      <c r="L543" s="51" t="e">
        <f t="shared" si="45"/>
        <v>#N/A</v>
      </c>
      <c r="M543" s="58" t="e">
        <f>IF(ISBLANK(A543),NA(),IFERROR(A543+(PLAYER_EXP_MAX-D543)/L543,NA()))</f>
        <v>#N/A</v>
      </c>
      <c r="N543" s="480" t="e">
        <f t="shared" ca="1" si="47"/>
        <v>#N/A</v>
      </c>
    </row>
    <row r="544" spans="4:14" ht="14.65" customHeight="1" x14ac:dyDescent="0.25">
      <c r="D544" s="480" t="str">
        <f t="shared" si="44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480" t="e">
        <f t="shared" ca="1" si="48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480" t="e">
        <f t="shared" ca="1" si="46"/>
        <v>#N/A</v>
      </c>
      <c r="L544" s="51" t="e">
        <f t="shared" si="45"/>
        <v>#N/A</v>
      </c>
      <c r="M544" s="58" t="e">
        <f>IF(ISBLANK(A544),NA(),IFERROR(A544+(PLAYER_EXP_MAX-D544)/L544,NA()))</f>
        <v>#N/A</v>
      </c>
      <c r="N544" s="480" t="e">
        <f t="shared" ca="1" si="47"/>
        <v>#N/A</v>
      </c>
    </row>
    <row r="545" spans="4:14" ht="14.65" customHeight="1" x14ac:dyDescent="0.25">
      <c r="D545" s="480" t="str">
        <f t="shared" si="44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480" t="e">
        <f t="shared" ca="1" si="48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480" t="e">
        <f t="shared" ca="1" si="46"/>
        <v>#N/A</v>
      </c>
      <c r="L545" s="51" t="e">
        <f t="shared" si="45"/>
        <v>#N/A</v>
      </c>
      <c r="M545" s="58" t="e">
        <f>IF(ISBLANK(A545),NA(),IFERROR(A545+(PLAYER_EXP_MAX-D545)/L545,NA()))</f>
        <v>#N/A</v>
      </c>
      <c r="N545" s="480" t="e">
        <f t="shared" ca="1" si="47"/>
        <v>#N/A</v>
      </c>
    </row>
    <row r="546" spans="4:14" ht="14.65" customHeight="1" x14ac:dyDescent="0.25">
      <c r="D546" s="480" t="str">
        <f t="shared" si="44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480" t="e">
        <f t="shared" ca="1" si="48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480" t="e">
        <f t="shared" ca="1" si="46"/>
        <v>#N/A</v>
      </c>
      <c r="L546" s="51" t="e">
        <f t="shared" si="45"/>
        <v>#N/A</v>
      </c>
      <c r="M546" s="58" t="e">
        <f>IF(ISBLANK(A546),NA(),IFERROR(A546+(PLAYER_EXP_MAX-D546)/L546,NA()))</f>
        <v>#N/A</v>
      </c>
      <c r="N546" s="480" t="e">
        <f t="shared" ca="1" si="47"/>
        <v>#N/A</v>
      </c>
    </row>
    <row r="547" spans="4:14" ht="14.65" customHeight="1" x14ac:dyDescent="0.25">
      <c r="D547" s="480" t="str">
        <f t="shared" si="44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480" t="e">
        <f t="shared" ca="1" si="48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480" t="e">
        <f t="shared" ca="1" si="46"/>
        <v>#N/A</v>
      </c>
      <c r="L547" s="51" t="e">
        <f t="shared" si="45"/>
        <v>#N/A</v>
      </c>
      <c r="M547" s="58" t="e">
        <f>IF(ISBLANK(A547),NA(),IFERROR(A547+(PLAYER_EXP_MAX-D547)/L547,NA()))</f>
        <v>#N/A</v>
      </c>
      <c r="N547" s="480" t="e">
        <f t="shared" ca="1" si="47"/>
        <v>#N/A</v>
      </c>
    </row>
    <row r="548" spans="4:14" ht="14.65" customHeight="1" x14ac:dyDescent="0.25">
      <c r="D548" s="480" t="str">
        <f t="shared" si="44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480" t="e">
        <f t="shared" ca="1" si="48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480" t="e">
        <f t="shared" ca="1" si="46"/>
        <v>#N/A</v>
      </c>
      <c r="L548" s="51" t="e">
        <f t="shared" si="45"/>
        <v>#N/A</v>
      </c>
      <c r="M548" s="58" t="e">
        <f>IF(ISBLANK(A548),NA(),IFERROR(A548+(PLAYER_EXP_MAX-D548)/L548,NA()))</f>
        <v>#N/A</v>
      </c>
      <c r="N548" s="480" t="e">
        <f t="shared" ca="1" si="47"/>
        <v>#N/A</v>
      </c>
    </row>
    <row r="549" spans="4:14" ht="14.65" customHeight="1" x14ac:dyDescent="0.25">
      <c r="D549" s="480" t="str">
        <f t="shared" si="44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480" t="e">
        <f t="shared" ca="1" si="48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480" t="e">
        <f t="shared" ca="1" si="46"/>
        <v>#N/A</v>
      </c>
      <c r="L549" s="51" t="e">
        <f t="shared" si="45"/>
        <v>#N/A</v>
      </c>
      <c r="M549" s="58" t="e">
        <f>IF(ISBLANK(A549),NA(),IFERROR(A549+(PLAYER_EXP_MAX-D549)/L549,NA()))</f>
        <v>#N/A</v>
      </c>
      <c r="N549" s="480" t="e">
        <f t="shared" ca="1" si="47"/>
        <v>#N/A</v>
      </c>
    </row>
    <row r="550" spans="4:14" ht="14.65" customHeight="1" x14ac:dyDescent="0.25">
      <c r="D550" s="480" t="str">
        <f t="shared" si="44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480" t="e">
        <f t="shared" ca="1" si="48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480" t="e">
        <f t="shared" ca="1" si="46"/>
        <v>#N/A</v>
      </c>
      <c r="L550" s="51" t="e">
        <f t="shared" si="45"/>
        <v>#N/A</v>
      </c>
      <c r="M550" s="58" t="e">
        <f>IF(ISBLANK(A550),NA(),IFERROR(A550+(PLAYER_EXP_MAX-D550)/L550,NA()))</f>
        <v>#N/A</v>
      </c>
      <c r="N550" s="480" t="e">
        <f t="shared" ca="1" si="47"/>
        <v>#N/A</v>
      </c>
    </row>
    <row r="551" spans="4:14" ht="14.65" customHeight="1" x14ac:dyDescent="0.25">
      <c r="D551" s="480" t="str">
        <f t="shared" si="44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480" t="e">
        <f t="shared" ca="1" si="48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480" t="e">
        <f t="shared" ca="1" si="46"/>
        <v>#N/A</v>
      </c>
      <c r="L551" s="51" t="e">
        <f t="shared" si="45"/>
        <v>#N/A</v>
      </c>
      <c r="M551" s="58" t="e">
        <f>IF(ISBLANK(A551),NA(),IFERROR(A551+(PLAYER_EXP_MAX-D551)/L551,NA()))</f>
        <v>#N/A</v>
      </c>
      <c r="N551" s="480" t="e">
        <f t="shared" ca="1" si="47"/>
        <v>#N/A</v>
      </c>
    </row>
    <row r="552" spans="4:14" ht="14.65" customHeight="1" x14ac:dyDescent="0.25">
      <c r="D552" s="480" t="str">
        <f t="shared" si="44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480" t="e">
        <f t="shared" ca="1" si="48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480" t="e">
        <f t="shared" ca="1" si="46"/>
        <v>#N/A</v>
      </c>
      <c r="L552" s="51" t="e">
        <f t="shared" si="45"/>
        <v>#N/A</v>
      </c>
      <c r="M552" s="58" t="e">
        <f>IF(ISBLANK(A552),NA(),IFERROR(A552+(PLAYER_EXP_MAX-D552)/L552,NA()))</f>
        <v>#N/A</v>
      </c>
      <c r="N552" s="480" t="e">
        <f t="shared" ca="1" si="47"/>
        <v>#N/A</v>
      </c>
    </row>
    <row r="553" spans="4:14" ht="14.65" customHeight="1" x14ac:dyDescent="0.25">
      <c r="D553" s="480" t="str">
        <f t="shared" si="44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480" t="e">
        <f t="shared" ca="1" si="48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480" t="e">
        <f t="shared" ca="1" si="46"/>
        <v>#N/A</v>
      </c>
      <c r="L553" s="51" t="e">
        <f t="shared" si="45"/>
        <v>#N/A</v>
      </c>
      <c r="M553" s="58" t="e">
        <f>IF(ISBLANK(A553),NA(),IFERROR(A553+(PLAYER_EXP_MAX-D553)/L553,NA()))</f>
        <v>#N/A</v>
      </c>
      <c r="N553" s="480" t="e">
        <f t="shared" ca="1" si="47"/>
        <v>#N/A</v>
      </c>
    </row>
    <row r="554" spans="4:14" ht="14.65" customHeight="1" x14ac:dyDescent="0.25">
      <c r="D554" s="480" t="str">
        <f t="shared" si="44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480" t="e">
        <f t="shared" ca="1" si="48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480" t="e">
        <f t="shared" ca="1" si="46"/>
        <v>#N/A</v>
      </c>
      <c r="L554" s="51" t="e">
        <f t="shared" si="45"/>
        <v>#N/A</v>
      </c>
      <c r="M554" s="58" t="e">
        <f>IF(ISBLANK(A554),NA(),IFERROR(A554+(PLAYER_EXP_MAX-D554)/L554,NA()))</f>
        <v>#N/A</v>
      </c>
      <c r="N554" s="480" t="e">
        <f t="shared" ca="1" si="47"/>
        <v>#N/A</v>
      </c>
    </row>
    <row r="555" spans="4:14" ht="14.65" customHeight="1" x14ac:dyDescent="0.25">
      <c r="D555" s="480" t="str">
        <f t="shared" si="44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480" t="e">
        <f t="shared" ca="1" si="48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480" t="e">
        <f t="shared" ca="1" si="46"/>
        <v>#N/A</v>
      </c>
      <c r="L555" s="51" t="e">
        <f t="shared" si="45"/>
        <v>#N/A</v>
      </c>
      <c r="M555" s="58" t="e">
        <f>IF(ISBLANK(A555),NA(),IFERROR(A555+(PLAYER_EXP_MAX-D555)/L555,NA()))</f>
        <v>#N/A</v>
      </c>
      <c r="N555" s="480" t="e">
        <f t="shared" ca="1" si="47"/>
        <v>#N/A</v>
      </c>
    </row>
    <row r="556" spans="4:14" ht="14.65" customHeight="1" x14ac:dyDescent="0.25">
      <c r="D556" s="480" t="str">
        <f t="shared" si="44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480" t="e">
        <f t="shared" ca="1" si="48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480" t="e">
        <f t="shared" ca="1" si="46"/>
        <v>#N/A</v>
      </c>
      <c r="L556" s="51" t="e">
        <f t="shared" si="45"/>
        <v>#N/A</v>
      </c>
      <c r="M556" s="58" t="e">
        <f>IF(ISBLANK(A556),NA(),IFERROR(A556+(PLAYER_EXP_MAX-D556)/L556,NA()))</f>
        <v>#N/A</v>
      </c>
      <c r="N556" s="480" t="e">
        <f t="shared" ca="1" si="47"/>
        <v>#N/A</v>
      </c>
    </row>
    <row r="557" spans="4:14" ht="14.65" customHeight="1" x14ac:dyDescent="0.25">
      <c r="D557" s="480" t="str">
        <f t="shared" si="44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480" t="e">
        <f t="shared" ca="1" si="48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480" t="e">
        <f t="shared" ca="1" si="46"/>
        <v>#N/A</v>
      </c>
      <c r="L557" s="51" t="e">
        <f t="shared" si="45"/>
        <v>#N/A</v>
      </c>
      <c r="M557" s="58" t="e">
        <f>IF(ISBLANK(A557),NA(),IFERROR(A557+(PLAYER_EXP_MAX-D557)/L557,NA()))</f>
        <v>#N/A</v>
      </c>
      <c r="N557" s="480" t="e">
        <f t="shared" ca="1" si="47"/>
        <v>#N/A</v>
      </c>
    </row>
    <row r="558" spans="4:14" ht="14.65" customHeight="1" x14ac:dyDescent="0.25">
      <c r="D558" s="480" t="str">
        <f t="shared" si="44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480" t="e">
        <f t="shared" ca="1" si="48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480" t="e">
        <f t="shared" ca="1" si="46"/>
        <v>#N/A</v>
      </c>
      <c r="L558" s="51" t="e">
        <f t="shared" si="45"/>
        <v>#N/A</v>
      </c>
      <c r="M558" s="58" t="e">
        <f>IF(ISBLANK(A558),NA(),IFERROR(A558+(PLAYER_EXP_MAX-D558)/L558,NA()))</f>
        <v>#N/A</v>
      </c>
      <c r="N558" s="480" t="e">
        <f t="shared" ca="1" si="47"/>
        <v>#N/A</v>
      </c>
    </row>
    <row r="559" spans="4:14" ht="14.65" customHeight="1" x14ac:dyDescent="0.25">
      <c r="D559" s="480" t="str">
        <f t="shared" si="44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480" t="e">
        <f t="shared" ca="1" si="48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480" t="e">
        <f t="shared" ca="1" si="46"/>
        <v>#N/A</v>
      </c>
      <c r="L559" s="51" t="e">
        <f t="shared" si="45"/>
        <v>#N/A</v>
      </c>
      <c r="M559" s="58" t="e">
        <f>IF(ISBLANK(A559),NA(),IFERROR(A559+(PLAYER_EXP_MAX-D559)/L559,NA()))</f>
        <v>#N/A</v>
      </c>
      <c r="N559" s="480" t="e">
        <f t="shared" ca="1" si="47"/>
        <v>#N/A</v>
      </c>
    </row>
    <row r="560" spans="4:14" ht="14.65" customHeight="1" x14ac:dyDescent="0.25">
      <c r="D560" s="480" t="str">
        <f t="shared" si="44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480" t="e">
        <f t="shared" ca="1" si="48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480" t="e">
        <f t="shared" ca="1" si="46"/>
        <v>#N/A</v>
      </c>
      <c r="L560" s="51" t="e">
        <f t="shared" si="45"/>
        <v>#N/A</v>
      </c>
      <c r="M560" s="58" t="e">
        <f>IF(ISBLANK(A560),NA(),IFERROR(A560+(PLAYER_EXP_MAX-D560)/L560,NA()))</f>
        <v>#N/A</v>
      </c>
      <c r="N560" s="480" t="e">
        <f t="shared" ca="1" si="47"/>
        <v>#N/A</v>
      </c>
    </row>
    <row r="561" spans="4:14" ht="14.65" customHeight="1" x14ac:dyDescent="0.25">
      <c r="D561" s="480" t="str">
        <f t="shared" si="44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480" t="e">
        <f t="shared" ca="1" si="48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480" t="e">
        <f t="shared" ca="1" si="46"/>
        <v>#N/A</v>
      </c>
      <c r="L561" s="51" t="e">
        <f t="shared" si="45"/>
        <v>#N/A</v>
      </c>
      <c r="M561" s="58" t="e">
        <f>IF(ISBLANK(A561),NA(),IFERROR(A561+(PLAYER_EXP_MAX-D561)/L561,NA()))</f>
        <v>#N/A</v>
      </c>
      <c r="N561" s="480" t="e">
        <f t="shared" ca="1" si="47"/>
        <v>#N/A</v>
      </c>
    </row>
    <row r="562" spans="4:14" ht="14.65" customHeight="1" x14ac:dyDescent="0.25">
      <c r="D562" s="480" t="str">
        <f t="shared" si="44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480" t="e">
        <f t="shared" ca="1" si="48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480" t="e">
        <f t="shared" ca="1" si="46"/>
        <v>#N/A</v>
      </c>
      <c r="L562" s="51" t="e">
        <f t="shared" si="45"/>
        <v>#N/A</v>
      </c>
      <c r="M562" s="58" t="e">
        <f>IF(ISBLANK(A562),NA(),IFERROR(A562+(PLAYER_EXP_MAX-D562)/L562,NA()))</f>
        <v>#N/A</v>
      </c>
      <c r="N562" s="480" t="e">
        <f t="shared" ca="1" si="47"/>
        <v>#N/A</v>
      </c>
    </row>
    <row r="563" spans="4:14" ht="14.65" customHeight="1" x14ac:dyDescent="0.25">
      <c r="D563" s="480" t="str">
        <f t="shared" si="44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480" t="e">
        <f t="shared" ca="1" si="48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480" t="e">
        <f t="shared" ca="1" si="46"/>
        <v>#N/A</v>
      </c>
      <c r="L563" s="51" t="e">
        <f t="shared" si="45"/>
        <v>#N/A</v>
      </c>
      <c r="M563" s="58" t="e">
        <f>IF(ISBLANK(A563),NA(),IFERROR(A563+(PLAYER_EXP_MAX-D563)/L563,NA()))</f>
        <v>#N/A</v>
      </c>
      <c r="N563" s="480" t="e">
        <f t="shared" ca="1" si="47"/>
        <v>#N/A</v>
      </c>
    </row>
    <row r="564" spans="4:14" ht="14.65" customHeight="1" x14ac:dyDescent="0.25">
      <c r="D564" s="480" t="str">
        <f t="shared" si="44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480" t="e">
        <f t="shared" ca="1" si="48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480" t="e">
        <f t="shared" ca="1" si="46"/>
        <v>#N/A</v>
      </c>
      <c r="L564" s="51" t="e">
        <f t="shared" si="45"/>
        <v>#N/A</v>
      </c>
      <c r="M564" s="58" t="e">
        <f>IF(ISBLANK(A564),NA(),IFERROR(A564+(PLAYER_EXP_MAX-D564)/L564,NA()))</f>
        <v>#N/A</v>
      </c>
      <c r="N564" s="480" t="e">
        <f t="shared" ca="1" si="47"/>
        <v>#N/A</v>
      </c>
    </row>
    <row r="565" spans="4:14" ht="14.65" customHeight="1" x14ac:dyDescent="0.25">
      <c r="D565" s="480" t="str">
        <f t="shared" si="44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480" t="e">
        <f t="shared" ca="1" si="48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480" t="e">
        <f t="shared" ca="1" si="46"/>
        <v>#N/A</v>
      </c>
      <c r="L565" s="51" t="e">
        <f t="shared" si="45"/>
        <v>#N/A</v>
      </c>
      <c r="M565" s="58" t="e">
        <f>IF(ISBLANK(A565),NA(),IFERROR(A565+(PLAYER_EXP_MAX-D565)/L565,NA()))</f>
        <v>#N/A</v>
      </c>
      <c r="N565" s="480" t="e">
        <f t="shared" ca="1" si="47"/>
        <v>#N/A</v>
      </c>
    </row>
    <row r="566" spans="4:14" ht="14.65" customHeight="1" x14ac:dyDescent="0.25">
      <c r="D566" s="480" t="str">
        <f t="shared" si="44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480" t="e">
        <f t="shared" ca="1" si="48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480" t="e">
        <f t="shared" ca="1" si="46"/>
        <v>#N/A</v>
      </c>
      <c r="L566" s="51" t="e">
        <f t="shared" si="45"/>
        <v>#N/A</v>
      </c>
      <c r="M566" s="58" t="e">
        <f>IF(ISBLANK(A566),NA(),IFERROR(A566+(PLAYER_EXP_MAX-D566)/L566,NA()))</f>
        <v>#N/A</v>
      </c>
      <c r="N566" s="480" t="e">
        <f t="shared" ca="1" si="47"/>
        <v>#N/A</v>
      </c>
    </row>
    <row r="567" spans="4:14" ht="14.65" customHeight="1" x14ac:dyDescent="0.25">
      <c r="D567" s="480" t="str">
        <f t="shared" si="44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480" t="e">
        <f t="shared" ca="1" si="48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480" t="e">
        <f t="shared" ca="1" si="46"/>
        <v>#N/A</v>
      </c>
      <c r="L567" s="51" t="e">
        <f t="shared" si="45"/>
        <v>#N/A</v>
      </c>
      <c r="M567" s="58" t="e">
        <f>IF(ISBLANK(A567),NA(),IFERROR(A567+(PLAYER_EXP_MAX-D567)/L567,NA()))</f>
        <v>#N/A</v>
      </c>
      <c r="N567" s="480" t="e">
        <f t="shared" ca="1" si="47"/>
        <v>#N/A</v>
      </c>
    </row>
    <row r="568" spans="4:14" ht="14.65" customHeight="1" x14ac:dyDescent="0.25">
      <c r="D568" s="480" t="str">
        <f t="shared" si="44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480" t="e">
        <f t="shared" ca="1" si="48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480" t="e">
        <f t="shared" ca="1" si="46"/>
        <v>#N/A</v>
      </c>
      <c r="L568" s="51" t="e">
        <f t="shared" si="45"/>
        <v>#N/A</v>
      </c>
      <c r="M568" s="58" t="e">
        <f>IF(ISBLANK(A568),NA(),IFERROR(A568+(PLAYER_EXP_MAX-D568)/L568,NA()))</f>
        <v>#N/A</v>
      </c>
      <c r="N568" s="480" t="e">
        <f t="shared" ca="1" si="47"/>
        <v>#N/A</v>
      </c>
    </row>
    <row r="569" spans="4:14" ht="14.65" customHeight="1" x14ac:dyDescent="0.25">
      <c r="D569" s="480" t="str">
        <f t="shared" si="44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480" t="e">
        <f t="shared" ca="1" si="48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480" t="e">
        <f t="shared" ca="1" si="46"/>
        <v>#N/A</v>
      </c>
      <c r="L569" s="51" t="e">
        <f t="shared" si="45"/>
        <v>#N/A</v>
      </c>
      <c r="M569" s="58" t="e">
        <f>IF(ISBLANK(A569),NA(),IFERROR(A569+(PLAYER_EXP_MAX-D569)/L569,NA()))</f>
        <v>#N/A</v>
      </c>
      <c r="N569" s="480" t="e">
        <f t="shared" ca="1" si="47"/>
        <v>#N/A</v>
      </c>
    </row>
    <row r="570" spans="4:14" ht="14.65" customHeight="1" x14ac:dyDescent="0.25">
      <c r="D570" s="480" t="str">
        <f t="shared" si="44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480" t="e">
        <f t="shared" ca="1" si="48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480" t="e">
        <f t="shared" ca="1" si="46"/>
        <v>#N/A</v>
      </c>
      <c r="L570" s="51" t="e">
        <f t="shared" si="45"/>
        <v>#N/A</v>
      </c>
      <c r="M570" s="58" t="e">
        <f>IF(ISBLANK(A570),NA(),IFERROR(A570+(PLAYER_EXP_MAX-D570)/L570,NA()))</f>
        <v>#N/A</v>
      </c>
      <c r="N570" s="480" t="e">
        <f t="shared" ca="1" si="47"/>
        <v>#N/A</v>
      </c>
    </row>
    <row r="571" spans="4:14" ht="14.65" customHeight="1" x14ac:dyDescent="0.25">
      <c r="D571" s="480" t="str">
        <f t="shared" si="44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480" t="e">
        <f t="shared" ca="1" si="48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480" t="e">
        <f t="shared" ca="1" si="46"/>
        <v>#N/A</v>
      </c>
      <c r="L571" s="51" t="e">
        <f t="shared" si="45"/>
        <v>#N/A</v>
      </c>
      <c r="M571" s="58" t="e">
        <f>IF(ISBLANK(A571),NA(),IFERROR(A571+(PLAYER_EXP_MAX-D571)/L571,NA()))</f>
        <v>#N/A</v>
      </c>
      <c r="N571" s="480" t="e">
        <f t="shared" ca="1" si="47"/>
        <v>#N/A</v>
      </c>
    </row>
    <row r="572" spans="4:14" ht="14.65" customHeight="1" x14ac:dyDescent="0.25">
      <c r="D572" s="480" t="str">
        <f t="shared" si="44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480" t="e">
        <f t="shared" ca="1" si="48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480" t="e">
        <f t="shared" ca="1" si="46"/>
        <v>#N/A</v>
      </c>
      <c r="L572" s="51" t="e">
        <f t="shared" si="45"/>
        <v>#N/A</v>
      </c>
      <c r="M572" s="58" t="e">
        <f>IF(ISBLANK(A572),NA(),IFERROR(A572+(PLAYER_EXP_MAX-D572)/L572,NA()))</f>
        <v>#N/A</v>
      </c>
      <c r="N572" s="480" t="e">
        <f t="shared" ca="1" si="47"/>
        <v>#N/A</v>
      </c>
    </row>
    <row r="573" spans="4:14" ht="14.65" customHeight="1" x14ac:dyDescent="0.25">
      <c r="D573" s="480" t="str">
        <f t="shared" si="44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480" t="e">
        <f t="shared" ca="1" si="48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480" t="e">
        <f t="shared" ca="1" si="46"/>
        <v>#N/A</v>
      </c>
      <c r="L573" s="51" t="e">
        <f t="shared" si="45"/>
        <v>#N/A</v>
      </c>
      <c r="M573" s="58" t="e">
        <f>IF(ISBLANK(A573),NA(),IFERROR(A573+(PLAYER_EXP_MAX-D573)/L573,NA()))</f>
        <v>#N/A</v>
      </c>
      <c r="N573" s="480" t="e">
        <f t="shared" ca="1" si="47"/>
        <v>#N/A</v>
      </c>
    </row>
    <row r="574" spans="4:14" ht="14.65" customHeight="1" x14ac:dyDescent="0.25">
      <c r="D574" s="480" t="str">
        <f t="shared" si="44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480" t="e">
        <f t="shared" ca="1" si="48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480" t="e">
        <f t="shared" ca="1" si="46"/>
        <v>#N/A</v>
      </c>
      <c r="L574" s="51" t="e">
        <f t="shared" si="45"/>
        <v>#N/A</v>
      </c>
      <c r="M574" s="58" t="e">
        <f>IF(ISBLANK(A574),NA(),IFERROR(A574+(PLAYER_EXP_MAX-D574)/L574,NA()))</f>
        <v>#N/A</v>
      </c>
      <c r="N574" s="480" t="e">
        <f t="shared" ca="1" si="47"/>
        <v>#N/A</v>
      </c>
    </row>
    <row r="575" spans="4:14" ht="14.65" customHeight="1" x14ac:dyDescent="0.25">
      <c r="D575" s="480" t="str">
        <f t="shared" si="44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480" t="e">
        <f t="shared" ca="1" si="48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480" t="e">
        <f t="shared" ca="1" si="46"/>
        <v>#N/A</v>
      </c>
      <c r="L575" s="51" t="e">
        <f t="shared" si="45"/>
        <v>#N/A</v>
      </c>
      <c r="M575" s="58" t="e">
        <f>IF(ISBLANK(A575),NA(),IFERROR(A575+(PLAYER_EXP_MAX-D575)/L575,NA()))</f>
        <v>#N/A</v>
      </c>
      <c r="N575" s="480" t="e">
        <f t="shared" ca="1" si="47"/>
        <v>#N/A</v>
      </c>
    </row>
    <row r="576" spans="4:14" ht="14.65" customHeight="1" x14ac:dyDescent="0.25">
      <c r="D576" s="480" t="str">
        <f t="shared" si="44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480" t="e">
        <f t="shared" ca="1" si="48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480" t="e">
        <f t="shared" ca="1" si="46"/>
        <v>#N/A</v>
      </c>
      <c r="L576" s="51" t="e">
        <f t="shared" si="45"/>
        <v>#N/A</v>
      </c>
      <c r="M576" s="58" t="e">
        <f>IF(ISBLANK(A576),NA(),IFERROR(A576+(PLAYER_EXP_MAX-D576)/L576,NA()))</f>
        <v>#N/A</v>
      </c>
      <c r="N576" s="480" t="e">
        <f t="shared" ca="1" si="47"/>
        <v>#N/A</v>
      </c>
    </row>
    <row r="577" spans="4:14" ht="14.65" customHeight="1" x14ac:dyDescent="0.25">
      <c r="D577" s="480" t="str">
        <f t="shared" si="44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480" t="e">
        <f t="shared" ca="1" si="48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480" t="e">
        <f t="shared" ca="1" si="46"/>
        <v>#N/A</v>
      </c>
      <c r="L577" s="51" t="e">
        <f t="shared" si="45"/>
        <v>#N/A</v>
      </c>
      <c r="M577" s="58" t="e">
        <f>IF(ISBLANK(A577),NA(),IFERROR(A577+(PLAYER_EXP_MAX-D577)/L577,NA()))</f>
        <v>#N/A</v>
      </c>
      <c r="N577" s="480" t="e">
        <f t="shared" ca="1" si="47"/>
        <v>#N/A</v>
      </c>
    </row>
    <row r="578" spans="4:14" ht="14.65" customHeight="1" x14ac:dyDescent="0.25">
      <c r="D578" s="480" t="str">
        <f t="shared" si="44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480" t="e">
        <f t="shared" ca="1" si="48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480" t="e">
        <f t="shared" ca="1" si="46"/>
        <v>#N/A</v>
      </c>
      <c r="L578" s="51" t="e">
        <f t="shared" si="45"/>
        <v>#N/A</v>
      </c>
      <c r="M578" s="58" t="e">
        <f>IF(ISBLANK(A578),NA(),IFERROR(A578+(PLAYER_EXP_MAX-D578)/L578,NA()))</f>
        <v>#N/A</v>
      </c>
      <c r="N578" s="480" t="e">
        <f t="shared" ca="1" si="47"/>
        <v>#N/A</v>
      </c>
    </row>
    <row r="579" spans="4:14" ht="14.65" customHeight="1" x14ac:dyDescent="0.25">
      <c r="D579" s="480" t="str">
        <f t="shared" ref="D579:D642" si="49">IF(ISBLANK(A579),"-",INDEX(DATA_PLAYER_EXP, B579, 3) + INDEX(DATA_PLAYER_EXP, B579, 2) - C579)</f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480" t="e">
        <f t="shared" ca="1" si="48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480" t="e">
        <f t="shared" ca="1" si="46"/>
        <v>#N/A</v>
      </c>
      <c r="L579" s="51" t="e">
        <f t="shared" si="45"/>
        <v>#N/A</v>
      </c>
      <c r="M579" s="58" t="e">
        <f>IF(ISBLANK(A579),NA(),IFERROR(A579+(PLAYER_EXP_MAX-D579)/L579,NA()))</f>
        <v>#N/A</v>
      </c>
      <c r="N579" s="480" t="e">
        <f t="shared" ca="1" si="47"/>
        <v>#N/A</v>
      </c>
    </row>
    <row r="580" spans="4:14" ht="14.65" customHeight="1" x14ac:dyDescent="0.25">
      <c r="D580" s="480" t="str">
        <f t="shared" si="49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480" t="e">
        <f t="shared" ca="1" si="48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480" t="e">
        <f t="shared" ca="1" si="46"/>
        <v>#N/A</v>
      </c>
      <c r="L580" s="51" t="e">
        <f t="shared" ref="L580:L643" si="50">IFERROR(IF(OR(ISBLANK($A580),$A580-$A$3 &lt; $C$1),NA(),($D580-$D$3)/($A580-$A$3)),NA())</f>
        <v>#N/A</v>
      </c>
      <c r="M580" s="58" t="e">
        <f>IF(ISBLANK(A580),NA(),IFERROR(A580+(PLAYER_EXP_MAX-D580)/L580,NA()))</f>
        <v>#N/A</v>
      </c>
      <c r="N580" s="480" t="e">
        <f t="shared" ca="1" si="47"/>
        <v>#N/A</v>
      </c>
    </row>
    <row r="581" spans="4:14" ht="14.65" customHeight="1" x14ac:dyDescent="0.25">
      <c r="D581" s="480" t="str">
        <f t="shared" si="49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480" t="e">
        <f t="shared" ca="1" si="48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480" t="e">
        <f t="shared" ca="1" si="46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480" t="e">
        <f t="shared" ca="1" si="47"/>
        <v>#N/A</v>
      </c>
    </row>
    <row r="582" spans="4:14" ht="14.65" customHeight="1" x14ac:dyDescent="0.25">
      <c r="D582" s="480" t="str">
        <f t="shared" si="49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480" t="e">
        <f t="shared" ca="1" si="48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480" t="e">
        <f t="shared" ca="1" si="46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480" t="e">
        <f t="shared" ca="1" si="47"/>
        <v>#N/A</v>
      </c>
    </row>
    <row r="583" spans="4:14" ht="14.65" customHeight="1" x14ac:dyDescent="0.25">
      <c r="D583" s="480" t="str">
        <f t="shared" si="49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480" t="e">
        <f t="shared" ca="1" si="48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480" t="e">
        <f t="shared" ca="1" si="46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480" t="e">
        <f t="shared" ca="1" si="47"/>
        <v>#N/A</v>
      </c>
    </row>
    <row r="584" spans="4:14" ht="14.65" customHeight="1" x14ac:dyDescent="0.25">
      <c r="D584" s="480" t="str">
        <f t="shared" si="49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480" t="e">
        <f t="shared" ca="1" si="48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480" t="e">
        <f t="shared" ca="1" si="46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480" t="e">
        <f t="shared" ca="1" si="47"/>
        <v>#N/A</v>
      </c>
    </row>
    <row r="585" spans="4:14" ht="14.65" customHeight="1" x14ac:dyDescent="0.25">
      <c r="D585" s="480" t="str">
        <f t="shared" si="49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480" t="e">
        <f t="shared" ca="1" si="48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480" t="e">
        <f t="shared" ca="1" si="46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480" t="e">
        <f t="shared" ca="1" si="47"/>
        <v>#N/A</v>
      </c>
    </row>
    <row r="586" spans="4:14" ht="14.65" customHeight="1" x14ac:dyDescent="0.25">
      <c r="D586" s="480" t="str">
        <f t="shared" si="49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480" t="e">
        <f t="shared" ca="1" si="48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480" t="e">
        <f t="shared" ca="1" si="46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480" t="e">
        <f t="shared" ca="1" si="47"/>
        <v>#N/A</v>
      </c>
    </row>
    <row r="587" spans="4:14" ht="14.65" customHeight="1" x14ac:dyDescent="0.25">
      <c r="D587" s="480" t="str">
        <f t="shared" si="49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480" t="e">
        <f t="shared" ca="1" si="48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480" t="e">
        <f t="shared" ca="1" si="46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480" t="e">
        <f t="shared" ca="1" si="47"/>
        <v>#N/A</v>
      </c>
    </row>
    <row r="588" spans="4:14" ht="14.65" customHeight="1" x14ac:dyDescent="0.25">
      <c r="D588" s="480" t="str">
        <f t="shared" si="49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480" t="e">
        <f t="shared" ca="1" si="48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480" t="e">
        <f t="shared" ca="1" si="46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480" t="e">
        <f t="shared" ca="1" si="47"/>
        <v>#N/A</v>
      </c>
    </row>
    <row r="589" spans="4:14" ht="14.65" customHeight="1" x14ac:dyDescent="0.25">
      <c r="D589" s="480" t="str">
        <f t="shared" si="49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480" t="e">
        <f t="shared" ca="1" si="48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480" t="e">
        <f t="shared" ca="1" si="46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480" t="e">
        <f t="shared" ca="1" si="47"/>
        <v>#N/A</v>
      </c>
    </row>
    <row r="590" spans="4:14" ht="14.65" customHeight="1" x14ac:dyDescent="0.25">
      <c r="D590" s="480" t="str">
        <f t="shared" si="49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480" t="e">
        <f t="shared" ca="1" si="48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480" t="e">
        <f t="shared" ca="1" si="46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480" t="e">
        <f t="shared" ca="1" si="47"/>
        <v>#N/A</v>
      </c>
    </row>
    <row r="591" spans="4:14" ht="14.65" customHeight="1" x14ac:dyDescent="0.25">
      <c r="D591" s="480" t="str">
        <f t="shared" si="49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480" t="e">
        <f t="shared" ca="1" si="48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480" t="e">
        <f t="shared" ca="1" si="46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480" t="e">
        <f t="shared" ca="1" si="47"/>
        <v>#N/A</v>
      </c>
    </row>
    <row r="592" spans="4:14" ht="14.65" customHeight="1" x14ac:dyDescent="0.25">
      <c r="D592" s="480" t="str">
        <f t="shared" si="49"/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480" t="e">
        <f t="shared" ca="1" si="48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480" t="e">
        <f t="shared" ca="1" si="46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480" t="e">
        <f t="shared" ca="1" si="47"/>
        <v>#N/A</v>
      </c>
    </row>
    <row r="593" spans="4:14" ht="14.65" customHeight="1" x14ac:dyDescent="0.25">
      <c r="D593" s="480" t="str">
        <f t="shared" si="49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480" t="e">
        <f t="shared" ca="1" si="48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480" t="e">
        <f t="shared" ref="K593:K656" ca="1" si="51">IF(ISBLANK(A593),NA(),IFERROR(TEXT(TRUNC(J593-NOW()),"000") &amp; " D " &amp; TEXT(TRUNC(ABS(J593-NOW()-TRUNC(J593-NOW()))*24),"00") &amp; " H", NA()))</f>
        <v>#N/A</v>
      </c>
      <c r="L593" s="51" t="e">
        <f t="shared" si="50"/>
        <v>#N/A</v>
      </c>
      <c r="M593" s="58" t="e">
        <f>IF(ISBLANK(A593),NA(),IFERROR(A593+(PLAYER_EXP_MAX-D593)/L593,NA()))</f>
        <v>#N/A</v>
      </c>
      <c r="N593" s="480" t="e">
        <f t="shared" ref="N593:N656" ca="1" si="52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80" t="str">
        <f t="shared" si="49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480" t="e">
        <f t="shared" ca="1" si="48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480" t="e">
        <f t="shared" ca="1" si="51"/>
        <v>#N/A</v>
      </c>
      <c r="L594" s="51" t="e">
        <f t="shared" si="50"/>
        <v>#N/A</v>
      </c>
      <c r="M594" s="58" t="e">
        <f>IF(ISBLANK(A594),NA(),IFERROR(A594+(PLAYER_EXP_MAX-D594)/L594,NA()))</f>
        <v>#N/A</v>
      </c>
      <c r="N594" s="480" t="e">
        <f t="shared" ca="1" si="52"/>
        <v>#N/A</v>
      </c>
    </row>
    <row r="595" spans="4:14" ht="14.65" customHeight="1" x14ac:dyDescent="0.25">
      <c r="D595" s="480" t="str">
        <f t="shared" si="49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480" t="e">
        <f t="shared" ca="1" si="48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480" t="e">
        <f t="shared" ca="1" si="51"/>
        <v>#N/A</v>
      </c>
      <c r="L595" s="51" t="e">
        <f t="shared" si="50"/>
        <v>#N/A</v>
      </c>
      <c r="M595" s="58" t="e">
        <f>IF(ISBLANK(A595),NA(),IFERROR(A595+(PLAYER_EXP_MAX-D595)/L595,NA()))</f>
        <v>#N/A</v>
      </c>
      <c r="N595" s="480" t="e">
        <f t="shared" ca="1" si="52"/>
        <v>#N/A</v>
      </c>
    </row>
    <row r="596" spans="4:14" ht="14.65" customHeight="1" x14ac:dyDescent="0.25">
      <c r="D596" s="480" t="str">
        <f t="shared" si="49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480" t="e">
        <f t="shared" ca="1" si="48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480" t="e">
        <f t="shared" ca="1" si="51"/>
        <v>#N/A</v>
      </c>
      <c r="L596" s="51" t="e">
        <f t="shared" si="50"/>
        <v>#N/A</v>
      </c>
      <c r="M596" s="58" t="e">
        <f>IF(ISBLANK(A596),NA(),IFERROR(A596+(PLAYER_EXP_MAX-D596)/L596,NA()))</f>
        <v>#N/A</v>
      </c>
      <c r="N596" s="480" t="e">
        <f t="shared" ca="1" si="52"/>
        <v>#N/A</v>
      </c>
    </row>
    <row r="597" spans="4:14" ht="14.65" customHeight="1" x14ac:dyDescent="0.25">
      <c r="D597" s="480" t="str">
        <f t="shared" si="49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480" t="e">
        <f t="shared" ca="1" si="48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480" t="e">
        <f t="shared" ca="1" si="51"/>
        <v>#N/A</v>
      </c>
      <c r="L597" s="51" t="e">
        <f t="shared" si="50"/>
        <v>#N/A</v>
      </c>
      <c r="M597" s="58" t="e">
        <f>IF(ISBLANK(A597),NA(),IFERROR(A597+(PLAYER_EXP_MAX-D597)/L597,NA()))</f>
        <v>#N/A</v>
      </c>
      <c r="N597" s="480" t="e">
        <f t="shared" ca="1" si="52"/>
        <v>#N/A</v>
      </c>
    </row>
    <row r="598" spans="4:14" ht="14.65" customHeight="1" x14ac:dyDescent="0.25">
      <c r="D598" s="480" t="str">
        <f t="shared" si="49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480" t="e">
        <f t="shared" ca="1" si="48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480" t="e">
        <f t="shared" ca="1" si="51"/>
        <v>#N/A</v>
      </c>
      <c r="L598" s="51" t="e">
        <f t="shared" si="50"/>
        <v>#N/A</v>
      </c>
      <c r="M598" s="58" t="e">
        <f>IF(ISBLANK(A598),NA(),IFERROR(A598+(PLAYER_EXP_MAX-D598)/L598,NA()))</f>
        <v>#N/A</v>
      </c>
      <c r="N598" s="480" t="e">
        <f t="shared" ca="1" si="52"/>
        <v>#N/A</v>
      </c>
    </row>
    <row r="599" spans="4:14" ht="14.65" customHeight="1" x14ac:dyDescent="0.25">
      <c r="D599" s="480" t="str">
        <f t="shared" si="49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480" t="e">
        <f t="shared" ca="1" si="48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480" t="e">
        <f t="shared" ca="1" si="51"/>
        <v>#N/A</v>
      </c>
      <c r="L599" s="51" t="e">
        <f t="shared" si="50"/>
        <v>#N/A</v>
      </c>
      <c r="M599" s="58" t="e">
        <f>IF(ISBLANK(A599),NA(),IFERROR(A599+(PLAYER_EXP_MAX-D599)/L599,NA()))</f>
        <v>#N/A</v>
      </c>
      <c r="N599" s="480" t="e">
        <f t="shared" ca="1" si="52"/>
        <v>#N/A</v>
      </c>
    </row>
    <row r="600" spans="4:14" ht="14.65" customHeight="1" x14ac:dyDescent="0.25">
      <c r="D600" s="480" t="str">
        <f t="shared" si="49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480" t="e">
        <f t="shared" ca="1" si="48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480" t="e">
        <f t="shared" ca="1" si="51"/>
        <v>#N/A</v>
      </c>
      <c r="L600" s="51" t="e">
        <f t="shared" si="50"/>
        <v>#N/A</v>
      </c>
      <c r="M600" s="58" t="e">
        <f>IF(ISBLANK(A600),NA(),IFERROR(A600+(PLAYER_EXP_MAX-D600)/L600,NA()))</f>
        <v>#N/A</v>
      </c>
      <c r="N600" s="480" t="e">
        <f t="shared" ca="1" si="52"/>
        <v>#N/A</v>
      </c>
    </row>
    <row r="601" spans="4:14" ht="14.65" customHeight="1" x14ac:dyDescent="0.25">
      <c r="D601" s="480" t="str">
        <f t="shared" si="49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480" t="e">
        <f t="shared" ca="1" si="48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480" t="e">
        <f t="shared" ca="1" si="51"/>
        <v>#N/A</v>
      </c>
      <c r="L601" s="51" t="e">
        <f t="shared" si="50"/>
        <v>#N/A</v>
      </c>
      <c r="M601" s="58" t="e">
        <f>IF(ISBLANK(A601),NA(),IFERROR(A601+(PLAYER_EXP_MAX-D601)/L601,NA()))</f>
        <v>#N/A</v>
      </c>
      <c r="N601" s="480" t="e">
        <f t="shared" ca="1" si="52"/>
        <v>#N/A</v>
      </c>
    </row>
    <row r="602" spans="4:14" ht="14.65" customHeight="1" x14ac:dyDescent="0.25">
      <c r="D602" s="480" t="str">
        <f t="shared" si="49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480" t="e">
        <f t="shared" ca="1" si="48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480" t="e">
        <f t="shared" ca="1" si="51"/>
        <v>#N/A</v>
      </c>
      <c r="L602" s="51" t="e">
        <f t="shared" si="50"/>
        <v>#N/A</v>
      </c>
      <c r="M602" s="58" t="e">
        <f>IF(ISBLANK(A602),NA(),IFERROR(A602+(PLAYER_EXP_MAX-D602)/L602,NA()))</f>
        <v>#N/A</v>
      </c>
      <c r="N602" s="480" t="e">
        <f t="shared" ca="1" si="52"/>
        <v>#N/A</v>
      </c>
    </row>
    <row r="603" spans="4:14" ht="14.65" customHeight="1" x14ac:dyDescent="0.25">
      <c r="D603" s="480" t="str">
        <f t="shared" si="49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480" t="e">
        <f t="shared" ca="1" si="48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480" t="e">
        <f t="shared" ca="1" si="51"/>
        <v>#N/A</v>
      </c>
      <c r="L603" s="51" t="e">
        <f t="shared" si="50"/>
        <v>#N/A</v>
      </c>
      <c r="M603" s="58" t="e">
        <f>IF(ISBLANK(A603),NA(),IFERROR(A603+(PLAYER_EXP_MAX-D603)/L603,NA()))</f>
        <v>#N/A</v>
      </c>
      <c r="N603" s="480" t="e">
        <f t="shared" ca="1" si="52"/>
        <v>#N/A</v>
      </c>
    </row>
    <row r="604" spans="4:14" ht="14.65" customHeight="1" x14ac:dyDescent="0.25">
      <c r="D604" s="480" t="str">
        <f t="shared" si="49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480" t="e">
        <f t="shared" ca="1" si="48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480" t="e">
        <f t="shared" ca="1" si="51"/>
        <v>#N/A</v>
      </c>
      <c r="L604" s="51" t="e">
        <f t="shared" si="50"/>
        <v>#N/A</v>
      </c>
      <c r="M604" s="58" t="e">
        <f>IF(ISBLANK(A604),NA(),IFERROR(A604+(PLAYER_EXP_MAX-D604)/L604,NA()))</f>
        <v>#N/A</v>
      </c>
      <c r="N604" s="480" t="e">
        <f t="shared" ca="1" si="52"/>
        <v>#N/A</v>
      </c>
    </row>
    <row r="605" spans="4:14" ht="14.65" customHeight="1" x14ac:dyDescent="0.25">
      <c r="D605" s="480" t="str">
        <f t="shared" si="49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480" t="e">
        <f t="shared" ca="1" si="48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480" t="e">
        <f t="shared" ca="1" si="51"/>
        <v>#N/A</v>
      </c>
      <c r="L605" s="51" t="e">
        <f t="shared" si="50"/>
        <v>#N/A</v>
      </c>
      <c r="M605" s="58" t="e">
        <f>IF(ISBLANK(A605),NA(),IFERROR(A605+(PLAYER_EXP_MAX-D605)/L605,NA()))</f>
        <v>#N/A</v>
      </c>
      <c r="N605" s="480" t="e">
        <f t="shared" ca="1" si="52"/>
        <v>#N/A</v>
      </c>
    </row>
    <row r="606" spans="4:14" ht="14.65" customHeight="1" x14ac:dyDescent="0.25">
      <c r="D606" s="480" t="str">
        <f t="shared" si="49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480" t="e">
        <f t="shared" ca="1" si="48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480" t="e">
        <f t="shared" ca="1" si="51"/>
        <v>#N/A</v>
      </c>
      <c r="L606" s="51" t="e">
        <f t="shared" si="50"/>
        <v>#N/A</v>
      </c>
      <c r="M606" s="58" t="e">
        <f>IF(ISBLANK(A606),NA(),IFERROR(A606+(PLAYER_EXP_MAX-D606)/L606,NA()))</f>
        <v>#N/A</v>
      </c>
      <c r="N606" s="480" t="e">
        <f t="shared" ca="1" si="52"/>
        <v>#N/A</v>
      </c>
    </row>
    <row r="607" spans="4:14" ht="14.65" customHeight="1" x14ac:dyDescent="0.25">
      <c r="D607" s="480" t="str">
        <f t="shared" si="49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480" t="e">
        <f t="shared" ref="H607:H670" ca="1" si="53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480" t="e">
        <f t="shared" ca="1" si="51"/>
        <v>#N/A</v>
      </c>
      <c r="L607" s="51" t="e">
        <f t="shared" si="50"/>
        <v>#N/A</v>
      </c>
      <c r="M607" s="58" t="e">
        <f>IF(ISBLANK(A607),NA(),IFERROR(A607+(PLAYER_EXP_MAX-D607)/L607,NA()))</f>
        <v>#N/A</v>
      </c>
      <c r="N607" s="480" t="e">
        <f t="shared" ca="1" si="52"/>
        <v>#N/A</v>
      </c>
    </row>
    <row r="608" spans="4:14" ht="14.65" customHeight="1" x14ac:dyDescent="0.25">
      <c r="D608" s="480" t="str">
        <f t="shared" si="49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480" t="e">
        <f t="shared" ca="1" si="53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480" t="e">
        <f t="shared" ca="1" si="51"/>
        <v>#N/A</v>
      </c>
      <c r="L608" s="51" t="e">
        <f t="shared" si="50"/>
        <v>#N/A</v>
      </c>
      <c r="M608" s="58" t="e">
        <f>IF(ISBLANK(A608),NA(),IFERROR(A608+(PLAYER_EXP_MAX-D608)/L608,NA()))</f>
        <v>#N/A</v>
      </c>
      <c r="N608" s="480" t="e">
        <f t="shared" ca="1" si="52"/>
        <v>#N/A</v>
      </c>
    </row>
    <row r="609" spans="4:14" ht="14.65" customHeight="1" x14ac:dyDescent="0.25">
      <c r="D609" s="480" t="str">
        <f t="shared" si="49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480" t="e">
        <f t="shared" ca="1" si="53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480" t="e">
        <f t="shared" ca="1" si="51"/>
        <v>#N/A</v>
      </c>
      <c r="L609" s="51" t="e">
        <f t="shared" si="50"/>
        <v>#N/A</v>
      </c>
      <c r="M609" s="58" t="e">
        <f>IF(ISBLANK(A609),NA(),IFERROR(A609+(PLAYER_EXP_MAX-D609)/L609,NA()))</f>
        <v>#N/A</v>
      </c>
      <c r="N609" s="480" t="e">
        <f t="shared" ca="1" si="52"/>
        <v>#N/A</v>
      </c>
    </row>
    <row r="610" spans="4:14" ht="14.65" customHeight="1" x14ac:dyDescent="0.25">
      <c r="D610" s="480" t="str">
        <f t="shared" si="49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480" t="e">
        <f t="shared" ca="1" si="53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480" t="e">
        <f t="shared" ca="1" si="51"/>
        <v>#N/A</v>
      </c>
      <c r="L610" s="51" t="e">
        <f t="shared" si="50"/>
        <v>#N/A</v>
      </c>
      <c r="M610" s="58" t="e">
        <f>IF(ISBLANK(A610),NA(),IFERROR(A610+(PLAYER_EXP_MAX-D610)/L610,NA()))</f>
        <v>#N/A</v>
      </c>
      <c r="N610" s="480" t="e">
        <f t="shared" ca="1" si="52"/>
        <v>#N/A</v>
      </c>
    </row>
    <row r="611" spans="4:14" ht="14.65" customHeight="1" x14ac:dyDescent="0.25">
      <c r="D611" s="480" t="str">
        <f t="shared" si="49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480" t="e">
        <f t="shared" ca="1" si="53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480" t="e">
        <f t="shared" ca="1" si="51"/>
        <v>#N/A</v>
      </c>
      <c r="L611" s="51" t="e">
        <f t="shared" si="50"/>
        <v>#N/A</v>
      </c>
      <c r="M611" s="58" t="e">
        <f>IF(ISBLANK(A611),NA(),IFERROR(A611+(PLAYER_EXP_MAX-D611)/L611,NA()))</f>
        <v>#N/A</v>
      </c>
      <c r="N611" s="480" t="e">
        <f t="shared" ca="1" si="52"/>
        <v>#N/A</v>
      </c>
    </row>
    <row r="612" spans="4:14" ht="14.65" customHeight="1" x14ac:dyDescent="0.25">
      <c r="D612" s="480" t="str">
        <f t="shared" si="49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480" t="e">
        <f t="shared" ca="1" si="53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480" t="e">
        <f t="shared" ca="1" si="51"/>
        <v>#N/A</v>
      </c>
      <c r="L612" s="51" t="e">
        <f t="shared" si="50"/>
        <v>#N/A</v>
      </c>
      <c r="M612" s="58" t="e">
        <f>IF(ISBLANK(A612),NA(),IFERROR(A612+(PLAYER_EXP_MAX-D612)/L612,NA()))</f>
        <v>#N/A</v>
      </c>
      <c r="N612" s="480" t="e">
        <f t="shared" ca="1" si="52"/>
        <v>#N/A</v>
      </c>
    </row>
    <row r="613" spans="4:14" ht="14.65" customHeight="1" x14ac:dyDescent="0.25">
      <c r="D613" s="480" t="str">
        <f t="shared" si="49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480" t="e">
        <f t="shared" ca="1" si="53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480" t="e">
        <f t="shared" ca="1" si="51"/>
        <v>#N/A</v>
      </c>
      <c r="L613" s="51" t="e">
        <f t="shared" si="50"/>
        <v>#N/A</v>
      </c>
      <c r="M613" s="58" t="e">
        <f>IF(ISBLANK(A613),NA(),IFERROR(A613+(PLAYER_EXP_MAX-D613)/L613,NA()))</f>
        <v>#N/A</v>
      </c>
      <c r="N613" s="480" t="e">
        <f t="shared" ca="1" si="52"/>
        <v>#N/A</v>
      </c>
    </row>
    <row r="614" spans="4:14" ht="14.65" customHeight="1" x14ac:dyDescent="0.25">
      <c r="D614" s="480" t="str">
        <f t="shared" si="49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480" t="e">
        <f t="shared" ca="1" si="53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480" t="e">
        <f t="shared" ca="1" si="51"/>
        <v>#N/A</v>
      </c>
      <c r="L614" s="51" t="e">
        <f t="shared" si="50"/>
        <v>#N/A</v>
      </c>
      <c r="M614" s="58" t="e">
        <f>IF(ISBLANK(A614),NA(),IFERROR(A614+(PLAYER_EXP_MAX-D614)/L614,NA()))</f>
        <v>#N/A</v>
      </c>
      <c r="N614" s="480" t="e">
        <f t="shared" ca="1" si="52"/>
        <v>#N/A</v>
      </c>
    </row>
    <row r="615" spans="4:14" ht="14.65" customHeight="1" x14ac:dyDescent="0.25">
      <c r="D615" s="480" t="str">
        <f t="shared" si="49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480" t="e">
        <f t="shared" ca="1" si="53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480" t="e">
        <f t="shared" ca="1" si="51"/>
        <v>#N/A</v>
      </c>
      <c r="L615" s="51" t="e">
        <f t="shared" si="50"/>
        <v>#N/A</v>
      </c>
      <c r="M615" s="58" t="e">
        <f>IF(ISBLANK(A615),NA(),IFERROR(A615+(PLAYER_EXP_MAX-D615)/L615,NA()))</f>
        <v>#N/A</v>
      </c>
      <c r="N615" s="480" t="e">
        <f t="shared" ca="1" si="52"/>
        <v>#N/A</v>
      </c>
    </row>
    <row r="616" spans="4:14" ht="14.65" customHeight="1" x14ac:dyDescent="0.25">
      <c r="D616" s="480" t="str">
        <f t="shared" si="49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480" t="e">
        <f t="shared" ca="1" si="53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480" t="e">
        <f t="shared" ca="1" si="51"/>
        <v>#N/A</v>
      </c>
      <c r="L616" s="51" t="e">
        <f t="shared" si="50"/>
        <v>#N/A</v>
      </c>
      <c r="M616" s="58" t="e">
        <f>IF(ISBLANK(A616),NA(),IFERROR(A616+(PLAYER_EXP_MAX-D616)/L616,NA()))</f>
        <v>#N/A</v>
      </c>
      <c r="N616" s="480" t="e">
        <f t="shared" ca="1" si="52"/>
        <v>#N/A</v>
      </c>
    </row>
    <row r="617" spans="4:14" ht="14.65" customHeight="1" x14ac:dyDescent="0.25">
      <c r="D617" s="480" t="str">
        <f t="shared" si="49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480" t="e">
        <f t="shared" ca="1" si="53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480" t="e">
        <f t="shared" ca="1" si="51"/>
        <v>#N/A</v>
      </c>
      <c r="L617" s="51" t="e">
        <f t="shared" si="50"/>
        <v>#N/A</v>
      </c>
      <c r="M617" s="58" t="e">
        <f>IF(ISBLANK(A617),NA(),IFERROR(A617+(PLAYER_EXP_MAX-D617)/L617,NA()))</f>
        <v>#N/A</v>
      </c>
      <c r="N617" s="480" t="e">
        <f t="shared" ca="1" si="52"/>
        <v>#N/A</v>
      </c>
    </row>
    <row r="618" spans="4:14" ht="14.65" customHeight="1" x14ac:dyDescent="0.25">
      <c r="D618" s="480" t="str">
        <f t="shared" si="49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480" t="e">
        <f t="shared" ca="1" si="53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480" t="e">
        <f t="shared" ca="1" si="51"/>
        <v>#N/A</v>
      </c>
      <c r="L618" s="51" t="e">
        <f t="shared" si="50"/>
        <v>#N/A</v>
      </c>
      <c r="M618" s="58" t="e">
        <f>IF(ISBLANK(A618),NA(),IFERROR(A618+(PLAYER_EXP_MAX-D618)/L618,NA()))</f>
        <v>#N/A</v>
      </c>
      <c r="N618" s="480" t="e">
        <f t="shared" ca="1" si="52"/>
        <v>#N/A</v>
      </c>
    </row>
    <row r="619" spans="4:14" ht="14.65" customHeight="1" x14ac:dyDescent="0.25">
      <c r="D619" s="480" t="str">
        <f t="shared" si="49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480" t="e">
        <f t="shared" ca="1" si="53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480" t="e">
        <f t="shared" ca="1" si="51"/>
        <v>#N/A</v>
      </c>
      <c r="L619" s="51" t="e">
        <f t="shared" si="50"/>
        <v>#N/A</v>
      </c>
      <c r="M619" s="58" t="e">
        <f>IF(ISBLANK(A619),NA(),IFERROR(A619+(PLAYER_EXP_MAX-D619)/L619,NA()))</f>
        <v>#N/A</v>
      </c>
      <c r="N619" s="480" t="e">
        <f t="shared" ca="1" si="52"/>
        <v>#N/A</v>
      </c>
    </row>
    <row r="620" spans="4:14" ht="14.65" customHeight="1" x14ac:dyDescent="0.25">
      <c r="D620" s="480" t="str">
        <f t="shared" si="49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480" t="e">
        <f t="shared" ca="1" si="53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480" t="e">
        <f t="shared" ca="1" si="51"/>
        <v>#N/A</v>
      </c>
      <c r="L620" s="51" t="e">
        <f t="shared" si="50"/>
        <v>#N/A</v>
      </c>
      <c r="M620" s="58" t="e">
        <f>IF(ISBLANK(A620),NA(),IFERROR(A620+(PLAYER_EXP_MAX-D620)/L620,NA()))</f>
        <v>#N/A</v>
      </c>
      <c r="N620" s="480" t="e">
        <f t="shared" ca="1" si="52"/>
        <v>#N/A</v>
      </c>
    </row>
    <row r="621" spans="4:14" ht="14.65" customHeight="1" x14ac:dyDescent="0.25">
      <c r="D621" s="480" t="str">
        <f t="shared" si="49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480" t="e">
        <f t="shared" ca="1" si="53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480" t="e">
        <f t="shared" ca="1" si="51"/>
        <v>#N/A</v>
      </c>
      <c r="L621" s="51" t="e">
        <f t="shared" si="50"/>
        <v>#N/A</v>
      </c>
      <c r="M621" s="58" t="e">
        <f>IF(ISBLANK(A621),NA(),IFERROR(A621+(PLAYER_EXP_MAX-D621)/L621,NA()))</f>
        <v>#N/A</v>
      </c>
      <c r="N621" s="480" t="e">
        <f t="shared" ca="1" si="52"/>
        <v>#N/A</v>
      </c>
    </row>
    <row r="622" spans="4:14" ht="14.65" customHeight="1" x14ac:dyDescent="0.25">
      <c r="D622" s="480" t="str">
        <f t="shared" si="49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480" t="e">
        <f t="shared" ca="1" si="53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480" t="e">
        <f t="shared" ca="1" si="51"/>
        <v>#N/A</v>
      </c>
      <c r="L622" s="51" t="e">
        <f t="shared" si="50"/>
        <v>#N/A</v>
      </c>
      <c r="M622" s="58" t="e">
        <f>IF(ISBLANK(A622),NA(),IFERROR(A622+(PLAYER_EXP_MAX-D622)/L622,NA()))</f>
        <v>#N/A</v>
      </c>
      <c r="N622" s="480" t="e">
        <f t="shared" ca="1" si="52"/>
        <v>#N/A</v>
      </c>
    </row>
    <row r="623" spans="4:14" ht="14.65" customHeight="1" x14ac:dyDescent="0.25">
      <c r="D623" s="480" t="str">
        <f t="shared" si="49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480" t="e">
        <f t="shared" ca="1" si="53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480" t="e">
        <f t="shared" ca="1" si="51"/>
        <v>#N/A</v>
      </c>
      <c r="L623" s="51" t="e">
        <f t="shared" si="50"/>
        <v>#N/A</v>
      </c>
      <c r="M623" s="58" t="e">
        <f>IF(ISBLANK(A623),NA(),IFERROR(A623+(PLAYER_EXP_MAX-D623)/L623,NA()))</f>
        <v>#N/A</v>
      </c>
      <c r="N623" s="480" t="e">
        <f t="shared" ca="1" si="52"/>
        <v>#N/A</v>
      </c>
    </row>
    <row r="624" spans="4:14" ht="14.65" customHeight="1" x14ac:dyDescent="0.25">
      <c r="D624" s="480" t="str">
        <f t="shared" si="49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480" t="e">
        <f t="shared" ca="1" si="53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480" t="e">
        <f t="shared" ca="1" si="51"/>
        <v>#N/A</v>
      </c>
      <c r="L624" s="51" t="e">
        <f t="shared" si="50"/>
        <v>#N/A</v>
      </c>
      <c r="M624" s="58" t="e">
        <f>IF(ISBLANK(A624),NA(),IFERROR(A624+(PLAYER_EXP_MAX-D624)/L624,NA()))</f>
        <v>#N/A</v>
      </c>
      <c r="N624" s="480" t="e">
        <f t="shared" ca="1" si="52"/>
        <v>#N/A</v>
      </c>
    </row>
    <row r="625" spans="4:14" ht="14.65" customHeight="1" x14ac:dyDescent="0.25">
      <c r="D625" s="480" t="str">
        <f t="shared" si="49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480" t="e">
        <f t="shared" ca="1" si="53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480" t="e">
        <f t="shared" ca="1" si="51"/>
        <v>#N/A</v>
      </c>
      <c r="L625" s="51" t="e">
        <f t="shared" si="50"/>
        <v>#N/A</v>
      </c>
      <c r="M625" s="58" t="e">
        <f>IF(ISBLANK(A625),NA(),IFERROR(A625+(PLAYER_EXP_MAX-D625)/L625,NA()))</f>
        <v>#N/A</v>
      </c>
      <c r="N625" s="480" t="e">
        <f t="shared" ca="1" si="52"/>
        <v>#N/A</v>
      </c>
    </row>
    <row r="626" spans="4:14" ht="14.65" customHeight="1" x14ac:dyDescent="0.25">
      <c r="D626" s="480" t="str">
        <f t="shared" si="49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480" t="e">
        <f t="shared" ca="1" si="53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480" t="e">
        <f t="shared" ca="1" si="51"/>
        <v>#N/A</v>
      </c>
      <c r="L626" s="51" t="e">
        <f t="shared" si="50"/>
        <v>#N/A</v>
      </c>
      <c r="M626" s="58" t="e">
        <f>IF(ISBLANK(A626),NA(),IFERROR(A626+(PLAYER_EXP_MAX-D626)/L626,NA()))</f>
        <v>#N/A</v>
      </c>
      <c r="N626" s="480" t="e">
        <f t="shared" ca="1" si="52"/>
        <v>#N/A</v>
      </c>
    </row>
    <row r="627" spans="4:14" ht="14.65" customHeight="1" x14ac:dyDescent="0.25">
      <c r="D627" s="480" t="str">
        <f t="shared" si="49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480" t="e">
        <f t="shared" ca="1" si="53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480" t="e">
        <f t="shared" ca="1" si="51"/>
        <v>#N/A</v>
      </c>
      <c r="L627" s="51" t="e">
        <f t="shared" si="50"/>
        <v>#N/A</v>
      </c>
      <c r="M627" s="58" t="e">
        <f>IF(ISBLANK(A627),NA(),IFERROR(A627+(PLAYER_EXP_MAX-D627)/L627,NA()))</f>
        <v>#N/A</v>
      </c>
      <c r="N627" s="480" t="e">
        <f t="shared" ca="1" si="52"/>
        <v>#N/A</v>
      </c>
    </row>
    <row r="628" spans="4:14" ht="14.65" customHeight="1" x14ac:dyDescent="0.25">
      <c r="D628" s="480" t="str">
        <f t="shared" si="49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480" t="e">
        <f t="shared" ca="1" si="53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480" t="e">
        <f t="shared" ca="1" si="51"/>
        <v>#N/A</v>
      </c>
      <c r="L628" s="51" t="e">
        <f t="shared" si="50"/>
        <v>#N/A</v>
      </c>
      <c r="M628" s="58" t="e">
        <f>IF(ISBLANK(A628),NA(),IFERROR(A628+(PLAYER_EXP_MAX-D628)/L628,NA()))</f>
        <v>#N/A</v>
      </c>
      <c r="N628" s="480" t="e">
        <f t="shared" ca="1" si="52"/>
        <v>#N/A</v>
      </c>
    </row>
    <row r="629" spans="4:14" ht="14.65" customHeight="1" x14ac:dyDescent="0.25">
      <c r="D629" s="480" t="str">
        <f t="shared" si="49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480" t="e">
        <f t="shared" ca="1" si="53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480" t="e">
        <f t="shared" ca="1" si="51"/>
        <v>#N/A</v>
      </c>
      <c r="L629" s="51" t="e">
        <f t="shared" si="50"/>
        <v>#N/A</v>
      </c>
      <c r="M629" s="58" t="e">
        <f>IF(ISBLANK(A629),NA(),IFERROR(A629+(PLAYER_EXP_MAX-D629)/L629,NA()))</f>
        <v>#N/A</v>
      </c>
      <c r="N629" s="480" t="e">
        <f t="shared" ca="1" si="52"/>
        <v>#N/A</v>
      </c>
    </row>
    <row r="630" spans="4:14" ht="14.65" customHeight="1" x14ac:dyDescent="0.25">
      <c r="D630" s="480" t="str">
        <f t="shared" si="49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480" t="e">
        <f t="shared" ca="1" si="53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480" t="e">
        <f t="shared" ca="1" si="51"/>
        <v>#N/A</v>
      </c>
      <c r="L630" s="51" t="e">
        <f t="shared" si="50"/>
        <v>#N/A</v>
      </c>
      <c r="M630" s="58" t="e">
        <f>IF(ISBLANK(A630),NA(),IFERROR(A630+(PLAYER_EXP_MAX-D630)/L630,NA()))</f>
        <v>#N/A</v>
      </c>
      <c r="N630" s="480" t="e">
        <f t="shared" ca="1" si="52"/>
        <v>#N/A</v>
      </c>
    </row>
    <row r="631" spans="4:14" ht="14.65" customHeight="1" x14ac:dyDescent="0.25">
      <c r="D631" s="480" t="str">
        <f t="shared" si="49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480" t="e">
        <f t="shared" ca="1" si="53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480" t="e">
        <f t="shared" ca="1" si="51"/>
        <v>#N/A</v>
      </c>
      <c r="L631" s="51" t="e">
        <f t="shared" si="50"/>
        <v>#N/A</v>
      </c>
      <c r="M631" s="58" t="e">
        <f>IF(ISBLANK(A631),NA(),IFERROR(A631+(PLAYER_EXP_MAX-D631)/L631,NA()))</f>
        <v>#N/A</v>
      </c>
      <c r="N631" s="480" t="e">
        <f t="shared" ca="1" si="52"/>
        <v>#N/A</v>
      </c>
    </row>
    <row r="632" spans="4:14" ht="14.65" customHeight="1" x14ac:dyDescent="0.25">
      <c r="D632" s="480" t="str">
        <f t="shared" si="49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480" t="e">
        <f t="shared" ca="1" si="53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480" t="e">
        <f t="shared" ca="1" si="51"/>
        <v>#N/A</v>
      </c>
      <c r="L632" s="51" t="e">
        <f t="shared" si="50"/>
        <v>#N/A</v>
      </c>
      <c r="M632" s="58" t="e">
        <f>IF(ISBLANK(A632),NA(),IFERROR(A632+(PLAYER_EXP_MAX-D632)/L632,NA()))</f>
        <v>#N/A</v>
      </c>
      <c r="N632" s="480" t="e">
        <f t="shared" ca="1" si="52"/>
        <v>#N/A</v>
      </c>
    </row>
    <row r="633" spans="4:14" ht="14.65" customHeight="1" x14ac:dyDescent="0.25">
      <c r="D633" s="480" t="str">
        <f t="shared" si="49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480" t="e">
        <f t="shared" ca="1" si="53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480" t="e">
        <f t="shared" ca="1" si="51"/>
        <v>#N/A</v>
      </c>
      <c r="L633" s="51" t="e">
        <f t="shared" si="50"/>
        <v>#N/A</v>
      </c>
      <c r="M633" s="58" t="e">
        <f>IF(ISBLANK(A633),NA(),IFERROR(A633+(PLAYER_EXP_MAX-D633)/L633,NA()))</f>
        <v>#N/A</v>
      </c>
      <c r="N633" s="480" t="e">
        <f t="shared" ca="1" si="52"/>
        <v>#N/A</v>
      </c>
    </row>
    <row r="634" spans="4:14" ht="14.65" customHeight="1" x14ac:dyDescent="0.25">
      <c r="D634" s="480" t="str">
        <f t="shared" si="49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480" t="e">
        <f t="shared" ca="1" si="53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480" t="e">
        <f t="shared" ca="1" si="51"/>
        <v>#N/A</v>
      </c>
      <c r="L634" s="51" t="e">
        <f t="shared" si="50"/>
        <v>#N/A</v>
      </c>
      <c r="M634" s="58" t="e">
        <f>IF(ISBLANK(A634),NA(),IFERROR(A634+(PLAYER_EXP_MAX-D634)/L634,NA()))</f>
        <v>#N/A</v>
      </c>
      <c r="N634" s="480" t="e">
        <f t="shared" ca="1" si="52"/>
        <v>#N/A</v>
      </c>
    </row>
    <row r="635" spans="4:14" ht="14.65" customHeight="1" x14ac:dyDescent="0.25">
      <c r="D635" s="480" t="str">
        <f t="shared" si="49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480" t="e">
        <f t="shared" ca="1" si="53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480" t="e">
        <f t="shared" ca="1" si="51"/>
        <v>#N/A</v>
      </c>
      <c r="L635" s="51" t="e">
        <f t="shared" si="50"/>
        <v>#N/A</v>
      </c>
      <c r="M635" s="58" t="e">
        <f>IF(ISBLANK(A635),NA(),IFERROR(A635+(PLAYER_EXP_MAX-D635)/L635,NA()))</f>
        <v>#N/A</v>
      </c>
      <c r="N635" s="480" t="e">
        <f t="shared" ca="1" si="52"/>
        <v>#N/A</v>
      </c>
    </row>
    <row r="636" spans="4:14" ht="14.65" customHeight="1" x14ac:dyDescent="0.25">
      <c r="D636" s="480" t="str">
        <f t="shared" si="49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480" t="e">
        <f t="shared" ca="1" si="53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480" t="e">
        <f t="shared" ca="1" si="51"/>
        <v>#N/A</v>
      </c>
      <c r="L636" s="51" t="e">
        <f t="shared" si="50"/>
        <v>#N/A</v>
      </c>
      <c r="M636" s="58" t="e">
        <f>IF(ISBLANK(A636),NA(),IFERROR(A636+(PLAYER_EXP_MAX-D636)/L636,NA()))</f>
        <v>#N/A</v>
      </c>
      <c r="N636" s="480" t="e">
        <f t="shared" ca="1" si="52"/>
        <v>#N/A</v>
      </c>
    </row>
    <row r="637" spans="4:14" ht="14.65" customHeight="1" x14ac:dyDescent="0.25">
      <c r="D637" s="480" t="str">
        <f t="shared" si="49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480" t="e">
        <f t="shared" ca="1" si="53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480" t="e">
        <f t="shared" ca="1" si="51"/>
        <v>#N/A</v>
      </c>
      <c r="L637" s="51" t="e">
        <f t="shared" si="50"/>
        <v>#N/A</v>
      </c>
      <c r="M637" s="58" t="e">
        <f>IF(ISBLANK(A637),NA(),IFERROR(A637+(PLAYER_EXP_MAX-D637)/L637,NA()))</f>
        <v>#N/A</v>
      </c>
      <c r="N637" s="480" t="e">
        <f t="shared" ca="1" si="52"/>
        <v>#N/A</v>
      </c>
    </row>
    <row r="638" spans="4:14" ht="14.65" customHeight="1" x14ac:dyDescent="0.25">
      <c r="D638" s="480" t="str">
        <f t="shared" si="49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480" t="e">
        <f t="shared" ca="1" si="53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480" t="e">
        <f t="shared" ca="1" si="51"/>
        <v>#N/A</v>
      </c>
      <c r="L638" s="51" t="e">
        <f t="shared" si="50"/>
        <v>#N/A</v>
      </c>
      <c r="M638" s="58" t="e">
        <f>IF(ISBLANK(A638),NA(),IFERROR(A638+(PLAYER_EXP_MAX-D638)/L638,NA()))</f>
        <v>#N/A</v>
      </c>
      <c r="N638" s="480" t="e">
        <f t="shared" ca="1" si="52"/>
        <v>#N/A</v>
      </c>
    </row>
    <row r="639" spans="4:14" ht="14.65" customHeight="1" x14ac:dyDescent="0.25">
      <c r="D639" s="480" t="str">
        <f t="shared" si="49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480" t="e">
        <f t="shared" ca="1" si="53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480" t="e">
        <f t="shared" ca="1" si="51"/>
        <v>#N/A</v>
      </c>
      <c r="L639" s="51" t="e">
        <f t="shared" si="50"/>
        <v>#N/A</v>
      </c>
      <c r="M639" s="58" t="e">
        <f>IF(ISBLANK(A639),NA(),IFERROR(A639+(PLAYER_EXP_MAX-D639)/L639,NA()))</f>
        <v>#N/A</v>
      </c>
      <c r="N639" s="480" t="e">
        <f t="shared" ca="1" si="52"/>
        <v>#N/A</v>
      </c>
    </row>
    <row r="640" spans="4:14" ht="14.65" customHeight="1" x14ac:dyDescent="0.25">
      <c r="D640" s="480" t="str">
        <f t="shared" si="49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480" t="e">
        <f t="shared" ca="1" si="53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480" t="e">
        <f t="shared" ca="1" si="51"/>
        <v>#N/A</v>
      </c>
      <c r="L640" s="51" t="e">
        <f t="shared" si="50"/>
        <v>#N/A</v>
      </c>
      <c r="M640" s="58" t="e">
        <f>IF(ISBLANK(A640),NA(),IFERROR(A640+(PLAYER_EXP_MAX-D640)/L640,NA()))</f>
        <v>#N/A</v>
      </c>
      <c r="N640" s="480" t="e">
        <f t="shared" ca="1" si="52"/>
        <v>#N/A</v>
      </c>
    </row>
    <row r="641" spans="4:14" ht="14.65" customHeight="1" x14ac:dyDescent="0.25">
      <c r="D641" s="480" t="str">
        <f t="shared" si="49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480" t="e">
        <f t="shared" ca="1" si="53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480" t="e">
        <f t="shared" ca="1" si="51"/>
        <v>#N/A</v>
      </c>
      <c r="L641" s="51" t="e">
        <f t="shared" si="50"/>
        <v>#N/A</v>
      </c>
      <c r="M641" s="58" t="e">
        <f>IF(ISBLANK(A641),NA(),IFERROR(A641+(PLAYER_EXP_MAX-D641)/L641,NA()))</f>
        <v>#N/A</v>
      </c>
      <c r="N641" s="480" t="e">
        <f t="shared" ca="1" si="52"/>
        <v>#N/A</v>
      </c>
    </row>
    <row r="642" spans="4:14" ht="14.65" customHeight="1" x14ac:dyDescent="0.25">
      <c r="D642" s="480" t="str">
        <f t="shared" si="49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480" t="e">
        <f t="shared" ca="1" si="53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480" t="e">
        <f t="shared" ca="1" si="51"/>
        <v>#N/A</v>
      </c>
      <c r="L642" s="51" t="e">
        <f t="shared" si="50"/>
        <v>#N/A</v>
      </c>
      <c r="M642" s="58" t="e">
        <f>IF(ISBLANK(A642),NA(),IFERROR(A642+(PLAYER_EXP_MAX-D642)/L642,NA()))</f>
        <v>#N/A</v>
      </c>
      <c r="N642" s="480" t="e">
        <f t="shared" ca="1" si="52"/>
        <v>#N/A</v>
      </c>
    </row>
    <row r="643" spans="4:14" ht="14.65" customHeight="1" x14ac:dyDescent="0.25">
      <c r="D643" s="480" t="str">
        <f t="shared" ref="D643:D700" si="54">IF(ISBLANK(A643),"-",INDEX(DATA_PLAYER_EXP, B643, 3) + INDEX(DATA_PLAYER_EXP, B643, 2) - C643)</f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480" t="e">
        <f t="shared" ca="1" si="53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480" t="e">
        <f t="shared" ca="1" si="51"/>
        <v>#N/A</v>
      </c>
      <c r="L643" s="51" t="e">
        <f t="shared" si="50"/>
        <v>#N/A</v>
      </c>
      <c r="M643" s="58" t="e">
        <f>IF(ISBLANK(A643),NA(),IFERROR(A643+(PLAYER_EXP_MAX-D643)/L643,NA()))</f>
        <v>#N/A</v>
      </c>
      <c r="N643" s="480" t="e">
        <f t="shared" ca="1" si="52"/>
        <v>#N/A</v>
      </c>
    </row>
    <row r="644" spans="4:14" ht="14.65" customHeight="1" x14ac:dyDescent="0.25">
      <c r="D644" s="480" t="str">
        <f t="shared" si="54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480" t="e">
        <f t="shared" ca="1" si="53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480" t="e">
        <f t="shared" ca="1" si="51"/>
        <v>#N/A</v>
      </c>
      <c r="L644" s="51" t="e">
        <f t="shared" ref="L644:L700" si="55">IFERROR(IF(OR(ISBLANK($A644),$A644-$A$3 &lt; $C$1),NA(),($D644-$D$3)/($A644-$A$3)),NA())</f>
        <v>#N/A</v>
      </c>
      <c r="M644" s="58" t="e">
        <f>IF(ISBLANK(A644),NA(),IFERROR(A644+(PLAYER_EXP_MAX-D644)/L644,NA()))</f>
        <v>#N/A</v>
      </c>
      <c r="N644" s="480" t="e">
        <f t="shared" ca="1" si="52"/>
        <v>#N/A</v>
      </c>
    </row>
    <row r="645" spans="4:14" ht="14.65" customHeight="1" x14ac:dyDescent="0.25">
      <c r="D645" s="480" t="str">
        <f t="shared" si="54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480" t="e">
        <f t="shared" ca="1" si="53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480" t="e">
        <f t="shared" ca="1" si="51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480" t="e">
        <f t="shared" ca="1" si="52"/>
        <v>#N/A</v>
      </c>
    </row>
    <row r="646" spans="4:14" ht="14.65" customHeight="1" x14ac:dyDescent="0.25">
      <c r="D646" s="480" t="str">
        <f t="shared" si="54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480" t="e">
        <f t="shared" ca="1" si="53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480" t="e">
        <f t="shared" ca="1" si="51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480" t="e">
        <f t="shared" ca="1" si="52"/>
        <v>#N/A</v>
      </c>
    </row>
    <row r="647" spans="4:14" ht="14.65" customHeight="1" x14ac:dyDescent="0.25">
      <c r="D647" s="480" t="str">
        <f t="shared" si="54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480" t="e">
        <f t="shared" ca="1" si="53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480" t="e">
        <f t="shared" ca="1" si="51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480" t="e">
        <f t="shared" ca="1" si="52"/>
        <v>#N/A</v>
      </c>
    </row>
    <row r="648" spans="4:14" ht="14.65" customHeight="1" x14ac:dyDescent="0.25">
      <c r="D648" s="480" t="str">
        <f t="shared" si="54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480" t="e">
        <f t="shared" ca="1" si="53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480" t="e">
        <f t="shared" ca="1" si="51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480" t="e">
        <f t="shared" ca="1" si="52"/>
        <v>#N/A</v>
      </c>
    </row>
    <row r="649" spans="4:14" ht="14.65" customHeight="1" x14ac:dyDescent="0.25">
      <c r="D649" s="480" t="str">
        <f t="shared" si="54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480" t="e">
        <f t="shared" ca="1" si="53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480" t="e">
        <f t="shared" ca="1" si="51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480" t="e">
        <f t="shared" ca="1" si="52"/>
        <v>#N/A</v>
      </c>
    </row>
    <row r="650" spans="4:14" ht="14.65" customHeight="1" x14ac:dyDescent="0.25">
      <c r="D650" s="480" t="str">
        <f t="shared" si="54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480" t="e">
        <f t="shared" ca="1" si="53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480" t="e">
        <f t="shared" ca="1" si="51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480" t="e">
        <f t="shared" ca="1" si="52"/>
        <v>#N/A</v>
      </c>
    </row>
    <row r="651" spans="4:14" ht="14.65" customHeight="1" x14ac:dyDescent="0.25">
      <c r="D651" s="480" t="str">
        <f t="shared" si="54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480" t="e">
        <f t="shared" ca="1" si="53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480" t="e">
        <f t="shared" ca="1" si="51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480" t="e">
        <f t="shared" ca="1" si="52"/>
        <v>#N/A</v>
      </c>
    </row>
    <row r="652" spans="4:14" ht="14.65" customHeight="1" x14ac:dyDescent="0.25">
      <c r="D652" s="480" t="str">
        <f t="shared" si="54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480" t="e">
        <f t="shared" ca="1" si="53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480" t="e">
        <f t="shared" ca="1" si="51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480" t="e">
        <f t="shared" ca="1" si="52"/>
        <v>#N/A</v>
      </c>
    </row>
    <row r="653" spans="4:14" ht="14.65" customHeight="1" x14ac:dyDescent="0.25">
      <c r="D653" s="480" t="str">
        <f t="shared" si="54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480" t="e">
        <f t="shared" ca="1" si="53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480" t="e">
        <f t="shared" ca="1" si="51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480" t="e">
        <f t="shared" ca="1" si="52"/>
        <v>#N/A</v>
      </c>
    </row>
    <row r="654" spans="4:14" ht="14.65" customHeight="1" x14ac:dyDescent="0.25">
      <c r="D654" s="480" t="str">
        <f t="shared" si="54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480" t="e">
        <f t="shared" ca="1" si="53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480" t="e">
        <f t="shared" ca="1" si="51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480" t="e">
        <f t="shared" ca="1" si="52"/>
        <v>#N/A</v>
      </c>
    </row>
    <row r="655" spans="4:14" ht="14.65" customHeight="1" x14ac:dyDescent="0.25">
      <c r="D655" s="480" t="str">
        <f t="shared" si="54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480" t="e">
        <f t="shared" ca="1" si="53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480" t="e">
        <f t="shared" ca="1" si="51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480" t="e">
        <f t="shared" ca="1" si="52"/>
        <v>#N/A</v>
      </c>
    </row>
    <row r="656" spans="4:14" ht="14.65" customHeight="1" x14ac:dyDescent="0.25">
      <c r="D656" s="480" t="str">
        <f t="shared" si="54"/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480" t="e">
        <f t="shared" ca="1" si="53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480" t="e">
        <f t="shared" ca="1" si="51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480" t="e">
        <f t="shared" ca="1" si="52"/>
        <v>#N/A</v>
      </c>
    </row>
    <row r="657" spans="4:14" ht="14.65" customHeight="1" x14ac:dyDescent="0.25">
      <c r="D657" s="480" t="str">
        <f t="shared" si="54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480" t="e">
        <f t="shared" ca="1" si="53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480" t="e">
        <f t="shared" ref="K657:K700" ca="1" si="56">IF(ISBLANK(A657),NA(),IFERROR(TEXT(TRUNC(J657-NOW()),"000") &amp; " D " &amp; TEXT(TRUNC(ABS(J657-NOW()-TRUNC(J657-NOW()))*24),"00") &amp; " H", NA()))</f>
        <v>#N/A</v>
      </c>
      <c r="L657" s="51" t="e">
        <f t="shared" si="55"/>
        <v>#N/A</v>
      </c>
      <c r="M657" s="58" t="e">
        <f>IF(ISBLANK(A657),NA(),IFERROR(A657+(PLAYER_EXP_MAX-D657)/L657,NA()))</f>
        <v>#N/A</v>
      </c>
      <c r="N657" s="480" t="e">
        <f t="shared" ref="N657:N700" ca="1" si="57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80" t="str">
        <f t="shared" si="54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480" t="e">
        <f t="shared" ca="1" si="53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480" t="e">
        <f t="shared" ca="1" si="56"/>
        <v>#N/A</v>
      </c>
      <c r="L658" s="51" t="e">
        <f t="shared" si="55"/>
        <v>#N/A</v>
      </c>
      <c r="M658" s="58" t="e">
        <f>IF(ISBLANK(A658),NA(),IFERROR(A658+(PLAYER_EXP_MAX-D658)/L658,NA()))</f>
        <v>#N/A</v>
      </c>
      <c r="N658" s="480" t="e">
        <f t="shared" ca="1" si="57"/>
        <v>#N/A</v>
      </c>
    </row>
    <row r="659" spans="4:14" ht="14.65" customHeight="1" x14ac:dyDescent="0.25">
      <c r="D659" s="480" t="str">
        <f t="shared" si="54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480" t="e">
        <f t="shared" ca="1" si="53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480" t="e">
        <f t="shared" ca="1" si="56"/>
        <v>#N/A</v>
      </c>
      <c r="L659" s="51" t="e">
        <f t="shared" si="55"/>
        <v>#N/A</v>
      </c>
      <c r="M659" s="58" t="e">
        <f>IF(ISBLANK(A659),NA(),IFERROR(A659+(PLAYER_EXP_MAX-D659)/L659,NA()))</f>
        <v>#N/A</v>
      </c>
      <c r="N659" s="480" t="e">
        <f t="shared" ca="1" si="57"/>
        <v>#N/A</v>
      </c>
    </row>
    <row r="660" spans="4:14" ht="14.65" customHeight="1" x14ac:dyDescent="0.25">
      <c r="D660" s="480" t="str">
        <f t="shared" si="54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480" t="e">
        <f t="shared" ca="1" si="53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480" t="e">
        <f t="shared" ca="1" si="56"/>
        <v>#N/A</v>
      </c>
      <c r="L660" s="51" t="e">
        <f t="shared" si="55"/>
        <v>#N/A</v>
      </c>
      <c r="M660" s="58" t="e">
        <f>IF(ISBLANK(A660),NA(),IFERROR(A660+(PLAYER_EXP_MAX-D660)/L660,NA()))</f>
        <v>#N/A</v>
      </c>
      <c r="N660" s="480" t="e">
        <f t="shared" ca="1" si="57"/>
        <v>#N/A</v>
      </c>
    </row>
    <row r="661" spans="4:14" ht="14.65" customHeight="1" x14ac:dyDescent="0.25">
      <c r="D661" s="480" t="str">
        <f t="shared" si="54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480" t="e">
        <f t="shared" ca="1" si="53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480" t="e">
        <f t="shared" ca="1" si="56"/>
        <v>#N/A</v>
      </c>
      <c r="L661" s="51" t="e">
        <f t="shared" si="55"/>
        <v>#N/A</v>
      </c>
      <c r="M661" s="58" t="e">
        <f>IF(ISBLANK(A661),NA(),IFERROR(A661+(PLAYER_EXP_MAX-D661)/L661,NA()))</f>
        <v>#N/A</v>
      </c>
      <c r="N661" s="480" t="e">
        <f t="shared" ca="1" si="57"/>
        <v>#N/A</v>
      </c>
    </row>
    <row r="662" spans="4:14" ht="14.65" customHeight="1" x14ac:dyDescent="0.25">
      <c r="D662" s="480" t="str">
        <f t="shared" si="54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480" t="e">
        <f t="shared" ca="1" si="53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480" t="e">
        <f t="shared" ca="1" si="56"/>
        <v>#N/A</v>
      </c>
      <c r="L662" s="51" t="e">
        <f t="shared" si="55"/>
        <v>#N/A</v>
      </c>
      <c r="M662" s="58" t="e">
        <f>IF(ISBLANK(A662),NA(),IFERROR(A662+(PLAYER_EXP_MAX-D662)/L662,NA()))</f>
        <v>#N/A</v>
      </c>
      <c r="N662" s="480" t="e">
        <f t="shared" ca="1" si="57"/>
        <v>#N/A</v>
      </c>
    </row>
    <row r="663" spans="4:14" ht="14.65" customHeight="1" x14ac:dyDescent="0.25">
      <c r="D663" s="480" t="str">
        <f t="shared" si="54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480" t="e">
        <f t="shared" ca="1" si="53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480" t="e">
        <f t="shared" ca="1" si="56"/>
        <v>#N/A</v>
      </c>
      <c r="L663" s="51" t="e">
        <f t="shared" si="55"/>
        <v>#N/A</v>
      </c>
      <c r="M663" s="58" t="e">
        <f>IF(ISBLANK(A663),NA(),IFERROR(A663+(PLAYER_EXP_MAX-D663)/L663,NA()))</f>
        <v>#N/A</v>
      </c>
      <c r="N663" s="480" t="e">
        <f t="shared" ca="1" si="57"/>
        <v>#N/A</v>
      </c>
    </row>
    <row r="664" spans="4:14" ht="14.65" customHeight="1" x14ac:dyDescent="0.25">
      <c r="D664" s="480" t="str">
        <f t="shared" si="54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480" t="e">
        <f t="shared" ca="1" si="53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480" t="e">
        <f t="shared" ca="1" si="56"/>
        <v>#N/A</v>
      </c>
      <c r="L664" s="51" t="e">
        <f t="shared" si="55"/>
        <v>#N/A</v>
      </c>
      <c r="M664" s="58" t="e">
        <f>IF(ISBLANK(A664),NA(),IFERROR(A664+(PLAYER_EXP_MAX-D664)/L664,NA()))</f>
        <v>#N/A</v>
      </c>
      <c r="N664" s="480" t="e">
        <f t="shared" ca="1" si="57"/>
        <v>#N/A</v>
      </c>
    </row>
    <row r="665" spans="4:14" ht="14.65" customHeight="1" x14ac:dyDescent="0.25">
      <c r="D665" s="480" t="str">
        <f t="shared" si="54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480" t="e">
        <f t="shared" ca="1" si="53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480" t="e">
        <f t="shared" ca="1" si="56"/>
        <v>#N/A</v>
      </c>
      <c r="L665" s="51" t="e">
        <f t="shared" si="55"/>
        <v>#N/A</v>
      </c>
      <c r="M665" s="58" t="e">
        <f>IF(ISBLANK(A665),NA(),IFERROR(A665+(PLAYER_EXP_MAX-D665)/L665,NA()))</f>
        <v>#N/A</v>
      </c>
      <c r="N665" s="480" t="e">
        <f t="shared" ca="1" si="57"/>
        <v>#N/A</v>
      </c>
    </row>
    <row r="666" spans="4:14" ht="14.65" customHeight="1" x14ac:dyDescent="0.25">
      <c r="D666" s="480" t="str">
        <f t="shared" si="54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480" t="e">
        <f t="shared" ca="1" si="53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480" t="e">
        <f t="shared" ca="1" si="56"/>
        <v>#N/A</v>
      </c>
      <c r="L666" s="51" t="e">
        <f t="shared" si="55"/>
        <v>#N/A</v>
      </c>
      <c r="M666" s="58" t="e">
        <f>IF(ISBLANK(A666),NA(),IFERROR(A666+(PLAYER_EXP_MAX-D666)/L666,NA()))</f>
        <v>#N/A</v>
      </c>
      <c r="N666" s="480" t="e">
        <f t="shared" ca="1" si="57"/>
        <v>#N/A</v>
      </c>
    </row>
    <row r="667" spans="4:14" ht="14.65" customHeight="1" x14ac:dyDescent="0.25">
      <c r="D667" s="480" t="str">
        <f t="shared" si="54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480" t="e">
        <f t="shared" ca="1" si="53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480" t="e">
        <f t="shared" ca="1" si="56"/>
        <v>#N/A</v>
      </c>
      <c r="L667" s="51" t="e">
        <f t="shared" si="55"/>
        <v>#N/A</v>
      </c>
      <c r="M667" s="58" t="e">
        <f>IF(ISBLANK(A667),NA(),IFERROR(A667+(PLAYER_EXP_MAX-D667)/L667,NA()))</f>
        <v>#N/A</v>
      </c>
      <c r="N667" s="480" t="e">
        <f t="shared" ca="1" si="57"/>
        <v>#N/A</v>
      </c>
    </row>
    <row r="668" spans="4:14" ht="14.65" customHeight="1" x14ac:dyDescent="0.25">
      <c r="D668" s="480" t="str">
        <f t="shared" si="54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480" t="e">
        <f t="shared" ca="1" si="53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480" t="e">
        <f t="shared" ca="1" si="56"/>
        <v>#N/A</v>
      </c>
      <c r="L668" s="51" t="e">
        <f t="shared" si="55"/>
        <v>#N/A</v>
      </c>
      <c r="M668" s="58" t="e">
        <f>IF(ISBLANK(A668),NA(),IFERROR(A668+(PLAYER_EXP_MAX-D668)/L668,NA()))</f>
        <v>#N/A</v>
      </c>
      <c r="N668" s="480" t="e">
        <f t="shared" ca="1" si="57"/>
        <v>#N/A</v>
      </c>
    </row>
    <row r="669" spans="4:14" ht="14.65" customHeight="1" x14ac:dyDescent="0.25">
      <c r="D669" s="480" t="str">
        <f t="shared" si="54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480" t="e">
        <f t="shared" ca="1" si="53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480" t="e">
        <f t="shared" ca="1" si="56"/>
        <v>#N/A</v>
      </c>
      <c r="L669" s="51" t="e">
        <f t="shared" si="55"/>
        <v>#N/A</v>
      </c>
      <c r="M669" s="58" t="e">
        <f>IF(ISBLANK(A669),NA(),IFERROR(A669+(PLAYER_EXP_MAX-D669)/L669,NA()))</f>
        <v>#N/A</v>
      </c>
      <c r="N669" s="480" t="e">
        <f t="shared" ca="1" si="57"/>
        <v>#N/A</v>
      </c>
    </row>
    <row r="670" spans="4:14" ht="14.65" customHeight="1" x14ac:dyDescent="0.25">
      <c r="D670" s="480" t="str">
        <f t="shared" si="54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480" t="e">
        <f t="shared" ca="1" si="53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480" t="e">
        <f t="shared" ca="1" si="56"/>
        <v>#N/A</v>
      </c>
      <c r="L670" s="51" t="e">
        <f t="shared" si="55"/>
        <v>#N/A</v>
      </c>
      <c r="M670" s="58" t="e">
        <f>IF(ISBLANK(A670),NA(),IFERROR(A670+(PLAYER_EXP_MAX-D670)/L670,NA()))</f>
        <v>#N/A</v>
      </c>
      <c r="N670" s="480" t="e">
        <f t="shared" ca="1" si="57"/>
        <v>#N/A</v>
      </c>
    </row>
    <row r="671" spans="4:14" ht="14.65" customHeight="1" x14ac:dyDescent="0.25">
      <c r="D671" s="480" t="str">
        <f t="shared" si="54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480" t="e">
        <f t="shared" ref="H671:H700" ca="1" si="58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480" t="e">
        <f t="shared" ca="1" si="56"/>
        <v>#N/A</v>
      </c>
      <c r="L671" s="51" t="e">
        <f t="shared" si="55"/>
        <v>#N/A</v>
      </c>
      <c r="M671" s="58" t="e">
        <f>IF(ISBLANK(A671),NA(),IFERROR(A671+(PLAYER_EXP_MAX-D671)/L671,NA()))</f>
        <v>#N/A</v>
      </c>
      <c r="N671" s="480" t="e">
        <f t="shared" ca="1" si="57"/>
        <v>#N/A</v>
      </c>
    </row>
    <row r="672" spans="4:14" ht="14.65" customHeight="1" x14ac:dyDescent="0.25">
      <c r="D672" s="480" t="str">
        <f t="shared" si="54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480" t="e">
        <f t="shared" ca="1" si="58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480" t="e">
        <f t="shared" ca="1" si="56"/>
        <v>#N/A</v>
      </c>
      <c r="L672" s="51" t="e">
        <f t="shared" si="55"/>
        <v>#N/A</v>
      </c>
      <c r="M672" s="58" t="e">
        <f>IF(ISBLANK(A672),NA(),IFERROR(A672+(PLAYER_EXP_MAX-D672)/L672,NA()))</f>
        <v>#N/A</v>
      </c>
      <c r="N672" s="480" t="e">
        <f t="shared" ca="1" si="57"/>
        <v>#N/A</v>
      </c>
    </row>
    <row r="673" spans="4:14" ht="14.65" customHeight="1" x14ac:dyDescent="0.25">
      <c r="D673" s="480" t="str">
        <f t="shared" si="54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480" t="e">
        <f t="shared" ca="1" si="58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480" t="e">
        <f t="shared" ca="1" si="56"/>
        <v>#N/A</v>
      </c>
      <c r="L673" s="51" t="e">
        <f t="shared" si="55"/>
        <v>#N/A</v>
      </c>
      <c r="M673" s="58" t="e">
        <f>IF(ISBLANK(A673),NA(),IFERROR(A673+(PLAYER_EXP_MAX-D673)/L673,NA()))</f>
        <v>#N/A</v>
      </c>
      <c r="N673" s="480" t="e">
        <f t="shared" ca="1" si="57"/>
        <v>#N/A</v>
      </c>
    </row>
    <row r="674" spans="4:14" ht="14.65" customHeight="1" x14ac:dyDescent="0.25">
      <c r="D674" s="480" t="str">
        <f t="shared" si="54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480" t="e">
        <f t="shared" ca="1" si="58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480" t="e">
        <f t="shared" ca="1" si="56"/>
        <v>#N/A</v>
      </c>
      <c r="L674" s="51" t="e">
        <f t="shared" si="55"/>
        <v>#N/A</v>
      </c>
      <c r="M674" s="58" t="e">
        <f>IF(ISBLANK(A674),NA(),IFERROR(A674+(PLAYER_EXP_MAX-D674)/L674,NA()))</f>
        <v>#N/A</v>
      </c>
      <c r="N674" s="480" t="e">
        <f t="shared" ca="1" si="57"/>
        <v>#N/A</v>
      </c>
    </row>
    <row r="675" spans="4:14" ht="14.65" customHeight="1" x14ac:dyDescent="0.25">
      <c r="D675" s="480" t="str">
        <f t="shared" si="54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480" t="e">
        <f t="shared" ca="1" si="58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480" t="e">
        <f t="shared" ca="1" si="56"/>
        <v>#N/A</v>
      </c>
      <c r="L675" s="51" t="e">
        <f t="shared" si="55"/>
        <v>#N/A</v>
      </c>
      <c r="M675" s="58" t="e">
        <f>IF(ISBLANK(A675),NA(),IFERROR(A675+(PLAYER_EXP_MAX-D675)/L675,NA()))</f>
        <v>#N/A</v>
      </c>
      <c r="N675" s="480" t="e">
        <f t="shared" ca="1" si="57"/>
        <v>#N/A</v>
      </c>
    </row>
    <row r="676" spans="4:14" ht="14.65" customHeight="1" x14ac:dyDescent="0.25">
      <c r="D676" s="480" t="str">
        <f t="shared" si="54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480" t="e">
        <f t="shared" ca="1" si="58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480" t="e">
        <f t="shared" ca="1" si="56"/>
        <v>#N/A</v>
      </c>
      <c r="L676" s="51" t="e">
        <f t="shared" si="55"/>
        <v>#N/A</v>
      </c>
      <c r="M676" s="58" t="e">
        <f>IF(ISBLANK(A676),NA(),IFERROR(A676+(PLAYER_EXP_MAX-D676)/L676,NA()))</f>
        <v>#N/A</v>
      </c>
      <c r="N676" s="480" t="e">
        <f t="shared" ca="1" si="57"/>
        <v>#N/A</v>
      </c>
    </row>
    <row r="677" spans="4:14" ht="14.65" customHeight="1" x14ac:dyDescent="0.25">
      <c r="D677" s="480" t="str">
        <f t="shared" si="54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480" t="e">
        <f t="shared" ca="1" si="58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480" t="e">
        <f t="shared" ca="1" si="56"/>
        <v>#N/A</v>
      </c>
      <c r="L677" s="51" t="e">
        <f t="shared" si="55"/>
        <v>#N/A</v>
      </c>
      <c r="M677" s="58" t="e">
        <f>IF(ISBLANK(A677),NA(),IFERROR(A677+(PLAYER_EXP_MAX-D677)/L677,NA()))</f>
        <v>#N/A</v>
      </c>
      <c r="N677" s="480" t="e">
        <f t="shared" ca="1" si="57"/>
        <v>#N/A</v>
      </c>
    </row>
    <row r="678" spans="4:14" ht="14.65" customHeight="1" x14ac:dyDescent="0.25">
      <c r="D678" s="480" t="str">
        <f t="shared" si="54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480" t="e">
        <f t="shared" ca="1" si="58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480" t="e">
        <f t="shared" ca="1" si="56"/>
        <v>#N/A</v>
      </c>
      <c r="L678" s="51" t="e">
        <f t="shared" si="55"/>
        <v>#N/A</v>
      </c>
      <c r="M678" s="58" t="e">
        <f>IF(ISBLANK(A678),NA(),IFERROR(A678+(PLAYER_EXP_MAX-D678)/L678,NA()))</f>
        <v>#N/A</v>
      </c>
      <c r="N678" s="480" t="e">
        <f t="shared" ca="1" si="57"/>
        <v>#N/A</v>
      </c>
    </row>
    <row r="679" spans="4:14" ht="14.65" customHeight="1" x14ac:dyDescent="0.25">
      <c r="D679" s="480" t="str">
        <f t="shared" si="54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480" t="e">
        <f t="shared" ca="1" si="58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480" t="e">
        <f t="shared" ca="1" si="56"/>
        <v>#N/A</v>
      </c>
      <c r="L679" s="51" t="e">
        <f t="shared" si="55"/>
        <v>#N/A</v>
      </c>
      <c r="M679" s="58" t="e">
        <f>IF(ISBLANK(A679),NA(),IFERROR(A679+(PLAYER_EXP_MAX-D679)/L679,NA()))</f>
        <v>#N/A</v>
      </c>
      <c r="N679" s="480" t="e">
        <f t="shared" ca="1" si="57"/>
        <v>#N/A</v>
      </c>
    </row>
    <row r="680" spans="4:14" ht="14.65" customHeight="1" x14ac:dyDescent="0.25">
      <c r="D680" s="480" t="str">
        <f t="shared" si="54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480" t="e">
        <f t="shared" ca="1" si="58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480" t="e">
        <f t="shared" ca="1" si="56"/>
        <v>#N/A</v>
      </c>
      <c r="L680" s="51" t="e">
        <f t="shared" si="55"/>
        <v>#N/A</v>
      </c>
      <c r="M680" s="58" t="e">
        <f>IF(ISBLANK(A680),NA(),IFERROR(A680+(PLAYER_EXP_MAX-D680)/L680,NA()))</f>
        <v>#N/A</v>
      </c>
      <c r="N680" s="480" t="e">
        <f t="shared" ca="1" si="57"/>
        <v>#N/A</v>
      </c>
    </row>
    <row r="681" spans="4:14" ht="14.65" customHeight="1" x14ac:dyDescent="0.25">
      <c r="D681" s="480" t="str">
        <f t="shared" si="54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480" t="e">
        <f t="shared" ca="1" si="58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480" t="e">
        <f t="shared" ca="1" si="56"/>
        <v>#N/A</v>
      </c>
      <c r="L681" s="51" t="e">
        <f t="shared" si="55"/>
        <v>#N/A</v>
      </c>
      <c r="M681" s="58" t="e">
        <f>IF(ISBLANK(A681),NA(),IFERROR(A681+(PLAYER_EXP_MAX-D681)/L681,NA()))</f>
        <v>#N/A</v>
      </c>
      <c r="N681" s="480" t="e">
        <f t="shared" ca="1" si="57"/>
        <v>#N/A</v>
      </c>
    </row>
    <row r="682" spans="4:14" ht="14.65" customHeight="1" x14ac:dyDescent="0.25">
      <c r="D682" s="480" t="str">
        <f t="shared" si="54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480" t="e">
        <f t="shared" ca="1" si="58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480" t="e">
        <f t="shared" ca="1" si="56"/>
        <v>#N/A</v>
      </c>
      <c r="L682" s="51" t="e">
        <f t="shared" si="55"/>
        <v>#N/A</v>
      </c>
      <c r="M682" s="58" t="e">
        <f>IF(ISBLANK(A682),NA(),IFERROR(A682+(PLAYER_EXP_MAX-D682)/L682,NA()))</f>
        <v>#N/A</v>
      </c>
      <c r="N682" s="480" t="e">
        <f t="shared" ca="1" si="57"/>
        <v>#N/A</v>
      </c>
    </row>
    <row r="683" spans="4:14" ht="14.65" customHeight="1" x14ac:dyDescent="0.25">
      <c r="D683" s="480" t="str">
        <f t="shared" si="54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480" t="e">
        <f t="shared" ca="1" si="58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480" t="e">
        <f t="shared" ca="1" si="56"/>
        <v>#N/A</v>
      </c>
      <c r="L683" s="51" t="e">
        <f t="shared" si="55"/>
        <v>#N/A</v>
      </c>
      <c r="M683" s="58" t="e">
        <f>IF(ISBLANK(A683),NA(),IFERROR(A683+(PLAYER_EXP_MAX-D683)/L683,NA()))</f>
        <v>#N/A</v>
      </c>
      <c r="N683" s="480" t="e">
        <f t="shared" ca="1" si="57"/>
        <v>#N/A</v>
      </c>
    </row>
    <row r="684" spans="4:14" ht="14.65" customHeight="1" x14ac:dyDescent="0.25">
      <c r="D684" s="480" t="str">
        <f t="shared" si="54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480" t="e">
        <f t="shared" ca="1" si="58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480" t="e">
        <f t="shared" ca="1" si="56"/>
        <v>#N/A</v>
      </c>
      <c r="L684" s="51" t="e">
        <f t="shared" si="55"/>
        <v>#N/A</v>
      </c>
      <c r="M684" s="58" t="e">
        <f>IF(ISBLANK(A684),NA(),IFERROR(A684+(PLAYER_EXP_MAX-D684)/L684,NA()))</f>
        <v>#N/A</v>
      </c>
      <c r="N684" s="480" t="e">
        <f t="shared" ca="1" si="57"/>
        <v>#N/A</v>
      </c>
    </row>
    <row r="685" spans="4:14" ht="14.65" customHeight="1" x14ac:dyDescent="0.25">
      <c r="D685" s="480" t="str">
        <f t="shared" si="54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480" t="e">
        <f t="shared" ca="1" si="58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480" t="e">
        <f t="shared" ca="1" si="56"/>
        <v>#N/A</v>
      </c>
      <c r="L685" s="51" t="e">
        <f t="shared" si="55"/>
        <v>#N/A</v>
      </c>
      <c r="M685" s="58" t="e">
        <f>IF(ISBLANK(A685),NA(),IFERROR(A685+(PLAYER_EXP_MAX-D685)/L685,NA()))</f>
        <v>#N/A</v>
      </c>
      <c r="N685" s="480" t="e">
        <f t="shared" ca="1" si="57"/>
        <v>#N/A</v>
      </c>
    </row>
    <row r="686" spans="4:14" ht="14.65" customHeight="1" x14ac:dyDescent="0.25">
      <c r="D686" s="480" t="str">
        <f t="shared" si="54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480" t="e">
        <f t="shared" ca="1" si="58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480" t="e">
        <f t="shared" ca="1" si="56"/>
        <v>#N/A</v>
      </c>
      <c r="L686" s="51" t="e">
        <f t="shared" si="55"/>
        <v>#N/A</v>
      </c>
      <c r="M686" s="58" t="e">
        <f>IF(ISBLANK(A686),NA(),IFERROR(A686+(PLAYER_EXP_MAX-D686)/L686,NA()))</f>
        <v>#N/A</v>
      </c>
      <c r="N686" s="480" t="e">
        <f t="shared" ca="1" si="57"/>
        <v>#N/A</v>
      </c>
    </row>
    <row r="687" spans="4:14" ht="14.65" customHeight="1" x14ac:dyDescent="0.25">
      <c r="D687" s="480" t="str">
        <f t="shared" si="54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480" t="e">
        <f t="shared" ca="1" si="58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480" t="e">
        <f t="shared" ca="1" si="56"/>
        <v>#N/A</v>
      </c>
      <c r="L687" s="51" t="e">
        <f t="shared" si="55"/>
        <v>#N/A</v>
      </c>
      <c r="M687" s="58" t="e">
        <f>IF(ISBLANK(A687),NA(),IFERROR(A687+(PLAYER_EXP_MAX-D687)/L687,NA()))</f>
        <v>#N/A</v>
      </c>
      <c r="N687" s="480" t="e">
        <f t="shared" ca="1" si="57"/>
        <v>#N/A</v>
      </c>
    </row>
    <row r="688" spans="4:14" ht="14.65" customHeight="1" x14ac:dyDescent="0.25">
      <c r="D688" s="480" t="str">
        <f t="shared" si="54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480" t="e">
        <f t="shared" ca="1" si="58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480" t="e">
        <f t="shared" ca="1" si="56"/>
        <v>#N/A</v>
      </c>
      <c r="L688" s="51" t="e">
        <f t="shared" si="55"/>
        <v>#N/A</v>
      </c>
      <c r="M688" s="58" t="e">
        <f>IF(ISBLANK(A688),NA(),IFERROR(A688+(PLAYER_EXP_MAX-D688)/L688,NA()))</f>
        <v>#N/A</v>
      </c>
      <c r="N688" s="480" t="e">
        <f t="shared" ca="1" si="57"/>
        <v>#N/A</v>
      </c>
    </row>
    <row r="689" spans="4:14" ht="14.65" customHeight="1" x14ac:dyDescent="0.25">
      <c r="D689" s="480" t="str">
        <f t="shared" si="54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480" t="e">
        <f t="shared" ca="1" si="58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480" t="e">
        <f t="shared" ca="1" si="56"/>
        <v>#N/A</v>
      </c>
      <c r="L689" s="51" t="e">
        <f t="shared" si="55"/>
        <v>#N/A</v>
      </c>
      <c r="M689" s="58" t="e">
        <f>IF(ISBLANK(A689),NA(),IFERROR(A689+(PLAYER_EXP_MAX-D689)/L689,NA()))</f>
        <v>#N/A</v>
      </c>
      <c r="N689" s="480" t="e">
        <f t="shared" ca="1" si="57"/>
        <v>#N/A</v>
      </c>
    </row>
    <row r="690" spans="4:14" ht="14.65" customHeight="1" x14ac:dyDescent="0.25">
      <c r="D690" s="480" t="str">
        <f t="shared" si="54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480" t="e">
        <f t="shared" ca="1" si="58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480" t="e">
        <f t="shared" ca="1" si="56"/>
        <v>#N/A</v>
      </c>
      <c r="L690" s="51" t="e">
        <f t="shared" si="55"/>
        <v>#N/A</v>
      </c>
      <c r="M690" s="58" t="e">
        <f>IF(ISBLANK(A690),NA(),IFERROR(A690+(PLAYER_EXP_MAX-D690)/L690,NA()))</f>
        <v>#N/A</v>
      </c>
      <c r="N690" s="480" t="e">
        <f t="shared" ca="1" si="57"/>
        <v>#N/A</v>
      </c>
    </row>
    <row r="691" spans="4:14" ht="14.65" customHeight="1" x14ac:dyDescent="0.25">
      <c r="D691" s="480" t="str">
        <f t="shared" si="54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480" t="e">
        <f t="shared" ca="1" si="58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480" t="e">
        <f t="shared" ca="1" si="56"/>
        <v>#N/A</v>
      </c>
      <c r="L691" s="51" t="e">
        <f t="shared" si="55"/>
        <v>#N/A</v>
      </c>
      <c r="M691" s="58" t="e">
        <f>IF(ISBLANK(A691),NA(),IFERROR(A691+(PLAYER_EXP_MAX-D691)/L691,NA()))</f>
        <v>#N/A</v>
      </c>
      <c r="N691" s="480" t="e">
        <f t="shared" ca="1" si="57"/>
        <v>#N/A</v>
      </c>
    </row>
    <row r="692" spans="4:14" ht="14.65" customHeight="1" x14ac:dyDescent="0.25">
      <c r="D692" s="480" t="str">
        <f t="shared" si="54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480" t="e">
        <f t="shared" ca="1" si="58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480" t="e">
        <f t="shared" ca="1" si="56"/>
        <v>#N/A</v>
      </c>
      <c r="L692" s="51" t="e">
        <f t="shared" si="55"/>
        <v>#N/A</v>
      </c>
      <c r="M692" s="58" t="e">
        <f>IF(ISBLANK(A692),NA(),IFERROR(A692+(PLAYER_EXP_MAX-D692)/L692,NA()))</f>
        <v>#N/A</v>
      </c>
      <c r="N692" s="480" t="e">
        <f t="shared" ca="1" si="57"/>
        <v>#N/A</v>
      </c>
    </row>
    <row r="693" spans="4:14" ht="14.65" customHeight="1" x14ac:dyDescent="0.25">
      <c r="D693" s="480" t="str">
        <f t="shared" si="54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480" t="e">
        <f t="shared" ca="1" si="58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480" t="e">
        <f t="shared" ca="1" si="56"/>
        <v>#N/A</v>
      </c>
      <c r="L693" s="51" t="e">
        <f t="shared" si="55"/>
        <v>#N/A</v>
      </c>
      <c r="M693" s="58" t="e">
        <f>IF(ISBLANK(A693),NA(),IFERROR(A693+(PLAYER_EXP_MAX-D693)/L693,NA()))</f>
        <v>#N/A</v>
      </c>
      <c r="N693" s="480" t="e">
        <f t="shared" ca="1" si="57"/>
        <v>#N/A</v>
      </c>
    </row>
    <row r="694" spans="4:14" ht="14.65" customHeight="1" x14ac:dyDescent="0.25">
      <c r="D694" s="480" t="str">
        <f t="shared" si="54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480" t="e">
        <f t="shared" ca="1" si="58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480" t="e">
        <f t="shared" ca="1" si="56"/>
        <v>#N/A</v>
      </c>
      <c r="L694" s="51" t="e">
        <f t="shared" si="55"/>
        <v>#N/A</v>
      </c>
      <c r="M694" s="58" t="e">
        <f>IF(ISBLANK(A694),NA(),IFERROR(A694+(PLAYER_EXP_MAX-D694)/L694,NA()))</f>
        <v>#N/A</v>
      </c>
      <c r="N694" s="480" t="e">
        <f t="shared" ca="1" si="57"/>
        <v>#N/A</v>
      </c>
    </row>
    <row r="695" spans="4:14" ht="14.65" customHeight="1" x14ac:dyDescent="0.25">
      <c r="D695" s="480" t="str">
        <f t="shared" si="54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480" t="e">
        <f t="shared" ca="1" si="58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480" t="e">
        <f t="shared" ca="1" si="56"/>
        <v>#N/A</v>
      </c>
      <c r="L695" s="51" t="e">
        <f t="shared" si="55"/>
        <v>#N/A</v>
      </c>
      <c r="M695" s="58" t="e">
        <f>IF(ISBLANK(A695),NA(),IFERROR(A695+(PLAYER_EXP_MAX-D695)/L695,NA()))</f>
        <v>#N/A</v>
      </c>
      <c r="N695" s="480" t="e">
        <f t="shared" ca="1" si="57"/>
        <v>#N/A</v>
      </c>
    </row>
    <row r="696" spans="4:14" ht="14.65" customHeight="1" x14ac:dyDescent="0.25">
      <c r="D696" s="480" t="str">
        <f t="shared" si="54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480" t="e">
        <f t="shared" ca="1" si="58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480" t="e">
        <f t="shared" ca="1" si="56"/>
        <v>#N/A</v>
      </c>
      <c r="L696" s="51" t="e">
        <f t="shared" si="55"/>
        <v>#N/A</v>
      </c>
      <c r="M696" s="58" t="e">
        <f>IF(ISBLANK(A696),NA(),IFERROR(A696+(PLAYER_EXP_MAX-D696)/L696,NA()))</f>
        <v>#N/A</v>
      </c>
      <c r="N696" s="480" t="e">
        <f t="shared" ca="1" si="57"/>
        <v>#N/A</v>
      </c>
    </row>
    <row r="697" spans="4:14" ht="14.65" customHeight="1" x14ac:dyDescent="0.25">
      <c r="D697" s="480" t="str">
        <f t="shared" si="54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480" t="e">
        <f t="shared" ca="1" si="58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480" t="e">
        <f t="shared" ca="1" si="56"/>
        <v>#N/A</v>
      </c>
      <c r="L697" s="51" t="e">
        <f t="shared" si="55"/>
        <v>#N/A</v>
      </c>
      <c r="M697" s="58" t="e">
        <f>IF(ISBLANK(A697),NA(),IFERROR(A697+(PLAYER_EXP_MAX-D697)/L697,NA()))</f>
        <v>#N/A</v>
      </c>
      <c r="N697" s="480" t="e">
        <f t="shared" ca="1" si="57"/>
        <v>#N/A</v>
      </c>
    </row>
    <row r="698" spans="4:14" ht="14.65" customHeight="1" x14ac:dyDescent="0.25">
      <c r="D698" s="480" t="str">
        <f t="shared" si="54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480" t="e">
        <f t="shared" ca="1" si="58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480" t="e">
        <f t="shared" ca="1" si="56"/>
        <v>#N/A</v>
      </c>
      <c r="L698" s="51" t="e">
        <f t="shared" si="55"/>
        <v>#N/A</v>
      </c>
      <c r="M698" s="58" t="e">
        <f>IF(ISBLANK(A698),NA(),IFERROR(A698+(PLAYER_EXP_MAX-D698)/L698,NA()))</f>
        <v>#N/A</v>
      </c>
      <c r="N698" s="480" t="e">
        <f t="shared" ca="1" si="57"/>
        <v>#N/A</v>
      </c>
    </row>
    <row r="699" spans="4:14" ht="14.65" customHeight="1" x14ac:dyDescent="0.25">
      <c r="D699" s="480" t="str">
        <f t="shared" si="54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480" t="e">
        <f t="shared" ca="1" si="58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480" t="e">
        <f t="shared" ca="1" si="56"/>
        <v>#N/A</v>
      </c>
      <c r="L699" s="51" t="e">
        <f t="shared" si="55"/>
        <v>#N/A</v>
      </c>
      <c r="M699" s="58" t="e">
        <f>IF(ISBLANK(A699),NA(),IFERROR(A699+(PLAYER_EXP_MAX-D699)/L699,NA()))</f>
        <v>#N/A</v>
      </c>
      <c r="N699" s="480" t="e">
        <f t="shared" ca="1" si="57"/>
        <v>#N/A</v>
      </c>
    </row>
    <row r="700" spans="4:14" ht="14.65" customHeight="1" x14ac:dyDescent="0.25">
      <c r="D700" s="480" t="str">
        <f t="shared" si="54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480" t="e">
        <f t="shared" ca="1" si="58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480" t="e">
        <f t="shared" ca="1" si="56"/>
        <v>#N/A</v>
      </c>
      <c r="L700" s="51" t="e">
        <f t="shared" si="55"/>
        <v>#N/A</v>
      </c>
      <c r="M700" s="58" t="e">
        <f>IF(ISBLANK(A700),NA(),IFERROR(A700+(PLAYER_EXP_MAX-D700)/L700,NA()))</f>
        <v>#N/A</v>
      </c>
      <c r="N700" s="480" t="e">
        <f t="shared" ca="1" si="57"/>
        <v>#N/A</v>
      </c>
    </row>
  </sheetData>
  <mergeCells count="3">
    <mergeCell ref="F1:H1"/>
    <mergeCell ref="I1:K1"/>
    <mergeCell ref="L1:N1"/>
  </mergeCells>
  <conditionalFormatting sqref="E1:E400 E701:E1048576">
    <cfRule type="dataBar" priority="8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{62EAB224-6695-4C70-B718-086B852B9A4D}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{15C71E4A-8CE5-461B-BC64-FD0D7722CB29}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EAB224-6695-4C70-B718-086B852B9A4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15C71E4A-8CE5-461B-BC64-FD0D7722CB2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200"/>
  <sheetViews>
    <sheetView workbookViewId="0">
      <pane ySplit="2" topLeftCell="A117" activePane="bottomLeft" state="frozen"/>
      <selection pane="bottomLeft" activeCell="C140" sqref="C140"/>
    </sheetView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1.42578125" style="51" customWidth="1"/>
    <col min="7" max="7" width="14.7109375" style="58" customWidth="1"/>
    <col min="8" max="8" width="11.42578125" style="34" customWidth="1"/>
    <col min="9" max="9" width="11.42578125" style="51" customWidth="1"/>
    <col min="10" max="10" width="14.7109375" style="58" customWidth="1"/>
    <col min="11" max="11" width="11.42578125" style="483" customWidth="1"/>
    <col min="12" max="12" width="11.42578125" style="51" customWidth="1"/>
    <col min="13" max="13" width="14.7109375" style="58" customWidth="1"/>
    <col min="14" max="14" width="11.42578125" style="483" customWidth="1"/>
    <col min="15" max="16384" width="9.28515625" style="42"/>
  </cols>
  <sheetData>
    <row r="1" spans="1:14" s="56" customFormat="1" ht="14.65" customHeight="1" x14ac:dyDescent="0.25">
      <c r="A1" s="56" t="s">
        <v>463</v>
      </c>
      <c r="B1" s="56">
        <v>6</v>
      </c>
      <c r="C1" s="56">
        <v>24</v>
      </c>
      <c r="D1" s="56">
        <v>72</v>
      </c>
      <c r="F1" s="624" t="str">
        <f>B1&amp; " 時"</f>
        <v>6 時</v>
      </c>
      <c r="G1" s="625"/>
      <c r="H1" s="625"/>
      <c r="I1" s="624" t="str">
        <f>C1&amp; " 時"</f>
        <v>24 時</v>
      </c>
      <c r="J1" s="625"/>
      <c r="K1" s="634"/>
      <c r="L1" s="624" t="str">
        <f>D1&amp; " 時"</f>
        <v>72 時</v>
      </c>
      <c r="M1" s="625"/>
      <c r="N1" s="625"/>
    </row>
    <row r="2" spans="1:14" s="56" customFormat="1" ht="14.65" customHeight="1" x14ac:dyDescent="0.25">
      <c r="A2" s="54" t="s">
        <v>11</v>
      </c>
      <c r="B2" s="56" t="s">
        <v>15</v>
      </c>
      <c r="C2" s="56" t="s">
        <v>56</v>
      </c>
      <c r="D2" s="56" t="s">
        <v>55</v>
      </c>
      <c r="E2" s="56" t="s">
        <v>12</v>
      </c>
      <c r="F2" s="55" t="str">
        <f xml:space="preserve"> "EXP/日 (" &amp; B1 &amp; "時)"</f>
        <v>EXP/日 (6時)</v>
      </c>
      <c r="G2" s="57" t="str">
        <f xml:space="preserve"> "滿等日 (" &amp; B1 &amp; "時)"</f>
        <v>滿等日 (6時)</v>
      </c>
      <c r="H2" s="56" t="s">
        <v>57</v>
      </c>
      <c r="I2" s="55" t="str">
        <f xml:space="preserve"> "EXP/日 (" &amp; C1 &amp; "時)"</f>
        <v>EXP/日 (24時)</v>
      </c>
      <c r="J2" s="57" t="str">
        <f xml:space="preserve"> "滿等日 (" &amp; C1 &amp; "時)"</f>
        <v>滿等日 (24時)</v>
      </c>
      <c r="K2" s="484" t="s">
        <v>57</v>
      </c>
      <c r="L2" s="55" t="str">
        <f xml:space="preserve"> "EXP/日 (" &amp; D1 &amp; "時)"</f>
        <v>EXP/日 (72時)</v>
      </c>
      <c r="M2" s="57" t="str">
        <f xml:space="preserve"> "滿等日 (" &amp; D1 &amp; "時)"</f>
        <v>滿等日 (72時)</v>
      </c>
      <c r="N2" s="484" t="s">
        <v>57</v>
      </c>
    </row>
    <row r="3" spans="1:14" ht="14.65" customHeight="1" x14ac:dyDescent="0.25">
      <c r="A3" s="8">
        <v>44279.958333333336</v>
      </c>
      <c r="B3" s="42">
        <v>200</v>
      </c>
      <c r="C3" s="42">
        <v>235160</v>
      </c>
      <c r="D3" s="42">
        <f t="shared" ref="D3:D66" si="0">IF(ISBLANK(A3),"-",INDEX(DATA_PLAYER_EXP, B3, 3) + INDEX(DATA_PLAYER_EXP, B3, 2) - C3)</f>
        <v>11197330</v>
      </c>
      <c r="E3" s="46">
        <f>IF(ISBLANK(A3),"-",D3/PLAYER_EXP_MAX)</f>
        <v>0.40280354806334978</v>
      </c>
      <c r="F3" s="51" t="e">
        <f ca="1">IF(ISBLANK(A3),NA(),IFERROR(SLOPE(INDIRECT("D" &amp; MATCH(A3-$B$1 / 24,A:A,1)):D3, INDIRECT("A" &amp; MATCH(A3-$B$1 / 24,A:A,1)):A3),NA()))</f>
        <v>#N/A</v>
      </c>
      <c r="G3" s="58" t="e">
        <f ca="1">IF(ISBLANK(A3),NA(),IFERROR(A3+(PLAYER_EXP_MAX-D3)/F3,NA()))</f>
        <v>#N/A</v>
      </c>
      <c r="H3" s="114" t="e">
        <f t="shared" ref="H3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 / 24,A:A,1)):D3, INDIRECT("A" &amp; MATCH(A3-$C$1 / 24,A:A,1)):A3),NA()))</f>
        <v>#N/A</v>
      </c>
      <c r="J3" s="58" t="e">
        <f ca="1">IF(ISBLANK(A3),NA(),IFERROR(A3+(PLAYER_EXP_MAX-D3)/I3,NA()))</f>
        <v>#N/A</v>
      </c>
      <c r="K3" s="485" t="e">
        <f ca="1">IF(ISBLANK(A3),NA(),IFERROR(TEXT(TRUNC(J3-NOW()),"000") &amp; " D " &amp; TEXT(TRUNC(ABS(J3-NOW()-TRUNC(J3-NOW()))*24),"00") &amp; " H", NA()))</f>
        <v>#N/A</v>
      </c>
      <c r="L3" s="51" t="e">
        <f ca="1">IF(ISBLANK(A3),NA(),IFERROR(SLOPE(INDIRECT("D" &amp; MATCH(A3-$D$1 / 24,A:A,1)):D3, INDIRECT("A" &amp; MATCH(A3-$D$1 / 24,A:A,1)):A3),NA()))</f>
        <v>#N/A</v>
      </c>
      <c r="M3" s="58" t="e">
        <f ca="1">IF(ISBLANK(A3),NA(),IFERROR(A3+(PLAYER_EXP_MAX-D3)/L3,NA()))</f>
        <v>#N/A</v>
      </c>
      <c r="N3" s="485" t="e">
        <f ca="1">IF(ISBLANK(A3),NA(),IFERROR(TEXT(TRUNC(M3-NOW()),"000")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44280.17291666667</v>
      </c>
      <c r="B4" s="42">
        <v>200</v>
      </c>
      <c r="C4" s="42">
        <v>166218</v>
      </c>
      <c r="D4" s="42">
        <f t="shared" si="0"/>
        <v>11266272</v>
      </c>
      <c r="E4" s="46">
        <f>IF(ISBLANK(A4),"-",D4/PLAYER_EXP_MAX)</f>
        <v>0.40528361091856469</v>
      </c>
      <c r="F4" s="51" t="e">
        <f ca="1">IF(ISBLANK(A4),NA(),IFERROR(SLOPE(INDIRECT("D" &amp; MATCH(A4-$B$1 / 24,A:A,1)):D4, INDIRECT("A" &amp; MATCH(A4-$B$1 / 24,A:A,1)):A4),NA()))</f>
        <v>#N/A</v>
      </c>
      <c r="G4" s="58" t="e">
        <f ca="1">IF(ISBLANK(A4),NA(),IFERROR(A4+(PLAYER_EXP_MAX-D4)/F4,NA()))</f>
        <v>#N/A</v>
      </c>
      <c r="H4" s="485" t="e">
        <f t="shared" ref="H4:H67" ca="1" si="2">IF(ISBLANK(A4),NA(),IFERROR(TEXT(TRUNC(G4-NOW()),"000") &amp; " D " &amp; TEXT(TRUNC(ABS(G4-NOW()-TRUNC(G4-NOW()))*24),"00") &amp; " H", NA()))</f>
        <v>#N/A</v>
      </c>
      <c r="I4" s="51" t="e">
        <f ca="1">IF(ISBLANK(A4),NA(),IFERROR(SLOPE(INDIRECT("D" &amp; MATCH(A4-$C$1 / 24,A:A,1)):D4, INDIRECT("A" &amp; MATCH(A4-$C$1 / 24,A:A,1)):A4),NA()))</f>
        <v>#N/A</v>
      </c>
      <c r="J4" s="58" t="e">
        <f ca="1">IF(ISBLANK(A4),NA(),IFERROR(A4+(PLAYER_EXP_MAX-D4)/I4,NA()))</f>
        <v>#N/A</v>
      </c>
      <c r="K4" s="485" t="e">
        <f t="shared" ref="K4:K67" ca="1" si="3">IF(ISBLANK(A4),NA(),IFERROR(TEXT(TRUNC(J4-NOW()),"000") &amp; " D " &amp; TEXT(TRUNC(ABS(J4-NOW()-TRUNC(J4-NOW()))*24),"00") &amp; " H", NA()))</f>
        <v>#N/A</v>
      </c>
      <c r="L4" s="51" t="e">
        <f ca="1">IF(ISBLANK(A4),NA(),IFERROR(SLOPE(INDIRECT("D" &amp; MATCH(A4-$D$1 / 24,A:A,1)):D4, INDIRECT("A" &amp; MATCH(A4-$D$1 / 24,A:A,1)):A4),NA()))</f>
        <v>#N/A</v>
      </c>
      <c r="M4" s="58" t="e">
        <f ca="1">IF(ISBLANK(A4),NA(),IFERROR(A4+(PLAYER_EXP_MAX-D4)/L4,NA()))</f>
        <v>#N/A</v>
      </c>
      <c r="N4" s="485" t="e">
        <f t="shared" ref="N4:N67" ca="1" si="4">IF(ISBLANK(A4),NA(),IFERROR(TEXT(TRUNC(M4-NOW()),"000") &amp; " D " &amp; TEXT(TRUNC(ABS(M4-NOW()-TRUNC(M4-NOW()))*24),"00") &amp; " H", NA()))</f>
        <v>#N/A</v>
      </c>
    </row>
    <row r="5" spans="1:14" ht="14.65" customHeight="1" x14ac:dyDescent="0.25">
      <c r="A5" s="8">
        <v>44280.238888888889</v>
      </c>
      <c r="B5" s="42">
        <v>200</v>
      </c>
      <c r="C5" s="42">
        <v>144438</v>
      </c>
      <c r="D5" s="42">
        <f t="shared" si="0"/>
        <v>11288052</v>
      </c>
      <c r="E5" s="46">
        <f>IF(ISBLANK(A5),"-",D5/PLAYER_EXP_MAX)</f>
        <v>0.40606710674094554</v>
      </c>
      <c r="F5" s="51">
        <f ca="1">IF(ISBLANK(A5),NA(),IFERROR(SLOPE(INDIRECT("D" &amp; MATCH(A5-$B$1 / 24,A:A,1)):D5, INDIRECT("A" &amp; MATCH(A5-$B$1 / 24,A:A,1)):A5),NA()))</f>
        <v>322851.19280606013</v>
      </c>
      <c r="G5" s="58">
        <f ca="1">IF(ISBLANK(A5),NA(),IFERROR(A5+(PLAYER_EXP_MAX-D5)/F5,NA()))</f>
        <v>44331.378353037988</v>
      </c>
      <c r="H5" s="485" t="str">
        <f t="shared" ca="1" si="2"/>
        <v>018 D 09 H</v>
      </c>
      <c r="I5" s="51" t="e">
        <f ca="1">IF(ISBLANK(A5),NA(),IFERROR(SLOPE(INDIRECT("D" &amp; MATCH(A5-$C$1 / 24,A:A,1)):D5, INDIRECT("A" &amp; MATCH(A5-$C$1 / 24,A:A,1)):A5),NA()))</f>
        <v>#N/A</v>
      </c>
      <c r="J5" s="58" t="e">
        <f ca="1">IF(ISBLANK(A5),NA(),IFERROR(A5+(PLAYER_EXP_MAX-D5)/I5,NA()))</f>
        <v>#N/A</v>
      </c>
      <c r="K5" s="485" t="e">
        <f t="shared" ca="1" si="3"/>
        <v>#N/A</v>
      </c>
      <c r="L5" s="51" t="e">
        <f ca="1">IF(ISBLANK(A5),NA(),IFERROR(SLOPE(INDIRECT("D" &amp; MATCH(A5-$D$1 / 24,A:A,1)):D5, INDIRECT("A" &amp; MATCH(A5-$D$1 / 24,A:A,1)):A5),NA()))</f>
        <v>#N/A</v>
      </c>
      <c r="M5" s="58" t="e">
        <f ca="1">IF(ISBLANK(A5),NA(),IFERROR(A5+(PLAYER_EXP_MAX-D5)/L5,NA()))</f>
        <v>#N/A</v>
      </c>
      <c r="N5" s="485" t="e">
        <f t="shared" ca="1" si="4"/>
        <v>#N/A</v>
      </c>
    </row>
    <row r="6" spans="1:14" ht="14.65" customHeight="1" x14ac:dyDescent="0.25">
      <c r="A6" s="8">
        <v>44280.4375</v>
      </c>
      <c r="B6" s="42">
        <v>200</v>
      </c>
      <c r="C6" s="42">
        <v>90880</v>
      </c>
      <c r="D6" s="42">
        <f t="shared" si="0"/>
        <v>11341610</v>
      </c>
      <c r="E6" s="46">
        <f>IF(ISBLANK(A6),"-",D6/PLAYER_EXP_MAX)</f>
        <v>0.40799375822189471</v>
      </c>
      <c r="F6" s="51">
        <f ca="1">IF(ISBLANK(A6),NA(),IFERROR(SLOPE(INDIRECT("D" &amp; MATCH(A6-$B$1 / 24,A:A,1)):D6, INDIRECT("A" &amp; MATCH(A6-$B$1 / 24,A:A,1)):A6),NA()))</f>
        <v>281251.41341559833</v>
      </c>
      <c r="G6" s="58">
        <f ca="1">IF(ISBLANK(A6),NA(),IFERROR(A6+(PLAYER_EXP_MAX-D6)/F6,NA()))</f>
        <v>44338.950553499511</v>
      </c>
      <c r="H6" s="485" t="str">
        <f t="shared" ca="1" si="2"/>
        <v>025 D 23 H</v>
      </c>
      <c r="I6" s="51" t="e">
        <f ca="1">IF(ISBLANK(A6),NA(),IFERROR(SLOPE(INDIRECT("D" &amp; MATCH(A6-$C$1 / 24,A:A,1)):D6, INDIRECT("A" &amp; MATCH(A6-$C$1 / 24,A:A,1)):A6),NA()))</f>
        <v>#N/A</v>
      </c>
      <c r="J6" s="58" t="e">
        <f ca="1">IF(ISBLANK(A6),NA(),IFERROR(A6+(PLAYER_EXP_MAX-D6)/I6,NA()))</f>
        <v>#N/A</v>
      </c>
      <c r="K6" s="485" t="e">
        <f t="shared" ca="1" si="3"/>
        <v>#N/A</v>
      </c>
      <c r="L6" s="51" t="e">
        <f ca="1">IF(ISBLANK(A6),NA(),IFERROR(SLOPE(INDIRECT("D" &amp; MATCH(A6-$D$1 / 24,A:A,1)):D6, INDIRECT("A" &amp; MATCH(A6-$D$1 / 24,A:A,1)):A6),NA()))</f>
        <v>#N/A</v>
      </c>
      <c r="M6" s="58" t="e">
        <f ca="1">IF(ISBLANK(A6),NA(),IFERROR(A6+(PLAYER_EXP_MAX-D6)/L6,NA()))</f>
        <v>#N/A</v>
      </c>
      <c r="N6" s="485" t="e">
        <f t="shared" ca="1" si="4"/>
        <v>#N/A</v>
      </c>
    </row>
    <row r="7" spans="1:14" ht="14.65" customHeight="1" x14ac:dyDescent="0.25">
      <c r="A7" s="8">
        <v>44280.512499999997</v>
      </c>
      <c r="B7" s="42">
        <v>200</v>
      </c>
      <c r="C7" s="42">
        <v>70288</v>
      </c>
      <c r="D7" s="42">
        <f t="shared" si="0"/>
        <v>11362202</v>
      </c>
      <c r="E7" s="46">
        <f>IF(ISBLANK(A7),"-",D7/PLAYER_EXP_MAX)</f>
        <v>0.40873451790850934</v>
      </c>
      <c r="F7" s="51">
        <f ca="1">IF(ISBLANK(A7),NA(),IFERROR(SLOPE(INDIRECT("D" &amp; MATCH(A7-$B$1 / 24,A:A,1)):D7, INDIRECT("A" &amp; MATCH(A7-$B$1 / 24,A:A,1)):A7),NA()))</f>
        <v>270730.28340065904</v>
      </c>
      <c r="G7" s="58">
        <f ca="1">IF(ISBLANK(A7),NA(),IFERROR(A7+(PLAYER_EXP_MAX-D7)/F7,NA()))</f>
        <v>44341.223428949437</v>
      </c>
      <c r="H7" s="485" t="str">
        <f t="shared" ca="1" si="2"/>
        <v>028 D 05 H</v>
      </c>
      <c r="I7" s="51" t="e">
        <f ca="1">IF(ISBLANK(A7),NA(),IFERROR(SLOPE(INDIRECT("D" &amp; MATCH(A7-$C$1 / 24,A:A,1)):D7, INDIRECT("A" &amp; MATCH(A7-$C$1 / 24,A:A,1)):A7),NA()))</f>
        <v>#N/A</v>
      </c>
      <c r="J7" s="58" t="e">
        <f ca="1">IF(ISBLANK(A7),NA(),IFERROR(A7+(PLAYER_EXP_MAX-D7)/I7,NA()))</f>
        <v>#N/A</v>
      </c>
      <c r="K7" s="485" t="e">
        <f t="shared" ca="1" si="3"/>
        <v>#N/A</v>
      </c>
      <c r="L7" s="51" t="e">
        <f ca="1">IF(ISBLANK(A7),NA(),IFERROR(SLOPE(INDIRECT("D" &amp; MATCH(A7-$D$1 / 24,A:A,1)):D7, INDIRECT("A" &amp; MATCH(A7-$D$1 / 24,A:A,1)):A7),NA()))</f>
        <v>#N/A</v>
      </c>
      <c r="M7" s="58" t="e">
        <f ca="1">IF(ISBLANK(A7),NA(),IFERROR(A7+(PLAYER_EXP_MAX-D7)/L7,NA()))</f>
        <v>#N/A</v>
      </c>
      <c r="N7" s="485" t="e">
        <f t="shared" ca="1" si="4"/>
        <v>#N/A</v>
      </c>
    </row>
    <row r="8" spans="1:14" ht="14.65" customHeight="1" x14ac:dyDescent="0.25">
      <c r="A8" s="8">
        <v>44280.661111111112</v>
      </c>
      <c r="B8" s="42">
        <v>200</v>
      </c>
      <c r="C8" s="42">
        <v>20194</v>
      </c>
      <c r="D8" s="42">
        <f t="shared" si="0"/>
        <v>11412296</v>
      </c>
      <c r="E8" s="46">
        <f>IF(ISBLANK(A8),"-",D8/PLAYER_EXP_MAX)</f>
        <v>0.41053655829998531</v>
      </c>
      <c r="F8" s="51">
        <f ca="1">IF(ISBLANK(A8),NA(),IFERROR(SLOPE(INDIRECT("D" &amp; MATCH(A8-$B$1 / 24,A:A,1)):D8, INDIRECT("A" &amp; MATCH(A8-$B$1 / 24,A:A,1)):A8),NA()))</f>
        <v>292144.58345480653</v>
      </c>
      <c r="G8" s="58">
        <f ca="1">IF(ISBLANK(A8),NA(),IFERROR(A8+(PLAYER_EXP_MAX-D8)/F8,NA()))</f>
        <v>44336.750437862349</v>
      </c>
      <c r="H8" s="485" t="str">
        <f t="shared" ca="1" si="2"/>
        <v>023 D 18 H</v>
      </c>
      <c r="I8" s="51" t="e">
        <f ca="1">IF(ISBLANK(A8),NA(),IFERROR(SLOPE(INDIRECT("D" &amp; MATCH(A8-$C$1 / 24,A:A,1)):D8, INDIRECT("A" &amp; MATCH(A8-$C$1 / 24,A:A,1)):A8),NA()))</f>
        <v>#N/A</v>
      </c>
      <c r="J8" s="58" t="e">
        <f ca="1">IF(ISBLANK(A8),NA(),IFERROR(A8+(PLAYER_EXP_MAX-D8)/I8,NA()))</f>
        <v>#N/A</v>
      </c>
      <c r="K8" s="485" t="e">
        <f t="shared" ca="1" si="3"/>
        <v>#N/A</v>
      </c>
      <c r="L8" s="51" t="e">
        <f ca="1">IF(ISBLANK(A8),NA(),IFERROR(SLOPE(INDIRECT("D" &amp; MATCH(A8-$D$1 / 24,A:A,1)):D8, INDIRECT("A" &amp; MATCH(A8-$D$1 / 24,A:A,1)):A8),NA()))</f>
        <v>#N/A</v>
      </c>
      <c r="M8" s="58" t="e">
        <f ca="1">IF(ISBLANK(A8),NA(),IFERROR(A8+(PLAYER_EXP_MAX-D8)/L8,NA()))</f>
        <v>#N/A</v>
      </c>
      <c r="N8" s="485" t="e">
        <f t="shared" ca="1" si="4"/>
        <v>#N/A</v>
      </c>
    </row>
    <row r="9" spans="1:14" ht="14.65" customHeight="1" x14ac:dyDescent="0.25">
      <c r="A9" s="8">
        <v>44280.736111111109</v>
      </c>
      <c r="B9" s="42">
        <v>201</v>
      </c>
      <c r="C9" s="42">
        <v>237894</v>
      </c>
      <c r="D9" s="42">
        <f t="shared" si="0"/>
        <v>11437596</v>
      </c>
      <c r="E9" s="46">
        <f>IF(ISBLANK(A9),"-",D9/PLAYER_EXP_MAX)</f>
        <v>0.41144667970982163</v>
      </c>
      <c r="F9" s="51">
        <f ca="1">IF(ISBLANK(A9),NA(),IFERROR(SLOPE(INDIRECT("D" &amp; MATCH(A9-$B$1 / 24,A:A,1)):D9, INDIRECT("A" &amp; MATCH(A9-$B$1 / 24,A:A,1)):A9),NA()))</f>
        <v>324546.14835074655</v>
      </c>
      <c r="G9" s="58">
        <f ca="1">IF(ISBLANK(A9),NA(),IFERROR(A9+(PLAYER_EXP_MAX-D9)/F9,NA()))</f>
        <v>44331.147718468463</v>
      </c>
      <c r="H9" s="485" t="str">
        <f t="shared" ca="1" si="2"/>
        <v>018 D 04 H</v>
      </c>
      <c r="I9" s="51" t="e">
        <f ca="1">IF(ISBLANK(A9),NA(),IFERROR(SLOPE(INDIRECT("D" &amp; MATCH(A9-$C$1 / 24,A:A,1)):D9, INDIRECT("A" &amp; MATCH(A9-$C$1 / 24,A:A,1)):A9),NA()))</f>
        <v>#N/A</v>
      </c>
      <c r="J9" s="58" t="e">
        <f ca="1">IF(ISBLANK(A9),NA(),IFERROR(A9+(PLAYER_EXP_MAX-D9)/I9,NA()))</f>
        <v>#N/A</v>
      </c>
      <c r="K9" s="485" t="e">
        <f t="shared" ca="1" si="3"/>
        <v>#N/A</v>
      </c>
      <c r="L9" s="51" t="e">
        <f ca="1">IF(ISBLANK(A9),NA(),IFERROR(SLOPE(INDIRECT("D" &amp; MATCH(A9-$D$1 / 24,A:A,1)):D9, INDIRECT("A" &amp; MATCH(A9-$D$1 / 24,A:A,1)):A9),NA()))</f>
        <v>#N/A</v>
      </c>
      <c r="M9" s="58" t="e">
        <f ca="1">IF(ISBLANK(A9),NA(),IFERROR(A9+(PLAYER_EXP_MAX-D9)/L9,NA()))</f>
        <v>#N/A</v>
      </c>
      <c r="N9" s="485" t="e">
        <f t="shared" ca="1" si="4"/>
        <v>#N/A</v>
      </c>
    </row>
    <row r="10" spans="1:14" ht="14.65" customHeight="1" x14ac:dyDescent="0.25">
      <c r="A10" s="8">
        <v>44280.886111111111</v>
      </c>
      <c r="B10" s="42">
        <v>201</v>
      </c>
      <c r="C10" s="42">
        <v>187800</v>
      </c>
      <c r="D10" s="42">
        <f t="shared" si="0"/>
        <v>11487690</v>
      </c>
      <c r="E10" s="46">
        <f>IF(ISBLANK(A10),"-",D10/PLAYER_EXP_MAX)</f>
        <v>0.4132487201012976</v>
      </c>
      <c r="F10" s="51">
        <f ca="1">IF(ISBLANK(A10),NA(),IFERROR(SLOPE(INDIRECT("D" &amp; MATCH(A10-$B$1 / 24,A:A,1)):D10, INDIRECT("A" &amp; MATCH(A10-$B$1 / 24,A:A,1)):A10),NA()))</f>
        <v>335932.77991245262</v>
      </c>
      <c r="G10" s="58">
        <f ca="1">IF(ISBLANK(A10),NA(),IFERROR(A10+(PLAYER_EXP_MAX-D10)/F10,NA()))</f>
        <v>44329.439869408387</v>
      </c>
      <c r="H10" s="485" t="str">
        <f t="shared" ca="1" si="2"/>
        <v>016 D 11 H</v>
      </c>
      <c r="I10" s="51" t="e">
        <f ca="1">IF(ISBLANK(A10),NA(),IFERROR(SLOPE(INDIRECT("D" &amp; MATCH(A10-$C$1 / 24,A:A,1)):D10, INDIRECT("A" &amp; MATCH(A10-$C$1 / 24,A:A,1)):A10),NA()))</f>
        <v>#N/A</v>
      </c>
      <c r="J10" s="58" t="e">
        <f ca="1">IF(ISBLANK(A10),NA(),IFERROR(A10+(PLAYER_EXP_MAX-D10)/I10,NA()))</f>
        <v>#N/A</v>
      </c>
      <c r="K10" s="485" t="e">
        <f t="shared" ca="1" si="3"/>
        <v>#N/A</v>
      </c>
      <c r="L10" s="51" t="e">
        <f ca="1">IF(ISBLANK(A10),NA(),IFERROR(SLOPE(INDIRECT("D" &amp; MATCH(A10-$D$1 / 24,A:A,1)):D10, INDIRECT("A" &amp; MATCH(A10-$D$1 / 24,A:A,1)):A10),NA()))</f>
        <v>#N/A</v>
      </c>
      <c r="M10" s="58" t="e">
        <f ca="1">IF(ISBLANK(A10),NA(),IFERROR(A10+(PLAYER_EXP_MAX-D10)/L10,NA()))</f>
        <v>#N/A</v>
      </c>
      <c r="N10" s="485" t="e">
        <f t="shared" ca="1" si="4"/>
        <v>#N/A</v>
      </c>
    </row>
    <row r="11" spans="1:14" ht="14.65" customHeight="1" x14ac:dyDescent="0.25">
      <c r="A11" s="8">
        <v>44281.03402777778</v>
      </c>
      <c r="B11" s="42">
        <v>201</v>
      </c>
      <c r="C11" s="42">
        <v>139224</v>
      </c>
      <c r="D11" s="42">
        <f t="shared" si="0"/>
        <v>11536266</v>
      </c>
      <c r="E11" s="46">
        <f>IF(ISBLANK(A11),"-",D11/PLAYER_EXP_MAX)</f>
        <v>0.41499615320818334</v>
      </c>
      <c r="F11" s="51">
        <f ca="1">IF(ISBLANK(A11),NA(),IFERROR(SLOPE(INDIRECT("D" &amp; MATCH(A11-$B$1 / 24,A:A,1)):D11, INDIRECT("A" &amp; MATCH(A11-$B$1 / 24,A:A,1)):A11),NA()))</f>
        <v>331206.47844703012</v>
      </c>
      <c r="G11" s="58">
        <f ca="1">IF(ISBLANK(A11),NA(),IFERROR(A11+(PLAYER_EXP_MAX-D11)/F11,NA()))</f>
        <v>44330.133982211795</v>
      </c>
      <c r="H11" s="485" t="str">
        <f t="shared" ca="1" si="2"/>
        <v>017 D 03 H</v>
      </c>
      <c r="I11" s="51">
        <f ca="1">IF(ISBLANK(A11),NA(),IFERROR(SLOPE(INDIRECT("D" &amp; MATCH(A11-$C$1 / 24,A:A,1)):D11, INDIRECT("A" &amp; MATCH(A11-$C$1 / 24,A:A,1)):A11),NA()))</f>
        <v>311757.5861633576</v>
      </c>
      <c r="J11" s="58">
        <f ca="1">IF(ISBLANK(A11),NA(),IFERROR(A11+(PLAYER_EXP_MAX-D11)/I11,NA()))</f>
        <v>44333.197066374953</v>
      </c>
      <c r="K11" s="485" t="str">
        <f t="shared" ca="1" si="3"/>
        <v>020 D 05 H</v>
      </c>
      <c r="L11" s="51" t="e">
        <f ca="1">IF(ISBLANK(A11),NA(),IFERROR(SLOPE(INDIRECT("D" &amp; MATCH(A11-$D$1 / 24,A:A,1)):D11, INDIRECT("A" &amp; MATCH(A11-$D$1 / 24,A:A,1)):A11),NA()))</f>
        <v>#N/A</v>
      </c>
      <c r="M11" s="58" t="e">
        <f ca="1">IF(ISBLANK(A11),NA(),IFERROR(A11+(PLAYER_EXP_MAX-D11)/L11,NA()))</f>
        <v>#N/A</v>
      </c>
      <c r="N11" s="485" t="e">
        <f t="shared" ca="1" si="4"/>
        <v>#N/A</v>
      </c>
    </row>
    <row r="12" spans="1:14" ht="14.65" customHeight="1" x14ac:dyDescent="0.25">
      <c r="A12" s="8">
        <v>44281.585416666669</v>
      </c>
      <c r="B12" s="42">
        <v>201</v>
      </c>
      <c r="C12" s="42">
        <v>121624</v>
      </c>
      <c r="D12" s="42">
        <f t="shared" si="0"/>
        <v>11553866</v>
      </c>
      <c r="E12" s="46">
        <f>IF(ISBLANK(A12),"-",D12/PLAYER_EXP_MAX)</f>
        <v>0.41562928114546083</v>
      </c>
      <c r="F12" s="51">
        <f ca="1">IF(ISBLANK(A12),NA(),IFERROR(SLOPE(INDIRECT("D" &amp; MATCH(A12-$B$1 / 24,A:A,1)):D12, INDIRECT("A" &amp; MATCH(A12-$B$1 / 24,A:A,1)):A12),NA()))</f>
        <v>31919.395465985606</v>
      </c>
      <c r="G12" s="58">
        <f ca="1">IF(ISBLANK(A12),NA(),IFERROR(A12+(PLAYER_EXP_MAX-D12)/F12,NA()))</f>
        <v>44790.511815893457</v>
      </c>
      <c r="H12" s="485" t="str">
        <f t="shared" ca="1" si="2"/>
        <v>477 D 12 H</v>
      </c>
      <c r="I12" s="51">
        <f ca="1">IF(ISBLANK(A12),NA(),IFERROR(SLOPE(INDIRECT("D" &amp; MATCH(A12-$C$1 / 24,A:A,1)):D12, INDIRECT("A" &amp; MATCH(A12-$C$1 / 24,A:A,1)):A12),NA()))</f>
        <v>175987.90876736454</v>
      </c>
      <c r="J12" s="58">
        <f ca="1">IF(ISBLANK(A12),NA(),IFERROR(A12+(PLAYER_EXP_MAX-D12)/I12,NA()))</f>
        <v>44373.890752378531</v>
      </c>
      <c r="K12" s="485" t="str">
        <f t="shared" ca="1" si="3"/>
        <v>060 D 21 H</v>
      </c>
      <c r="L12" s="51" t="e">
        <f ca="1">IF(ISBLANK(A12),NA(),IFERROR(SLOPE(INDIRECT("D" &amp; MATCH(A12-$D$1 / 24,A:A,1)):D12, INDIRECT("A" &amp; MATCH(A12-$D$1 / 24,A:A,1)):A12),NA()))</f>
        <v>#N/A</v>
      </c>
      <c r="M12" s="58" t="e">
        <f ca="1">IF(ISBLANK(A12),NA(),IFERROR(A12+(PLAYER_EXP_MAX-D12)/L12,NA()))</f>
        <v>#N/A</v>
      </c>
      <c r="N12" s="485" t="e">
        <f t="shared" ca="1" si="4"/>
        <v>#N/A</v>
      </c>
    </row>
    <row r="13" spans="1:14" ht="14.65" customHeight="1" x14ac:dyDescent="0.25">
      <c r="A13" s="8">
        <v>44281.947222222225</v>
      </c>
      <c r="B13" s="42">
        <v>201</v>
      </c>
      <c r="C13" s="42">
        <v>95059</v>
      </c>
      <c r="D13" s="42">
        <f t="shared" si="0"/>
        <v>11580431</v>
      </c>
      <c r="E13" s="46">
        <f>IF(ISBLANK(A13),"-",D13/PLAYER_EXP_MAX)</f>
        <v>0.41658490862578895</v>
      </c>
      <c r="F13" s="51">
        <f ca="1">IF(ISBLANK(A13),NA(),IFERROR(SLOPE(INDIRECT("D" &amp; MATCH(A13-$B$1 / 24,A:A,1)):D13, INDIRECT("A" &amp; MATCH(A13-$B$1 / 24,A:A,1)):A13),NA()))</f>
        <v>73423.416506586596</v>
      </c>
      <c r="G13" s="58">
        <f ca="1">IF(ISBLANK(A13),NA(),IFERROR(A13+(PLAYER_EXP_MAX-D13)/F13,NA()))</f>
        <v>44502.831223153255</v>
      </c>
      <c r="H13" s="485" t="str">
        <f t="shared" ca="1" si="2"/>
        <v>189 D 20 H</v>
      </c>
      <c r="I13" s="51">
        <f ca="1">IF(ISBLANK(A13),NA(),IFERROR(SLOPE(INDIRECT("D" &amp; MATCH(A13-$C$1 / 24,A:A,1)):D13, INDIRECT("A" &amp; MATCH(A13-$C$1 / 24,A:A,1)):A13),NA()))</f>
        <v>72793.622947389333</v>
      </c>
      <c r="J13" s="58">
        <f ca="1">IF(ISBLANK(A13),NA(),IFERROR(A13+(PLAYER_EXP_MAX-D13)/I13,NA()))</f>
        <v>44504.742260349689</v>
      </c>
      <c r="K13" s="485" t="str">
        <f t="shared" ca="1" si="3"/>
        <v>191 D 18 H</v>
      </c>
      <c r="L13" s="51" t="e">
        <f ca="1">IF(ISBLANK(A13),NA(),IFERROR(SLOPE(INDIRECT("D" &amp; MATCH(A13-$D$1 / 24,A:A,1)):D13, INDIRECT("A" &amp; MATCH(A13-$D$1 / 24,A:A,1)):A13),NA()))</f>
        <v>#N/A</v>
      </c>
      <c r="M13" s="58" t="e">
        <f ca="1">IF(ISBLANK(A13),NA(),IFERROR(A13+(PLAYER_EXP_MAX-D13)/L13,NA()))</f>
        <v>#N/A</v>
      </c>
      <c r="N13" s="485" t="e">
        <f t="shared" ca="1" si="4"/>
        <v>#N/A</v>
      </c>
    </row>
    <row r="14" spans="1:14" ht="14.65" customHeight="1" x14ac:dyDescent="0.25">
      <c r="A14" s="8">
        <v>44282.119444444441</v>
      </c>
      <c r="B14" s="42">
        <v>201</v>
      </c>
      <c r="C14" s="42">
        <v>59663</v>
      </c>
      <c r="D14" s="42">
        <f t="shared" si="0"/>
        <v>11615827</v>
      </c>
      <c r="E14" s="46">
        <f>IF(ISBLANK(A14),"-",D14/PLAYER_EXP_MAX)</f>
        <v>0.41785821524328176</v>
      </c>
      <c r="F14" s="51">
        <f ca="1">IF(ISBLANK(A14),NA(),IFERROR(SLOPE(INDIRECT("D" &amp; MATCH(A14-$B$1 / 24,A:A,1)):D14, INDIRECT("A" &amp; MATCH(A14-$B$1 / 24,A:A,1)):A14),NA()))</f>
        <v>109470.1084712047</v>
      </c>
      <c r="G14" s="58">
        <f ca="1">IF(ISBLANK(A14),NA(),IFERROR(A14+(PLAYER_EXP_MAX-D14)/F14,NA()))</f>
        <v>44429.946666194723</v>
      </c>
      <c r="H14" s="485" t="str">
        <f t="shared" ca="1" si="2"/>
        <v>116 D 23 H</v>
      </c>
      <c r="I14" s="51">
        <f ca="1">IF(ISBLANK(A14),NA(),IFERROR(SLOPE(INDIRECT("D" &amp; MATCH(A14-$C$1 / 24,A:A,1)):D14, INDIRECT("A" &amp; MATCH(A14-$C$1 / 24,A:A,1)):A14),NA()))</f>
        <v>67052.851996338693</v>
      </c>
      <c r="J14" s="58">
        <f ca="1">IF(ISBLANK(A14),NA(),IFERROR(A14+(PLAYER_EXP_MAX-D14)/I14,NA()))</f>
        <v>44523.461333986794</v>
      </c>
      <c r="K14" s="485" t="str">
        <f t="shared" ca="1" si="3"/>
        <v>210 D 11 H</v>
      </c>
      <c r="L14" s="51" t="e">
        <f ca="1">IF(ISBLANK(A14),NA(),IFERROR(SLOPE(INDIRECT("D" &amp; MATCH(A14-$D$1 / 24,A:A,1)):D14, INDIRECT("A" &amp; MATCH(A14-$D$1 / 24,A:A,1)):A14),NA()))</f>
        <v>#N/A</v>
      </c>
      <c r="M14" s="58" t="e">
        <f ca="1">IF(ISBLANK(A14),NA(),IFERROR(A14+(PLAYER_EXP_MAX-D14)/L14,NA()))</f>
        <v>#N/A</v>
      </c>
      <c r="N14" s="485" t="e">
        <f t="shared" ca="1" si="4"/>
        <v>#N/A</v>
      </c>
    </row>
    <row r="15" spans="1:14" ht="14.65" customHeight="1" x14ac:dyDescent="0.25">
      <c r="A15" s="8">
        <v>44282.845138888886</v>
      </c>
      <c r="B15" s="42">
        <v>201</v>
      </c>
      <c r="C15" s="42">
        <v>19326</v>
      </c>
      <c r="D15" s="42">
        <f t="shared" si="0"/>
        <v>11656164</v>
      </c>
      <c r="E15" s="46">
        <f>IF(ISBLANK(A15),"-",D15/PLAYER_EXP_MAX)</f>
        <v>0.4193092653345295</v>
      </c>
      <c r="F15" s="51">
        <f ca="1">IF(ISBLANK(A15),NA(),IFERROR(SLOPE(INDIRECT("D" &amp; MATCH(A15-$B$1 / 24,A:A,1)):D15, INDIRECT("A" &amp; MATCH(A15-$B$1 / 24,A:A,1)):A15),NA()))</f>
        <v>55583.999999938074</v>
      </c>
      <c r="G15" s="58">
        <f ca="1">IF(ISBLANK(A15),NA(),IFERROR(A15+(PLAYER_EXP_MAX-D15)/F15,NA()))</f>
        <v>44573.258297352077</v>
      </c>
      <c r="H15" s="485" t="str">
        <f t="shared" ca="1" si="2"/>
        <v>260 D 06 H</v>
      </c>
      <c r="I15" s="51">
        <f ca="1">IF(ISBLANK(A15),NA(),IFERROR(SLOPE(INDIRECT("D" &amp; MATCH(A15-$C$1 / 24,A:A,1)):D15, INDIRECT("A" &amp; MATCH(A15-$C$1 / 24,A:A,1)):A15),NA()))</f>
        <v>81692.051259678323</v>
      </c>
      <c r="J15" s="58">
        <f ca="1">IF(ISBLANK(A15),NA(),IFERROR(A15+(PLAYER_EXP_MAX-D15)/I15,NA()))</f>
        <v>44480.444841076409</v>
      </c>
      <c r="K15" s="485" t="str">
        <f t="shared" ca="1" si="3"/>
        <v>167 D 11 H</v>
      </c>
      <c r="L15" s="51" t="e">
        <f ca="1">IF(ISBLANK(A15),NA(),IFERROR(SLOPE(INDIRECT("D" &amp; MATCH(A15-$D$1 / 24,A:A,1)):D15, INDIRECT("A" &amp; MATCH(A15-$D$1 / 24,A:A,1)):A15),NA()))</f>
        <v>#N/A</v>
      </c>
      <c r="M15" s="58" t="e">
        <f ca="1">IF(ISBLANK(A15),NA(),IFERROR(A15+(PLAYER_EXP_MAX-D15)/L15,NA()))</f>
        <v>#N/A</v>
      </c>
      <c r="N15" s="485" t="e">
        <f t="shared" ca="1" si="4"/>
        <v>#N/A</v>
      </c>
    </row>
    <row r="16" spans="1:14" ht="14.65" customHeight="1" x14ac:dyDescent="0.25">
      <c r="A16" s="8">
        <v>44283.426388888889</v>
      </c>
      <c r="B16" s="42">
        <v>202</v>
      </c>
      <c r="C16" s="42">
        <v>192997</v>
      </c>
      <c r="D16" s="47">
        <f t="shared" si="0"/>
        <v>11729493</v>
      </c>
      <c r="E16" s="46">
        <f>IF(ISBLANK(A16),"-",D16/PLAYER_EXP_MAX)</f>
        <v>0.42194714252274645</v>
      </c>
      <c r="F16" s="51">
        <f ca="1">IF(ISBLANK(A16),NA(),IFERROR(SLOPE(INDIRECT("D" &amp; MATCH(A16-$B$1 / 24,A:A,1)):D16, INDIRECT("A" &amp; MATCH(A16-$B$1 / 24,A:A,1)):A16),NA()))</f>
        <v>126157.41935420703</v>
      </c>
      <c r="G16" s="58">
        <f ca="1">IF(ISBLANK(A16),NA(),IFERROR(A16+(PLAYER_EXP_MAX-D16)/F16,NA()))</f>
        <v>44410.798968973802</v>
      </c>
      <c r="H16" s="485" t="str">
        <f t="shared" ca="1" si="2"/>
        <v>097 D 19 H</v>
      </c>
      <c r="I16" s="51">
        <f ca="1">IF(ISBLANK(A16),NA(),IFERROR(SLOPE(INDIRECT("D" &amp; MATCH(A16-$C$1 / 24,A:A,1)):D16, INDIRECT("A" &amp; MATCH(A16-$C$1 / 24,A:A,1)):A16),NA()))</f>
        <v>85691.912183790497</v>
      </c>
      <c r="J16" s="58">
        <f ca="1">IF(ISBLANK(A16),NA(),IFERROR(A16+(PLAYER_EXP_MAX-D16)/I16,NA()))</f>
        <v>44470.946956355459</v>
      </c>
      <c r="K16" s="485" t="str">
        <f t="shared" ca="1" si="3"/>
        <v>157 D 23 H</v>
      </c>
      <c r="L16" s="51">
        <f ca="1">IF(ISBLANK(A16),NA(),IFERROR(SLOPE(INDIRECT("D" &amp; MATCH(A16-$D$1 / 24,A:A,1)):D16, INDIRECT("A" &amp; MATCH(A16-$D$1 / 24,A:A,1)):A16),NA()))</f>
        <v>126133.95773764243</v>
      </c>
      <c r="M16" s="58">
        <f ca="1">IF(ISBLANK(A16),NA(),IFERROR(A16+(PLAYER_EXP_MAX-D16)/L16,NA()))</f>
        <v>44410.822660981001</v>
      </c>
      <c r="N16" s="485" t="str">
        <f t="shared" ca="1" si="4"/>
        <v>097 D 20 H</v>
      </c>
    </row>
    <row r="17" spans="1:14" ht="14.65" customHeight="1" x14ac:dyDescent="0.25">
      <c r="A17" s="8">
        <v>44283.96597222222</v>
      </c>
      <c r="B17" s="42">
        <v>202</v>
      </c>
      <c r="C17" s="42">
        <v>106142</v>
      </c>
      <c r="D17" s="47">
        <f t="shared" si="0"/>
        <v>11816348</v>
      </c>
      <c r="E17" s="46">
        <f>IF(ISBLANK(A17),"-",D17/PLAYER_EXP_MAX)</f>
        <v>0.42507159292003244</v>
      </c>
      <c r="F17" s="51">
        <f ca="1">IF(ISBLANK(A17),NA(),IFERROR(SLOPE(INDIRECT("D" &amp; MATCH(A17-$B$1 / 24,A:A,1)):D17, INDIRECT("A" &amp; MATCH(A17-$B$1 / 24,A:A,1)):A17),NA()))</f>
        <v>160966.79536737417</v>
      </c>
      <c r="G17" s="58">
        <f ca="1">IF(ISBLANK(A17),NA(),IFERROR(A17+(PLAYER_EXP_MAX-D17)/F17,NA()))</f>
        <v>44383.254405985994</v>
      </c>
      <c r="H17" s="485" t="str">
        <f t="shared" ca="1" si="2"/>
        <v>070 D 06 H</v>
      </c>
      <c r="I17" s="51">
        <f ca="1">IF(ISBLANK(A17),NA(),IFERROR(SLOPE(INDIRECT("D" &amp; MATCH(A17-$C$1 / 24,A:A,1)):D17, INDIRECT("A" &amp; MATCH(A17-$C$1 / 24,A:A,1)):A17),NA()))</f>
        <v>142699.81867810155</v>
      </c>
      <c r="J17" s="58">
        <f ca="1">IF(ISBLANK(A17),NA(),IFERROR(A17+(PLAYER_EXP_MAX-D17)/I17,NA()))</f>
        <v>44395.964299536514</v>
      </c>
      <c r="K17" s="485" t="str">
        <f t="shared" ca="1" si="3"/>
        <v>082 D 23 H</v>
      </c>
      <c r="L17" s="51">
        <f ca="1">IF(ISBLANK(A17),NA(),IFERROR(SLOPE(INDIRECT("D" &amp; MATCH(A17-$D$1 / 24,A:A,1)):D17, INDIRECT("A" &amp; MATCH(A17-$D$1 / 24,A:A,1)):A17),NA()))</f>
        <v>96458.83476612471</v>
      </c>
      <c r="M17" s="58">
        <f ca="1">IF(ISBLANK(A17),NA(),IFERROR(A17+(PLAYER_EXP_MAX-D17)/L17,NA()))</f>
        <v>44449.65469362084</v>
      </c>
      <c r="N17" s="485" t="str">
        <f t="shared" ca="1" si="4"/>
        <v>136 D 16 H</v>
      </c>
    </row>
    <row r="18" spans="1:14" ht="14.65" customHeight="1" x14ac:dyDescent="0.25">
      <c r="A18" s="8">
        <v>44284.724305555559</v>
      </c>
      <c r="B18" s="42">
        <v>202</v>
      </c>
      <c r="C18" s="42">
        <v>53484</v>
      </c>
      <c r="D18" s="47">
        <f t="shared" si="0"/>
        <v>11869006</v>
      </c>
      <c r="E18" s="46">
        <f>IF(ISBLANK(A18),"-",D18/PLAYER_EXP_MAX)</f>
        <v>0.42696586854055268</v>
      </c>
      <c r="F18" s="51">
        <f ca="1">IF(ISBLANK(A18),NA(),IFERROR(SLOPE(INDIRECT("D" &amp; MATCH(A18-$B$1 / 24,A:A,1)):D18, INDIRECT("A" &amp; MATCH(A18-$B$1 / 24,A:A,1)):A18),NA()))</f>
        <v>69439.120878632297</v>
      </c>
      <c r="G18" s="58">
        <f ca="1">IF(ISBLANK(A18),NA(),IFERROR(A18+(PLAYER_EXP_MAX-D18)/F18,NA()))</f>
        <v>44514.126446574046</v>
      </c>
      <c r="H18" s="485" t="str">
        <f t="shared" ca="1" si="2"/>
        <v>201 D 03 H</v>
      </c>
      <c r="I18" s="51">
        <f ca="1">IF(ISBLANK(A18),NA(),IFERROR(SLOPE(INDIRECT("D" &amp; MATCH(A18-$C$1 / 24,A:A,1)):D18, INDIRECT("A" &amp; MATCH(A18-$C$1 / 24,A:A,1)):A18),NA()))</f>
        <v>105015.41056204402</v>
      </c>
      <c r="J18" s="58">
        <f ca="1">IF(ISBLANK(A18),NA(),IFERROR(A18+(PLAYER_EXP_MAX-D18)/I18,NA()))</f>
        <v>44436.411404760765</v>
      </c>
      <c r="K18" s="485" t="str">
        <f t="shared" ca="1" si="3"/>
        <v>123 D 10 H</v>
      </c>
      <c r="L18" s="51">
        <f ca="1">IF(ISBLANK(A18),NA(),IFERROR(SLOPE(INDIRECT("D" &amp; MATCH(A18-$D$1 / 24,A:A,1)):D18, INDIRECT("A" &amp; MATCH(A18-$D$1 / 24,A:A,1)):A18),NA()))</f>
        <v>103508.10432982774</v>
      </c>
      <c r="M18" s="58">
        <f ca="1">IF(ISBLANK(A18),NA(),IFERROR(A18+(PLAYER_EXP_MAX-D18)/L18,NA()))</f>
        <v>44438.620303392025</v>
      </c>
      <c r="N18" s="485" t="str">
        <f t="shared" ca="1" si="4"/>
        <v>125 D 15 H</v>
      </c>
    </row>
    <row r="19" spans="1:14" ht="14.65" customHeight="1" x14ac:dyDescent="0.25">
      <c r="A19" s="8">
        <v>44284.920138888891</v>
      </c>
      <c r="B19" s="42">
        <v>202</v>
      </c>
      <c r="C19" s="42">
        <v>14881</v>
      </c>
      <c r="D19" s="47">
        <f t="shared" si="0"/>
        <v>11907609</v>
      </c>
      <c r="E19" s="46">
        <f>IF(ISBLANK(A19),"-",D19/PLAYER_EXP_MAX)</f>
        <v>0.42835454114070731</v>
      </c>
      <c r="F19" s="51">
        <f ca="1">IF(ISBLANK(A19),NA(),IFERROR(SLOPE(INDIRECT("D" &amp; MATCH(A19-$B$1 / 24,A:A,1)):D19, INDIRECT("A" &amp; MATCH(A19-$B$1 / 24,A:A,1)):A19),NA()))</f>
        <v>88309.1557859897</v>
      </c>
      <c r="G19" s="58">
        <f ca="1">IF(ISBLANK(A19),NA(),IFERROR(A19+(PLAYER_EXP_MAX-D19)/F19,NA()))</f>
        <v>44464.86614628262</v>
      </c>
      <c r="H19" s="485" t="str">
        <f t="shared" ca="1" si="2"/>
        <v>151 D 21 H</v>
      </c>
      <c r="I19" s="51">
        <f ca="1">IF(ISBLANK(A19),NA(),IFERROR(SLOPE(INDIRECT("D" &amp; MATCH(A19-$C$1 / 24,A:A,1)):D19, INDIRECT("A" &amp; MATCH(A19-$C$1 / 24,A:A,1)):A19),NA()))</f>
        <v>109681.7051258299</v>
      </c>
      <c r="J19" s="58">
        <f ca="1">IF(ISBLANK(A19),NA(),IFERROR(A19+(PLAYER_EXP_MAX-D19)/I19,NA()))</f>
        <v>44429.801912761475</v>
      </c>
      <c r="K19" s="485" t="str">
        <f t="shared" ca="1" si="3"/>
        <v>116 D 19 H</v>
      </c>
      <c r="L19" s="51">
        <f ca="1">IF(ISBLANK(A19),NA(),IFERROR(SLOPE(INDIRECT("D" &amp; MATCH(A19-$D$1 / 24,A:A,1)):D19, INDIRECT("A" &amp; MATCH(A19-$D$1 / 24,A:A,1)):A19),NA()))</f>
        <v>105695.75480781037</v>
      </c>
      <c r="M19" s="58">
        <f ca="1">IF(ISBLANK(A19),NA(),IFERROR(A19+(PLAYER_EXP_MAX-D19)/L19,NA()))</f>
        <v>44435.265628439483</v>
      </c>
      <c r="N19" s="485" t="str">
        <f t="shared" ca="1" si="4"/>
        <v>122 D 06 H</v>
      </c>
    </row>
    <row r="20" spans="1:14" ht="14.65" customHeight="1" x14ac:dyDescent="0.25">
      <c r="A20" s="8">
        <v>44285.157638888886</v>
      </c>
      <c r="B20" s="42">
        <v>203</v>
      </c>
      <c r="C20" s="42">
        <v>210138</v>
      </c>
      <c r="D20" s="47">
        <f t="shared" si="0"/>
        <v>11963352</v>
      </c>
      <c r="E20" s="46">
        <f>IF(ISBLANK(A20),"-",D20/PLAYER_EXP_MAX)</f>
        <v>0.43035979401614238</v>
      </c>
      <c r="F20" s="51">
        <f ca="1">IF(ISBLANK(A20),NA(),IFERROR(SLOPE(INDIRECT("D" &amp; MATCH(A20-$B$1 / 24,A:A,1)):D20, INDIRECT("A" &amp; MATCH(A20-$B$1 / 24,A:A,1)):A20),NA()))</f>
        <v>218316.47044683277</v>
      </c>
      <c r="G20" s="58">
        <f ca="1">IF(ISBLANK(A20),NA(),IFERROR(A20+(PLAYER_EXP_MAX-D20)/F20,NA()))</f>
        <v>44357.690585979821</v>
      </c>
      <c r="H20" s="485" t="str">
        <f t="shared" ca="1" si="2"/>
        <v>044 D 17 H</v>
      </c>
      <c r="I20" s="51">
        <f ca="1">IF(ISBLANK(A20),NA(),IFERROR(SLOPE(INDIRECT("D" &amp; MATCH(A20-$C$1 / 24,A:A,1)):D20, INDIRECT("A" &amp; MATCH(A20-$C$1 / 24,A:A,1)):A20),NA()))</f>
        <v>114134.24891740234</v>
      </c>
      <c r="J20" s="58">
        <f ca="1">IF(ISBLANK(A20),NA(),IFERROR(A20+(PLAYER_EXP_MAX-D20)/I20,NA()))</f>
        <v>44423.898964566331</v>
      </c>
      <c r="K20" s="485" t="str">
        <f t="shared" ca="1" si="3"/>
        <v>110 D 22 H</v>
      </c>
      <c r="L20" s="51">
        <f ca="1">IF(ISBLANK(A20),NA(),IFERROR(SLOPE(INDIRECT("D" &amp; MATCH(A20-$D$1 / 24,A:A,1)):D20, INDIRECT("A" &amp; MATCH(A20-$D$1 / 24,A:A,1)):A20),NA()))</f>
        <v>113353.37075142383</v>
      </c>
      <c r="M20" s="58">
        <f ca="1">IF(ISBLANK(A20),NA(),IFERROR(A20+(PLAYER_EXP_MAX-D20)/L20,NA()))</f>
        <v>44424.854737396221</v>
      </c>
      <c r="N20" s="485" t="str">
        <f t="shared" ca="1" si="4"/>
        <v>111 D 21 H</v>
      </c>
    </row>
    <row r="21" spans="1:14" ht="14.65" customHeight="1" x14ac:dyDescent="0.25">
      <c r="A21" s="8">
        <v>44285.367361111108</v>
      </c>
      <c r="B21" s="42">
        <v>203</v>
      </c>
      <c r="C21" s="42">
        <v>156845</v>
      </c>
      <c r="D21" s="47">
        <f t="shared" si="0"/>
        <v>12016645</v>
      </c>
      <c r="E21" s="46">
        <f>IF(ISBLANK(A21),"-",D21/PLAYER_EXP_MAX)</f>
        <v>0.43227691260485418</v>
      </c>
      <c r="F21" s="51">
        <f ca="1">IF(ISBLANK(A21),NA(),IFERROR(SLOPE(INDIRECT("D" &amp; MATCH(A21-$B$1 / 24,A:A,1)):D21, INDIRECT("A" &amp; MATCH(A21-$B$1 / 24,A:A,1)):A21),NA()))</f>
        <v>243607.35754086354</v>
      </c>
      <c r="G21" s="58">
        <f ca="1">IF(ISBLANK(A21),NA(),IFERROR(A21+(PLAYER_EXP_MAX-D21)/F21,NA()))</f>
        <v>44350.151299327561</v>
      </c>
      <c r="H21" s="485" t="str">
        <f t="shared" ca="1" si="2"/>
        <v>037 D 04 H</v>
      </c>
      <c r="I21" s="51">
        <f ca="1">IF(ISBLANK(A21),NA(),IFERROR(SLOPE(INDIRECT("D" &amp; MATCH(A21-$C$1 / 24,A:A,1)):D21, INDIRECT("A" &amp; MATCH(A21-$C$1 / 24,A:A,1)):A21),NA()))</f>
        <v>137609.9506913939</v>
      </c>
      <c r="J21" s="58">
        <f ca="1">IF(ISBLANK(A21),NA(),IFERROR(A21+(PLAYER_EXP_MAX-D21)/I21,NA()))</f>
        <v>44400.052701238819</v>
      </c>
      <c r="K21" s="485" t="str">
        <f t="shared" ca="1" si="3"/>
        <v>087 D 01 H</v>
      </c>
      <c r="L21" s="51">
        <f ca="1">IF(ISBLANK(A21),NA(),IFERROR(SLOPE(INDIRECT("D" &amp; MATCH(A21-$D$1 / 24,A:A,1)):D21, INDIRECT("A" &amp; MATCH(A21-$D$1 / 24,A:A,1)):A21),NA()))</f>
        <v>120572.46285039102</v>
      </c>
      <c r="M21" s="58">
        <f ca="1">IF(ISBLANK(A21),NA(),IFERROR(A21+(PLAYER_EXP_MAX-D21)/L21,NA()))</f>
        <v>44416.258309399876</v>
      </c>
      <c r="N21" s="485" t="str">
        <f t="shared" ca="1" si="4"/>
        <v>103 D 06 H</v>
      </c>
    </row>
    <row r="22" spans="1:14" ht="14.65" customHeight="1" x14ac:dyDescent="0.25">
      <c r="A22" s="8">
        <v>44285.779861111114</v>
      </c>
      <c r="B22" s="42">
        <v>203</v>
      </c>
      <c r="C22" s="42">
        <v>119765</v>
      </c>
      <c r="D22" s="47">
        <f t="shared" si="0"/>
        <v>12053725</v>
      </c>
      <c r="E22" s="46">
        <f>IF(ISBLANK(A22),"-",D22/PLAYER_EXP_MAX)</f>
        <v>0.43361079805452735</v>
      </c>
      <c r="F22" s="51">
        <f ca="1">IF(ISBLANK(A22),NA(),IFERROR(SLOPE(INDIRECT("D" &amp; MATCH(A22-$B$1 / 24,A:A,1)):D22, INDIRECT("A" &amp; MATCH(A22-$B$1 / 24,A:A,1)):A22),NA()))</f>
        <v>89890.909089640641</v>
      </c>
      <c r="G22" s="58">
        <f ca="1">IF(ISBLANK(A22),NA(),IFERROR(A22+(PLAYER_EXP_MAX-D22)/F22,NA()))</f>
        <v>44460.933991372483</v>
      </c>
      <c r="H22" s="485" t="str">
        <f t="shared" ca="1" si="2"/>
        <v>147 D 22 H</v>
      </c>
      <c r="I22" s="51">
        <f ca="1">IF(ISBLANK(A22),NA(),IFERROR(SLOPE(INDIRECT("D" &amp; MATCH(A22-$C$1 / 24,A:A,1)):D22, INDIRECT("A" &amp; MATCH(A22-$C$1 / 24,A:A,1)):A22),NA()))</f>
        <v>181661.48884797306</v>
      </c>
      <c r="J22" s="58">
        <f ca="1">IF(ISBLANK(A22),NA(),IFERROR(A22+(PLAYER_EXP_MAX-D22)/I22,NA()))</f>
        <v>44372.450757071769</v>
      </c>
      <c r="K22" s="485" t="str">
        <f t="shared" ca="1" si="3"/>
        <v>059 D 11 H</v>
      </c>
      <c r="L22" s="51">
        <f ca="1">IF(ISBLANK(A22),NA(),IFERROR(SLOPE(INDIRECT("D" &amp; MATCH(A22-$D$1 / 24,A:A,1)):D22, INDIRECT("A" &amp; MATCH(A22-$D$1 / 24,A:A,1)):A22),NA()))</f>
        <v>123685.51788194523</v>
      </c>
      <c r="M22" s="58">
        <f ca="1">IF(ISBLANK(A22),NA(),IFERROR(A22+(PLAYER_EXP_MAX-D22)/L22,NA()))</f>
        <v>44413.076607485476</v>
      </c>
      <c r="N22" s="485" t="str">
        <f t="shared" ca="1" si="4"/>
        <v>100 D 02 H</v>
      </c>
    </row>
    <row r="23" spans="1:14" ht="14.65" customHeight="1" x14ac:dyDescent="0.25">
      <c r="A23" s="8">
        <v>44286.189583333333</v>
      </c>
      <c r="B23" s="42">
        <v>203</v>
      </c>
      <c r="C23" s="42">
        <v>58735</v>
      </c>
      <c r="D23" s="47">
        <f t="shared" si="0"/>
        <v>12114755</v>
      </c>
      <c r="E23" s="46">
        <f>IF(ISBLANK(A23),"-",D23/PLAYER_EXP_MAX)</f>
        <v>0.43580624112339345</v>
      </c>
      <c r="F23" s="51">
        <f ca="1">IF(ISBLANK(A23),NA(),IFERROR(SLOPE(INDIRECT("D" &amp; MATCH(A23-$B$1 / 24,A:A,1)):D23, INDIRECT("A" &amp; MATCH(A23-$B$1 / 24,A:A,1)):A23),NA()))</f>
        <v>148954.57627236206</v>
      </c>
      <c r="G23" s="58">
        <f ca="1">IF(ISBLANK(A23),NA(),IFERROR(A23+(PLAYER_EXP_MAX-D23)/F23,NA()))</f>
        <v>44391.481642110513</v>
      </c>
      <c r="H23" s="485" t="str">
        <f t="shared" ca="1" si="2"/>
        <v>078 D 12 H</v>
      </c>
      <c r="I23" s="51">
        <f ca="1">IF(ISBLANK(A23),NA(),IFERROR(SLOPE(INDIRECT("D" &amp; MATCH(A23-$C$1 / 24,A:A,1)):D23, INDIRECT("A" &amp; MATCH(A23-$C$1 / 24,A:A,1)):A23),NA()))</f>
        <v>137290.58193132596</v>
      </c>
      <c r="J23" s="58">
        <f ca="1">IF(ISBLANK(A23),NA(),IFERROR(A23+(PLAYER_EXP_MAX-D23)/I23,NA()))</f>
        <v>44400.427091685109</v>
      </c>
      <c r="K23" s="485" t="str">
        <f t="shared" ca="1" si="3"/>
        <v>087 D 10 H</v>
      </c>
      <c r="L23" s="51">
        <f ca="1">IF(ISBLANK(A23),NA(),IFERROR(SLOPE(INDIRECT("D" &amp; MATCH(A23-$D$1 / 24,A:A,1)):D23, INDIRECT("A" &amp; MATCH(A23-$D$1 / 24,A:A,1)):A23),NA()))</f>
        <v>136669.7968840535</v>
      </c>
      <c r="M23" s="58">
        <f ca="1">IF(ISBLANK(A23),NA(),IFERROR(A23+(PLAYER_EXP_MAX-D23)/L23,NA()))</f>
        <v>44400.945984217615</v>
      </c>
      <c r="N23" s="485" t="str">
        <f t="shared" ca="1" si="4"/>
        <v>087 D 23 H</v>
      </c>
    </row>
    <row r="24" spans="1:14" ht="14.65" customHeight="1" x14ac:dyDescent="0.25">
      <c r="A24" s="8">
        <v>44286.550694444442</v>
      </c>
      <c r="B24" s="42">
        <v>203</v>
      </c>
      <c r="C24" s="42">
        <v>28877</v>
      </c>
      <c r="D24" s="47">
        <f t="shared" si="0"/>
        <v>12144613</v>
      </c>
      <c r="E24" s="46">
        <f>IF(ISBLANK(A24),"-",D24/PLAYER_EXP_MAX)</f>
        <v>0.43688032827971335</v>
      </c>
      <c r="F24" s="51">
        <f ca="1">IF(ISBLANK(A24),NA(),IFERROR(SLOPE(INDIRECT("D" &amp; MATCH(A24-$B$1 / 24,A:A,1)):D24, INDIRECT("A" &amp; MATCH(A24-$B$1 / 24,A:A,1)):A24),NA()))</f>
        <v>82683.692308062513</v>
      </c>
      <c r="G24" s="58">
        <f ca="1">IF(ISBLANK(A24),NA(),IFERROR(A24+(PLAYER_EXP_MAX-D24)/F24,NA()))</f>
        <v>44475.873105708772</v>
      </c>
      <c r="H24" s="485" t="str">
        <f t="shared" ca="1" si="2"/>
        <v>162 D 21 H</v>
      </c>
      <c r="I24" s="51">
        <f ca="1">IF(ISBLANK(A24),NA(),IFERROR(SLOPE(INDIRECT("D" &amp; MATCH(A24-$C$1 / 24,A:A,1)):D24, INDIRECT("A" &amp; MATCH(A24-$C$1 / 24,A:A,1)):A24),NA()))</f>
        <v>112534.58670483506</v>
      </c>
      <c r="J24" s="58">
        <f ca="1">IF(ISBLANK(A24),NA(),IFERROR(A24+(PLAYER_EXP_MAX-D24)/I24,NA()))</f>
        <v>44425.653493489313</v>
      </c>
      <c r="K24" s="485" t="str">
        <f t="shared" ca="1" si="3"/>
        <v>112 D 16 H</v>
      </c>
      <c r="L24" s="51">
        <f ca="1">IF(ISBLANK(A24),NA(),IFERROR(SLOPE(INDIRECT("D" &amp; MATCH(A24-$D$1 / 24,A:A,1)):D24, INDIRECT("A" &amp; MATCH(A24-$D$1 / 24,A:A,1)):A24),NA()))</f>
        <v>137069.65821157192</v>
      </c>
      <c r="M24" s="58">
        <f ca="1">IF(ISBLANK(A24),NA(),IFERROR(A24+(PLAYER_EXP_MAX-D24)/L24,NA()))</f>
        <v>44400.754495666719</v>
      </c>
      <c r="N24" s="485" t="str">
        <f t="shared" ca="1" si="4"/>
        <v>087 D 18 H</v>
      </c>
    </row>
    <row r="25" spans="1:14" ht="14.65" customHeight="1" x14ac:dyDescent="0.25">
      <c r="A25" s="8">
        <v>44286.921527777777</v>
      </c>
      <c r="B25" s="42">
        <v>204</v>
      </c>
      <c r="C25" s="42">
        <v>205447</v>
      </c>
      <c r="D25" s="48">
        <f t="shared" si="0"/>
        <v>12223043</v>
      </c>
      <c r="E25" s="46">
        <f>IF(ISBLANK(A25),"-",D25/PLAYER_EXP_MAX)</f>
        <v>0.43970170465020597</v>
      </c>
      <c r="F25" s="51">
        <f ca="1">IF(ISBLANK(A25),NA(),IFERROR(SLOPE(INDIRECT("D" &amp; MATCH(A25-$B$1 / 24,A:A,1)):D25, INDIRECT("A" &amp; MATCH(A25-$B$1 / 24,A:A,1)):A25),NA()))</f>
        <v>211496.62921292984</v>
      </c>
      <c r="G25" s="58">
        <f ca="1">IF(ISBLANK(A25),NA(),IFERROR(A25+(PLAYER_EXP_MAX-D25)/F25,NA()))</f>
        <v>44360.565472165748</v>
      </c>
      <c r="H25" s="485" t="str">
        <f t="shared" ca="1" si="2"/>
        <v>047 D 14 H</v>
      </c>
      <c r="I25" s="51">
        <f ca="1">IF(ISBLANK(A25),NA(),IFERROR(SLOPE(INDIRECT("D" &amp; MATCH(A25-$C$1 / 24,A:A,1)):D25, INDIRECT("A" &amp; MATCH(A25-$C$1 / 24,A:A,1)):A25),NA()))</f>
        <v>142028.50531737439</v>
      </c>
      <c r="J25" s="58">
        <f ca="1">IF(ISBLANK(A25),NA(),IFERROR(A25+(PLAYER_EXP_MAX-D25)/I25,NA()))</f>
        <v>44396.585753034495</v>
      </c>
      <c r="K25" s="485" t="str">
        <f t="shared" ca="1" si="3"/>
        <v>083 D 14 H</v>
      </c>
      <c r="L25" s="51">
        <f ca="1">IF(ISBLANK(A25),NA(),IFERROR(SLOPE(INDIRECT("D" &amp; MATCH(A25-$D$1 / 24,A:A,1)):D25, INDIRECT("A" &amp; MATCH(A25-$D$1 / 24,A:A,1)):A25),NA()))</f>
        <v>139847.03798328605</v>
      </c>
      <c r="M25" s="58">
        <f ca="1">IF(ISBLANK(A25),NA(),IFERROR(A25+(PLAYER_EXP_MAX-D25)/L25,NA()))</f>
        <v>44398.296400099789</v>
      </c>
      <c r="N25" s="485" t="str">
        <f t="shared" ca="1" si="4"/>
        <v>085 D 07 H</v>
      </c>
    </row>
    <row r="26" spans="1:14" ht="14.65" customHeight="1" x14ac:dyDescent="0.25">
      <c r="A26" s="8">
        <v>44286.993055555555</v>
      </c>
      <c r="B26" s="42">
        <v>204</v>
      </c>
      <c r="C26" s="42">
        <v>195779</v>
      </c>
      <c r="D26" s="48">
        <f t="shared" si="0"/>
        <v>12232711</v>
      </c>
      <c r="E26" s="46">
        <f>IF(ISBLANK(A26),"-",D26/PLAYER_EXP_MAX)</f>
        <v>0.44004949333756954</v>
      </c>
      <c r="F26" s="51">
        <f ca="1">IF(ISBLANK(A26),NA(),IFERROR(SLOPE(INDIRECT("D" &amp; MATCH(A26-$B$1 / 24,A:A,1)):D26, INDIRECT("A" &amp; MATCH(A26-$B$1 / 24,A:A,1)):A26),NA()))</f>
        <v>203203.30019585037</v>
      </c>
      <c r="G26" s="58">
        <f ca="1">IF(ISBLANK(A26),NA(),IFERROR(A26+(PLAYER_EXP_MAX-D26)/F26,NA()))</f>
        <v>44363.595049642252</v>
      </c>
      <c r="H26" s="485" t="str">
        <f t="shared" ca="1" si="2"/>
        <v>050 D 14 H</v>
      </c>
      <c r="I26" s="51">
        <f ca="1">IF(ISBLANK(A26),NA(),IFERROR(SLOPE(INDIRECT("D" &amp; MATCH(A26-$C$1 / 24,A:A,1)):D26, INDIRECT("A" &amp; MATCH(A26-$C$1 / 24,A:A,1)):A26),NA()))</f>
        <v>146333.27240161065</v>
      </c>
      <c r="J26" s="58">
        <f ca="1">IF(ISBLANK(A26),NA(),IFERROR(A26+(PLAYER_EXP_MAX-D26)/I26,NA()))</f>
        <v>44393.365159073335</v>
      </c>
      <c r="K26" s="485" t="str">
        <f t="shared" ca="1" si="3"/>
        <v>080 D 09 H</v>
      </c>
      <c r="L26" s="51">
        <f ca="1">IF(ISBLANK(A26),NA(),IFERROR(SLOPE(INDIRECT("D" &amp; MATCH(A26-$D$1 / 24,A:A,1)):D26, INDIRECT("A" &amp; MATCH(A26-$D$1 / 24,A:A,1)):A26),NA()))</f>
        <v>143521.22121109176</v>
      </c>
      <c r="M26" s="58">
        <f ca="1">IF(ISBLANK(A26),NA(),IFERROR(A26+(PLAYER_EXP_MAX-D26)/L26,NA()))</f>
        <v>44395.449337272286</v>
      </c>
      <c r="N26" s="485" t="str">
        <f t="shared" ca="1" si="4"/>
        <v>082 D 11 H</v>
      </c>
    </row>
    <row r="27" spans="1:14" ht="14.65" customHeight="1" x14ac:dyDescent="0.25">
      <c r="A27" s="8">
        <v>44287.456944444442</v>
      </c>
      <c r="B27" s="42">
        <v>204</v>
      </c>
      <c r="C27" s="42">
        <v>131917</v>
      </c>
      <c r="D27" s="48">
        <f t="shared" si="0"/>
        <v>12296573</v>
      </c>
      <c r="E27" s="46">
        <f>IF(ISBLANK(A27),"-",D27/PLAYER_EXP_MAX)</f>
        <v>0.4423468124472521</v>
      </c>
      <c r="F27" s="51">
        <f ca="1">IF(ISBLANK(A27),NA(),IFERROR(SLOPE(INDIRECT("D" &amp; MATCH(A27-$B$1 / 24,A:A,1)):D27, INDIRECT("A" &amp; MATCH(A27-$B$1 / 24,A:A,1)):A27),NA()))</f>
        <v>137666.58682673116</v>
      </c>
      <c r="G27" s="58">
        <f ca="1">IF(ISBLANK(A27),NA(),IFERROR(A27+(PLAYER_EXP_MAX-D27)/F27,NA()))</f>
        <v>44400.061726456734</v>
      </c>
      <c r="H27" s="485" t="str">
        <f t="shared" ca="1" si="2"/>
        <v>087 D 01 H</v>
      </c>
      <c r="I27" s="51">
        <f ca="1">IF(ISBLANK(A27),NA(),IFERROR(SLOPE(INDIRECT("D" &amp; MATCH(A27-$C$1 / 24,A:A,1)):D27, INDIRECT("A" &amp; MATCH(A27-$C$1 / 24,A:A,1)):A27),NA()))</f>
        <v>150828.35868534871</v>
      </c>
      <c r="J27" s="58">
        <f ca="1">IF(ISBLANK(A27),NA(),IFERROR(A27+(PLAYER_EXP_MAX-D27)/I27,NA()))</f>
        <v>44390.235467893996</v>
      </c>
      <c r="K27" s="485" t="str">
        <f t="shared" ca="1" si="3"/>
        <v>077 D 06 H</v>
      </c>
      <c r="L27" s="51">
        <f ca="1">IF(ISBLANK(A27),NA(),IFERROR(SLOPE(INDIRECT("D" &amp; MATCH(A27-$D$1 / 24,A:A,1)):D27, INDIRECT("A" &amp; MATCH(A27-$D$1 / 24,A:A,1)):A27),NA()))</f>
        <v>144073.89683058867</v>
      </c>
      <c r="M27" s="58">
        <f ca="1">IF(ISBLANK(A27),NA(),IFERROR(A27+(PLAYER_EXP_MAX-D27)/L27,NA()))</f>
        <v>44395.053923085397</v>
      </c>
      <c r="N27" s="485" t="str">
        <f t="shared" ca="1" si="4"/>
        <v>082 D 01 H</v>
      </c>
    </row>
    <row r="28" spans="1:14" ht="14.65" customHeight="1" x14ac:dyDescent="0.25">
      <c r="A28" s="8">
        <v>44287.461805555555</v>
      </c>
      <c r="B28" s="42">
        <v>204</v>
      </c>
      <c r="C28" s="42">
        <v>128697</v>
      </c>
      <c r="D28" s="48">
        <f t="shared" si="0"/>
        <v>12299793</v>
      </c>
      <c r="E28" s="46">
        <f>IF(ISBLANK(A28),"-",D28/PLAYER_EXP_MAX)</f>
        <v>0.44246264608123126</v>
      </c>
      <c r="F28" s="51">
        <f ca="1">IF(ISBLANK(A28),NA(),IFERROR(SLOPE(INDIRECT("D" &amp; MATCH(A28-$B$1 / 24,A:A,1)):D28, INDIRECT("A" &amp; MATCH(A28-$B$1 / 24,A:A,1)):A28),NA()))</f>
        <v>140444.14849593097</v>
      </c>
      <c r="G28" s="58">
        <f ca="1">IF(ISBLANK(A28),NA(),IFERROR(A28+(PLAYER_EXP_MAX-D28)/F28,NA()))</f>
        <v>44397.816677338975</v>
      </c>
      <c r="H28" s="485" t="str">
        <f t="shared" ca="1" si="2"/>
        <v>084 D 20 H</v>
      </c>
      <c r="I28" s="51">
        <f ca="1">IF(ISBLANK(A28),NA(),IFERROR(SLOPE(INDIRECT("D" &amp; MATCH(A28-$C$1 / 24,A:A,1)):D28, INDIRECT("A" &amp; MATCH(A28-$C$1 / 24,A:A,1)):A28),NA()))</f>
        <v>151255.65128052223</v>
      </c>
      <c r="J28" s="58">
        <f ca="1">IF(ISBLANK(A28),NA(),IFERROR(A28+(PLAYER_EXP_MAX-D28)/I28,NA()))</f>
        <v>44389.928694354676</v>
      </c>
      <c r="K28" s="485" t="str">
        <f t="shared" ca="1" si="3"/>
        <v>076 D 22 H</v>
      </c>
      <c r="L28" s="51">
        <f ca="1">IF(ISBLANK(A28),NA(),IFERROR(SLOPE(INDIRECT("D" &amp; MATCH(A28-$D$1 / 24,A:A,1)):D28, INDIRECT("A" &amp; MATCH(A28-$D$1 / 24,A:A,1)):A28),NA()))</f>
        <v>144624.75468012944</v>
      </c>
      <c r="M28" s="58">
        <f ca="1">IF(ISBLANK(A28),NA(),IFERROR(A28+(PLAYER_EXP_MAX-D28)/L28,NA()))</f>
        <v>44394.626696063264</v>
      </c>
      <c r="N28" s="485" t="str">
        <f t="shared" ca="1" si="4"/>
        <v>081 D 15 H</v>
      </c>
    </row>
    <row r="29" spans="1:14" ht="14.65" customHeight="1" x14ac:dyDescent="0.25">
      <c r="A29" s="8">
        <v>44287.688888888886</v>
      </c>
      <c r="B29" s="42">
        <v>205</v>
      </c>
      <c r="C29" s="42">
        <v>241877</v>
      </c>
      <c r="D29" s="48">
        <f t="shared" si="0"/>
        <v>12445613</v>
      </c>
      <c r="E29" s="46">
        <f>IF(ISBLANK(A29),"-",D29/PLAYER_EXP_MAX)</f>
        <v>0.44770825493428795</v>
      </c>
      <c r="F29" s="51">
        <f ca="1">IF(ISBLANK(A29),NA(),IFERROR(SLOPE(INDIRECT("D" &amp; MATCH(A29-$B$1 / 24,A:A,1)):D29, INDIRECT("A" &amp; MATCH(A29-$B$1 / 24,A:A,1)):A29),NA()))</f>
        <v>270291.77565153386</v>
      </c>
      <c r="G29" s="58">
        <f ca="1">IF(ISBLANK(A29),NA(),IFERROR(A29+(PLAYER_EXP_MAX-D29)/F29,NA()))</f>
        <v>44344.490010428723</v>
      </c>
      <c r="H29" s="485" t="str">
        <f t="shared" ca="1" si="2"/>
        <v>031 D 12 H</v>
      </c>
      <c r="I29" s="51">
        <f ca="1">IF(ISBLANK(A29),NA(),IFERROR(SLOPE(INDIRECT("D" &amp; MATCH(A29-$C$1 / 24,A:A,1)):D29, INDIRECT("A" &amp; MATCH(A29-$C$1 / 24,A:A,1)):A29),NA()))</f>
        <v>222558.9300190667</v>
      </c>
      <c r="J29" s="58">
        <f ca="1">IF(ISBLANK(A29),NA(),IFERROR(A29+(PLAYER_EXP_MAX-D29)/I29,NA()))</f>
        <v>44356.672308240719</v>
      </c>
      <c r="K29" s="485" t="str">
        <f t="shared" ca="1" si="3"/>
        <v>043 D 16 H</v>
      </c>
      <c r="L29" s="51">
        <f ca="1">IF(ISBLANK(A29),NA(),IFERROR(SLOPE(INDIRECT("D" &amp; MATCH(A29-$D$1 / 24,A:A,1)):D29, INDIRECT("A" &amp; MATCH(A29-$D$1 / 24,A:A,1)):A29),NA()))</f>
        <v>155455.08213830573</v>
      </c>
      <c r="M29" s="58">
        <f ca="1">IF(ISBLANK(A29),NA(),IFERROR(A29+(PLAYER_EXP_MAX-D29)/L29,NA()))</f>
        <v>44386.449738574978</v>
      </c>
      <c r="N29" s="485" t="str">
        <f t="shared" ca="1" si="4"/>
        <v>073 D 11 H</v>
      </c>
    </row>
    <row r="30" spans="1:14" ht="14.65" customHeight="1" x14ac:dyDescent="0.25">
      <c r="A30" s="8">
        <v>44287.981944444444</v>
      </c>
      <c r="B30" s="42">
        <v>205</v>
      </c>
      <c r="C30" s="42">
        <v>64317</v>
      </c>
      <c r="D30" s="48">
        <f t="shared" si="0"/>
        <v>12623173</v>
      </c>
      <c r="E30" s="46">
        <f>IF(ISBLANK(A30),"-",D30/PLAYER_EXP_MAX)</f>
        <v>0.45409565246513939</v>
      </c>
      <c r="F30" s="51">
        <f ca="1">IF(ISBLANK(A30),NA(),IFERROR(SLOPE(INDIRECT("D" &amp; MATCH(A30-$B$1 / 24,A:A,1)):D30, INDIRECT("A" &amp; MATCH(A30-$B$1 / 24,A:A,1)):A30),NA()))</f>
        <v>605891.94312361639</v>
      </c>
      <c r="G30" s="58">
        <f ca="1">IF(ISBLANK(A30),NA(),IFERROR(A30+(PLAYER_EXP_MAX-D30)/F30,NA()))</f>
        <v>44313.028186059353</v>
      </c>
      <c r="H30" s="485" t="str">
        <f t="shared" ca="1" si="2"/>
        <v>000 D 01 H</v>
      </c>
      <c r="I30" s="51">
        <f ca="1">IF(ISBLANK(A30),NA(),IFERROR(SLOPE(INDIRECT("D" &amp; MATCH(A30-$C$1 / 24,A:A,1)):D30, INDIRECT("A" &amp; MATCH(A30-$C$1 / 24,A:A,1)):A30),NA()))</f>
        <v>351084.97486401274</v>
      </c>
      <c r="J30" s="58">
        <f ca="1">IF(ISBLANK(A30),NA(),IFERROR(A30+(PLAYER_EXP_MAX-D30)/I30,NA()))</f>
        <v>44331.205998694779</v>
      </c>
      <c r="K30" s="485" t="str">
        <f t="shared" ca="1" si="3"/>
        <v>018 D 05 H</v>
      </c>
      <c r="L30" s="51">
        <f ca="1">IF(ISBLANK(A30),NA(),IFERROR(SLOPE(INDIRECT("D" &amp; MATCH(A30-$D$1 / 24,A:A,1)):D30, INDIRECT("A" &amp; MATCH(A30-$D$1 / 24,A:A,1)):A30),NA()))</f>
        <v>186928.39296080498</v>
      </c>
      <c r="M30" s="58">
        <f ca="1">IF(ISBLANK(A30),NA(),IFERROR(A30+(PLAYER_EXP_MAX-D30)/L30,NA()))</f>
        <v>44369.164453744583</v>
      </c>
      <c r="N30" s="485" t="str">
        <f t="shared" ca="1" si="4"/>
        <v>056 D 04 H</v>
      </c>
    </row>
    <row r="31" spans="1:14" ht="14.65" customHeight="1" x14ac:dyDescent="0.25">
      <c r="A31" s="8">
        <v>44288.236111111109</v>
      </c>
      <c r="B31" s="42">
        <v>206</v>
      </c>
      <c r="C31" s="42">
        <v>246148</v>
      </c>
      <c r="D31" s="48">
        <f t="shared" si="0"/>
        <v>12704342</v>
      </c>
      <c r="E31" s="46">
        <f>IF(ISBLANK(A31),"-",D31/PLAYER_EXP_MAX)</f>
        <v>0.45701555937087085</v>
      </c>
      <c r="F31" s="51">
        <f ca="1">IF(ISBLANK(A31),NA(),IFERROR(SLOPE(INDIRECT("D" &amp; MATCH(A31-$B$1 / 24,A:A,1)):D31, INDIRECT("A" &amp; MATCH(A31-$B$1 / 24,A:A,1)):A31),NA()))</f>
        <v>319353.44262416975</v>
      </c>
      <c r="G31" s="58">
        <f ca="1">IF(ISBLANK(A31),NA(),IFERROR(A31+(PLAYER_EXP_MAX-D31)/F31,NA()))</f>
        <v>44335.500818439672</v>
      </c>
      <c r="H31" s="485" t="str">
        <f t="shared" ca="1" si="2"/>
        <v>022 D 12 H</v>
      </c>
      <c r="I31" s="51">
        <f ca="1">IF(ISBLANK(A31),NA(),IFERROR(SLOPE(INDIRECT("D" &amp; MATCH(A31-$C$1 / 24,A:A,1)):D31, INDIRECT("A" &amp; MATCH(A31-$C$1 / 24,A:A,1)):A31),NA()))</f>
        <v>423310.80539574806</v>
      </c>
      <c r="J31" s="58">
        <f ca="1">IF(ISBLANK(A31),NA(),IFERROR(A31+(PLAYER_EXP_MAX-D31)/I31,NA()))</f>
        <v>44323.893473993419</v>
      </c>
      <c r="K31" s="485" t="str">
        <f t="shared" ca="1" si="3"/>
        <v>010 D 21 H</v>
      </c>
      <c r="L31" s="51">
        <f ca="1">IF(ISBLANK(A31),NA(),IFERROR(SLOPE(INDIRECT("D" &amp; MATCH(A31-$D$1 / 24,A:A,1)):D31, INDIRECT("A" &amp; MATCH(A31-$D$1 / 24,A:A,1)):A31),NA()))</f>
        <v>213866.39776963473</v>
      </c>
      <c r="M31" s="58">
        <f ca="1">IF(ISBLANK(A31),NA(),IFERROR(A31+(PLAYER_EXP_MAX-D31)/L31,NA()))</f>
        <v>44358.813570484876</v>
      </c>
      <c r="N31" s="485" t="str">
        <f t="shared" ca="1" si="4"/>
        <v>045 D 20 H</v>
      </c>
    </row>
    <row r="32" spans="1:14" ht="14.65" customHeight="1" x14ac:dyDescent="0.25">
      <c r="A32" s="8">
        <v>44288.357638888891</v>
      </c>
      <c r="B32" s="42">
        <v>206</v>
      </c>
      <c r="C32" s="42">
        <v>194628</v>
      </c>
      <c r="D32" s="48">
        <f t="shared" si="0"/>
        <v>12755862</v>
      </c>
      <c r="E32" s="46">
        <f>IF(ISBLANK(A32),"-",D32/PLAYER_EXP_MAX)</f>
        <v>0.45886889751453758</v>
      </c>
      <c r="F32" s="51">
        <f ca="1">IF(ISBLANK(A32),NA(),IFERROR(SLOPE(INDIRECT("D" &amp; MATCH(A32-$B$1 / 24,A:A,1)):D32, INDIRECT("A" &amp; MATCH(A32-$B$1 / 24,A:A,1)):A32),NA()))</f>
        <v>348011.39897775516</v>
      </c>
      <c r="G32" s="58">
        <f ca="1">IF(ISBLANK(A32),NA(),IFERROR(A32+(PLAYER_EXP_MAX-D32)/F32,NA()))</f>
        <v>44331.582162695253</v>
      </c>
      <c r="H32" s="485" t="str">
        <f t="shared" ca="1" si="2"/>
        <v>018 D 14 H</v>
      </c>
      <c r="I32" s="51">
        <f ca="1">IF(ISBLANK(A32),NA(),IFERROR(SLOPE(INDIRECT("D" &amp; MATCH(A32-$C$1 / 24,A:A,1)):D32, INDIRECT("A" &amp; MATCH(A32-$C$1 / 24,A:A,1)):A32),NA()))</f>
        <v>430740.70793246961</v>
      </c>
      <c r="J32" s="58">
        <f ca="1">IF(ISBLANK(A32),NA(),IFERROR(A32+(PLAYER_EXP_MAX-D32)/I32,NA()))</f>
        <v>44323.280335357966</v>
      </c>
      <c r="K32" s="485" t="str">
        <f t="shared" ca="1" si="3"/>
        <v>010 D 07 H</v>
      </c>
      <c r="L32" s="51">
        <f ca="1">IF(ISBLANK(A32),NA(),IFERROR(SLOPE(INDIRECT("D" &amp; MATCH(A32-$D$1 / 24,A:A,1)):D32, INDIRECT("A" &amp; MATCH(A32-$D$1 / 24,A:A,1)):A32),NA()))</f>
        <v>231275.04576982255</v>
      </c>
      <c r="M32" s="58">
        <f ca="1">IF(ISBLANK(A32),NA(),IFERROR(A32+(PLAYER_EXP_MAX-D32)/L32,NA()))</f>
        <v>44353.399792269207</v>
      </c>
      <c r="N32" s="485" t="str">
        <f t="shared" ca="1" si="4"/>
        <v>040 D 10 H</v>
      </c>
    </row>
    <row r="33" spans="1:14" ht="14.65" customHeight="1" x14ac:dyDescent="0.25">
      <c r="A33" s="8">
        <v>44288.935416666667</v>
      </c>
      <c r="B33" s="42">
        <v>206</v>
      </c>
      <c r="C33" s="42">
        <v>25008</v>
      </c>
      <c r="D33" s="48">
        <f t="shared" si="0"/>
        <v>12925482</v>
      </c>
      <c r="E33" s="46">
        <f>IF(ISBLANK(A33),"-",D33/PLAYER_EXP_MAX)</f>
        <v>0.46497066801004905</v>
      </c>
      <c r="F33" s="51">
        <f ca="1">IF(ISBLANK(A33),NA(),IFERROR(SLOPE(INDIRECT("D" &amp; MATCH(A33-$B$1 / 24,A:A,1)):D33, INDIRECT("A" &amp; MATCH(A33-$B$1 / 24,A:A,1)):A33),NA()))</f>
        <v>293573.07692365203</v>
      </c>
      <c r="G33" s="58">
        <f ca="1">IF(ISBLANK(A33),NA(),IFERROR(A33+(PLAYER_EXP_MAX-D33)/F33,NA()))</f>
        <v>44339.597443157152</v>
      </c>
      <c r="H33" s="485" t="str">
        <f t="shared" ca="1" si="2"/>
        <v>026 D 14 H</v>
      </c>
      <c r="I33" s="51">
        <f ca="1">IF(ISBLANK(A33),NA(),IFERROR(SLOPE(INDIRECT("D" &amp; MATCH(A33-$C$1 / 24,A:A,1)):D33, INDIRECT("A" &amp; MATCH(A33-$C$1 / 24,A:A,1)):A33),NA()))</f>
        <v>372654.11215946672</v>
      </c>
      <c r="J33" s="58">
        <f ca="1">IF(ISBLANK(A33),NA(),IFERROR(A33+(PLAYER_EXP_MAX-D33)/I33,NA()))</f>
        <v>44328.846440092151</v>
      </c>
      <c r="K33" s="485" t="str">
        <f t="shared" ca="1" si="3"/>
        <v>015 D 20 H</v>
      </c>
      <c r="L33" s="51">
        <f ca="1">IF(ISBLANK(A33),NA(),IFERROR(SLOPE(INDIRECT("D" &amp; MATCH(A33-$D$1 / 24,A:A,1)):D33, INDIRECT("A" &amp; MATCH(A33-$D$1 / 24,A:A,1)):A33),NA()))</f>
        <v>292534.81410800852</v>
      </c>
      <c r="M33" s="58">
        <f ca="1">IF(ISBLANK(A33),NA(),IFERROR(A33+(PLAYER_EXP_MAX-D33)/L33,NA()))</f>
        <v>44339.777252519096</v>
      </c>
      <c r="N33" s="485" t="str">
        <f t="shared" ca="1" si="4"/>
        <v>026 D 19 H</v>
      </c>
    </row>
    <row r="34" spans="1:14" ht="14.65" customHeight="1" x14ac:dyDescent="0.25">
      <c r="A34" s="8">
        <v>44289.007638888892</v>
      </c>
      <c r="B34" s="42">
        <v>207</v>
      </c>
      <c r="C34" s="42">
        <v>245548</v>
      </c>
      <c r="D34" s="48">
        <f t="shared" si="0"/>
        <v>12971942</v>
      </c>
      <c r="E34" s="46">
        <f>IF(ISBLANK(A34),"-",D34/PLAYER_EXP_MAX)</f>
        <v>0.46664198187174849</v>
      </c>
      <c r="F34" s="51">
        <f ca="1">IF(ISBLANK(A34),NA(),IFERROR(SLOPE(INDIRECT("D" &amp; MATCH(A34-$B$1 / 24,A:A,1)):D34, INDIRECT("A" &amp; MATCH(A34-$B$1 / 24,A:A,1)):A34),NA()))</f>
        <v>317526.44889349159</v>
      </c>
      <c r="G34" s="58">
        <f ca="1">IF(ISBLANK(A34),NA(),IFERROR(A34+(PLAYER_EXP_MAX-D34)/F34,NA()))</f>
        <v>44335.701534945954</v>
      </c>
      <c r="H34" s="485" t="str">
        <f t="shared" ca="1" si="2"/>
        <v>022 D 17 H</v>
      </c>
      <c r="I34" s="51">
        <f ca="1">IF(ISBLANK(A34),NA(),IFERROR(SLOPE(INDIRECT("D" &amp; MATCH(A34-$C$1 / 24,A:A,1)):D34, INDIRECT("A" &amp; MATCH(A34-$C$1 / 24,A:A,1)):A34),NA()))</f>
        <v>329144.82996228838</v>
      </c>
      <c r="J34" s="58">
        <f ca="1">IF(ISBLANK(A34),NA(),IFERROR(A34+(PLAYER_EXP_MAX-D34)/I34,NA()))</f>
        <v>44334.05330161949</v>
      </c>
      <c r="K34" s="485" t="str">
        <f t="shared" ca="1" si="3"/>
        <v>021 D 01 H</v>
      </c>
      <c r="L34" s="51">
        <f ca="1">IF(ISBLANK(A34),NA(),IFERROR(SLOPE(INDIRECT("D" &amp; MATCH(A34-$D$1 / 24,A:A,1)):D34, INDIRECT("A" &amp; MATCH(A34-$D$1 / 24,A:A,1)):A34),NA()))</f>
        <v>304258.52314855292</v>
      </c>
      <c r="M34" s="58">
        <f ca="1">IF(ISBLANK(A34),NA(),IFERROR(A34+(PLAYER_EXP_MAX-D34)/L34,NA()))</f>
        <v>44337.737734751354</v>
      </c>
      <c r="N34" s="485" t="str">
        <f t="shared" ca="1" si="4"/>
        <v>024 D 18 H</v>
      </c>
    </row>
    <row r="35" spans="1:14" ht="14.65" customHeight="1" x14ac:dyDescent="0.25">
      <c r="A35" s="8">
        <v>44289.131249999999</v>
      </c>
      <c r="B35" s="42">
        <v>207</v>
      </c>
      <c r="C35" s="42">
        <v>189060</v>
      </c>
      <c r="D35" s="48">
        <f t="shared" si="0"/>
        <v>13028430</v>
      </c>
      <c r="E35" s="46">
        <f>IF(ISBLANK(A35),"-",D35/PLAYER_EXP_MAX)</f>
        <v>0.46867403476498309</v>
      </c>
      <c r="F35" s="51">
        <f ca="1">IF(ISBLANK(A35),NA(),IFERROR(SLOPE(INDIRECT("D" &amp; MATCH(A35-$B$1 / 24,A:A,1)):D35, INDIRECT("A" &amp; MATCH(A35-$B$1 / 24,A:A,1)):A35),NA()))</f>
        <v>339416.19098494761</v>
      </c>
      <c r="G35" s="58">
        <f ca="1">IF(ISBLANK(A35),NA(),IFERROR(A35+(PLAYER_EXP_MAX-D35)/F35,NA()))</f>
        <v>44332.647320807169</v>
      </c>
      <c r="H35" s="485" t="str">
        <f t="shared" ca="1" si="2"/>
        <v>019 D 16 H</v>
      </c>
      <c r="I35" s="51">
        <f ca="1">IF(ISBLANK(A35),NA(),IFERROR(SLOPE(INDIRECT("D" &amp; MATCH(A35-$C$1 / 24,A:A,1)):D35, INDIRECT("A" &amp; MATCH(A35-$C$1 / 24,A:A,1)):A35),NA()))</f>
        <v>341014.11993686249</v>
      </c>
      <c r="J35" s="58">
        <f ca="1">IF(ISBLANK(A35),NA(),IFERROR(A35+(PLAYER_EXP_MAX-D35)/I35,NA()))</f>
        <v>44332.443412565975</v>
      </c>
      <c r="K35" s="485" t="str">
        <f t="shared" ca="1" si="3"/>
        <v>019 D 11 H</v>
      </c>
      <c r="L35" s="51">
        <f ca="1">IF(ISBLANK(A35),NA(),IFERROR(SLOPE(INDIRECT("D" &amp; MATCH(A35-$D$1 / 24,A:A,1)):D35, INDIRECT("A" &amp; MATCH(A35-$D$1 / 24,A:A,1)):A35),NA()))</f>
        <v>313423.25182837486</v>
      </c>
      <c r="M35" s="58">
        <f ca="1">IF(ISBLANK(A35),NA(),IFERROR(A35+(PLAYER_EXP_MAX-D35)/L35,NA()))</f>
        <v>44336.256212534965</v>
      </c>
      <c r="N35" s="485" t="str">
        <f t="shared" ca="1" si="4"/>
        <v>023 D 06 H</v>
      </c>
    </row>
    <row r="36" spans="1:14" ht="14.65" customHeight="1" x14ac:dyDescent="0.25">
      <c r="A36" s="8">
        <v>44289.244444444441</v>
      </c>
      <c r="B36" s="42">
        <v>207</v>
      </c>
      <c r="C36" s="42">
        <v>140600</v>
      </c>
      <c r="D36" s="49">
        <f t="shared" si="0"/>
        <v>13076890</v>
      </c>
      <c r="E36" s="46">
        <f>IF(ISBLANK(A36),"-",D36/PLAYER_EXP_MAX)</f>
        <v>0.47041729498319135</v>
      </c>
      <c r="F36" s="51">
        <f ca="1">IF(ISBLANK(A36),NA(),IFERROR(SLOPE(INDIRECT("D" &amp; MATCH(A36-$B$1 / 24,A:A,1)):D36, INDIRECT("A" &amp; MATCH(A36-$B$1 / 24,A:A,1)):A36),NA()))</f>
        <v>482119.03919429291</v>
      </c>
      <c r="G36" s="58">
        <f ca="1">IF(ISBLANK(A36),NA(),IFERROR(A36+(PLAYER_EXP_MAX-D36)/F36,NA()))</f>
        <v>44319.779639703695</v>
      </c>
      <c r="H36" s="485" t="str">
        <f t="shared" ca="1" si="2"/>
        <v>006 D 19 H</v>
      </c>
      <c r="I36" s="51">
        <f ca="1">IF(ISBLANK(A36),NA(),IFERROR(SLOPE(INDIRECT("D" &amp; MATCH(A36-$C$1 / 24,A:A,1)):D36, INDIRECT("A" &amp; MATCH(A36-$C$1 / 24,A:A,1)):A36),NA()))</f>
        <v>354964.72796199832</v>
      </c>
      <c r="J36" s="58">
        <f ca="1">IF(ISBLANK(A36),NA(),IFERROR(A36+(PLAYER_EXP_MAX-D36)/I36,NA()))</f>
        <v>44330.717858111551</v>
      </c>
      <c r="K36" s="485" t="str">
        <f t="shared" ca="1" si="3"/>
        <v>017 D 17 H</v>
      </c>
      <c r="L36" s="51">
        <f ca="1">IF(ISBLANK(A36),NA(),IFERROR(SLOPE(INDIRECT("D" &amp; MATCH(A36-$D$1 / 24,A:A,1)):D36, INDIRECT("A" &amp; MATCH(A36-$D$1 / 24,A:A,1)):A36),NA()))</f>
        <v>345307.86231574032</v>
      </c>
      <c r="M36" s="58">
        <f ca="1">IF(ISBLANK(A36),NA(),IFERROR(A36+(PLAYER_EXP_MAX-D36)/L36,NA()))</f>
        <v>44331.877701912927</v>
      </c>
      <c r="N36" s="485" t="str">
        <f t="shared" ca="1" si="4"/>
        <v>018 D 21 H</v>
      </c>
    </row>
    <row r="37" spans="1:14" ht="14.65" customHeight="1" x14ac:dyDescent="0.25">
      <c r="A37" s="8">
        <v>44289.372916666667</v>
      </c>
      <c r="B37" s="42">
        <v>207</v>
      </c>
      <c r="C37" s="42">
        <v>57800</v>
      </c>
      <c r="D37" s="49">
        <f t="shared" si="0"/>
        <v>13159690</v>
      </c>
      <c r="E37" s="46">
        <f>IF(ISBLANK(A37),"-",D37/PLAYER_EXP_MAX)</f>
        <v>0.47339587414265571</v>
      </c>
      <c r="F37" s="51">
        <f ca="1">IF(ISBLANK(A37),NA(),IFERROR(SLOPE(INDIRECT("D" &amp; MATCH(A37-$B$1 / 24,A:A,1)):D37, INDIRECT("A" &amp; MATCH(A37-$B$1 / 24,A:A,1)):A37),NA()))</f>
        <v>506859.37359826197</v>
      </c>
      <c r="G37" s="58">
        <f ca="1">IF(ISBLANK(A37),NA(),IFERROR(A37+(PLAYER_EXP_MAX-D37)/F37,NA()))</f>
        <v>44318.254298293446</v>
      </c>
      <c r="H37" s="485" t="str">
        <f t="shared" ca="1" si="2"/>
        <v>005 D 06 H</v>
      </c>
      <c r="I37" s="51">
        <f ca="1">IF(ISBLANK(A37),NA(),IFERROR(SLOPE(INDIRECT("D" &amp; MATCH(A37-$C$1 / 24,A:A,1)):D37, INDIRECT("A" &amp; MATCH(A37-$C$1 / 24,A:A,1)):A37),NA()))</f>
        <v>386044.07730265934</v>
      </c>
      <c r="J37" s="58">
        <f ca="1">IF(ISBLANK(A37),NA(),IFERROR(A37+(PLAYER_EXP_MAX-D37)/I37,NA()))</f>
        <v>44327.292936324222</v>
      </c>
      <c r="K37" s="485" t="str">
        <f t="shared" ca="1" si="3"/>
        <v>014 D 07 H</v>
      </c>
      <c r="L37" s="51">
        <f ca="1">IF(ISBLANK(A37),NA(),IFERROR(SLOPE(INDIRECT("D" &amp; MATCH(A37-$D$1 / 24,A:A,1)):D37, INDIRECT("A" &amp; MATCH(A37-$D$1 / 24,A:A,1)):A37),NA()))</f>
        <v>352785.31014784175</v>
      </c>
      <c r="M37" s="58">
        <f ca="1">IF(ISBLANK(A37),NA(),IFERROR(A37+(PLAYER_EXP_MAX-D37)/L37,NA()))</f>
        <v>44330.867838872655</v>
      </c>
      <c r="N37" s="485" t="str">
        <f t="shared" ca="1" si="4"/>
        <v>017 D 21 H</v>
      </c>
    </row>
    <row r="38" spans="1:14" ht="14.65" customHeight="1" x14ac:dyDescent="0.25">
      <c r="A38" s="8">
        <v>44289.854166666664</v>
      </c>
      <c r="B38" s="42">
        <v>208</v>
      </c>
      <c r="C38" s="42">
        <v>22900</v>
      </c>
      <c r="D38" s="49">
        <f t="shared" si="0"/>
        <v>13465590</v>
      </c>
      <c r="E38" s="46">
        <f>IF(ISBLANK(A38),"-",D38/PLAYER_EXP_MAX)</f>
        <v>0.48440006937067692</v>
      </c>
      <c r="F38" s="51">
        <f ca="1">IF(ISBLANK(A38),NA(),IFERROR(SLOPE(INDIRECT("D" &amp; MATCH(A38-$B$1 / 24,A:A,1)):D38, INDIRECT("A" &amp; MATCH(A38-$B$1 / 24,A:A,1)):A38),NA()))</f>
        <v>635636.36364020768</v>
      </c>
      <c r="G38" s="58">
        <f ca="1">IF(ISBLANK(A38),NA(),IFERROR(A38+(PLAYER_EXP_MAX-D38)/F38,NA()))</f>
        <v>44312.403063834718</v>
      </c>
      <c r="H38" s="485" t="str">
        <f t="shared" ca="1" si="2"/>
        <v>000 D 13 H</v>
      </c>
      <c r="I38" s="51">
        <f ca="1">IF(ISBLANK(A38),NA(),IFERROR(SLOPE(INDIRECT("D" &amp; MATCH(A38-$C$1 / 24,A:A,1)):D38, INDIRECT("A" &amp; MATCH(A38-$C$1 / 24,A:A,1)):A38),NA()))</f>
        <v>474875.42756224232</v>
      </c>
      <c r="J38" s="58">
        <f ca="1">IF(ISBLANK(A38),NA(),IFERROR(A38+(PLAYER_EXP_MAX-D38)/I38,NA()))</f>
        <v>44320.03660645635</v>
      </c>
      <c r="K38" s="485" t="str">
        <f t="shared" ca="1" si="3"/>
        <v>007 D 01 H</v>
      </c>
      <c r="L38" s="51">
        <f ca="1">IF(ISBLANK(A38),NA(),IFERROR(SLOPE(INDIRECT("D" &amp; MATCH(A38-$D$1 / 24,A:A,1)):D38, INDIRECT("A" &amp; MATCH(A38-$D$1 / 24,A:A,1)):A38),NA()))</f>
        <v>395276.98126607656</v>
      </c>
      <c r="M38" s="58">
        <f ca="1">IF(ISBLANK(A38),NA(),IFERROR(A38+(PLAYER_EXP_MAX-D38)/L38,NA()))</f>
        <v>44326.114560464681</v>
      </c>
      <c r="N38" s="485" t="str">
        <f t="shared" ca="1" si="4"/>
        <v>013 D 03 H</v>
      </c>
    </row>
    <row r="39" spans="1:14" ht="14.65" customHeight="1" x14ac:dyDescent="0.25">
      <c r="A39" s="8">
        <v>44289.911805555559</v>
      </c>
      <c r="B39" s="42">
        <v>209</v>
      </c>
      <c r="C39" s="42">
        <v>265700</v>
      </c>
      <c r="D39" s="49">
        <f t="shared" si="0"/>
        <v>13497790</v>
      </c>
      <c r="E39" s="46">
        <f>IF(ISBLANK(A39),"-",D39/PLAYER_EXP_MAX)</f>
        <v>0.48555840571046865</v>
      </c>
      <c r="F39" s="51">
        <f ca="1">IF(ISBLANK(A39),NA(),IFERROR(SLOPE(INDIRECT("D" &amp; MATCH(A39-$B$1 / 24,A:A,1)):D39, INDIRECT("A" &amp; MATCH(A39-$B$1 / 24,A:A,1)):A39),NA()))</f>
        <v>630597.5467120948</v>
      </c>
      <c r="G39" s="58">
        <f ca="1">IF(ISBLANK(A39),NA(),IFERROR(A39+(PLAYER_EXP_MAX-D39)/F39,NA()))</f>
        <v>44312.589817981338</v>
      </c>
      <c r="H39" s="485" t="str">
        <f t="shared" ca="1" si="2"/>
        <v>000 D 09 H</v>
      </c>
      <c r="I39" s="51">
        <f ca="1">IF(ISBLANK(A39),NA(),IFERROR(SLOPE(INDIRECT("D" &amp; MATCH(A39-$C$1 / 24,A:A,1)):D39, INDIRECT("A" &amp; MATCH(A39-$C$1 / 24,A:A,1)):A39),NA()))</f>
        <v>502258.37532575516</v>
      </c>
      <c r="J39" s="58">
        <f ca="1">IF(ISBLANK(A39),NA(),IFERROR(A39+(PLAYER_EXP_MAX-D39)/I39,NA()))</f>
        <v>44318.384599047007</v>
      </c>
      <c r="K39" s="485" t="str">
        <f t="shared" ca="1" si="3"/>
        <v>005 D 09 H</v>
      </c>
      <c r="L39" s="51">
        <f ca="1">IF(ISBLANK(A39),NA(),IFERROR(SLOPE(INDIRECT("D" &amp; MATCH(A39-$D$1 / 24,A:A,1)):D39, INDIRECT("A" &amp; MATCH(A39-$D$1 / 24,A:A,1)):A39),NA()))</f>
        <v>407865.46437200066</v>
      </c>
      <c r="M39" s="58">
        <f ca="1">IF(ISBLANK(A39),NA(),IFERROR(A39+(PLAYER_EXP_MAX-D39)/L39,NA()))</f>
        <v>44324.974099986444</v>
      </c>
      <c r="N39" s="485" t="str">
        <f t="shared" ca="1" si="4"/>
        <v>011 D 23 H</v>
      </c>
    </row>
    <row r="40" spans="1:14" ht="14.65" customHeight="1" x14ac:dyDescent="0.25">
      <c r="A40" s="8">
        <v>44289.962500000001</v>
      </c>
      <c r="B40" s="42">
        <v>209</v>
      </c>
      <c r="C40" s="42">
        <v>237180</v>
      </c>
      <c r="D40" s="49">
        <f t="shared" si="0"/>
        <v>13526310</v>
      </c>
      <c r="E40" s="46">
        <f>IF(ISBLANK(A40),"-",D40/PLAYER_EXP_MAX)</f>
        <v>0.48658436075428418</v>
      </c>
      <c r="F40" s="51">
        <f ca="1">IF(ISBLANK(A40),NA(),IFERROR(SLOPE(INDIRECT("D" &amp; MATCH(A40-$B$1 / 24,A:A,1)):D40, INDIRECT("A" &amp; MATCH(A40-$B$1 / 24,A:A,1)):A40),NA()))</f>
        <v>626037.81234601536</v>
      </c>
      <c r="G40" s="58">
        <f ca="1">IF(ISBLANK(A40),NA(),IFERROR(A40+(PLAYER_EXP_MAX-D40)/F40,NA()))</f>
        <v>44312.760130939445</v>
      </c>
      <c r="H40" s="485" t="str">
        <f t="shared" ca="1" si="2"/>
        <v>000 D 05 H</v>
      </c>
      <c r="I40" s="51">
        <f ca="1">IF(ISBLANK(A40),NA(),IFERROR(SLOPE(INDIRECT("D" &amp; MATCH(A40-$C$1 / 24,A:A,1)):D40, INDIRECT("A" &amp; MATCH(A40-$C$1 / 24,A:A,1)):A40),NA()))</f>
        <v>592946.54937644326</v>
      </c>
      <c r="J40" s="58">
        <f ca="1">IF(ISBLANK(A40),NA(),IFERROR(A40+(PLAYER_EXP_MAX-D40)/I40,NA()))</f>
        <v>44314.032425046382</v>
      </c>
      <c r="K40" s="485" t="str">
        <f t="shared" ca="1" si="3"/>
        <v>001 D 01 H</v>
      </c>
      <c r="L40" s="51">
        <f ca="1">IF(ISBLANK(A40),NA(),IFERROR(SLOPE(INDIRECT("D" &amp; MATCH(A40-$D$1 / 24,A:A,1)):D40, INDIRECT("A" &amp; MATCH(A40-$D$1 / 24,A:A,1)):A40),NA()))</f>
        <v>433588.00637459534</v>
      </c>
      <c r="M40" s="58">
        <f ca="1">IF(ISBLANK(A40),NA(),IFERROR(A40+(PLAYER_EXP_MAX-D40)/L40,NA()))</f>
        <v>44322.878952462182</v>
      </c>
      <c r="N40" s="485" t="str">
        <f t="shared" ca="1" si="4"/>
        <v>009 D 21 H</v>
      </c>
    </row>
    <row r="41" spans="1:14" ht="14.65" customHeight="1" x14ac:dyDescent="0.25">
      <c r="A41" s="8">
        <v>44289.984027777777</v>
      </c>
      <c r="B41" s="42">
        <v>209</v>
      </c>
      <c r="C41" s="42">
        <v>222920</v>
      </c>
      <c r="D41" s="49">
        <f t="shared" si="0"/>
        <v>13540570</v>
      </c>
      <c r="E41" s="46">
        <f>IF(ISBLANK(A41),"-",D41/PLAYER_EXP_MAX)</f>
        <v>0.48709733827619189</v>
      </c>
      <c r="F41" s="51">
        <f ca="1">IF(ISBLANK(A41),NA(),IFERROR(SLOPE(INDIRECT("D" &amp; MATCH(A41-$B$1 / 24,A:A,1)):D41, INDIRECT("A" &amp; MATCH(A41-$B$1 / 24,A:A,1)):A41),NA()))</f>
        <v>624465.65443741716</v>
      </c>
      <c r="G41" s="58">
        <f ca="1">IF(ISBLANK(A41),NA(),IFERROR(A41+(PLAYER_EXP_MAX-D41)/F41,NA()))</f>
        <v>44312.816218625558</v>
      </c>
      <c r="H41" s="485" t="str">
        <f t="shared" ca="1" si="2"/>
        <v>000 D 03 H</v>
      </c>
      <c r="I41" s="51">
        <f ca="1">IF(ISBLANK(A41),NA(),IFERROR(SLOPE(INDIRECT("D" &amp; MATCH(A41-$C$1 / 24,A:A,1)):D41, INDIRECT("A" &amp; MATCH(A41-$C$1 / 24,A:A,1)):A41),NA()))</f>
        <v>594271.57703667064</v>
      </c>
      <c r="J41" s="58">
        <f ca="1">IF(ISBLANK(A41),NA(),IFERROR(A41+(PLAYER_EXP_MAX-D41)/I41,NA()))</f>
        <v>44313.976289146049</v>
      </c>
      <c r="K41" s="485" t="str">
        <f t="shared" ca="1" si="3"/>
        <v>000 D 23 H</v>
      </c>
      <c r="L41" s="51">
        <f ca="1">IF(ISBLANK(A41),NA(),IFERROR(SLOPE(INDIRECT("D" &amp; MATCH(A41-$D$1 / 24,A:A,1)):D41, INDIRECT("A" &amp; MATCH(A41-$D$1 / 24,A:A,1)):A41),NA()))</f>
        <v>439955.8482308035</v>
      </c>
      <c r="M41" s="58">
        <f ca="1">IF(ISBLANK(A41),NA(),IFERROR(A41+(PLAYER_EXP_MAX-D41)/L41,NA()))</f>
        <v>44322.3916410811</v>
      </c>
      <c r="N41" s="485" t="str">
        <f t="shared" ca="1" si="4"/>
        <v>009 D 09 H</v>
      </c>
    </row>
    <row r="42" spans="1:14" ht="14.65" customHeight="1" x14ac:dyDescent="0.25">
      <c r="A42" s="8">
        <v>44290.151388888888</v>
      </c>
      <c r="B42" s="42">
        <v>209</v>
      </c>
      <c r="C42" s="42">
        <v>130754</v>
      </c>
      <c r="D42" s="49">
        <f t="shared" si="0"/>
        <v>13632736</v>
      </c>
      <c r="E42" s="46">
        <f>IF(ISBLANK(A42),"-",D42/PLAYER_EXP_MAX)</f>
        <v>0.49041284222318704</v>
      </c>
      <c r="F42" s="51">
        <f ca="1">IF(ISBLANK(A42),NA(),IFERROR(SLOPE(INDIRECT("D" &amp; MATCH(A42-$B$1 / 24,A:A,1)):D42, INDIRECT("A" &amp; MATCH(A42-$B$1 / 24,A:A,1)):A42),NA()))</f>
        <v>563102.93917597178</v>
      </c>
      <c r="G42" s="58">
        <f ca="1">IF(ISBLANK(A42),NA(),IFERROR(A42+(PLAYER_EXP_MAX-D42)/F42,NA()))</f>
        <v>44315.307984627369</v>
      </c>
      <c r="H42" s="485" t="str">
        <f t="shared" ca="1" si="2"/>
        <v>002 D 07 H</v>
      </c>
      <c r="I42" s="51">
        <f ca="1">IF(ISBLANK(A42),NA(),IFERROR(SLOPE(INDIRECT("D" &amp; MATCH(A42-$C$1 / 24,A:A,1)):D42, INDIRECT("A" &amp; MATCH(A42-$C$1 / 24,A:A,1)):A42),NA()))</f>
        <v>609957.30740278878</v>
      </c>
      <c r="J42" s="58">
        <f ca="1">IF(ISBLANK(A42),NA(),IFERROR(A42+(PLAYER_EXP_MAX-D42)/I42,NA()))</f>
        <v>44313.375560200679</v>
      </c>
      <c r="K42" s="485" t="str">
        <f t="shared" ca="1" si="3"/>
        <v>000 D 09 H</v>
      </c>
      <c r="L42" s="51">
        <f ca="1">IF(ISBLANK(A42),NA(),IFERROR(SLOPE(INDIRECT("D" &amp; MATCH(A42-$D$1 / 24,A:A,1)):D42, INDIRECT("A" &amp; MATCH(A42-$D$1 / 24,A:A,1)):A42),NA()))</f>
        <v>458219.94039726513</v>
      </c>
      <c r="M42" s="58">
        <f ca="1">IF(ISBLANK(A42),NA(),IFERROR(A42+(PLAYER_EXP_MAX-D42)/L42,NA()))</f>
        <v>44321.066134737179</v>
      </c>
      <c r="N42" s="485" t="str">
        <f t="shared" ca="1" si="4"/>
        <v>008 D 02 H</v>
      </c>
    </row>
    <row r="43" spans="1:14" ht="14.65" customHeight="1" x14ac:dyDescent="0.25">
      <c r="A43" s="8">
        <v>44290.236805555556</v>
      </c>
      <c r="B43" s="42">
        <v>209</v>
      </c>
      <c r="C43" s="42">
        <v>82454</v>
      </c>
      <c r="D43" s="49">
        <f t="shared" si="0"/>
        <v>13681036</v>
      </c>
      <c r="E43" s="46">
        <f>IF(ISBLANK(A43),"-",D43/PLAYER_EXP_MAX)</f>
        <v>0.49215034673287456</v>
      </c>
      <c r="F43" s="51">
        <f ca="1">IF(ISBLANK(A43),NA(),IFERROR(SLOPE(INDIRECT("D" &amp; MATCH(A43-$B$1 / 24,A:A,1)):D43, INDIRECT("A" &amp; MATCH(A43-$B$1 / 24,A:A,1)):A43),NA()))</f>
        <v>555000.06416598207</v>
      </c>
      <c r="G43" s="58">
        <f ca="1">IF(ISBLANK(A43),NA(),IFERROR(A43+(PLAYER_EXP_MAX-D43)/F43,NA()))</f>
        <v>44315.673654866943</v>
      </c>
      <c r="H43" s="485" t="str">
        <f t="shared" ca="1" si="2"/>
        <v>002 D 16 H</v>
      </c>
      <c r="I43" s="51">
        <f ca="1">IF(ISBLANK(A43),NA(),IFERROR(SLOPE(INDIRECT("D" &amp; MATCH(A43-$C$1 / 24,A:A,1)):D43, INDIRECT("A" &amp; MATCH(A43-$C$1 / 24,A:A,1)):A43),NA()))</f>
        <v>605816.90581261239</v>
      </c>
      <c r="J43" s="58">
        <f ca="1">IF(ISBLANK(A43),NA(),IFERROR(A43+(PLAYER_EXP_MAX-D43)/I43,NA()))</f>
        <v>44313.53997333537</v>
      </c>
      <c r="K43" s="485" t="str">
        <f t="shared" ca="1" si="3"/>
        <v>000 D 13 H</v>
      </c>
      <c r="L43" s="51">
        <f ca="1">IF(ISBLANK(A43),NA(),IFERROR(SLOPE(INDIRECT("D" &amp; MATCH(A43-$D$1 / 24,A:A,1)):D43, INDIRECT("A" &amp; MATCH(A43-$D$1 / 24,A:A,1)):A43),NA()))</f>
        <v>463542.17731220514</v>
      </c>
      <c r="M43" s="58">
        <f ca="1">IF(ISBLANK(A43),NA(),IFERROR(A43+(PLAYER_EXP_MAX-D43)/L43,NA()))</f>
        <v>44320.692400948967</v>
      </c>
      <c r="N43" s="485" t="str">
        <f t="shared" ca="1" si="4"/>
        <v>007 D 17 H</v>
      </c>
    </row>
    <row r="44" spans="1:14" ht="14.65" customHeight="1" x14ac:dyDescent="0.25">
      <c r="A44" s="8">
        <v>44290.418749999997</v>
      </c>
      <c r="B44" s="42">
        <v>210</v>
      </c>
      <c r="C44" s="42">
        <v>252894</v>
      </c>
      <c r="D44" s="50">
        <f t="shared" si="0"/>
        <v>13789596</v>
      </c>
      <c r="E44" s="46">
        <f>IF(ISBLANK(A44),"-",D44/PLAYER_EXP_MAX)</f>
        <v>0.49605559496417234</v>
      </c>
      <c r="F44" s="51">
        <f ca="1">IF(ISBLANK(A44),NA(),IFERROR(SLOPE(INDIRECT("D" &amp; MATCH(A44-$B$1 / 24,A:A,1)):D44, INDIRECT("A" &amp; MATCH(A44-$B$1 / 24,A:A,1)):A44),NA()))</f>
        <v>588261.95398709003</v>
      </c>
      <c r="G44" s="58">
        <f ca="1">IF(ISBLANK(A44),NA(),IFERROR(A44+(PLAYER_EXP_MAX-D44)/F44,NA()))</f>
        <v>44314.232788805413</v>
      </c>
      <c r="H44" s="485" t="str">
        <f t="shared" ca="1" si="2"/>
        <v>001 D 06 H</v>
      </c>
      <c r="I44" s="51">
        <f ca="1">IF(ISBLANK(A44),NA(),IFERROR(SLOPE(INDIRECT("D" &amp; MATCH(A44-$C$1 / 24,A:A,1)):D44, INDIRECT("A" &amp; MATCH(A44-$C$1 / 24,A:A,1)):A44),NA()))</f>
        <v>598607.58386422775</v>
      </c>
      <c r="J44" s="58">
        <f ca="1">IF(ISBLANK(A44),NA(),IFERROR(A44+(PLAYER_EXP_MAX-D44)/I44,NA()))</f>
        <v>44313.821214949683</v>
      </c>
      <c r="K44" s="485" t="str">
        <f t="shared" ca="1" si="3"/>
        <v>000 D 20 H</v>
      </c>
      <c r="L44" s="51">
        <f ca="1">IF(ISBLANK(A44),NA(),IFERROR(SLOPE(INDIRECT("D" &amp; MATCH(A44-$D$1 / 24,A:A,1)):D44, INDIRECT("A" &amp; MATCH(A44-$D$1 / 24,A:A,1)):A44),NA()))</f>
        <v>469550.02345032879</v>
      </c>
      <c r="M44" s="58">
        <f ca="1">IF(ISBLANK(A44),NA(),IFERROR(A44+(PLAYER_EXP_MAX-D44)/L44,NA()))</f>
        <v>44320.253468987037</v>
      </c>
      <c r="N44" s="485" t="str">
        <f t="shared" ca="1" si="4"/>
        <v>007 D 06 H</v>
      </c>
    </row>
    <row r="45" spans="1:14" ht="14.65" customHeight="1" x14ac:dyDescent="0.25">
      <c r="A45" s="8">
        <v>44290.500694444447</v>
      </c>
      <c r="B45" s="42">
        <v>210</v>
      </c>
      <c r="C45" s="42">
        <v>205514</v>
      </c>
      <c r="D45" s="50">
        <f t="shared" si="0"/>
        <v>13836976</v>
      </c>
      <c r="E45" s="46">
        <f>IF(ISBLANK(A45),"-",D45/PLAYER_EXP_MAX)</f>
        <v>0.49776000414986582</v>
      </c>
      <c r="F45" s="51">
        <f ca="1">IF(ISBLANK(A45),NA(),IFERROR(SLOPE(INDIRECT("D" &amp; MATCH(A45-$B$1 / 24,A:A,1)):D45, INDIRECT("A" &amp; MATCH(A45-$B$1 / 24,A:A,1)):A45),NA()))</f>
        <v>591883.85322922608</v>
      </c>
      <c r="G45" s="58">
        <f ca="1">IF(ISBLANK(A45),NA(),IFERROR(A45+(PLAYER_EXP_MAX-D45)/F45,NA()))</f>
        <v>44314.0889591417</v>
      </c>
      <c r="H45" s="485" t="str">
        <f t="shared" ca="1" si="2"/>
        <v>001 D 02 H</v>
      </c>
      <c r="I45" s="51">
        <f ca="1">IF(ISBLANK(A45),NA(),IFERROR(SLOPE(INDIRECT("D" &amp; MATCH(A45-$C$1 / 24,A:A,1)):D45, INDIRECT("A" &amp; MATCH(A45-$C$1 / 24,A:A,1)):A45),NA()))</f>
        <v>594867.26063611777</v>
      </c>
      <c r="J45" s="58">
        <f ca="1">IF(ISBLANK(A45),NA(),IFERROR(A45+(PLAYER_EXP_MAX-D45)/I45,NA()))</f>
        <v>44313.970658121842</v>
      </c>
      <c r="K45" s="485" t="str">
        <f t="shared" ca="1" si="3"/>
        <v>000 D 23 H</v>
      </c>
      <c r="L45" s="51">
        <f ca="1">IF(ISBLANK(A45),NA(),IFERROR(SLOPE(INDIRECT("D" &amp; MATCH(A45-$D$1 / 24,A:A,1)):D45, INDIRECT("A" &amp; MATCH(A45-$D$1 / 24,A:A,1)):A45),NA()))</f>
        <v>490771.06091238413</v>
      </c>
      <c r="M45" s="58">
        <f ca="1">IF(ISBLANK(A45),NA(),IFERROR(A45+(PLAYER_EXP_MAX-D45)/L45,NA()))</f>
        <v>44318.948812338858</v>
      </c>
      <c r="N45" s="485" t="str">
        <f t="shared" ca="1" si="4"/>
        <v>005 D 23 H</v>
      </c>
    </row>
    <row r="46" spans="1:14" ht="14.65" customHeight="1" x14ac:dyDescent="0.25">
      <c r="A46" s="8">
        <v>44290.930555555555</v>
      </c>
      <c r="B46" s="42">
        <v>211</v>
      </c>
      <c r="C46" s="42">
        <v>237354</v>
      </c>
      <c r="D46" s="50">
        <f t="shared" si="0"/>
        <v>14088136</v>
      </c>
      <c r="E46" s="46">
        <f>IF(ISBLANK(A46),"-",D46/PLAYER_EXP_MAX)</f>
        <v>0.5067950276002412</v>
      </c>
      <c r="F46" s="51">
        <f ca="1">IF(ISBLANK(A46),NA(),IFERROR(SLOPE(INDIRECT("D" &amp; MATCH(A46-$B$1 / 24,A:A,1)):D46, INDIRECT("A" &amp; MATCH(A46-$B$1 / 24,A:A,1)):A46),NA()))</f>
        <v>584281.74475377181</v>
      </c>
      <c r="G46" s="58">
        <f ca="1">IF(ISBLANK(A46),NA(),IFERROR(A46+(PLAYER_EXP_MAX-D46)/F46,NA()))</f>
        <v>44314.395866808394</v>
      </c>
      <c r="H46" s="485" t="str">
        <f t="shared" ca="1" si="2"/>
        <v>001 D 09 H</v>
      </c>
      <c r="I46" s="51">
        <f ca="1">IF(ISBLANK(A46),NA(),IFERROR(SLOPE(INDIRECT("D" &amp; MATCH(A46-$C$1 / 24,A:A,1)):D46, INDIRECT("A" &amp; MATCH(A46-$C$1 / 24,A:A,1)):A46),NA()))</f>
        <v>579189.26172932656</v>
      </c>
      <c r="J46" s="58">
        <f ca="1">IF(ISBLANK(A46),NA(),IFERROR(A46+(PLAYER_EXP_MAX-D46)/I46,NA()))</f>
        <v>44314.60218399539</v>
      </c>
      <c r="K46" s="485" t="str">
        <f t="shared" ca="1" si="3"/>
        <v>001 D 14 H</v>
      </c>
      <c r="L46" s="51">
        <f ca="1">IF(ISBLANK(A46),NA(),IFERROR(SLOPE(INDIRECT("D" &amp; MATCH(A46-$D$1 / 24,A:A,1)):D46, INDIRECT("A" &amp; MATCH(A46-$D$1 / 24,A:A,1)):A46),NA()))</f>
        <v>502048.21088242764</v>
      </c>
      <c r="M46" s="58">
        <f ca="1">IF(ISBLANK(A46),NA(),IFERROR(A46+(PLAYER_EXP_MAX-D46)/L46,NA()))</f>
        <v>44318.239393039315</v>
      </c>
      <c r="N46" s="485" t="str">
        <f t="shared" ca="1" si="4"/>
        <v>005 D 06 H</v>
      </c>
    </row>
    <row r="47" spans="1:14" ht="14.65" customHeight="1" x14ac:dyDescent="0.25">
      <c r="A47" s="8">
        <v>44290.995138888888</v>
      </c>
      <c r="B47" s="42">
        <v>211</v>
      </c>
      <c r="C47" s="42">
        <v>200094</v>
      </c>
      <c r="D47" s="50">
        <f t="shared" si="0"/>
        <v>14125396</v>
      </c>
      <c r="E47" s="46">
        <f>IF(ISBLANK(A47),"-",D47/PLAYER_EXP_MAX)</f>
        <v>0.50813538822200011</v>
      </c>
      <c r="F47" s="51">
        <f ca="1">IF(ISBLANK(A47),NA(),IFERROR(SLOPE(INDIRECT("D" &amp; MATCH(A47-$B$1 / 24,A:A,1)):D47, INDIRECT("A" &amp; MATCH(A47-$B$1 / 24,A:A,1)):A47),NA()))</f>
        <v>583669.27368753275</v>
      </c>
      <c r="G47" s="58">
        <f ca="1">IF(ISBLANK(A47),NA(),IFERROR(A47+(PLAYER_EXP_MAX-D47)/F47,NA()))</f>
        <v>44314.421235852351</v>
      </c>
      <c r="H47" s="485" t="str">
        <f t="shared" ca="1" si="2"/>
        <v>001 D 10 H</v>
      </c>
      <c r="I47" s="51">
        <f ca="1">IF(ISBLANK(A47),NA(),IFERROR(SLOPE(INDIRECT("D" &amp; MATCH(A47-$C$1 / 24,A:A,1)):D47, INDIRECT("A" &amp; MATCH(A47-$C$1 / 24,A:A,1)):A47),NA()))</f>
        <v>581516.24714775605</v>
      </c>
      <c r="J47" s="58">
        <f ca="1">IF(ISBLANK(A47),NA(),IFERROR(A47+(PLAYER_EXP_MAX-D47)/I47,NA()))</f>
        <v>44314.507969471117</v>
      </c>
      <c r="K47" s="485" t="str">
        <f t="shared" ca="1" si="3"/>
        <v>001 D 12 H</v>
      </c>
      <c r="L47" s="51">
        <f ca="1">IF(ISBLANK(A47),NA(),IFERROR(SLOPE(INDIRECT("D" &amp; MATCH(A47-$D$1 / 24,A:A,1)):D47, INDIRECT("A" &amp; MATCH(A47-$D$1 / 24,A:A,1)):A47),NA()))</f>
        <v>518821.08540847618</v>
      </c>
      <c r="M47" s="58">
        <f ca="1">IF(ISBLANK(A47),NA(),IFERROR(A47+(PLAYER_EXP_MAX-D47)/L47,NA()))</f>
        <v>44317.349297161454</v>
      </c>
      <c r="N47" s="485" t="str">
        <f t="shared" ca="1" si="4"/>
        <v>004 D 08 H</v>
      </c>
    </row>
    <row r="48" spans="1:14" ht="14.65" customHeight="1" x14ac:dyDescent="0.25">
      <c r="A48" s="8">
        <v>44291.228472222225</v>
      </c>
      <c r="B48" s="42">
        <v>211</v>
      </c>
      <c r="C48" s="42">
        <v>164648</v>
      </c>
      <c r="D48" s="50">
        <f t="shared" si="0"/>
        <v>14160842</v>
      </c>
      <c r="E48" s="46">
        <f>IF(ISBLANK(A48),"-",D48/PLAYER_EXP_MAX)</f>
        <v>0.50941049349840561</v>
      </c>
      <c r="F48" s="51">
        <f ca="1">IF(ISBLANK(A48),NA(),IFERROR(SLOPE(INDIRECT("D" &amp; MATCH(A48-$B$1 / 24,A:A,1)):D48, INDIRECT("A" &amp; MATCH(A48-$B$1 / 24,A:A,1)):A48),NA()))</f>
        <v>219430.57076909163</v>
      </c>
      <c r="G48" s="58">
        <f ca="1">IF(ISBLANK(A48),NA(),IFERROR(A48+(PLAYER_EXP_MAX-D48)/F48,NA()))</f>
        <v>44353.378640962161</v>
      </c>
      <c r="H48" s="485" t="str">
        <f t="shared" ca="1" si="2"/>
        <v>040 D 09 H</v>
      </c>
      <c r="I48" s="51">
        <f ca="1">IF(ISBLANK(A48),NA(),IFERROR(SLOPE(INDIRECT("D" &amp; MATCH(A48-$C$1 / 24,A:A,1)):D48, INDIRECT("A" &amp; MATCH(A48-$C$1 / 24,A:A,1)):A48),NA()))</f>
        <v>526397.23618782475</v>
      </c>
      <c r="J48" s="58">
        <f ca="1">IF(ISBLANK(A48),NA(),IFERROR(A48+(PLAYER_EXP_MAX-D48)/I48,NA()))</f>
        <v>44317.135992365686</v>
      </c>
      <c r="K48" s="485" t="str">
        <f t="shared" ca="1" si="3"/>
        <v>004 D 03 H</v>
      </c>
      <c r="L48" s="51">
        <f ca="1">IF(ISBLANK(A48),NA(),IFERROR(SLOPE(INDIRECT("D" &amp; MATCH(A48-$D$1 / 24,A:A,1)):D48, INDIRECT("A" &amp; MATCH(A48-$D$1 / 24,A:A,1)):A48),NA()))</f>
        <v>516029.47069240757</v>
      </c>
      <c r="M48" s="58">
        <f ca="1">IF(ISBLANK(A48),NA(),IFERROR(A48+(PLAYER_EXP_MAX-D48)/L48,NA()))</f>
        <v>44317.656511267553</v>
      </c>
      <c r="N48" s="485" t="str">
        <f t="shared" ca="1" si="4"/>
        <v>004 D 16 H</v>
      </c>
    </row>
    <row r="49" spans="1:14" ht="14.65" customHeight="1" x14ac:dyDescent="0.25">
      <c r="A49" s="8">
        <v>44291.352777777778</v>
      </c>
      <c r="B49" s="42">
        <v>211</v>
      </c>
      <c r="C49" s="42">
        <v>100708</v>
      </c>
      <c r="D49" s="50">
        <f t="shared" si="0"/>
        <v>14224782</v>
      </c>
      <c r="E49" s="46">
        <f>IF(ISBLANK(A49),"-",D49/PLAYER_EXP_MAX)</f>
        <v>0.51171061851599198</v>
      </c>
      <c r="F49" s="51">
        <f ca="1">IF(ISBLANK(A49),NA(),IFERROR(SLOPE(INDIRECT("D" &amp; MATCH(A49-$B$1 / 24,A:A,1)):D49, INDIRECT("A" &amp; MATCH(A49-$B$1 / 24,A:A,1)):A49),NA()))</f>
        <v>261691.78187890013</v>
      </c>
      <c r="G49" s="58">
        <f ca="1">IF(ISBLANK(A49),NA(),IFERROR(A49+(PLAYER_EXP_MAX-D49)/F49,NA()))</f>
        <v>44343.221838787424</v>
      </c>
      <c r="H49" s="485" t="str">
        <f t="shared" ca="1" si="2"/>
        <v>030 D 05 H</v>
      </c>
      <c r="I49" s="51">
        <f ca="1">IF(ISBLANK(A49),NA(),IFERROR(SLOPE(INDIRECT("D" &amp; MATCH(A49-$C$1 / 24,A:A,1)):D49, INDIRECT("A" &amp; MATCH(A49-$C$1 / 24,A:A,1)):A49),NA()))</f>
        <v>491535.01611954829</v>
      </c>
      <c r="J49" s="58">
        <f ca="1">IF(ISBLANK(A49),NA(),IFERROR(A49+(PLAYER_EXP_MAX-D49)/I49,NA()))</f>
        <v>44318.967711719124</v>
      </c>
      <c r="K49" s="485" t="str">
        <f t="shared" ca="1" si="3"/>
        <v>005 D 23 H</v>
      </c>
      <c r="L49" s="51">
        <f ca="1">IF(ISBLANK(A49),NA(),IFERROR(SLOPE(INDIRECT("D" &amp; MATCH(A49-$D$1 / 24,A:A,1)):D49, INDIRECT("A" &amp; MATCH(A49-$D$1 / 24,A:A,1)):A49),NA()))</f>
        <v>528074.71214215585</v>
      </c>
      <c r="M49" s="58">
        <f ca="1">IF(ISBLANK(A49),NA(),IFERROR(A49+(PLAYER_EXP_MAX-D49)/L49,NA()))</f>
        <v>44317.056919043956</v>
      </c>
      <c r="N49" s="485" t="str">
        <f t="shared" ca="1" si="4"/>
        <v>004 D 01 H</v>
      </c>
    </row>
    <row r="50" spans="1:14" ht="14.65" customHeight="1" x14ac:dyDescent="0.25">
      <c r="A50" s="8">
        <v>44291.507638888892</v>
      </c>
      <c r="B50" s="42">
        <v>211</v>
      </c>
      <c r="C50" s="42">
        <v>66228</v>
      </c>
      <c r="D50" s="50">
        <f t="shared" si="0"/>
        <v>14259262</v>
      </c>
      <c r="E50" s="46">
        <f>IF(ISBLANK(A50),"-",D50/PLAYER_EXP_MAX)</f>
        <v>0.51295097370220377</v>
      </c>
      <c r="F50" s="51">
        <f ca="1">IF(ISBLANK(A50),NA(),IFERROR(SLOPE(INDIRECT("D" &amp; MATCH(A50-$B$1 / 24,A:A,1)):D50, INDIRECT("A" &amp; MATCH(A50-$B$1 / 24,A:A,1)):A50),NA()))</f>
        <v>347312.20919076202</v>
      </c>
      <c r="G50" s="58">
        <f ca="1">IF(ISBLANK(A50),NA(),IFERROR(A50+(PLAYER_EXP_MAX-D50)/F50,NA()))</f>
        <v>44330.490509751813</v>
      </c>
      <c r="H50" s="485" t="str">
        <f t="shared" ca="1" si="2"/>
        <v>017 D 12 H</v>
      </c>
      <c r="I50" s="51">
        <f ca="1">IF(ISBLANK(A50),NA(),IFERROR(SLOPE(INDIRECT("D" &amp; MATCH(A50-$C$1 / 24,A:A,1)):D50, INDIRECT("A" &amp; MATCH(A50-$C$1 / 24,A:A,1)):A50),NA()))</f>
        <v>407615.48437361652</v>
      </c>
      <c r="J50" s="58">
        <f ca="1">IF(ISBLANK(A50),NA(),IFERROR(A50+(PLAYER_EXP_MAX-D50)/I50,NA()))</f>
        <v>44324.723322588463</v>
      </c>
      <c r="K50" s="485" t="str">
        <f t="shared" ca="1" si="3"/>
        <v>011 D 17 H</v>
      </c>
      <c r="L50" s="51">
        <f ca="1">IF(ISBLANK(A50),NA(),IFERROR(SLOPE(INDIRECT("D" &amp; MATCH(A50-$D$1 / 24,A:A,1)):D50, INDIRECT("A" &amp; MATCH(A50-$D$1 / 24,A:A,1)):A50),NA()))</f>
        <v>531380.45389742265</v>
      </c>
      <c r="M50" s="58">
        <f ca="1">IF(ISBLANK(A50),NA(),IFERROR(A50+(PLAYER_EXP_MAX-D50)/L50,NA()))</f>
        <v>44316.986985938063</v>
      </c>
      <c r="N50" s="485" t="str">
        <f t="shared" ca="1" si="4"/>
        <v>004 D 00 H</v>
      </c>
    </row>
    <row r="51" spans="1:14" ht="14.65" customHeight="1" x14ac:dyDescent="0.25">
      <c r="A51" s="8">
        <v>44291.517361111109</v>
      </c>
      <c r="B51" s="42">
        <v>211</v>
      </c>
      <c r="C51" s="42">
        <v>60708</v>
      </c>
      <c r="D51" s="50">
        <f t="shared" si="0"/>
        <v>14264782</v>
      </c>
      <c r="E51" s="46">
        <f>IF(ISBLANK(A51),"-",D51/PLAYER_EXP_MAX)</f>
        <v>0.51314954564616799</v>
      </c>
      <c r="F51" s="51">
        <f ca="1">IF(ISBLANK(A51),NA(),IFERROR(SLOPE(INDIRECT("D" &amp; MATCH(A51-$B$1 / 24,A:A,1)):D51, INDIRECT("A" &amp; MATCH(A51-$B$1 / 24,A:A,1)):A51),NA()))</f>
        <v>339583.67241765471</v>
      </c>
      <c r="G51" s="58">
        <f ca="1">IF(ISBLANK(A51),NA(),IFERROR(A51+(PLAYER_EXP_MAX-D51)/F51,NA()))</f>
        <v>44331.371182420145</v>
      </c>
      <c r="H51" s="485" t="str">
        <f t="shared" ca="1" si="2"/>
        <v>018 D 09 H</v>
      </c>
      <c r="I51" s="51">
        <f ca="1">IF(ISBLANK(A51),NA(),IFERROR(SLOPE(INDIRECT("D" &amp; MATCH(A51-$C$1 / 24,A:A,1)):D51, INDIRECT("A" &amp; MATCH(A51-$C$1 / 24,A:A,1)):A51),NA()))</f>
        <v>395194.85407696082</v>
      </c>
      <c r="J51" s="58">
        <f ca="1">IF(ISBLANK(A51),NA(),IFERROR(A51+(PLAYER_EXP_MAX-D51)/I51,NA()))</f>
        <v>44325.763017046105</v>
      </c>
      <c r="K51" s="485" t="str">
        <f t="shared" ca="1" si="3"/>
        <v>012 D 18 H</v>
      </c>
      <c r="L51" s="51">
        <f ca="1">IF(ISBLANK(A51),NA(),IFERROR(SLOPE(INDIRECT("D" &amp; MATCH(A51-$D$1 / 24,A:A,1)):D51, INDIRECT("A" &amp; MATCH(A51-$D$1 / 24,A:A,1)):A51),NA()))</f>
        <v>524920.41497752222</v>
      </c>
      <c r="M51" s="58">
        <f ca="1">IF(ISBLANK(A51),NA(),IFERROR(A51+(PLAYER_EXP_MAX-D51)/L51,NA()))</f>
        <v>44317.299759001995</v>
      </c>
      <c r="N51" s="485" t="str">
        <f t="shared" ca="1" si="4"/>
        <v>004 D 07 H</v>
      </c>
    </row>
    <row r="52" spans="1:14" ht="14.65" customHeight="1" x14ac:dyDescent="0.25">
      <c r="A52" s="8">
        <v>44291.917361111111</v>
      </c>
      <c r="B52" s="42">
        <v>212</v>
      </c>
      <c r="C52" s="42">
        <v>124608</v>
      </c>
      <c r="D52" s="50">
        <f t="shared" si="0"/>
        <v>14487882</v>
      </c>
      <c r="E52" s="46">
        <f>IF(ISBLANK(A52),"-",D52/PLAYER_EXP_MAX)</f>
        <v>0.52117516171472489</v>
      </c>
      <c r="F52" s="51">
        <f ca="1">IF(ISBLANK(A52),NA(),IFERROR(SLOPE(INDIRECT("D" &amp; MATCH(A52-$B$1 / 24,A:A,1)):D52, INDIRECT("A" &amp; MATCH(A52-$B$1 / 24,A:A,1)):A52),NA()))</f>
        <v>557749.99999797088</v>
      </c>
      <c r="G52" s="58">
        <f ca="1">IF(ISBLANK(A52),NA(),IFERROR(A52+(PLAYER_EXP_MAX-D52)/F52,NA()))</f>
        <v>44315.782187646386</v>
      </c>
      <c r="H52" s="485" t="str">
        <f t="shared" ca="1" si="2"/>
        <v>002 D 19 H</v>
      </c>
      <c r="I52" s="51">
        <f ca="1">IF(ISBLANK(A52),NA(),IFERROR(SLOPE(INDIRECT("D" &amp; MATCH(A52-$C$1 / 24,A:A,1)):D52, INDIRECT("A" &amp; MATCH(A52-$C$1 / 24,A:A,1)):A52),NA()))</f>
        <v>418869.35100917978</v>
      </c>
      <c r="J52" s="58">
        <f ca="1">IF(ISBLANK(A52),NA(),IFERROR(A52+(PLAYER_EXP_MAX-D52)/I52,NA()))</f>
        <v>44323.694828161235</v>
      </c>
      <c r="K52" s="485" t="str">
        <f t="shared" ca="1" si="3"/>
        <v>010 D 17 H</v>
      </c>
      <c r="L52" s="51">
        <f ca="1">IF(ISBLANK(A52),NA(),IFERROR(SLOPE(INDIRECT("D" &amp; MATCH(A52-$D$1 / 24,A:A,1)):D52, INDIRECT("A" &amp; MATCH(A52-$D$1 / 24,A:A,1)):A52),NA()))</f>
        <v>520486.67548132216</v>
      </c>
      <c r="M52" s="58">
        <f ca="1">IF(ISBLANK(A52),NA(),IFERROR(A52+(PLAYER_EXP_MAX-D52)/L52,NA()))</f>
        <v>44317.490747764459</v>
      </c>
      <c r="N52" s="485" t="str">
        <f t="shared" ca="1" si="4"/>
        <v>004 D 12 H</v>
      </c>
    </row>
    <row r="53" spans="1:14" ht="14.65" customHeight="1" x14ac:dyDescent="0.25">
      <c r="A53" s="8">
        <v>44292.013888888891</v>
      </c>
      <c r="B53" s="42">
        <v>212</v>
      </c>
      <c r="C53" s="42">
        <v>70788</v>
      </c>
      <c r="D53" s="50">
        <f t="shared" si="0"/>
        <v>14541702</v>
      </c>
      <c r="E53" s="46">
        <f>IF(ISBLANK(A53),"-",D53/PLAYER_EXP_MAX)</f>
        <v>0.52311123816837668</v>
      </c>
      <c r="F53" s="51">
        <f ca="1">IF(ISBLANK(A53),NA(),IFERROR(SLOPE(INDIRECT("D" &amp; MATCH(A53-$B$1 / 24,A:A,1)):D53, INDIRECT("A" &amp; MATCH(A53-$B$1 / 24,A:A,1)):A53),NA()))</f>
        <v>557723.80525751552</v>
      </c>
      <c r="G53" s="58">
        <f ca="1">IF(ISBLANK(A53),NA(),IFERROR(A53+(PLAYER_EXP_MAX-D53)/F53,NA()))</f>
        <v>44315.783336911431</v>
      </c>
      <c r="H53" s="485" t="str">
        <f t="shared" ca="1" si="2"/>
        <v>002 D 19 H</v>
      </c>
      <c r="I53" s="51">
        <f ca="1">IF(ISBLANK(A53),NA(),IFERROR(SLOPE(INDIRECT("D" &amp; MATCH(A53-$C$1 / 24,A:A,1)):D53, INDIRECT("A" &amp; MATCH(A53-$C$1 / 24,A:A,1)):A53),NA()))</f>
        <v>429626.24226242816</v>
      </c>
      <c r="J53" s="58">
        <f ca="1">IF(ISBLANK(A53),NA(),IFERROR(A53+(PLAYER_EXP_MAX-D53)/I53,NA()))</f>
        <v>44322.870446742963</v>
      </c>
      <c r="K53" s="485" t="str">
        <f t="shared" ca="1" si="3"/>
        <v>009 D 21 H</v>
      </c>
      <c r="L53" s="51">
        <f ca="1">IF(ISBLANK(A53),NA(),IFERROR(SLOPE(INDIRECT("D" &amp; MATCH(A53-$D$1 / 24,A:A,1)):D53, INDIRECT("A" &amp; MATCH(A53-$D$1 / 24,A:A,1)):A53),NA()))</f>
        <v>522413.23990114051</v>
      </c>
      <c r="M53" s="58">
        <f ca="1">IF(ISBLANK(A53),NA(),IFERROR(A53+(PLAYER_EXP_MAX-D53)/L53,NA()))</f>
        <v>44317.389943681279</v>
      </c>
      <c r="N53" s="485" t="str">
        <f t="shared" ca="1" si="4"/>
        <v>004 D 09 H</v>
      </c>
    </row>
    <row r="54" spans="1:14" ht="14.65" customHeight="1" x14ac:dyDescent="0.25">
      <c r="A54" s="8">
        <v>44292.045138888891</v>
      </c>
      <c r="B54" s="42">
        <v>212</v>
      </c>
      <c r="C54" s="42">
        <v>55608</v>
      </c>
      <c r="D54" s="50">
        <f t="shared" si="0"/>
        <v>14556882</v>
      </c>
      <c r="E54" s="46">
        <f>IF(ISBLANK(A54),"-",D54/PLAYER_EXP_MAX)</f>
        <v>0.52365731101427848</v>
      </c>
      <c r="F54" s="51">
        <f ca="1">IF(ISBLANK(A54),NA(),IFERROR(SLOPE(INDIRECT("D" &amp; MATCH(A54-$B$1 / 24,A:A,1)):D54, INDIRECT("A" &amp; MATCH(A54-$B$1 / 24,A:A,1)):A54),NA()))</f>
        <v>555546.81159683899</v>
      </c>
      <c r="G54" s="58">
        <f ca="1">IF(ISBLANK(A54),NA(),IFERROR(A54+(PLAYER_EXP_MAX-D54)/F54,NA()))</f>
        <v>44315.880406635166</v>
      </c>
      <c r="H54" s="485" t="str">
        <f t="shared" ca="1" si="2"/>
        <v>002 D 21 H</v>
      </c>
      <c r="I54" s="51">
        <f ca="1">IF(ISBLANK(A54),NA(),IFERROR(SLOPE(INDIRECT("D" &amp; MATCH(A54-$C$1 / 24,A:A,1)):D54, INDIRECT("A" &amp; MATCH(A54-$C$1 / 24,A:A,1)):A54),NA()))</f>
        <v>443088.55948276882</v>
      </c>
      <c r="J54" s="58">
        <f ca="1">IF(ISBLANK(A54),NA(),IFERROR(A54+(PLAYER_EXP_MAX-D54)/I54,NA()))</f>
        <v>44321.92992538723</v>
      </c>
      <c r="K54" s="485" t="str">
        <f t="shared" ca="1" si="3"/>
        <v>008 D 22 H</v>
      </c>
      <c r="L54" s="51">
        <f ca="1">IF(ISBLANK(A54),NA(),IFERROR(SLOPE(INDIRECT("D" &amp; MATCH(A54-$D$1 / 24,A:A,1)):D54, INDIRECT("A" &amp; MATCH(A54-$D$1 / 24,A:A,1)):A54),NA()))</f>
        <v>519359.54417639476</v>
      </c>
      <c r="M54" s="58">
        <f ca="1">IF(ISBLANK(A54),NA(),IFERROR(A54+(PLAYER_EXP_MAX-D54)/L54,NA()))</f>
        <v>44317.541169814824</v>
      </c>
      <c r="N54" s="485" t="str">
        <f t="shared" ca="1" si="4"/>
        <v>004 D 13 H</v>
      </c>
    </row>
    <row r="55" spans="1:14" ht="14.65" customHeight="1" x14ac:dyDescent="0.25">
      <c r="A55" s="8">
        <v>44292.064583333333</v>
      </c>
      <c r="B55" s="42">
        <v>212</v>
      </c>
      <c r="C55" s="42">
        <v>45028</v>
      </c>
      <c r="D55" s="50">
        <f t="shared" si="0"/>
        <v>14567462</v>
      </c>
      <c r="E55" s="46">
        <f>IF(ISBLANK(A55),"-",D55/PLAYER_EXP_MAX)</f>
        <v>0.52403790724021004</v>
      </c>
      <c r="F55" s="51">
        <f ca="1">IF(ISBLANK(A55),NA(),IFERROR(SLOPE(INDIRECT("D" &amp; MATCH(A55-$B$1 / 24,A:A,1)):D55, INDIRECT("A" &amp; MATCH(A55-$B$1 / 24,A:A,1)):A55),NA()))</f>
        <v>554409.69473685371</v>
      </c>
      <c r="G55" s="58">
        <f ca="1">IF(ISBLANK(A55),NA(),IFERROR(A55+(PLAYER_EXP_MAX-D55)/F55,NA()))</f>
        <v>44315.929654823973</v>
      </c>
      <c r="H55" s="485" t="str">
        <f t="shared" ca="1" si="2"/>
        <v>002 D 22 H</v>
      </c>
      <c r="I55" s="51">
        <f ca="1">IF(ISBLANK(A55),NA(),IFERROR(SLOPE(INDIRECT("D" &amp; MATCH(A55-$C$1 / 24,A:A,1)):D55, INDIRECT("A" &amp; MATCH(A55-$C$1 / 24,A:A,1)):A55),NA()))</f>
        <v>450595.97842927661</v>
      </c>
      <c r="J55" s="58">
        <f ca="1">IF(ISBLANK(A55),NA(),IFERROR(A55+(PLAYER_EXP_MAX-D55)/I55,NA()))</f>
        <v>44321.427976779771</v>
      </c>
      <c r="K55" s="485" t="str">
        <f t="shared" ca="1" si="3"/>
        <v>008 D 10 H</v>
      </c>
      <c r="L55" s="51">
        <f ca="1">IF(ISBLANK(A55),NA(),IFERROR(SLOPE(INDIRECT("D" &amp; MATCH(A55-$D$1 / 24,A:A,1)):D55, INDIRECT("A" &amp; MATCH(A55-$D$1 / 24,A:A,1)):A55),NA()))</f>
        <v>517196.11611485097</v>
      </c>
      <c r="M55" s="58">
        <f ca="1">IF(ISBLANK(A55),NA(),IFERROR(A55+(PLAYER_EXP_MAX-D55)/L55,NA()))</f>
        <v>44317.646807537552</v>
      </c>
      <c r="N55" s="485" t="str">
        <f t="shared" ca="1" si="4"/>
        <v>004 D 16 H</v>
      </c>
    </row>
    <row r="56" spans="1:14" ht="14.65" customHeight="1" x14ac:dyDescent="0.25">
      <c r="A56" s="8">
        <v>44292.140972222223</v>
      </c>
      <c r="B56" s="42">
        <v>212</v>
      </c>
      <c r="C56" s="42">
        <v>23642</v>
      </c>
      <c r="D56" s="50">
        <f t="shared" si="0"/>
        <v>14588848</v>
      </c>
      <c r="E56" s="46">
        <f>IF(ISBLANK(A56),"-",D56/PLAYER_EXP_MAX)</f>
        <v>0.52480722963035864</v>
      </c>
      <c r="F56" s="51">
        <f ca="1">IF(ISBLANK(A56),NA(),IFERROR(SLOPE(INDIRECT("D" &amp; MATCH(A56-$B$1 / 24,A:A,1)):D56, INDIRECT("A" &amp; MATCH(A56-$B$1 / 24,A:A,1)):A56),NA()))</f>
        <v>537641.56912515673</v>
      </c>
      <c r="G56" s="58">
        <f ca="1">IF(ISBLANK(A56),NA(),IFERROR(A56+(PLAYER_EXP_MAX-D56)/F56,NA()))</f>
        <v>44316.710577250153</v>
      </c>
      <c r="H56" s="485" t="str">
        <f t="shared" ca="1" si="2"/>
        <v>003 D 17 H</v>
      </c>
      <c r="I56" s="51">
        <f ca="1">IF(ISBLANK(A56),NA(),IFERROR(SLOPE(INDIRECT("D" &amp; MATCH(A56-$C$1 / 24,A:A,1)):D56, INDIRECT("A" &amp; MATCH(A56-$C$1 / 24,A:A,1)):A56),NA()))</f>
        <v>451488.64159029548</v>
      </c>
      <c r="J56" s="58">
        <f ca="1">IF(ISBLANK(A56),NA(),IFERROR(A56+(PLAYER_EXP_MAX-D56)/I56,NA()))</f>
        <v>44321.398941932093</v>
      </c>
      <c r="K56" s="485" t="str">
        <f t="shared" ca="1" si="3"/>
        <v>008 D 10 H</v>
      </c>
      <c r="L56" s="51">
        <f ca="1">IF(ISBLANK(A56),NA(),IFERROR(SLOPE(INDIRECT("D" &amp; MATCH(A56-$D$1 / 24,A:A,1)):D56, INDIRECT("A" &amp; MATCH(A56-$D$1 / 24,A:A,1)):A56),NA()))</f>
        <v>510631.85248467617</v>
      </c>
      <c r="M56" s="58">
        <f ca="1">IF(ISBLANK(A56),NA(),IFERROR(A56+(PLAYER_EXP_MAX-D56)/L56,NA()))</f>
        <v>44318.010179040648</v>
      </c>
      <c r="N56" s="485" t="str">
        <f t="shared" ca="1" si="4"/>
        <v>005 D 00 H</v>
      </c>
    </row>
    <row r="57" spans="1:14" ht="14.65" customHeight="1" x14ac:dyDescent="0.25">
      <c r="A57" s="8">
        <v>44292.290277777778</v>
      </c>
      <c r="B57" s="42">
        <v>213</v>
      </c>
      <c r="C57" s="42">
        <v>218042</v>
      </c>
      <c r="D57" s="50">
        <f t="shared" si="0"/>
        <v>14685448</v>
      </c>
      <c r="E57" s="46">
        <f>IF(ISBLANK(A57),"-",D57/PLAYER_EXP_MAX)</f>
        <v>0.52828223864973378</v>
      </c>
      <c r="F57" s="51">
        <f ca="1">IF(ISBLANK(A57),NA(),IFERROR(SLOPE(INDIRECT("D" &amp; MATCH(A57-$B$1 / 24,A:A,1)):D57, INDIRECT("A" &amp; MATCH(A57-$B$1 / 24,A:A,1)):A57),NA()))</f>
        <v>510491.93962720421</v>
      </c>
      <c r="G57" s="58">
        <f ca="1">IF(ISBLANK(A57),NA(),IFERROR(A57+(PLAYER_EXP_MAX-D57)/F57,NA()))</f>
        <v>44317.97734545132</v>
      </c>
      <c r="H57" s="485" t="str">
        <f t="shared" ca="1" si="2"/>
        <v>004 D 23 H</v>
      </c>
      <c r="I57" s="51">
        <f ca="1">IF(ISBLANK(A57),NA(),IFERROR(SLOPE(INDIRECT("D" &amp; MATCH(A57-$C$1 / 24,A:A,1)):D57, INDIRECT("A" &amp; MATCH(A57-$C$1 / 24,A:A,1)):A57),NA()))</f>
        <v>500536.01535365253</v>
      </c>
      <c r="J57" s="58">
        <f ca="1">IF(ISBLANK(A57),NA(),IFERROR(A57+(PLAYER_EXP_MAX-D57)/I57,NA()))</f>
        <v>44318.488274720585</v>
      </c>
      <c r="K57" s="485" t="str">
        <f t="shared" ca="1" si="3"/>
        <v>005 D 12 H</v>
      </c>
      <c r="L57" s="51">
        <f ca="1">IF(ISBLANK(A57),NA(),IFERROR(SLOPE(INDIRECT("D" &amp; MATCH(A57-$D$1 / 24,A:A,1)):D57, INDIRECT("A" &amp; MATCH(A57-$D$1 / 24,A:A,1)):A57),NA()))</f>
        <v>504283.91379634128</v>
      </c>
      <c r="M57" s="58">
        <f ca="1">IF(ISBLANK(A57),NA(),IFERROR(A57+(PLAYER_EXP_MAX-D57)/L57,NA()))</f>
        <v>44318.293568069712</v>
      </c>
      <c r="N57" s="485" t="str">
        <f t="shared" ca="1" si="4"/>
        <v>005 D 07 H</v>
      </c>
    </row>
    <row r="58" spans="1:14" ht="14.65" customHeight="1" x14ac:dyDescent="0.25">
      <c r="A58" s="8">
        <v>44292.539583333331</v>
      </c>
      <c r="B58" s="42">
        <v>213</v>
      </c>
      <c r="C58" s="42">
        <v>60262</v>
      </c>
      <c r="D58" s="50">
        <f t="shared" si="0"/>
        <v>14843228</v>
      </c>
      <c r="E58" s="46">
        <f>IF(ISBLANK(A58),"-",D58/PLAYER_EXP_MAX)</f>
        <v>0.53395808671471312</v>
      </c>
      <c r="F58" s="51">
        <f ca="1">IF(ISBLANK(A58),NA(),IFERROR(SLOPE(INDIRECT("D" &amp; MATCH(A58-$B$1 / 24,A:A,1)):D58, INDIRECT("A" &amp; MATCH(A58-$B$1 / 24,A:A,1)):A58),NA()))</f>
        <v>637624.09598940634</v>
      </c>
      <c r="G58" s="58">
        <f ca="1">IF(ISBLANK(A58),NA(),IFERROR(A58+(PLAYER_EXP_MAX-D58)/F58,NA()))</f>
        <v>44312.857606258571</v>
      </c>
      <c r="H58" s="485" t="str">
        <f t="shared" ca="1" si="2"/>
        <v>000 D 02 H</v>
      </c>
      <c r="I58" s="51">
        <f ca="1">IF(ISBLANK(A58),NA(),IFERROR(SLOPE(INDIRECT("D" &amp; MATCH(A58-$C$1 / 24,A:A,1)):D58, INDIRECT("A" &amp; MATCH(A58-$C$1 / 24,A:A,1)):A58),NA()))</f>
        <v>557532.61060558655</v>
      </c>
      <c r="J58" s="58">
        <f ca="1">IF(ISBLANK(A58),NA(),IFERROR(A58+(PLAYER_EXP_MAX-D58)/I58,NA()))</f>
        <v>44315.776360435804</v>
      </c>
      <c r="K58" s="485" t="str">
        <f t="shared" ca="1" si="3"/>
        <v>002 D 19 H</v>
      </c>
      <c r="L58" s="51">
        <f ca="1">IF(ISBLANK(A58),NA(),IFERROR(SLOPE(INDIRECT("D" &amp; MATCH(A58-$D$1 / 24,A:A,1)):D58, INDIRECT("A" &amp; MATCH(A58-$D$1 / 24,A:A,1)):A58),NA()))</f>
        <v>498572.3499420195</v>
      </c>
      <c r="M58" s="58">
        <f ca="1">IF(ISBLANK(A58),NA(),IFERROR(A58+(PLAYER_EXP_MAX-D58)/L58,NA()))</f>
        <v>44318.524299496406</v>
      </c>
      <c r="N58" s="485" t="str">
        <f t="shared" ca="1" si="4"/>
        <v>005 D 13 H</v>
      </c>
    </row>
    <row r="59" spans="1:14" ht="14.65" customHeight="1" x14ac:dyDescent="0.25">
      <c r="A59" s="8">
        <v>44292.601388888892</v>
      </c>
      <c r="B59" s="42">
        <v>213</v>
      </c>
      <c r="C59" s="42">
        <v>21622</v>
      </c>
      <c r="D59" s="50">
        <f t="shared" si="0"/>
        <v>14881868</v>
      </c>
      <c r="E59" s="46">
        <f>IF(ISBLANK(A59),"-",D59/PLAYER_EXP_MAX)</f>
        <v>0.53534809032246322</v>
      </c>
      <c r="F59" s="51">
        <f ca="1">IF(ISBLANK(A59),NA(),IFERROR(SLOPE(INDIRECT("D" &amp; MATCH(A59-$B$1 / 24,A:A,1)):D59, INDIRECT("A" &amp; MATCH(A59-$B$1 / 24,A:A,1)):A59),NA()))</f>
        <v>631788.83219618862</v>
      </c>
      <c r="G59" s="58">
        <f ca="1">IF(ISBLANK(A59),NA(),IFERROR(A59+(PLAYER_EXP_MAX-D59)/F59,NA()))</f>
        <v>44313.045911396672</v>
      </c>
      <c r="H59" s="485" t="str">
        <f t="shared" ca="1" si="2"/>
        <v>000 D 01 H</v>
      </c>
      <c r="I59" s="51">
        <f ca="1">IF(ISBLANK(A59),NA(),IFERROR(SLOPE(INDIRECT("D" &amp; MATCH(A59-$C$1 / 24,A:A,1)):D59, INDIRECT("A" &amp; MATCH(A59-$C$1 / 24,A:A,1)):A59),NA()))</f>
        <v>566606.67285763763</v>
      </c>
      <c r="J59" s="58">
        <f ca="1">IF(ISBLANK(A59),NA(),IFERROR(A59+(PLAYER_EXP_MAX-D59)/I59,NA()))</f>
        <v>44315.397839440484</v>
      </c>
      <c r="K59" s="485" t="str">
        <f t="shared" ca="1" si="3"/>
        <v>002 D 10 H</v>
      </c>
      <c r="L59" s="51">
        <f ca="1">IF(ISBLANK(A59),NA(),IFERROR(SLOPE(INDIRECT("D" &amp; MATCH(A59-$D$1 / 24,A:A,1)):D59, INDIRECT("A" &amp; MATCH(A59-$D$1 / 24,A:A,1)):A59),NA()))</f>
        <v>501018.0397853012</v>
      </c>
      <c r="M59" s="58">
        <f ca="1">IF(ISBLANK(A59),NA(),IFERROR(A59+(PLAYER_EXP_MAX-D59)/L59,NA()))</f>
        <v>44318.382139229805</v>
      </c>
      <c r="N59" s="485" t="str">
        <f t="shared" ca="1" si="4"/>
        <v>005 D 09 H</v>
      </c>
    </row>
    <row r="60" spans="1:14" ht="14.65" customHeight="1" x14ac:dyDescent="0.25">
      <c r="A60" s="8">
        <v>44293.131249999999</v>
      </c>
      <c r="B60" s="42">
        <v>214</v>
      </c>
      <c r="C60" s="42">
        <v>35234</v>
      </c>
      <c r="D60" s="50">
        <f t="shared" si="0"/>
        <v>15163256</v>
      </c>
      <c r="E60" s="46">
        <f>IF(ISBLANK(A60),"-",D60/PLAYER_EXP_MAX)</f>
        <v>0.54547051100511257</v>
      </c>
      <c r="F60" s="51">
        <f ca="1">IF(ISBLANK(A60),NA(),IFERROR(SLOPE(INDIRECT("D" &amp; MATCH(A60-$B$1 / 24,A:A,1)):D60, INDIRECT("A" &amp; MATCH(A60-$B$1 / 24,A:A,1)):A60),NA()))</f>
        <v>531059.92136757821</v>
      </c>
      <c r="G60" s="58">
        <f ca="1">IF(ISBLANK(A60),NA(),IFERROR(A60+(PLAYER_EXP_MAX-D60)/F60,NA()))</f>
        <v>44316.923730832408</v>
      </c>
      <c r="H60" s="485" t="str">
        <f t="shared" ca="1" si="2"/>
        <v>003 D 22 H</v>
      </c>
      <c r="I60" s="51">
        <f ca="1">IF(ISBLANK(A60),NA(),IFERROR(SLOPE(INDIRECT("D" &amp; MATCH(A60-$C$1 / 24,A:A,1)):D60, INDIRECT("A" &amp; MATCH(A60-$C$1 / 24,A:A,1)):A60),NA()))</f>
        <v>573033.73502951581</v>
      </c>
      <c r="J60" s="58">
        <f ca="1">IF(ISBLANK(A60),NA(),IFERROR(A60+(PLAYER_EXP_MAX-D60)/I60,NA()))</f>
        <v>44315.180969288078</v>
      </c>
      <c r="K60" s="485" t="str">
        <f t="shared" ca="1" si="3"/>
        <v>002 D 04 H</v>
      </c>
      <c r="L60" s="51">
        <f ca="1">IF(ISBLANK(A60),NA(),IFERROR(SLOPE(INDIRECT("D" &amp; MATCH(A60-$D$1 / 24,A:A,1)):D60, INDIRECT("A" &amp; MATCH(A60-$D$1 / 24,A:A,1)):A60),NA()))</f>
        <v>493887.3438592836</v>
      </c>
      <c r="M60" s="58">
        <f ca="1">IF(ISBLANK(A60),NA(),IFERROR(A60+(PLAYER_EXP_MAX-D60)/L60,NA()))</f>
        <v>44318.714478963244</v>
      </c>
      <c r="N60" s="485" t="str">
        <f t="shared" ca="1" si="4"/>
        <v>005 D 17 H</v>
      </c>
    </row>
    <row r="61" spans="1:14" ht="14.65" customHeight="1" x14ac:dyDescent="0.25">
      <c r="A61" s="8">
        <v>44293.270138888889</v>
      </c>
      <c r="B61" s="42">
        <v>215</v>
      </c>
      <c r="C61" s="42">
        <v>266614</v>
      </c>
      <c r="D61" s="50">
        <f t="shared" si="0"/>
        <v>15230876</v>
      </c>
      <c r="E61" s="46">
        <f>IF(ISBLANK(A61),"-",D61/PLAYER_EXP_MAX)</f>
        <v>0.54790301731867508</v>
      </c>
      <c r="F61" s="51">
        <f ca="1">IF(ISBLANK(A61),NA(),IFERROR(SLOPE(INDIRECT("D" &amp; MATCH(A61-$B$1 / 24,A:A,1)):D61, INDIRECT("A" &amp; MATCH(A61-$B$1 / 24,A:A,1)):A61),NA()))</f>
        <v>524425.70438701136</v>
      </c>
      <c r="G61" s="58">
        <f ca="1">IF(ISBLANK(A61),NA(),IFERROR(A61+(PLAYER_EXP_MAX-D61)/F61,NA()))</f>
        <v>44317.234664073039</v>
      </c>
      <c r="H61" s="485" t="str">
        <f t="shared" ca="1" si="2"/>
        <v>004 D 06 H</v>
      </c>
      <c r="I61" s="51">
        <f ca="1">IF(ISBLANK(A61),NA(),IFERROR(SLOPE(INDIRECT("D" &amp; MATCH(A61-$C$1 / 24,A:A,1)):D61, INDIRECT("A" &amp; MATCH(A61-$C$1 / 24,A:A,1)):A61),NA()))</f>
        <v>564327.68618403212</v>
      </c>
      <c r="J61" s="58">
        <f ca="1">IF(ISBLANK(A61),NA(),IFERROR(A61+(PLAYER_EXP_MAX-D61)/I61,NA()))</f>
        <v>44315.540201669224</v>
      </c>
      <c r="K61" s="485" t="str">
        <f t="shared" ca="1" si="3"/>
        <v>002 D 13 H</v>
      </c>
      <c r="L61" s="51">
        <f ca="1">IF(ISBLANK(A61),NA(),IFERROR(SLOPE(INDIRECT("D" &amp; MATCH(A61-$D$1 / 24,A:A,1)):D61, INDIRECT("A" &amp; MATCH(A61-$D$1 / 24,A:A,1)):A61),NA()))</f>
        <v>496421.14583703625</v>
      </c>
      <c r="M61" s="58">
        <f ca="1">IF(ISBLANK(A61),NA(),IFERROR(A61+(PLAYER_EXP_MAX-D61)/L61,NA()))</f>
        <v>44318.586572536791</v>
      </c>
      <c r="N61" s="485" t="str">
        <f t="shared" ca="1" si="4"/>
        <v>005 D 14 H</v>
      </c>
    </row>
    <row r="62" spans="1:14" ht="14.65" customHeight="1" x14ac:dyDescent="0.25">
      <c r="A62" s="8">
        <v>44293.709027777775</v>
      </c>
      <c r="B62" s="42">
        <v>216</v>
      </c>
      <c r="C62" s="42">
        <v>260034</v>
      </c>
      <c r="D62" s="50">
        <f t="shared" si="0"/>
        <v>15540456</v>
      </c>
      <c r="E62" s="46">
        <f>IF(ISBLANK(A62),"-",D62/PLAYER_EXP_MAX)</f>
        <v>0.55903959384267254</v>
      </c>
      <c r="F62" s="51">
        <f ca="1">IF(ISBLANK(A62),NA(),IFERROR(SLOPE(INDIRECT("D" &amp; MATCH(A62-$B$1 / 24,A:A,1)):D62, INDIRECT("A" &amp; MATCH(A62-$B$1 / 24,A:A,1)):A62),NA()))</f>
        <v>705372.15190315188</v>
      </c>
      <c r="G62" s="58">
        <f ca="1">IF(ISBLANK(A62),NA(),IFERROR(A62+(PLAYER_EXP_MAX-D62)/F62,NA()))</f>
        <v>44311.087135159709</v>
      </c>
      <c r="H62" s="485" t="str">
        <f t="shared" ca="1" si="2"/>
        <v>-001 D 21 H</v>
      </c>
      <c r="I62" s="51">
        <f ca="1">IF(ISBLANK(A62),NA(),IFERROR(SLOPE(INDIRECT("D" &amp; MATCH(A62-$C$1 / 24,A:A,1)):D62, INDIRECT("A" &amp; MATCH(A62-$C$1 / 24,A:A,1)):A62),NA()))</f>
        <v>589931.7921556267</v>
      </c>
      <c r="J62" s="58">
        <f ca="1">IF(ISBLANK(A62),NA(),IFERROR(A62+(PLAYER_EXP_MAX-D62)/I62,NA()))</f>
        <v>44314.487757052913</v>
      </c>
      <c r="K62" s="485" t="str">
        <f t="shared" ca="1" si="3"/>
        <v>001 D 12 H</v>
      </c>
      <c r="L62" s="51">
        <f ca="1">IF(ISBLANK(A62),NA(),IFERROR(SLOPE(INDIRECT("D" &amp; MATCH(A62-$D$1 / 24,A:A,1)):D62, INDIRECT("A" &amp; MATCH(A62-$D$1 / 24,A:A,1)):A62),NA()))</f>
        <v>516658.17879246111</v>
      </c>
      <c r="M62" s="58">
        <f ca="1">IF(ISBLANK(A62),NA(),IFERROR(A62+(PLAYER_EXP_MAX-D62)/L62,NA()))</f>
        <v>44317.434642706874</v>
      </c>
      <c r="N62" s="485" t="str">
        <f t="shared" ca="1" si="4"/>
        <v>004 D 10 H</v>
      </c>
    </row>
    <row r="63" spans="1:14" ht="14.65" customHeight="1" x14ac:dyDescent="0.25">
      <c r="A63" s="8">
        <v>44293.920138888891</v>
      </c>
      <c r="B63" s="42">
        <v>216</v>
      </c>
      <c r="C63" s="42">
        <v>130314</v>
      </c>
      <c r="D63" s="50">
        <f t="shared" si="0"/>
        <v>15670176</v>
      </c>
      <c r="E63" s="46">
        <f>IF(ISBLANK(A63),"-",D63/PLAYER_EXP_MAX)</f>
        <v>0.56370603452583345</v>
      </c>
      <c r="F63" s="51">
        <f ca="1">IF(ISBLANK(A63),NA(),IFERROR(SLOPE(INDIRECT("D" &amp; MATCH(A63-$B$1 / 24,A:A,1)):D63, INDIRECT("A" &amp; MATCH(A63-$B$1 / 24,A:A,1)):A63),NA()))</f>
        <v>680320.50154314458</v>
      </c>
      <c r="G63" s="58">
        <f ca="1">IF(ISBLANK(A63),NA(),IFERROR(A63+(PLAYER_EXP_MAX-D63)/F63,NA()))</f>
        <v>44311.747490809772</v>
      </c>
      <c r="H63" s="485" t="str">
        <f t="shared" ca="1" si="2"/>
        <v>-001 D 05 H</v>
      </c>
      <c r="I63" s="51">
        <f ca="1">IF(ISBLANK(A63),NA(),IFERROR(SLOPE(INDIRECT("D" &amp; MATCH(A63-$C$1 / 24,A:A,1)):D63, INDIRECT("A" &amp; MATCH(A63-$C$1 / 24,A:A,1)):A63),NA()))</f>
        <v>605653.78459943633</v>
      </c>
      <c r="J63" s="58">
        <f ca="1">IF(ISBLANK(A63),NA(),IFERROR(A63+(PLAYER_EXP_MAX-D63)/I63,NA()))</f>
        <v>44313.945297334853</v>
      </c>
      <c r="K63" s="485" t="str">
        <f t="shared" ca="1" si="3"/>
        <v>000 D 23 H</v>
      </c>
      <c r="L63" s="51">
        <f ca="1">IF(ISBLANK(A63),NA(),IFERROR(SLOPE(INDIRECT("D" &amp; MATCH(A63-$D$1 / 24,A:A,1)):D63, INDIRECT("A" &amp; MATCH(A63-$D$1 / 24,A:A,1)):A63),NA()))</f>
        <v>529573.08399124211</v>
      </c>
      <c r="M63" s="58">
        <f ca="1">IF(ISBLANK(A63),NA(),IFERROR(A63+(PLAYER_EXP_MAX-D63)/L63,NA()))</f>
        <v>44316.822195973422</v>
      </c>
      <c r="N63" s="485" t="str">
        <f t="shared" ca="1" si="4"/>
        <v>003 D 20 H</v>
      </c>
    </row>
    <row r="64" spans="1:14" ht="14.65" customHeight="1" x14ac:dyDescent="0.25">
      <c r="A64" s="8">
        <v>44293.974305555559</v>
      </c>
      <c r="B64" s="42">
        <v>216</v>
      </c>
      <c r="C64" s="42">
        <v>97194</v>
      </c>
      <c r="D64" s="50">
        <f t="shared" si="0"/>
        <v>15703296</v>
      </c>
      <c r="E64" s="46">
        <f>IF(ISBLANK(A64),"-",D64/PLAYER_EXP_MAX)</f>
        <v>0.56489746618961911</v>
      </c>
      <c r="F64" s="51">
        <f ca="1">IF(ISBLANK(A64),NA(),IFERROR(SLOPE(INDIRECT("D" &amp; MATCH(A64-$B$1 / 24,A:A,1)):D64, INDIRECT("A" &amp; MATCH(A64-$B$1 / 24,A:A,1)):A64),NA()))</f>
        <v>614020.27950062451</v>
      </c>
      <c r="G64" s="58">
        <f ca="1">IF(ISBLANK(A64),NA(),IFERROR(A64+(PLAYER_EXP_MAX-D64)/F64,NA()))</f>
        <v>44313.672666348852</v>
      </c>
      <c r="H64" s="485" t="str">
        <f t="shared" ca="1" si="2"/>
        <v>000 D 16 H</v>
      </c>
      <c r="I64" s="51">
        <f ca="1">IF(ISBLANK(A64),NA(),IFERROR(SLOPE(INDIRECT("D" &amp; MATCH(A64-$C$1 / 24,A:A,1)):D64, INDIRECT("A" &amp; MATCH(A64-$C$1 / 24,A:A,1)):A64),NA()))</f>
        <v>610824.21905852598</v>
      </c>
      <c r="J64" s="58">
        <f ca="1">IF(ISBLANK(A64),NA(),IFERROR(A64+(PLAYER_EXP_MAX-D64)/I64,NA()))</f>
        <v>44313.77573552938</v>
      </c>
      <c r="K64" s="485" t="str">
        <f t="shared" ca="1" si="3"/>
        <v>000 D 19 H</v>
      </c>
      <c r="L64" s="51">
        <f ca="1">IF(ISBLANK(A64),NA(),IFERROR(SLOPE(INDIRECT("D" &amp; MATCH(A64-$D$1 / 24,A:A,1)):D64, INDIRECT("A" &amp; MATCH(A64-$D$1 / 24,A:A,1)):A64),NA()))</f>
        <v>545248.08289847011</v>
      </c>
      <c r="M64" s="58">
        <f ca="1">IF(ISBLANK(A64),NA(),IFERROR(A64+(PLAYER_EXP_MAX-D64)/L64,NA()))</f>
        <v>44316.157222615446</v>
      </c>
      <c r="N64" s="485" t="str">
        <f t="shared" ca="1" si="4"/>
        <v>003 D 04 H</v>
      </c>
    </row>
    <row r="65" spans="1:14" ht="14.65" customHeight="1" x14ac:dyDescent="0.25">
      <c r="A65" s="8">
        <v>44294.211805555555</v>
      </c>
      <c r="B65" s="42">
        <v>217</v>
      </c>
      <c r="C65" s="42">
        <v>258374</v>
      </c>
      <c r="D65" s="50">
        <f t="shared" si="0"/>
        <v>15849116</v>
      </c>
      <c r="E65" s="46">
        <f>IF(ISBLANK(A65),"-",D65/PLAYER_EXP_MAX)</f>
        <v>0.57014307504267592</v>
      </c>
      <c r="F65" s="51">
        <f ca="1">IF(ISBLANK(A65),NA(),IFERROR(SLOPE(INDIRECT("D" &amp; MATCH(A65-$B$1 / 24,A:A,1)):D65, INDIRECT("A" &amp; MATCH(A65-$B$1 / 24,A:A,1)):A65),NA()))</f>
        <v>613650.39673694503</v>
      </c>
      <c r="G65" s="58">
        <f ca="1">IF(ISBLANK(A65),NA(),IFERROR(A65+(PLAYER_EXP_MAX-D65)/F65,NA()))</f>
        <v>44313.684412537543</v>
      </c>
      <c r="H65" s="485" t="str">
        <f t="shared" ca="1" si="2"/>
        <v>000 D 16 H</v>
      </c>
      <c r="I65" s="51">
        <f ca="1">IF(ISBLANK(A65),NA(),IFERROR(SLOPE(INDIRECT("D" &amp; MATCH(A65-$C$1 / 24,A:A,1)):D65, INDIRECT("A" &amp; MATCH(A65-$C$1 / 24,A:A,1)):A65),NA()))</f>
        <v>647743.19423207873</v>
      </c>
      <c r="J65" s="58">
        <f ca="1">IF(ISBLANK(A65),NA(),IFERROR(A65+(PLAYER_EXP_MAX-D65)/I65,NA()))</f>
        <v>44312.659506907577</v>
      </c>
      <c r="K65" s="485" t="str">
        <f t="shared" ca="1" si="3"/>
        <v>000 D 07 H</v>
      </c>
      <c r="L65" s="51">
        <f ca="1">IF(ISBLANK(A65),NA(),IFERROR(SLOPE(INDIRECT("D" &amp; MATCH(A65-$D$1 / 24,A:A,1)):D65, INDIRECT("A" &amp; MATCH(A65-$D$1 / 24,A:A,1)):A65),NA()))</f>
        <v>561620.89234341728</v>
      </c>
      <c r="M65" s="58">
        <f ca="1">IF(ISBLANK(A65),NA(),IFERROR(A65+(PLAYER_EXP_MAX-D65)/L65,NA()))</f>
        <v>44315.488387611003</v>
      </c>
      <c r="N65" s="485" t="str">
        <f t="shared" ca="1" si="4"/>
        <v>002 D 12 H</v>
      </c>
    </row>
    <row r="66" spans="1:14" ht="14.65" customHeight="1" x14ac:dyDescent="0.25">
      <c r="A66" s="8">
        <v>44294.320138888892</v>
      </c>
      <c r="B66" s="42">
        <v>217</v>
      </c>
      <c r="C66" s="42">
        <v>191214</v>
      </c>
      <c r="D66" s="50">
        <f t="shared" si="0"/>
        <v>15916276</v>
      </c>
      <c r="E66" s="46">
        <f>IF(ISBLANK(A66),"-",D66/PLAYER_EXP_MAX)</f>
        <v>0.57255903369424144</v>
      </c>
      <c r="F66" s="51">
        <f ca="1">IF(ISBLANK(A66),NA(),IFERROR(SLOPE(INDIRECT("D" &amp; MATCH(A66-$B$1 / 24,A:A,1)):D66, INDIRECT("A" &amp; MATCH(A66-$B$1 / 24,A:A,1)):A66),NA()))</f>
        <v>615540.74348326237</v>
      </c>
      <c r="G66" s="58">
        <f ca="1">IF(ISBLANK(A66),NA(),IFERROR(A66+(PLAYER_EXP_MAX-D66)/F66,NA()))</f>
        <v>44313.623837508028</v>
      </c>
      <c r="H66" s="485" t="str">
        <f t="shared" ca="1" si="2"/>
        <v>000 D 15 H</v>
      </c>
      <c r="I66" s="51">
        <f ca="1">IF(ISBLANK(A66),NA(),IFERROR(SLOPE(INDIRECT("D" &amp; MATCH(A66-$C$1 / 24,A:A,1)):D66, INDIRECT("A" &amp; MATCH(A66-$C$1 / 24,A:A,1)):A66),NA()))</f>
        <v>649815.47876979003</v>
      </c>
      <c r="J66" s="58">
        <f ca="1">IF(ISBLANK(A66),NA(),IFERROR(A66+(PLAYER_EXP_MAX-D66)/I66,NA()))</f>
        <v>44312.605657452557</v>
      </c>
      <c r="K66" s="485" t="str">
        <f t="shared" ca="1" si="3"/>
        <v>000 D 08 H</v>
      </c>
      <c r="L66" s="51">
        <f ca="1">IF(ISBLANK(A66),NA(),IFERROR(SLOPE(INDIRECT("D" &amp; MATCH(A66-$D$1 / 24,A:A,1)):D66, INDIRECT("A" &amp; MATCH(A66-$D$1 / 24,A:A,1)):A66),NA()))</f>
        <v>578042.66975379211</v>
      </c>
      <c r="M66" s="58">
        <f ca="1">IF(ISBLANK(A66),NA(),IFERROR(A66+(PLAYER_EXP_MAX-D66)/L66,NA()))</f>
        <v>44314.876083322997</v>
      </c>
      <c r="N66" s="485" t="str">
        <f t="shared" ca="1" si="4"/>
        <v>001 D 21 H</v>
      </c>
    </row>
    <row r="67" spans="1:14" ht="14.65" customHeight="1" x14ac:dyDescent="0.25">
      <c r="A67" s="8">
        <v>44294.904166666667</v>
      </c>
      <c r="B67" s="42">
        <v>218</v>
      </c>
      <c r="C67" s="42">
        <v>231304</v>
      </c>
      <c r="D67" s="50">
        <f t="shared" ref="D67:D125" si="5">IF(ISBLANK(A67),"-",INDEX(DATA_PLAYER_EXP, B67, 3) + INDEX(DATA_PLAYER_EXP, B67, 2) - C67)</f>
        <v>16187186</v>
      </c>
      <c r="E67" s="46">
        <f>IF(ISBLANK(A67),"-",D67/PLAYER_EXP_MAX)</f>
        <v>0.58230452741514116</v>
      </c>
      <c r="F67" s="51">
        <f ca="1">IF(ISBLANK(A67),NA(),IFERROR(SLOPE(INDIRECT("D" &amp; MATCH(A67-$B$1 / 24,A:A,1)):D67, INDIRECT("A" &amp; MATCH(A67-$B$1 / 24,A:A,1)):A67),NA()))</f>
        <v>463864.92271311302</v>
      </c>
      <c r="G67" s="58">
        <f ca="1">IF(ISBLANK(A67),NA(),IFERROR(A67+(PLAYER_EXP_MAX-D67)/F67,NA()))</f>
        <v>44319.93581366443</v>
      </c>
      <c r="H67" s="485" t="str">
        <f t="shared" ca="1" si="2"/>
        <v>006 D 22 H</v>
      </c>
      <c r="I67" s="51">
        <f ca="1">IF(ISBLANK(A67),NA(),IFERROR(SLOPE(INDIRECT("D" &amp; MATCH(A67-$C$1 / 24,A:A,1)):D67, INDIRECT("A" &amp; MATCH(A67-$C$1 / 24,A:A,1)):A67),NA()))</f>
        <v>541455.50528500753</v>
      </c>
      <c r="J67" s="58">
        <f ca="1">IF(ISBLANK(A67),NA(),IFERROR(A67+(PLAYER_EXP_MAX-D67)/I67,NA()))</f>
        <v>44316.348778249085</v>
      </c>
      <c r="K67" s="485" t="str">
        <f t="shared" ca="1" si="3"/>
        <v>003 D 08 H</v>
      </c>
      <c r="L67" s="51">
        <f ca="1">IF(ISBLANK(A67),NA(),IFERROR(SLOPE(INDIRECT("D" &amp; MATCH(A67-$D$1 / 24,A:A,1)):D67, INDIRECT("A" &amp; MATCH(A67-$D$1 / 24,A:A,1)):A67),NA()))</f>
        <v>585606.53929344018</v>
      </c>
      <c r="M67" s="58">
        <f ca="1">IF(ISBLANK(A67),NA(),IFERROR(A67+(PLAYER_EXP_MAX-D67)/L67,NA()))</f>
        <v>44314.731989993248</v>
      </c>
      <c r="N67" s="485" t="str">
        <f t="shared" ca="1" si="4"/>
        <v>001 D 18 H</v>
      </c>
    </row>
    <row r="68" spans="1:14" ht="14.65" customHeight="1" x14ac:dyDescent="0.25">
      <c r="A68" s="8">
        <v>44295.699305555558</v>
      </c>
      <c r="B68" s="42">
        <v>219</v>
      </c>
      <c r="C68" s="42">
        <v>79864</v>
      </c>
      <c r="D68" s="50">
        <f t="shared" si="5"/>
        <v>16653626</v>
      </c>
      <c r="E68" s="46">
        <f>IF(ISBLANK(A68),"-",D68/PLAYER_EXP_MAX)</f>
        <v>0.59908385668012387</v>
      </c>
      <c r="F68" s="51">
        <f ca="1">IF(ISBLANK(A68),NA(),IFERROR(SLOPE(INDIRECT("D" &amp; MATCH(A68-$B$1 / 24,A:A,1)):D68, INDIRECT("A" &amp; MATCH(A68-$B$1 / 24,A:A,1)):A68),NA()))</f>
        <v>586614.49781540106</v>
      </c>
      <c r="G68" s="58">
        <f ca="1">IF(ISBLANK(A68),NA(),IFERROR(A68+(PLAYER_EXP_MAX-D68)/F68,NA()))</f>
        <v>44314.697920559971</v>
      </c>
      <c r="H68" s="485" t="str">
        <f t="shared" ref="H68:H125" ca="1" si="6">IF(ISBLANK(A68),NA(),IFERROR(TEXT(TRUNC(G68-NOW()),"000") &amp; " D " &amp; TEXT(TRUNC(ABS(G68-NOW()-TRUNC(G68-NOW()))*24),"00") &amp; " H", NA()))</f>
        <v>001 D 17 H</v>
      </c>
      <c r="I68" s="51">
        <f ca="1">IF(ISBLANK(A68),NA(),IFERROR(SLOPE(INDIRECT("D" &amp; MATCH(A68-$C$1 / 24,A:A,1)):D68, INDIRECT("A" &amp; MATCH(A68-$C$1 / 24,A:A,1)):A68),NA()))</f>
        <v>537668.94206527947</v>
      </c>
      <c r="J68" s="58">
        <f ca="1">IF(ISBLANK(A68),NA(),IFERROR(A68+(PLAYER_EXP_MAX-D68)/I68,NA()))</f>
        <v>44316.427419322346</v>
      </c>
      <c r="K68" s="485" t="str">
        <f t="shared" ref="K68:K125" ca="1" si="7">IF(ISBLANK(A68),NA(),IFERROR(TEXT(TRUNC(J68-NOW()),"000") &amp; " D " &amp; TEXT(TRUNC(ABS(J68-NOW()-TRUNC(J68-NOW()))*24),"00") &amp; " H", NA()))</f>
        <v>003 D 10 H</v>
      </c>
      <c r="L68" s="51">
        <f ca="1">IF(ISBLANK(A68),NA(),IFERROR(SLOPE(INDIRECT("D" &amp; MATCH(A68-$D$1 / 24,A:A,1)):D68, INDIRECT("A" &amp; MATCH(A68-$D$1 / 24,A:A,1)):A68),NA()))</f>
        <v>579051.99854580977</v>
      </c>
      <c r="M68" s="58">
        <f ca="1">IF(ISBLANK(A68),NA(),IFERROR(A68+(PLAYER_EXP_MAX-D68)/L68,NA()))</f>
        <v>44314.946045102246</v>
      </c>
      <c r="N68" s="485" t="str">
        <f t="shared" ref="N68:N125" ca="1" si="8">IF(ISBLANK(A68),NA(),IFERROR(TEXT(TRUNC(M68-NOW()),"000") &amp; " D " &amp; TEXT(TRUNC(ABS(M68-NOW()-TRUNC(M68-NOW()))*24),"00") &amp; " H", NA()))</f>
        <v>001 D 23 H</v>
      </c>
    </row>
    <row r="69" spans="1:14" ht="14.65" customHeight="1" x14ac:dyDescent="0.25">
      <c r="A69" s="8">
        <v>44296.06527777778</v>
      </c>
      <c r="B69" s="42">
        <v>220</v>
      </c>
      <c r="C69" s="42">
        <v>190012</v>
      </c>
      <c r="D69" s="50">
        <f t="shared" si="5"/>
        <v>16862478</v>
      </c>
      <c r="E69" s="46">
        <f>IF(ISBLANK(A69),"-",D69/PLAYER_EXP_MAX)</f>
        <v>0.60659692690491196</v>
      </c>
      <c r="F69" s="51">
        <f ca="1">IF(ISBLANK(A69),NA(),IFERROR(SLOPE(INDIRECT("D" &amp; MATCH(A69-$B$1 / 24,A:A,1)):D69, INDIRECT("A" &amp; MATCH(A69-$B$1 / 24,A:A,1)):A69),NA()))</f>
        <v>570677.19165135815</v>
      </c>
      <c r="G69" s="58">
        <f ca="1">IF(ISBLANK(A69),NA(),IFERROR(A69+(PLAYER_EXP_MAX-D69)/F69,NA()))</f>
        <v>44315.228495022115</v>
      </c>
      <c r="H69" s="485" t="str">
        <f t="shared" ca="1" si="6"/>
        <v>002 D 05 H</v>
      </c>
      <c r="I69" s="51">
        <f ca="1">IF(ISBLANK(A69),NA(),IFERROR(SLOPE(INDIRECT("D" &amp; MATCH(A69-$C$1 / 24,A:A,1)):D69, INDIRECT("A" &amp; MATCH(A69-$C$1 / 24,A:A,1)):A69),NA()))</f>
        <v>582401.93167515553</v>
      </c>
      <c r="J69" s="58">
        <f ca="1">IF(ISBLANK(A69),NA(),IFERROR(A69+(PLAYER_EXP_MAX-D69)/I69,NA()))</f>
        <v>44314.842706912576</v>
      </c>
      <c r="K69" s="485" t="str">
        <f t="shared" ca="1" si="7"/>
        <v>001 D 20 H</v>
      </c>
      <c r="L69" s="51">
        <f ca="1">IF(ISBLANK(A69),NA(),IFERROR(SLOPE(INDIRECT("D" &amp; MATCH(A69-$D$1 / 24,A:A,1)):D69, INDIRECT("A" &amp; MATCH(A69-$D$1 / 24,A:A,1)):A69),NA()))</f>
        <v>574281.32140382787</v>
      </c>
      <c r="M69" s="58">
        <f ca="1">IF(ISBLANK(A69),NA(),IFERROR(A69+(PLAYER_EXP_MAX-D69)/L69,NA()))</f>
        <v>44315.108228666846</v>
      </c>
      <c r="N69" s="485" t="str">
        <f t="shared" ca="1" si="8"/>
        <v>002 D 03 H</v>
      </c>
    </row>
    <row r="70" spans="1:14" ht="14.65" customHeight="1" x14ac:dyDescent="0.25">
      <c r="A70" s="8">
        <v>44296.193055555559</v>
      </c>
      <c r="B70" s="42">
        <v>220</v>
      </c>
      <c r="C70" s="42">
        <v>121488</v>
      </c>
      <c r="D70" s="52">
        <f t="shared" si="5"/>
        <v>16931002</v>
      </c>
      <c r="E70" s="46">
        <f>IF(ISBLANK(A70),"-",D70/PLAYER_EXP_MAX)</f>
        <v>0.60906195297161658</v>
      </c>
      <c r="F70" s="51">
        <f ca="1">IF(ISBLANK(A70),NA(),IFERROR(SLOPE(INDIRECT("D" &amp; MATCH(A70-$B$1 / 24,A:A,1)):D70, INDIRECT("A" &amp; MATCH(A70-$B$1 / 24,A:A,1)):A70),NA()))</f>
        <v>563743.71090044035</v>
      </c>
      <c r="G70" s="58">
        <f ca="1">IF(ISBLANK(A70),NA(),IFERROR(A70+(PLAYER_EXP_MAX-D70)/F70,NA()))</f>
        <v>44315.470409413116</v>
      </c>
      <c r="H70" s="485" t="str">
        <f t="shared" ca="1" si="6"/>
        <v>002 D 11 H</v>
      </c>
      <c r="I70" s="51">
        <f ca="1">IF(ISBLANK(A70),NA(),IFERROR(SLOPE(INDIRECT("D" &amp; MATCH(A70-$C$1 / 24,A:A,1)):D70, INDIRECT("A" &amp; MATCH(A70-$C$1 / 24,A:A,1)):A70),NA()))</f>
        <v>578786.21472849417</v>
      </c>
      <c r="J70" s="58">
        <f ca="1">IF(ISBLANK(A70),NA(),IFERROR(A70+(PLAYER_EXP_MAX-D70)/I70,NA()))</f>
        <v>44314.969395978762</v>
      </c>
      <c r="K70" s="485" t="str">
        <f t="shared" ca="1" si="7"/>
        <v>001 D 23 H</v>
      </c>
      <c r="L70" s="51">
        <f ca="1">IF(ISBLANK(A70),NA(),IFERROR(SLOPE(INDIRECT("D" &amp; MATCH(A70-$D$1 / 24,A:A,1)):D70, INDIRECT("A" &amp; MATCH(A70-$D$1 / 24,A:A,1)):A70),NA()))</f>
        <v>569924.18681018695</v>
      </c>
      <c r="M70" s="58">
        <f ca="1">IF(ISBLANK(A70),NA(),IFERROR(A70+(PLAYER_EXP_MAX-D70)/L70,NA()))</f>
        <v>44315.261358413212</v>
      </c>
      <c r="N70" s="485" t="str">
        <f t="shared" ca="1" si="8"/>
        <v>002 D 06 H</v>
      </c>
    </row>
    <row r="71" spans="1:14" ht="14.65" customHeight="1" x14ac:dyDescent="0.25">
      <c r="A71" s="8">
        <v>44296.7</v>
      </c>
      <c r="B71" s="42">
        <v>221</v>
      </c>
      <c r="C71" s="42">
        <v>144480</v>
      </c>
      <c r="D71" s="52">
        <f t="shared" si="5"/>
        <v>17231010</v>
      </c>
      <c r="E71" s="46">
        <f>IF(ISBLANK(A71),"-",D71/PLAYER_EXP_MAX)</f>
        <v>0.61985419423336285</v>
      </c>
      <c r="F71" s="51">
        <f ca="1">IF(ISBLANK(A71),NA(),IFERROR(SLOPE(INDIRECT("D" &amp; MATCH(A71-$B$1 / 24,A:A,1)):D71, INDIRECT("A" &amp; MATCH(A71-$B$1 / 24,A:A,1)):A71),NA()))</f>
        <v>591796.60274727608</v>
      </c>
      <c r="G71" s="58">
        <f ca="1">IF(ISBLANK(A71),NA(),IFERROR(A71+(PLAYER_EXP_MAX-D71)/F71,NA()))</f>
        <v>44314.556606393046</v>
      </c>
      <c r="H71" s="485" t="str">
        <f t="shared" ca="1" si="6"/>
        <v>001 D 13 H</v>
      </c>
      <c r="I71" s="51">
        <f ca="1">IF(ISBLANK(A71),NA(),IFERROR(SLOPE(INDIRECT("D" &amp; MATCH(A71-$C$1 / 24,A:A,1)):D71, INDIRECT("A" &amp; MATCH(A71-$C$1 / 24,A:A,1)):A71),NA()))</f>
        <v>577009.91574201651</v>
      </c>
      <c r="J71" s="58">
        <f ca="1">IF(ISBLANK(A71),NA(),IFERROR(A71+(PLAYER_EXP_MAX-D71)/I71,NA()))</f>
        <v>44315.014206934226</v>
      </c>
      <c r="K71" s="485" t="str">
        <f t="shared" ca="1" si="7"/>
        <v>002 D 00 H</v>
      </c>
      <c r="L71" s="51">
        <f ca="1">IF(ISBLANK(A71),NA(),IFERROR(SLOPE(INDIRECT("D" &amp; MATCH(A71-$D$1 / 24,A:A,1)):D71, INDIRECT("A" &amp; MATCH(A71-$D$1 / 24,A:A,1)):A71),NA()))</f>
        <v>565315.62166268402</v>
      </c>
      <c r="M71" s="58">
        <f ca="1">IF(ISBLANK(A71),NA(),IFERROR(A71+(PLAYER_EXP_MAX-D71)/L71,NA()))</f>
        <v>44315.393060292437</v>
      </c>
      <c r="N71" s="485" t="str">
        <f t="shared" ca="1" si="8"/>
        <v>002 D 09 H</v>
      </c>
    </row>
    <row r="72" spans="1:14" ht="14.65" customHeight="1" x14ac:dyDescent="0.25">
      <c r="A72" s="8">
        <v>44297.365277777775</v>
      </c>
      <c r="B72" s="42">
        <v>222</v>
      </c>
      <c r="C72" s="42">
        <v>81400</v>
      </c>
      <c r="D72" s="52">
        <f t="shared" si="5"/>
        <v>17621090</v>
      </c>
      <c r="E72" s="46">
        <f>IF(ISBLANK(A72),"-",D72/PLAYER_EXP_MAX)</f>
        <v>0.63388661160683946</v>
      </c>
      <c r="F72" s="51">
        <f ca="1">IF(ISBLANK(A72),NA(),IFERROR(SLOPE(INDIRECT("D" &amp; MATCH(A72-$B$1 / 24,A:A,1)):D72, INDIRECT("A" &amp; MATCH(A72-$B$1 / 24,A:A,1)):A72),NA()))</f>
        <v>586341.54488489241</v>
      </c>
      <c r="G72" s="58">
        <f ca="1">IF(ISBLANK(A72),NA(),IFERROR(A72+(PLAYER_EXP_MAX-D72)/F72,NA()))</f>
        <v>44314.722736222917</v>
      </c>
      <c r="H72" s="485" t="str">
        <f t="shared" ca="1" si="6"/>
        <v>001 D 17 H</v>
      </c>
      <c r="I72" s="51">
        <f ca="1">IF(ISBLANK(A72),NA(),IFERROR(SLOPE(INDIRECT("D" &amp; MATCH(A72-$C$1 / 24,A:A,1)):D72, INDIRECT("A" &amp; MATCH(A72-$C$1 / 24,A:A,1)):A72),NA()))</f>
        <v>588580.82928508613</v>
      </c>
      <c r="J72" s="58">
        <f ca="1">IF(ISBLANK(A72),NA(),IFERROR(A72+(PLAYER_EXP_MAX-D72)/I72,NA()))</f>
        <v>44314.6566989278</v>
      </c>
      <c r="K72" s="485" t="str">
        <f t="shared" ca="1" si="7"/>
        <v>001 D 16 H</v>
      </c>
      <c r="L72" s="51">
        <f ca="1">IF(ISBLANK(A72),NA(),IFERROR(SLOPE(INDIRECT("D" &amp; MATCH(A72-$D$1 / 24,A:A,1)):D72, INDIRECT("A" &amp; MATCH(A72-$D$1 / 24,A:A,1)):A72),NA()))</f>
        <v>564887.12673931802</v>
      </c>
      <c r="M72" s="58">
        <f ca="1">IF(ISBLANK(A72),NA(),IFERROR(A72+(PLAYER_EXP_MAX-D72)/L72,NA()))</f>
        <v>44315.38197265051</v>
      </c>
      <c r="N72" s="485" t="str">
        <f t="shared" ca="1" si="8"/>
        <v>002 D 09 H</v>
      </c>
    </row>
    <row r="73" spans="1:14" ht="14.65" customHeight="1" x14ac:dyDescent="0.25">
      <c r="A73" s="8">
        <v>44297.561805555553</v>
      </c>
      <c r="B73" s="42">
        <v>223</v>
      </c>
      <c r="C73" s="42">
        <v>282220</v>
      </c>
      <c r="D73" s="52">
        <f t="shared" si="5"/>
        <v>17751270</v>
      </c>
      <c r="E73" s="46">
        <f>IF(ISBLANK(A73),"-",D73/PLAYER_EXP_MAX)</f>
        <v>0.63856959995199736</v>
      </c>
      <c r="F73" s="51">
        <f ca="1">IF(ISBLANK(A73),NA(),IFERROR(SLOPE(INDIRECT("D" &amp; MATCH(A73-$B$1 / 24,A:A,1)):D73, INDIRECT("A" &amp; MATCH(A73-$B$1 / 24,A:A,1)):A73),NA()))</f>
        <v>599266.78376938438</v>
      </c>
      <c r="G73" s="58">
        <f ca="1">IF(ISBLANK(A73),NA(),IFERROR(A73+(PLAYER_EXP_MAX-D73)/F73,NA()))</f>
        <v>44314.327658881848</v>
      </c>
      <c r="H73" s="485" t="str">
        <f t="shared" ca="1" si="6"/>
        <v>001 D 08 H</v>
      </c>
      <c r="I73" s="51">
        <f ca="1">IF(ISBLANK(A73),NA(),IFERROR(SLOPE(INDIRECT("D" &amp; MATCH(A73-$C$1 / 24,A:A,1)):D73, INDIRECT("A" &amp; MATCH(A73-$C$1 / 24,A:A,1)):A73),NA()))</f>
        <v>595796.51063418109</v>
      </c>
      <c r="J73" s="58">
        <f ca="1">IF(ISBLANK(A73),NA(),IFERROR(A73+(PLAYER_EXP_MAX-D73)/I73,NA()))</f>
        <v>44314.425313180509</v>
      </c>
      <c r="K73" s="485" t="str">
        <f t="shared" ca="1" si="7"/>
        <v>001 D 10 H</v>
      </c>
      <c r="L73" s="51">
        <f ca="1">IF(ISBLANK(A73),NA(),IFERROR(SLOPE(INDIRECT("D" &amp; MATCH(A73-$D$1 / 24,A:A,1)):D73, INDIRECT("A" &amp; MATCH(A73-$D$1 / 24,A:A,1)):A73),NA()))</f>
        <v>570895.2587683209</v>
      </c>
      <c r="M73" s="58">
        <f ca="1">IF(ISBLANK(A73),NA(),IFERROR(A73+(PLAYER_EXP_MAX-D73)/L73,NA()))</f>
        <v>44315.160863956698</v>
      </c>
      <c r="N73" s="485" t="str">
        <f t="shared" ca="1" si="8"/>
        <v>002 D 04 H</v>
      </c>
    </row>
    <row r="74" spans="1:14" ht="14.65" customHeight="1" x14ac:dyDescent="0.25">
      <c r="A74" s="8">
        <v>44298.405555555553</v>
      </c>
      <c r="B74" s="42">
        <v>224</v>
      </c>
      <c r="C74" s="42">
        <v>295414</v>
      </c>
      <c r="D74" s="52">
        <f t="shared" si="5"/>
        <v>18073076</v>
      </c>
      <c r="E74" s="46">
        <f>IF(ISBLANK(A74),"-",D74/PLAYER_EXP_MAX)</f>
        <v>0.65014598455333306</v>
      </c>
      <c r="F74" s="51">
        <f ca="1">IF(ISBLANK(A74),NA(),IFERROR(SLOPE(INDIRECT("D" &amp; MATCH(A74-$B$1 / 24,A:A,1)):D74, INDIRECT("A" &amp; MATCH(A74-$B$1 / 24,A:A,1)):A74),NA()))</f>
        <v>381399.70370370371</v>
      </c>
      <c r="G74" s="58">
        <f ca="1">IF(ISBLANK(A74),NA(),IFERROR(A74+(PLAYER_EXP_MAX-D74)/F74,NA()))</f>
        <v>44323.904822874218</v>
      </c>
      <c r="H74" s="485" t="str">
        <f t="shared" ca="1" si="6"/>
        <v>010 D 22 H</v>
      </c>
      <c r="I74" s="51">
        <f ca="1">IF(ISBLANK(A74),NA(),IFERROR(SLOPE(INDIRECT("D" &amp; MATCH(A74-$C$1 / 24,A:A,1)):D74, INDIRECT("A" &amp; MATCH(A74-$C$1 / 24,A:A,1)):A74),NA()))</f>
        <v>418667.79872623703</v>
      </c>
      <c r="J74" s="58">
        <f ca="1">IF(ISBLANK(A74),NA(),IFERROR(A74+(PLAYER_EXP_MAX-D74)/I74,NA()))</f>
        <v>44321.634982393705</v>
      </c>
      <c r="K74" s="485" t="str">
        <f t="shared" ca="1" si="7"/>
        <v>008 D 15 H</v>
      </c>
      <c r="L74" s="51">
        <f ca="1">IF(ISBLANK(A74),NA(),IFERROR(SLOPE(INDIRECT("D" &amp; MATCH(A74-$D$1 / 24,A:A,1)):D74, INDIRECT("A" &amp; MATCH(A74-$D$1 / 24,A:A,1)):A74),NA()))</f>
        <v>553358.07567540428</v>
      </c>
      <c r="M74" s="58">
        <f ca="1">IF(ISBLANK(A74),NA(),IFERROR(A74+(PLAYER_EXP_MAX-D74)/L74,NA()))</f>
        <v>44315.980817266754</v>
      </c>
      <c r="N74" s="485" t="str">
        <f t="shared" ca="1" si="8"/>
        <v>003 D 00 H</v>
      </c>
    </row>
    <row r="75" spans="1:14" ht="14.65" customHeight="1" x14ac:dyDescent="0.25">
      <c r="A75" s="8">
        <v>44298.50277777778</v>
      </c>
      <c r="B75" s="42">
        <v>224</v>
      </c>
      <c r="C75" s="42">
        <v>266335</v>
      </c>
      <c r="D75" s="52">
        <f t="shared" si="5"/>
        <v>18102155</v>
      </c>
      <c r="E75" s="46">
        <f>IF(ISBLANK(A75),"-",D75/PLAYER_EXP_MAX)</f>
        <v>0.65119204860379287</v>
      </c>
      <c r="F75" s="51">
        <f ca="1">IF(ISBLANK(A75),NA(),IFERROR(SLOPE(INDIRECT("D" &amp; MATCH(A75-$B$1 / 24,A:A,1)):D75, INDIRECT("A" &amp; MATCH(A75-$B$1 / 24,A:A,1)):A75),NA()))</f>
        <v>376229.69701416238</v>
      </c>
      <c r="G75" s="58">
        <f ca="1">IF(ISBLANK(A75),NA(),IFERROR(A75+(PLAYER_EXP_MAX-D75)/F75,NA()))</f>
        <v>44324.275155867421</v>
      </c>
      <c r="H75" s="485" t="str">
        <f t="shared" ca="1" si="6"/>
        <v>011 D 07 H</v>
      </c>
      <c r="I75" s="51">
        <f ca="1">IF(ISBLANK(A75),NA(),IFERROR(SLOPE(INDIRECT("D" &amp; MATCH(A75-$C$1 / 24,A:A,1)):D75, INDIRECT("A" &amp; MATCH(A75-$C$1 / 24,A:A,1)):A75),NA()))</f>
        <v>409675.36545046582</v>
      </c>
      <c r="J75" s="58">
        <f ca="1">IF(ISBLANK(A75),NA(),IFERROR(A75+(PLAYER_EXP_MAX-D75)/I75,NA()))</f>
        <v>44322.171113288598</v>
      </c>
      <c r="K75" s="485" t="str">
        <f t="shared" ca="1" si="7"/>
        <v>009 D 04 H</v>
      </c>
      <c r="L75" s="51">
        <f ca="1">IF(ISBLANK(A75),NA(),IFERROR(SLOPE(INDIRECT("D" &amp; MATCH(A75-$D$1 / 24,A:A,1)):D75, INDIRECT("A" &amp; MATCH(A75-$D$1 / 24,A:A,1)):A75),NA()))</f>
        <v>538341.26846766158</v>
      </c>
      <c r="M75" s="58">
        <f ca="1">IF(ISBLANK(A75),NA(),IFERROR(A75+(PLAYER_EXP_MAX-D75)/L75,NA()))</f>
        <v>44316.514278229159</v>
      </c>
      <c r="N75" s="485" t="str">
        <f t="shared" ca="1" si="8"/>
        <v>003 D 12 H</v>
      </c>
    </row>
    <row r="76" spans="1:14" ht="14.65" customHeight="1" x14ac:dyDescent="0.25">
      <c r="A76" s="8">
        <v>44298.577777777777</v>
      </c>
      <c r="B76" s="42">
        <v>224</v>
      </c>
      <c r="C76" s="42">
        <v>217114</v>
      </c>
      <c r="D76" s="52">
        <f t="shared" si="5"/>
        <v>18151376</v>
      </c>
      <c r="E76" s="46">
        <f>IF(ISBLANK(A76),"-",D76/PLAYER_EXP_MAX)</f>
        <v>0.65296268441065264</v>
      </c>
      <c r="F76" s="51">
        <f ca="1">IF(ISBLANK(A76),NA(),IFERROR(SLOPE(INDIRECT("D" &amp; MATCH(A76-$B$1 / 24,A:A,1)):D76, INDIRECT("A" &amp; MATCH(A76-$B$1 / 24,A:A,1)):A76),NA()))</f>
        <v>384476.24561379076</v>
      </c>
      <c r="G76" s="58">
        <f ca="1">IF(ISBLANK(A76),NA(),IFERROR(A76+(PLAYER_EXP_MAX-D76)/F76,NA()))</f>
        <v>44323.669348739721</v>
      </c>
      <c r="H76" s="485" t="str">
        <f t="shared" ca="1" si="6"/>
        <v>010 D 16 H</v>
      </c>
      <c r="I76" s="51">
        <f ca="1">IF(ISBLANK(A76),NA(),IFERROR(SLOPE(INDIRECT("D" &amp; MATCH(A76-$C$1 / 24,A:A,1)):D76, INDIRECT("A" &amp; MATCH(A76-$C$1 / 24,A:A,1)):A76),NA()))</f>
        <v>384476.24561379076</v>
      </c>
      <c r="J76" s="58">
        <f ca="1">IF(ISBLANK(A76),NA(),IFERROR(A76+(PLAYER_EXP_MAX-D76)/I76,NA()))</f>
        <v>44323.669348739721</v>
      </c>
      <c r="K76" s="485" t="str">
        <f t="shared" ca="1" si="7"/>
        <v>010 D 16 H</v>
      </c>
      <c r="L76" s="51">
        <f ca="1">IF(ISBLANK(A76),NA(),IFERROR(SLOPE(INDIRECT("D" &amp; MATCH(A76-$D$1 / 24,A:A,1)):D76, INDIRECT("A" &amp; MATCH(A76-$D$1 / 24,A:A,1)):A76),NA()))</f>
        <v>531755.41305934917</v>
      </c>
      <c r="M76" s="58">
        <f ca="1">IF(ISBLANK(A76),NA(),IFERROR(A76+(PLAYER_EXP_MAX-D76)/L76,NA()))</f>
        <v>44316.719789618328</v>
      </c>
      <c r="N76" s="485" t="str">
        <f t="shared" ca="1" si="8"/>
        <v>003 D 17 H</v>
      </c>
    </row>
    <row r="77" spans="1:14" ht="14.65" customHeight="1" x14ac:dyDescent="0.25">
      <c r="A77" s="8">
        <v>44298.67083333333</v>
      </c>
      <c r="B77" s="42">
        <v>224</v>
      </c>
      <c r="C77" s="42">
        <v>156394</v>
      </c>
      <c r="D77" s="52">
        <f t="shared" si="5"/>
        <v>18212096</v>
      </c>
      <c r="E77" s="46">
        <f>IF(ISBLANK(A77),"-",D77/PLAYER_EXP_MAX)</f>
        <v>0.65514697579425984</v>
      </c>
      <c r="F77" s="51">
        <f ca="1">IF(ISBLANK(A77),NA(),IFERROR(SLOPE(INDIRECT("D" &amp; MATCH(A77-$B$1 / 24,A:A,1)):D77, INDIRECT("A" &amp; MATCH(A77-$B$1 / 24,A:A,1)):A77),NA()))</f>
        <v>532912.97539615736</v>
      </c>
      <c r="G77" s="58">
        <f ca="1">IF(ISBLANK(A77),NA(),IFERROR(A77+(PLAYER_EXP_MAX-D77)/F77,NA()))</f>
        <v>44316.659498354806</v>
      </c>
      <c r="H77" s="485" t="str">
        <f t="shared" ca="1" si="6"/>
        <v>003 D 16 H</v>
      </c>
      <c r="I77" s="51">
        <f ca="1">IF(ISBLANK(A77),NA(),IFERROR(SLOPE(INDIRECT("D" &amp; MATCH(A77-$C$1 / 24,A:A,1)):D77, INDIRECT("A" &amp; MATCH(A77-$C$1 / 24,A:A,1)):A77),NA()))</f>
        <v>398921.26247820357</v>
      </c>
      <c r="J77" s="58">
        <f ca="1">IF(ISBLANK(A77),NA(),IFERROR(A77+(PLAYER_EXP_MAX-D77)/I77,NA()))</f>
        <v>44322.70162311988</v>
      </c>
      <c r="K77" s="485" t="str">
        <f t="shared" ca="1" si="7"/>
        <v>009 D 17 H</v>
      </c>
      <c r="L77" s="51">
        <f ca="1">IF(ISBLANK(A77),NA(),IFERROR(SLOPE(INDIRECT("D" &amp; MATCH(A77-$D$1 / 24,A:A,1)):D77, INDIRECT("A" &amp; MATCH(A77-$D$1 / 24,A:A,1)):A77),NA()))</f>
        <v>528774.04093278421</v>
      </c>
      <c r="M77" s="58">
        <f ca="1">IF(ISBLANK(A77),NA(),IFERROR(A77+(PLAYER_EXP_MAX-D77)/L77,NA()))</f>
        <v>44316.800303121767</v>
      </c>
      <c r="N77" s="485" t="str">
        <f t="shared" ca="1" si="8"/>
        <v>003 D 19 H</v>
      </c>
    </row>
    <row r="78" spans="1:14" ht="14.65" customHeight="1" x14ac:dyDescent="0.25">
      <c r="A78" s="8">
        <v>44298.854861111111</v>
      </c>
      <c r="B78" s="42">
        <v>224</v>
      </c>
      <c r="C78" s="42">
        <v>37714</v>
      </c>
      <c r="D78" s="52">
        <f t="shared" si="5"/>
        <v>18330776</v>
      </c>
      <c r="E78" s="46">
        <f>IF(ISBLANK(A78),"-",D78/PLAYER_EXP_MAX)</f>
        <v>0.6594162725894922</v>
      </c>
      <c r="F78" s="51">
        <f ca="1">IF(ISBLANK(A78),NA(),IFERROR(SLOPE(INDIRECT("D" &amp; MATCH(A78-$B$1 / 24,A:A,1)):D78, INDIRECT("A" &amp; MATCH(A78-$B$1 / 24,A:A,1)):A78),NA()))</f>
        <v>647099.96361545532</v>
      </c>
      <c r="G78" s="58">
        <f ca="1">IF(ISBLANK(A78),NA(),IFERROR(A78+(PLAYER_EXP_MAX-D78)/F78,NA()))</f>
        <v>44313.485850961741</v>
      </c>
      <c r="H78" s="485" t="str">
        <f t="shared" ca="1" si="6"/>
        <v>000 D 12 H</v>
      </c>
      <c r="I78" s="51">
        <f ca="1">IF(ISBLANK(A78),NA(),IFERROR(SLOPE(INDIRECT("D" &amp; MATCH(A78-$C$1 / 24,A:A,1)):D78, INDIRECT("A" &amp; MATCH(A78-$C$1 / 24,A:A,1)):A78),NA()))</f>
        <v>427687.40494786605</v>
      </c>
      <c r="J78" s="58">
        <f ca="1">IF(ISBLANK(A78),NA(),IFERROR(A78+(PLAYER_EXP_MAX-D78)/I78,NA()))</f>
        <v>44320.991853901804</v>
      </c>
      <c r="K78" s="485" t="str">
        <f t="shared" ca="1" si="7"/>
        <v>008 D 00 H</v>
      </c>
      <c r="L78" s="51">
        <f ca="1">IF(ISBLANK(A78),NA(),IFERROR(SLOPE(INDIRECT("D" &amp; MATCH(A78-$D$1 / 24,A:A,1)):D78, INDIRECT("A" &amp; MATCH(A78-$D$1 / 24,A:A,1)):A78),NA()))</f>
        <v>517062.21877772041</v>
      </c>
      <c r="M78" s="58">
        <f ca="1">IF(ISBLANK(A78),NA(),IFERROR(A78+(PLAYER_EXP_MAX-D78)/L78,NA()))</f>
        <v>44317.165448611355</v>
      </c>
      <c r="N78" s="485" t="str">
        <f t="shared" ca="1" si="8"/>
        <v>004 D 04 H</v>
      </c>
    </row>
    <row r="79" spans="1:14" ht="14.65" customHeight="1" x14ac:dyDescent="0.25">
      <c r="A79" s="8">
        <v>44299.228472222225</v>
      </c>
      <c r="B79" s="42">
        <v>225</v>
      </c>
      <c r="C79" s="42">
        <v>235954</v>
      </c>
      <c r="D79" s="53">
        <f t="shared" si="5"/>
        <v>18471536</v>
      </c>
      <c r="E79" s="46">
        <f>IF(ISBLANK(A79),"-",D79/PLAYER_EXP_MAX)</f>
        <v>0.66447985716058167</v>
      </c>
      <c r="F79" s="51">
        <f ca="1">IF(ISBLANK(A79),NA(),IFERROR(SLOPE(INDIRECT("D" &amp; MATCH(A79-$B$1 / 24,A:A,1)):D79, INDIRECT("A" &amp; MATCH(A79-$B$1 / 24,A:A,1)):A79),NA()))</f>
        <v>376755.39033180068</v>
      </c>
      <c r="G79" s="58">
        <f ca="1">IF(ISBLANK(A79),NA(),IFERROR(A79+(PLAYER_EXP_MAX-D79)/F79,NA()))</f>
        <v>44323.984463083529</v>
      </c>
      <c r="H79" s="485" t="str">
        <f t="shared" ca="1" si="6"/>
        <v>011 D 00 H</v>
      </c>
      <c r="I79" s="51">
        <f ca="1">IF(ISBLANK(A79),NA(),IFERROR(SLOPE(INDIRECT("D" &amp; MATCH(A79-$C$1 / 24,A:A,1)):D79, INDIRECT("A" &amp; MATCH(A79-$C$1 / 24,A:A,1)):A79),NA()))</f>
        <v>439106.61788281304</v>
      </c>
      <c r="J79" s="58">
        <f ca="1">IF(ISBLANK(A79),NA(),IFERROR(A79+(PLAYER_EXP_MAX-D79)/I79,NA()))</f>
        <v>44320.469220186744</v>
      </c>
      <c r="K79" s="485" t="str">
        <f t="shared" ca="1" si="7"/>
        <v>007 D 11 H</v>
      </c>
      <c r="L79" s="51">
        <f ca="1">IF(ISBLANK(A79),NA(),IFERROR(SLOPE(INDIRECT("D" &amp; MATCH(A79-$D$1 / 24,A:A,1)):D79, INDIRECT("A" &amp; MATCH(A79-$D$1 / 24,A:A,1)):A79),NA()))</f>
        <v>496114.79925578489</v>
      </c>
      <c r="M79" s="58">
        <f ca="1">IF(ISBLANK(A79),NA(),IFERROR(A79+(PLAYER_EXP_MAX-D79)/L79,NA()))</f>
        <v>44318.028461688358</v>
      </c>
      <c r="N79" s="485" t="str">
        <f t="shared" ca="1" si="8"/>
        <v>005 D 01 H</v>
      </c>
    </row>
    <row r="80" spans="1:14" ht="14.65" customHeight="1" x14ac:dyDescent="0.25">
      <c r="A80" s="8">
        <v>44299.279166666667</v>
      </c>
      <c r="B80" s="42">
        <v>225</v>
      </c>
      <c r="C80" s="42">
        <v>219854</v>
      </c>
      <c r="D80" s="53">
        <f t="shared" si="5"/>
        <v>18487636</v>
      </c>
      <c r="E80" s="46">
        <f>IF(ISBLANK(A80),"-",D80/PLAYER_EXP_MAX)</f>
        <v>0.66505902533047745</v>
      </c>
      <c r="F80" s="51">
        <f ca="1">IF(ISBLANK(A80),NA(),IFERROR(SLOPE(INDIRECT("D" &amp; MATCH(A80-$B$1 / 24,A:A,1)):D80, INDIRECT("A" &amp; MATCH(A80-$B$1 / 24,A:A,1)):A80),NA()))</f>
        <v>372333.41655380459</v>
      </c>
      <c r="G80" s="58">
        <f ca="1">IF(ISBLANK(A80),NA(),IFERROR(A80+(PLAYER_EXP_MAX-D80)/F80,NA()))</f>
        <v>44324.285928311052</v>
      </c>
      <c r="H80" s="485" t="str">
        <f t="shared" ca="1" si="6"/>
        <v>011 D 07 H</v>
      </c>
      <c r="I80" s="51">
        <f ca="1">IF(ISBLANK(A80),NA(),IFERROR(SLOPE(INDIRECT("D" &amp; MATCH(A80-$C$1 / 24,A:A,1)):D80, INDIRECT("A" &amp; MATCH(A80-$C$1 / 24,A:A,1)):A80),NA()))</f>
        <v>441758.31093189237</v>
      </c>
      <c r="J80" s="58">
        <f ca="1">IF(ISBLANK(A80),NA(),IFERROR(A80+(PLAYER_EXP_MAX-D80)/I80,NA()))</f>
        <v>44320.355969908596</v>
      </c>
      <c r="K80" s="485" t="str">
        <f t="shared" ca="1" si="7"/>
        <v>007 D 09 H</v>
      </c>
      <c r="L80" s="51">
        <f ca="1">IF(ISBLANK(A80),NA(),IFERROR(SLOPE(INDIRECT("D" &amp; MATCH(A80-$D$1 / 24,A:A,1)):D80, INDIRECT("A" &amp; MATCH(A80-$D$1 / 24,A:A,1)):A80),NA()))</f>
        <v>492628.64403756359</v>
      </c>
      <c r="M80" s="58">
        <f ca="1">IF(ISBLANK(A80),NA(),IFERROR(A80+(PLAYER_EXP_MAX-D80)/L80,NA()))</f>
        <v>44318.179515058284</v>
      </c>
      <c r="N80" s="485" t="str">
        <f t="shared" ca="1" si="8"/>
        <v>005 D 04 H</v>
      </c>
    </row>
    <row r="81" spans="1:14" ht="14.65" customHeight="1" x14ac:dyDescent="0.25">
      <c r="A81" s="8">
        <v>44299.463194444441</v>
      </c>
      <c r="B81" s="42">
        <v>225</v>
      </c>
      <c r="C81" s="42">
        <v>108174</v>
      </c>
      <c r="D81" s="53">
        <f t="shared" si="5"/>
        <v>18599316</v>
      </c>
      <c r="E81" s="46">
        <f>IF(ISBLANK(A81),"-",D81/PLAYER_EXP_MAX)</f>
        <v>0.66907650987792899</v>
      </c>
      <c r="F81" s="51">
        <f ca="1">IF(ISBLANK(A81),NA(),IFERROR(SLOPE(INDIRECT("D" &amp; MATCH(A81-$B$1 / 24,A:A,1)):D81, INDIRECT("A" &amp; MATCH(A81-$B$1 / 24,A:A,1)):A81),NA()))</f>
        <v>427368.55449612945</v>
      </c>
      <c r="G81" s="58">
        <f ca="1">IF(ISBLANK(A81),NA(),IFERROR(A81+(PLAYER_EXP_MAX-D81)/F81,NA()))</f>
        <v>44320.988346220867</v>
      </c>
      <c r="H81" s="485" t="str">
        <f t="shared" ca="1" si="6"/>
        <v>008 D 00 H</v>
      </c>
      <c r="I81" s="51">
        <f ca="1">IF(ISBLANK(A81),NA(),IFERROR(SLOPE(INDIRECT("D" &amp; MATCH(A81-$C$1 / 24,A:A,1)):D81, INDIRECT("A" &amp; MATCH(A81-$C$1 / 24,A:A,1)):A81),NA()))</f>
        <v>493293.83591998758</v>
      </c>
      <c r="J81" s="58">
        <f ca="1">IF(ISBLANK(A81),NA(),IFERROR(A81+(PLAYER_EXP_MAX-D81)/I81,NA()))</f>
        <v>44318.111659781222</v>
      </c>
      <c r="K81" s="485" t="str">
        <f t="shared" ca="1" si="7"/>
        <v>005 D 03 H</v>
      </c>
      <c r="L81" s="51">
        <f ca="1">IF(ISBLANK(A81),NA(),IFERROR(SLOPE(INDIRECT("D" &amp; MATCH(A81-$D$1 / 24,A:A,1)):D81, INDIRECT("A" &amp; MATCH(A81-$D$1 / 24,A:A,1)):A81),NA()))</f>
        <v>492263.61597559293</v>
      </c>
      <c r="M81" s="58">
        <f ca="1">IF(ISBLANK(A81),NA(),IFERROR(A81+(PLAYER_EXP_MAX-D81)/L81,NA()))</f>
        <v>44318.150687692891</v>
      </c>
      <c r="N81" s="485" t="str">
        <f t="shared" ca="1" si="8"/>
        <v>005 D 04 H</v>
      </c>
    </row>
    <row r="82" spans="1:14" ht="14.65" customHeight="1" x14ac:dyDescent="0.25">
      <c r="A82" s="8">
        <v>44299.595138888886</v>
      </c>
      <c r="B82" s="42">
        <v>225</v>
      </c>
      <c r="C82" s="42">
        <v>21234</v>
      </c>
      <c r="D82" s="53">
        <f t="shared" si="5"/>
        <v>18686256</v>
      </c>
      <c r="E82" s="46">
        <f>IF(ISBLANK(A82),"-",D82/PLAYER_EXP_MAX)</f>
        <v>0.67220401799536655</v>
      </c>
      <c r="F82" s="51">
        <f ca="1">IF(ISBLANK(A82),NA(),IFERROR(SLOPE(INDIRECT("D" &amp; MATCH(A82-$B$1 / 24,A:A,1)):D82, INDIRECT("A" &amp; MATCH(A82-$B$1 / 24,A:A,1)):A82),NA()))</f>
        <v>627220.98612475884</v>
      </c>
      <c r="G82" s="58">
        <f ca="1">IF(ISBLANK(A82),NA(),IFERROR(A82+(PLAYER_EXP_MAX-D82)/F82,NA()))</f>
        <v>44314.12308550033</v>
      </c>
      <c r="H82" s="485" t="str">
        <f t="shared" ca="1" si="6"/>
        <v>001 D 03 H</v>
      </c>
      <c r="I82" s="51">
        <f ca="1">IF(ISBLANK(A82),NA(),IFERROR(SLOPE(INDIRECT("D" &amp; MATCH(A82-$C$1 / 24,A:A,1)):D82, INDIRECT("A" &amp; MATCH(A82-$C$1 / 24,A:A,1)):A82),NA()))</f>
        <v>495549.19402867963</v>
      </c>
      <c r="J82" s="58">
        <f ca="1">IF(ISBLANK(A82),NA(),IFERROR(A82+(PLAYER_EXP_MAX-D82)/I82,NA()))</f>
        <v>44317.983289066105</v>
      </c>
      <c r="K82" s="485" t="str">
        <f t="shared" ca="1" si="7"/>
        <v>005 D 00 H</v>
      </c>
      <c r="L82" s="51">
        <f ca="1">IF(ISBLANK(A82),NA(),IFERROR(SLOPE(INDIRECT("D" &amp; MATCH(A82-$D$1 / 24,A:A,1)):D82, INDIRECT("A" &amp; MATCH(A82-$D$1 / 24,A:A,1)):A82),NA()))</f>
        <v>494003.75948790327</v>
      </c>
      <c r="M82" s="58">
        <f ca="1">IF(ISBLANK(A82),NA(),IFERROR(A82+(PLAYER_EXP_MAX-D82)/L82,NA()))</f>
        <v>44318.040814301246</v>
      </c>
      <c r="N82" s="485" t="str">
        <f t="shared" ca="1" si="8"/>
        <v>005 D 01 H</v>
      </c>
    </row>
    <row r="83" spans="1:14" ht="14.65" customHeight="1" x14ac:dyDescent="0.25">
      <c r="A83" s="8">
        <v>44299.741666666669</v>
      </c>
      <c r="B83" s="42">
        <v>226</v>
      </c>
      <c r="C83" s="42">
        <v>269014</v>
      </c>
      <c r="D83" s="53">
        <f t="shared" si="5"/>
        <v>18781476</v>
      </c>
      <c r="E83" s="46">
        <f>IF(ISBLANK(A83),"-",D83/PLAYER_EXP_MAX)</f>
        <v>0.67562938402875061</v>
      </c>
      <c r="F83" s="51">
        <f ca="1">IF(ISBLANK(A83),NA(),IFERROR(SLOPE(INDIRECT("D" &amp; MATCH(A83-$B$1 / 24,A:A,1)):D83, INDIRECT("A" &amp; MATCH(A83-$B$1 / 24,A:A,1)):A83),NA()))</f>
        <v>654061.7640349369</v>
      </c>
      <c r="G83" s="58">
        <f ca="1">IF(ISBLANK(A83),NA(),IFERROR(A83+(PLAYER_EXP_MAX-D83)/F83,NA()))</f>
        <v>44313.527846345438</v>
      </c>
      <c r="H83" s="485" t="str">
        <f t="shared" ca="1" si="6"/>
        <v>000 D 13 H</v>
      </c>
      <c r="I83" s="51">
        <f ca="1">IF(ISBLANK(A83),NA(),IFERROR(SLOPE(INDIRECT("D" &amp; MATCH(A83-$C$1 / 24,A:A,1)):D83, INDIRECT("A" &amp; MATCH(A83-$C$1 / 24,A:A,1)):A83),NA()))</f>
        <v>508674.40116733551</v>
      </c>
      <c r="J83" s="58">
        <f ca="1">IF(ISBLANK(A83),NA(),IFERROR(A83+(PLAYER_EXP_MAX-D83)/I83,NA()))</f>
        <v>44317.46815925074</v>
      </c>
      <c r="K83" s="485" t="str">
        <f t="shared" ca="1" si="7"/>
        <v>004 D 11 H</v>
      </c>
      <c r="L83" s="51">
        <f ca="1">IF(ISBLANK(A83),NA(),IFERROR(SLOPE(INDIRECT("D" &amp; MATCH(A83-$D$1 / 24,A:A,1)):D83, INDIRECT("A" &amp; MATCH(A83-$D$1 / 24,A:A,1)):A83),NA()))</f>
        <v>484253.91602891247</v>
      </c>
      <c r="M83" s="58">
        <f ca="1">IF(ISBLANK(A83),NA(),IFERROR(A83+(PLAYER_EXP_MAX-D83)/L83,NA()))</f>
        <v>44318.362090170813</v>
      </c>
      <c r="N83" s="485" t="str">
        <f t="shared" ca="1" si="8"/>
        <v>005 D 09 H</v>
      </c>
    </row>
    <row r="84" spans="1:14" ht="14.65" customHeight="1" x14ac:dyDescent="0.25">
      <c r="A84" s="8">
        <v>44300.245138888888</v>
      </c>
      <c r="B84" s="42">
        <v>227</v>
      </c>
      <c r="C84" s="42">
        <v>341854</v>
      </c>
      <c r="D84" s="53">
        <f t="shared" si="5"/>
        <v>19055636</v>
      </c>
      <c r="E84" s="46">
        <f>IF(ISBLANK(A84),"-",D84/PLAYER_EXP_MAX)</f>
        <v>0.68549179057897713</v>
      </c>
      <c r="F84" s="51">
        <f ca="1">IF(ISBLANK(A84),NA(),IFERROR(SLOPE(INDIRECT("D" &amp; MATCH(A84-$B$1 / 24,A:A,1)):D84, INDIRECT("A" &amp; MATCH(A84-$B$1 / 24,A:A,1)):A84),NA()))</f>
        <v>544538.48276211822</v>
      </c>
      <c r="G84" s="58">
        <f ca="1">IF(ISBLANK(A84),NA(),IFERROR(A84+(PLAYER_EXP_MAX-D84)/F84,NA()))</f>
        <v>44316.300667151379</v>
      </c>
      <c r="H84" s="485" t="str">
        <f t="shared" ca="1" si="6"/>
        <v>003 D 07 H</v>
      </c>
      <c r="I84" s="51">
        <f ca="1">IF(ISBLANK(A84),NA(),IFERROR(SLOPE(INDIRECT("D" &amp; MATCH(A84-$C$1 / 24,A:A,1)):D84, INDIRECT("A" &amp; MATCH(A84-$C$1 / 24,A:A,1)):A84),NA()))</f>
        <v>584958.99871619313</v>
      </c>
      <c r="J84" s="58">
        <f ca="1">IF(ISBLANK(A84),NA(),IFERROR(A84+(PLAYER_EXP_MAX-D84)/I84,NA()))</f>
        <v>44315.191234289057</v>
      </c>
      <c r="K84" s="485" t="str">
        <f t="shared" ca="1" si="7"/>
        <v>002 D 05 H</v>
      </c>
      <c r="L84" s="51">
        <f ca="1">IF(ISBLANK(A84),NA(),IFERROR(SLOPE(INDIRECT("D" &amp; MATCH(A84-$D$1 / 24,A:A,1)):D84, INDIRECT("A" &amp; MATCH(A84-$D$1 / 24,A:A,1)):A84),NA()))</f>
        <v>492876.62993634457</v>
      </c>
      <c r="M84" s="58">
        <f ca="1">IF(ISBLANK(A84),NA(),IFERROR(A84+(PLAYER_EXP_MAX-D84)/L84,NA()))</f>
        <v>44317.983559558437</v>
      </c>
      <c r="N84" s="485" t="str">
        <f t="shared" ca="1" si="8"/>
        <v>005 D 00 H</v>
      </c>
    </row>
    <row r="85" spans="1:14" ht="14.65" customHeight="1" x14ac:dyDescent="0.25">
      <c r="A85" s="8">
        <v>44300.309027777781</v>
      </c>
      <c r="B85" s="42">
        <v>227</v>
      </c>
      <c r="C85" s="42">
        <v>322878</v>
      </c>
      <c r="D85" s="53">
        <f t="shared" si="5"/>
        <v>19074612</v>
      </c>
      <c r="E85" s="46">
        <f>IF(ISBLANK(A85),"-",D85/PLAYER_EXP_MAX)</f>
        <v>0.68617441760953268</v>
      </c>
      <c r="F85" s="51">
        <f ca="1">IF(ISBLANK(A85),NA(),IFERROR(SLOPE(INDIRECT("D" &amp; MATCH(A85-$B$1 / 24,A:A,1)):D85, INDIRECT("A" &amp; MATCH(A85-$B$1 / 24,A:A,1)):A85),NA()))</f>
        <v>527311.27047969331</v>
      </c>
      <c r="G85" s="58">
        <f ca="1">IF(ISBLANK(A85),NA(),IFERROR(A85+(PLAYER_EXP_MAX-D85)/F85,NA()))</f>
        <v>44316.853102384921</v>
      </c>
      <c r="H85" s="485" t="str">
        <f t="shared" ca="1" si="6"/>
        <v>003 D 20 H</v>
      </c>
      <c r="I85" s="51">
        <f ca="1">IF(ISBLANK(A85),NA(),IFERROR(SLOPE(INDIRECT("D" &amp; MATCH(A85-$C$1 / 24,A:A,1)):D85, INDIRECT("A" &amp; MATCH(A85-$C$1 / 24,A:A,1)):A85),NA()))</f>
        <v>572157.16045069194</v>
      </c>
      <c r="J85" s="58">
        <f ca="1">IF(ISBLANK(A85),NA(),IFERROR(A85+(PLAYER_EXP_MAX-D85)/I85,NA()))</f>
        <v>44315.556371694838</v>
      </c>
      <c r="K85" s="485" t="str">
        <f t="shared" ca="1" si="7"/>
        <v>002 D 13 H</v>
      </c>
      <c r="L85" s="51">
        <f ca="1">IF(ISBLANK(A85),NA(),IFERROR(SLOPE(INDIRECT("D" &amp; MATCH(A85-$D$1 / 24,A:A,1)):D85, INDIRECT("A" &amp; MATCH(A85-$D$1 / 24,A:A,1)):A85),NA()))</f>
        <v>496943.8565131136</v>
      </c>
      <c r="M85" s="58">
        <f ca="1">IF(ISBLANK(A85),NA(),IFERROR(A85+(PLAYER_EXP_MAX-D85)/L85,NA()))</f>
        <v>44317.864083315064</v>
      </c>
      <c r="N85" s="485" t="str">
        <f t="shared" ca="1" si="8"/>
        <v>004 D 21 H</v>
      </c>
    </row>
    <row r="86" spans="1:14" ht="14.65" customHeight="1" x14ac:dyDescent="0.25">
      <c r="A86" s="8">
        <v>44300.652083333334</v>
      </c>
      <c r="B86" s="42">
        <v>227</v>
      </c>
      <c r="C86" s="42">
        <v>108518</v>
      </c>
      <c r="D86" s="53">
        <f t="shared" si="5"/>
        <v>19288972</v>
      </c>
      <c r="E86" s="46">
        <f>IF(ISBLANK(A86),"-",D86/PLAYER_EXP_MAX)</f>
        <v>0.69388562810014598</v>
      </c>
      <c r="F86" s="51">
        <f ca="1">IF(ISBLANK(A86),NA(),IFERROR(SLOPE(INDIRECT("D" &amp; MATCH(A86-$B$1 / 24,A:A,1)):D86, INDIRECT("A" &amp; MATCH(A86-$B$1 / 24,A:A,1)):A86),NA()))</f>
        <v>624855.06073286803</v>
      </c>
      <c r="G86" s="58">
        <f ca="1">IF(ISBLANK(A86),NA(),IFERROR(A86+(PLAYER_EXP_MAX-D86)/F86,NA()))</f>
        <v>44314.2704686754</v>
      </c>
      <c r="H86" s="485" t="str">
        <f t="shared" ca="1" si="6"/>
        <v>001 D 06 H</v>
      </c>
      <c r="I86" s="51">
        <f ca="1">IF(ISBLANK(A86),NA(),IFERROR(SLOPE(INDIRECT("D" &amp; MATCH(A86-$C$1 / 24,A:A,1)):D86, INDIRECT("A" &amp; MATCH(A86-$C$1 / 24,A:A,1)):A86),NA()))</f>
        <v>559334.21883748239</v>
      </c>
      <c r="J86" s="58">
        <f ca="1">IF(ISBLANK(A86),NA(),IFERROR(A86+(PLAYER_EXP_MAX-D86)/I86,NA()))</f>
        <v>44315.865736840329</v>
      </c>
      <c r="K86" s="485" t="str">
        <f t="shared" ca="1" si="7"/>
        <v>002 D 21 H</v>
      </c>
      <c r="L86" s="51">
        <f ca="1">IF(ISBLANK(A86),NA(),IFERROR(SLOPE(INDIRECT("D" &amp; MATCH(A86-$D$1 / 24,A:A,1)):D86, INDIRECT("A" &amp; MATCH(A86-$D$1 / 24,A:A,1)):A86),NA()))</f>
        <v>512001.08426390681</v>
      </c>
      <c r="M86" s="58">
        <f ca="1">IF(ISBLANK(A86),NA(),IFERROR(A86+(PLAYER_EXP_MAX-D86)/L86,NA()))</f>
        <v>44317.272198527491</v>
      </c>
      <c r="N86" s="485" t="str">
        <f t="shared" ca="1" si="8"/>
        <v>004 D 07 H</v>
      </c>
    </row>
    <row r="87" spans="1:14" ht="14.65" customHeight="1" x14ac:dyDescent="0.25">
      <c r="A87" s="8">
        <v>44300.881249999999</v>
      </c>
      <c r="B87" s="42">
        <v>228</v>
      </c>
      <c r="C87" s="42">
        <v>319218</v>
      </c>
      <c r="D87" s="53">
        <f t="shared" si="5"/>
        <v>19429272</v>
      </c>
      <c r="E87" s="46">
        <f>IF(ISBLANK(A87),"-",D87/PLAYER_EXP_MAX)</f>
        <v>0.69893266500923845</v>
      </c>
      <c r="F87" s="51">
        <f ca="1">IF(ISBLANK(A87),NA(),IFERROR(SLOPE(INDIRECT("D" &amp; MATCH(A87-$B$1 / 24,A:A,1)):D87, INDIRECT("A" &amp; MATCH(A87-$B$1 / 24,A:A,1)):A87),NA()))</f>
        <v>620191.50780799903</v>
      </c>
      <c r="G87" s="58">
        <f ca="1">IF(ISBLANK(A87),NA(),IFERROR(A87+(PLAYER_EXP_MAX-D87)/F87,NA()))</f>
        <v>44314.375818846289</v>
      </c>
      <c r="H87" s="485" t="str">
        <f t="shared" ca="1" si="6"/>
        <v>001 D 09 H</v>
      </c>
      <c r="I87" s="51">
        <f ca="1">IF(ISBLANK(A87),NA(),IFERROR(SLOPE(INDIRECT("D" &amp; MATCH(A87-$C$1 / 24,A:A,1)):D87, INDIRECT("A" &amp; MATCH(A87-$C$1 / 24,A:A,1)):A87),NA()))</f>
        <v>568782.09424687154</v>
      </c>
      <c r="J87" s="58">
        <f ca="1">IF(ISBLANK(A87),NA(),IFERROR(A87+(PLAYER_EXP_MAX-D87)/I87,NA()))</f>
        <v>44315.595526494726</v>
      </c>
      <c r="K87" s="485" t="str">
        <f t="shared" ca="1" si="7"/>
        <v>002 D 14 H</v>
      </c>
      <c r="L87" s="51">
        <f ca="1">IF(ISBLANK(A87),NA(),IFERROR(SLOPE(INDIRECT("D" &amp; MATCH(A87-$D$1 / 24,A:A,1)):D87, INDIRECT("A" &amp; MATCH(A87-$D$1 / 24,A:A,1)):A87),NA()))</f>
        <v>521503.77633224003</v>
      </c>
      <c r="M87" s="58">
        <f ca="1">IF(ISBLANK(A87),NA(),IFERROR(A87+(PLAYER_EXP_MAX-D87)/L87,NA()))</f>
        <v>44316.929488535992</v>
      </c>
      <c r="N87" s="485" t="str">
        <f t="shared" ca="1" si="8"/>
        <v>003 D 22 H</v>
      </c>
    </row>
    <row r="88" spans="1:14" ht="14.65" customHeight="1" x14ac:dyDescent="0.25">
      <c r="A88" s="8">
        <v>44301.171527777777</v>
      </c>
      <c r="B88" s="42">
        <v>228</v>
      </c>
      <c r="C88" s="42">
        <v>208894</v>
      </c>
      <c r="D88" s="53">
        <f t="shared" si="5"/>
        <v>19539596</v>
      </c>
      <c r="E88" s="46">
        <f>IF(ISBLANK(A88),"-",D88/PLAYER_EXP_MAX)</f>
        <v>0.70290136992697694</v>
      </c>
      <c r="F88" s="51">
        <f ca="1">IF(ISBLANK(A88),NA(),IFERROR(SLOPE(INDIRECT("D" &amp; MATCH(A88-$B$1 / 24,A:A,1)):D88, INDIRECT("A" &amp; MATCH(A88-$B$1 / 24,A:A,1)):A88),NA()))</f>
        <v>380063.54066943307</v>
      </c>
      <c r="G88" s="58">
        <f ca="1">IF(ISBLANK(A88),NA(),IFERROR(A88+(PLAYER_EXP_MAX-D88)/F88,NA()))</f>
        <v>44322.901823152737</v>
      </c>
      <c r="H88" s="485" t="str">
        <f t="shared" ca="1" si="6"/>
        <v>009 D 22 H</v>
      </c>
      <c r="I88" s="51">
        <f ca="1">IF(ISBLANK(A88),NA(),IFERROR(SLOPE(INDIRECT("D" &amp; MATCH(A88-$C$1 / 24,A:A,1)):D88, INDIRECT("A" &amp; MATCH(A88-$C$1 / 24,A:A,1)):A88),NA()))</f>
        <v>545642.8425503273</v>
      </c>
      <c r="J88" s="58">
        <f ca="1">IF(ISBLANK(A88),NA(),IFERROR(A88+(PLAYER_EXP_MAX-D88)/I88,NA()))</f>
        <v>44316.307606465067</v>
      </c>
      <c r="K88" s="485" t="str">
        <f t="shared" ca="1" si="7"/>
        <v>003 D 07 H</v>
      </c>
      <c r="L88" s="51">
        <f ca="1">IF(ISBLANK(A88),NA(),IFERROR(SLOPE(INDIRECT("D" &amp; MATCH(A88-$D$1 / 24,A:A,1)):D88, INDIRECT("A" &amp; MATCH(A88-$D$1 / 24,A:A,1)):A88),NA()))</f>
        <v>523029.62122492719</v>
      </c>
      <c r="M88" s="58">
        <f ca="1">IF(ISBLANK(A88),NA(),IFERROR(A88+(PLAYER_EXP_MAX-D88)/L88,NA()))</f>
        <v>44316.962015858851</v>
      </c>
      <c r="N88" s="485" t="str">
        <f t="shared" ca="1" si="8"/>
        <v>003 D 23 H</v>
      </c>
    </row>
    <row r="89" spans="1:14" ht="14.65" customHeight="1" x14ac:dyDescent="0.25">
      <c r="A89" s="8">
        <v>44301.753472222219</v>
      </c>
      <c r="B89" s="42">
        <v>229</v>
      </c>
      <c r="C89" s="42">
        <v>222114</v>
      </c>
      <c r="D89" s="53">
        <f t="shared" si="5"/>
        <v>19881376</v>
      </c>
      <c r="E89" s="46">
        <f>IF(ISBLANK(A89),"-",D89/PLAYER_EXP_MAX)</f>
        <v>0.71519628279076608</v>
      </c>
      <c r="F89" s="51">
        <f ca="1">IF(ISBLANK(A89),NA(),IFERROR(SLOPE(INDIRECT("D" &amp; MATCH(A89-$B$1 / 24,A:A,1)):D89, INDIRECT("A" &amp; MATCH(A89-$B$1 / 24,A:A,1)):A89),NA()))</f>
        <v>587306.92124317144</v>
      </c>
      <c r="G89" s="58">
        <f ca="1">IF(ISBLANK(A89),NA(),IFERROR(A89+(PLAYER_EXP_MAX-D89)/F89,NA()))</f>
        <v>44315.233839494649</v>
      </c>
      <c r="H89" s="485" t="str">
        <f t="shared" ca="1" si="6"/>
        <v>002 D 06 H</v>
      </c>
      <c r="I89" s="51">
        <f ca="1">IF(ISBLANK(A89),NA(),IFERROR(SLOPE(INDIRECT("D" &amp; MATCH(A89-$C$1 / 24,A:A,1)):D89, INDIRECT("A" &amp; MATCH(A89-$C$1 / 24,A:A,1)):A89),NA()))</f>
        <v>529611.56342219771</v>
      </c>
      <c r="J89" s="58">
        <f ca="1">IF(ISBLANK(A89),NA(),IFERROR(A89+(PLAYER_EXP_MAX-D89)/I89,NA()))</f>
        <v>44316.70237731946</v>
      </c>
      <c r="K89" s="485" t="str">
        <f t="shared" ca="1" si="7"/>
        <v>003 D 17 H</v>
      </c>
      <c r="L89" s="51">
        <f ca="1">IF(ISBLANK(A89),NA(),IFERROR(SLOPE(INDIRECT("D" &amp; MATCH(A89-$D$1 / 24,A:A,1)):D89, INDIRECT("A" &amp; MATCH(A89-$D$1 / 24,A:A,1)):A89),NA()))</f>
        <v>547486.68030343612</v>
      </c>
      <c r="M89" s="58">
        <f ca="1">IF(ISBLANK(A89),NA(),IFERROR(A89+(PLAYER_EXP_MAX-D89)/L89,NA()))</f>
        <v>44316.214304393718</v>
      </c>
      <c r="N89" s="485" t="str">
        <f t="shared" ca="1" si="8"/>
        <v>003 D 05 H</v>
      </c>
    </row>
    <row r="90" spans="1:14" ht="14.65" customHeight="1" x14ac:dyDescent="0.25">
      <c r="A90" s="8">
        <v>44301.793749999997</v>
      </c>
      <c r="B90" s="42">
        <v>229</v>
      </c>
      <c r="C90" s="42">
        <v>195894</v>
      </c>
      <c r="D90" s="53">
        <f t="shared" si="5"/>
        <v>19907596</v>
      </c>
      <c r="E90" s="46">
        <f>IF(ISBLANK(A90),"-",D90/PLAYER_EXP_MAX)</f>
        <v>0.71613949952459643</v>
      </c>
      <c r="F90" s="51">
        <f ca="1">IF(ISBLANK(A90),NA(),IFERROR(SLOPE(INDIRECT("D" &amp; MATCH(A90-$B$1 / 24,A:A,1)):D90, INDIRECT("A" &amp; MATCH(A90-$B$1 / 24,A:A,1)):A90),NA()))</f>
        <v>589642.55143304286</v>
      </c>
      <c r="G90" s="58">
        <f ca="1">IF(ISBLANK(A90),NA(),IFERROR(A90+(PLAYER_EXP_MAX-D90)/F90,NA()))</f>
        <v>44315.176252637946</v>
      </c>
      <c r="H90" s="485" t="str">
        <f t="shared" ca="1" si="6"/>
        <v>002 D 04 H</v>
      </c>
      <c r="I90" s="51">
        <f ca="1">IF(ISBLANK(A90),NA(),IFERROR(SLOPE(INDIRECT("D" &amp; MATCH(A90-$C$1 / 24,A:A,1)):D90, INDIRECT("A" &amp; MATCH(A90-$C$1 / 24,A:A,1)):A90),NA()))</f>
        <v>536396.83284850162</v>
      </c>
      <c r="J90" s="58">
        <f ca="1">IF(ISBLANK(A90),NA(),IFERROR(A90+(PLAYER_EXP_MAX-D90)/I90,NA()))</f>
        <v>44316.504673921932</v>
      </c>
      <c r="K90" s="485" t="str">
        <f t="shared" ca="1" si="7"/>
        <v>003 D 12 H</v>
      </c>
      <c r="L90" s="51">
        <f ca="1">IF(ISBLANK(A90),NA(),IFERROR(SLOPE(INDIRECT("D" &amp; MATCH(A90-$D$1 / 24,A:A,1)):D90, INDIRECT("A" &amp; MATCH(A90-$D$1 / 24,A:A,1)):A90),NA()))</f>
        <v>548525.58733492717</v>
      </c>
      <c r="M90" s="58">
        <f ca="1">IF(ISBLANK(A90),NA(),IFERROR(A90+(PLAYER_EXP_MAX-D90)/L90,NA()))</f>
        <v>44316.179392497259</v>
      </c>
      <c r="N90" s="485" t="str">
        <f t="shared" ca="1" si="8"/>
        <v>003 D 04 H</v>
      </c>
    </row>
    <row r="91" spans="1:14" ht="14.65" customHeight="1" x14ac:dyDescent="0.25">
      <c r="A91" s="8">
        <v>44302.394444444442</v>
      </c>
      <c r="B91" s="42">
        <v>229</v>
      </c>
      <c r="C91" s="42">
        <v>3930</v>
      </c>
      <c r="D91" s="53">
        <f t="shared" si="5"/>
        <v>20099560</v>
      </c>
      <c r="E91" s="46">
        <f>IF(ISBLANK(A91),"-",D91/PLAYER_EXP_MAX)</f>
        <v>0.72304505471502423</v>
      </c>
      <c r="F91" s="51">
        <f ca="1">IF(ISBLANK(A91),NA(),IFERROR(SLOPE(INDIRECT("D" &amp; MATCH(A91-$B$1 / 24,A:A,1)):D91, INDIRECT("A" &amp; MATCH(A91-$B$1 / 24,A:A,1)):A91),NA()))</f>
        <v>319570.12716719997</v>
      </c>
      <c r="G91" s="58">
        <f ca="1">IF(ISBLANK(A91),NA(),IFERROR(A91+(PLAYER_EXP_MAX-D91)/F91,NA()))</f>
        <v>44326.485960970866</v>
      </c>
      <c r="H91" s="485" t="str">
        <f t="shared" ca="1" si="6"/>
        <v>013 D 12 H</v>
      </c>
      <c r="I91" s="51">
        <f ca="1">IF(ISBLANK(A91),NA(),IFERROR(SLOPE(INDIRECT("D" &amp; MATCH(A91-$C$1 / 24,A:A,1)):D91, INDIRECT("A" &amp; MATCH(A91-$C$1 / 24,A:A,1)):A91),NA()))</f>
        <v>457109.62193839409</v>
      </c>
      <c r="J91" s="58">
        <f ca="1">IF(ISBLANK(A91),NA(),IFERROR(A91+(PLAYER_EXP_MAX-D91)/I91,NA()))</f>
        <v>44319.237076125115</v>
      </c>
      <c r="K91" s="485" t="str">
        <f t="shared" ca="1" si="7"/>
        <v>006 D 06 H</v>
      </c>
      <c r="L91" s="51">
        <f ca="1">IF(ISBLANK(A91),NA(),IFERROR(SLOPE(INDIRECT("D" &amp; MATCH(A91-$D$1 / 24,A:A,1)):D91, INDIRECT("A" &amp; MATCH(A91-$D$1 / 24,A:A,1)):A91),NA()))</f>
        <v>535456.09997764812</v>
      </c>
      <c r="M91" s="58">
        <f ca="1">IF(ISBLANK(A91),NA(),IFERROR(A91+(PLAYER_EXP_MAX-D91)/L91,NA()))</f>
        <v>44316.772708134631</v>
      </c>
      <c r="N91" s="485" t="str">
        <f t="shared" ca="1" si="8"/>
        <v>003 D 19 H</v>
      </c>
    </row>
    <row r="92" spans="1:14" ht="14.65" customHeight="1" x14ac:dyDescent="0.25">
      <c r="A92" s="8">
        <v>44302.947222222225</v>
      </c>
      <c r="B92" s="42">
        <v>230</v>
      </c>
      <c r="C92" s="42">
        <v>35490</v>
      </c>
      <c r="D92" s="53">
        <f t="shared" si="5"/>
        <v>20428000</v>
      </c>
      <c r="E92" s="46">
        <f>IF(ISBLANK(A92),"-",D92/PLAYER_EXP_MAX)</f>
        <v>0.73486008538089964</v>
      </c>
      <c r="F92" s="51">
        <f ca="1">IF(ISBLANK(A92),NA(),IFERROR(SLOPE(INDIRECT("D" &amp; MATCH(A92-$B$1 / 24,A:A,1)):D92, INDIRECT("A" &amp; MATCH(A92-$B$1 / 24,A:A,1)):A92),NA()))</f>
        <v>594162.81406531169</v>
      </c>
      <c r="G92" s="58">
        <f ca="1">IF(ISBLANK(A92),NA(),IFERROR(A92+(PLAYER_EXP_MAX-D92)/F92,NA()))</f>
        <v>44315.352052725786</v>
      </c>
      <c r="H92" s="485" t="str">
        <f t="shared" ca="1" si="6"/>
        <v>002 D 08 H</v>
      </c>
      <c r="I92" s="51">
        <f ca="1">IF(ISBLANK(A92),NA(),IFERROR(SLOPE(INDIRECT("D" &amp; MATCH(A92-$C$1 / 24,A:A,1)):D92, INDIRECT("A" &amp; MATCH(A92-$C$1 / 24,A:A,1)):A92),NA()))</f>
        <v>449266.22861973196</v>
      </c>
      <c r="J92" s="58">
        <f ca="1">IF(ISBLANK(A92),NA(),IFERROR(A92+(PLAYER_EXP_MAX-D92)/I92,NA()))</f>
        <v>44319.35283771361</v>
      </c>
      <c r="K92" s="485" t="str">
        <f t="shared" ca="1" si="7"/>
        <v>006 D 08 H</v>
      </c>
      <c r="L92" s="51">
        <f ca="1">IF(ISBLANK(A92),NA(),IFERROR(SLOPE(INDIRECT("D" &amp; MATCH(A92-$D$1 / 24,A:A,1)):D92, INDIRECT("A" &amp; MATCH(A92-$D$1 / 24,A:A,1)):A92),NA()))</f>
        <v>510476.1810616806</v>
      </c>
      <c r="M92" s="58">
        <f ca="1">IF(ISBLANK(A92),NA(),IFERROR(A92+(PLAYER_EXP_MAX-D92)/L92,NA()))</f>
        <v>44317.38568041761</v>
      </c>
      <c r="N92" s="485" t="str">
        <f t="shared" ca="1" si="8"/>
        <v>004 D 09 H</v>
      </c>
    </row>
    <row r="93" spans="1:14" ht="14.65" customHeight="1" x14ac:dyDescent="0.25">
      <c r="A93" s="8">
        <v>44303.540277777778</v>
      </c>
      <c r="B93" s="42">
        <v>231</v>
      </c>
      <c r="C93" s="42">
        <v>42516</v>
      </c>
      <c r="D93" s="53">
        <f t="shared" si="5"/>
        <v>20785974</v>
      </c>
      <c r="E93" s="46">
        <f>IF(ISBLANK(A93),"-",D93/PLAYER_EXP_MAX)</f>
        <v>0.74773754789334057</v>
      </c>
      <c r="F93" s="51">
        <f ca="1">IF(ISBLANK(A93),NA(),IFERROR(SLOPE(INDIRECT("D" &amp; MATCH(A93-$B$1 / 24,A:A,1)):D93, INDIRECT("A" &amp; MATCH(A93-$B$1 / 24,A:A,1)):A93),NA()))</f>
        <v>603609.5550374327</v>
      </c>
      <c r="G93" s="58">
        <f ca="1">IF(ISBLANK(A93),NA(),IFERROR(A93+(PLAYER_EXP_MAX-D93)/F93,NA()))</f>
        <v>44315.157911961127</v>
      </c>
      <c r="H93" s="485" t="str">
        <f t="shared" ca="1" si="6"/>
        <v>002 D 04 H</v>
      </c>
      <c r="I93" s="51">
        <f ca="1">IF(ISBLANK(A93),NA(),IFERROR(SLOPE(INDIRECT("D" &amp; MATCH(A93-$C$1 / 24,A:A,1)):D93, INDIRECT("A" &amp; MATCH(A93-$C$1 / 24,A:A,1)):A93),NA()))</f>
        <v>599107.47158071806</v>
      </c>
      <c r="J93" s="58">
        <f ca="1">IF(ISBLANK(A93),NA(),IFERROR(A93+(PLAYER_EXP_MAX-D93)/I93,NA()))</f>
        <v>44315.245214425449</v>
      </c>
      <c r="K93" s="485" t="str">
        <f t="shared" ca="1" si="7"/>
        <v>002 D 06 H</v>
      </c>
      <c r="L93" s="51">
        <f ca="1">IF(ISBLANK(A93),NA(),IFERROR(SLOPE(INDIRECT("D" &amp; MATCH(A93-$D$1 / 24,A:A,1)):D93, INDIRECT("A" &amp; MATCH(A93-$D$1 / 24,A:A,1)):A93),NA()))</f>
        <v>509974.32198039669</v>
      </c>
      <c r="M93" s="58">
        <f ca="1">IF(ISBLANK(A93),NA(),IFERROR(A93+(PLAYER_EXP_MAX-D93)/L93,NA()))</f>
        <v>44317.29099952543</v>
      </c>
      <c r="N93" s="485" t="str">
        <f t="shared" ca="1" si="8"/>
        <v>004 D 07 H</v>
      </c>
    </row>
    <row r="94" spans="1:14" ht="14.65" customHeight="1" x14ac:dyDescent="0.25">
      <c r="A94" s="8">
        <v>44303.941666666666</v>
      </c>
      <c r="B94" s="42">
        <v>232</v>
      </c>
      <c r="C94" s="42">
        <v>154916</v>
      </c>
      <c r="D94" s="53">
        <f t="shared" si="5"/>
        <v>21043574</v>
      </c>
      <c r="E94" s="46">
        <f>IF(ISBLANK(A94),"-",D94/PLAYER_EXP_MAX)</f>
        <v>0.75700423861167421</v>
      </c>
      <c r="F94" s="51">
        <f ca="1">IF(ISBLANK(A94),NA(),IFERROR(SLOPE(INDIRECT("D" &amp; MATCH(A94-$B$1 / 24,A:A,1)):D94, INDIRECT("A" &amp; MATCH(A94-$B$1 / 24,A:A,1)):A94),NA()))</f>
        <v>641771.62629964598</v>
      </c>
      <c r="G94" s="58">
        <f ca="1">IF(ISBLANK(A94),NA(),IFERROR(A94+(PLAYER_EXP_MAX-D94)/F94,NA()))</f>
        <v>44314.467085247335</v>
      </c>
      <c r="H94" s="485" t="str">
        <f t="shared" ca="1" si="6"/>
        <v>001 D 11 H</v>
      </c>
      <c r="I94" s="51">
        <f ca="1">IF(ISBLANK(A94),NA(),IFERROR(SLOPE(INDIRECT("D" &amp; MATCH(A94-$C$1 / 24,A:A,1)):D94, INDIRECT("A" &amp; MATCH(A94-$C$1 / 24,A:A,1)):A94),NA()))</f>
        <v>608711.28371859528</v>
      </c>
      <c r="J94" s="58">
        <f ca="1">IF(ISBLANK(A94),NA(),IFERROR(A94+(PLAYER_EXP_MAX-D94)/I94,NA()))</f>
        <v>44315.038742046534</v>
      </c>
      <c r="K94" s="485" t="str">
        <f t="shared" ca="1" si="7"/>
        <v>002 D 01 H</v>
      </c>
      <c r="L94" s="51">
        <f ca="1">IF(ISBLANK(A94),NA(),IFERROR(SLOPE(INDIRECT("D" &amp; MATCH(A94-$D$1 / 24,A:A,1)):D94, INDIRECT("A" &amp; MATCH(A94-$D$1 / 24,A:A,1)):A94),NA()))</f>
        <v>518917.09321470646</v>
      </c>
      <c r="M94" s="58">
        <f ca="1">IF(ISBLANK(A94),NA(),IFERROR(A94+(PLAYER_EXP_MAX-D94)/L94,NA()))</f>
        <v>44316.958996579917</v>
      </c>
      <c r="N94" s="485" t="str">
        <f t="shared" ca="1" si="8"/>
        <v>003 D 23 H</v>
      </c>
    </row>
    <row r="95" spans="1:14" ht="14.65" customHeight="1" x14ac:dyDescent="0.25">
      <c r="A95" s="8">
        <v>44304.348611111112</v>
      </c>
      <c r="B95" s="42">
        <v>232</v>
      </c>
      <c r="C95" s="42">
        <v>52336</v>
      </c>
      <c r="D95" s="53">
        <f t="shared" si="5"/>
        <v>21146154</v>
      </c>
      <c r="E95" s="46">
        <f>IF(ISBLANK(A95),"-",D95/PLAYER_EXP_MAX)</f>
        <v>0.76069436723701067</v>
      </c>
      <c r="F95" s="51">
        <f ca="1">IF(ISBLANK(A95),NA(),IFERROR(SLOPE(INDIRECT("D" &amp; MATCH(A95-$B$1 / 24,A:A,1)):D95, INDIRECT("A" &amp; MATCH(A95-$B$1 / 24,A:A,1)):A95),NA()))</f>
        <v>252073.7201351166</v>
      </c>
      <c r="G95" s="58">
        <f ca="1">IF(ISBLANK(A95),NA(),IFERROR(A95+(PLAYER_EXP_MAX-D95)/F95,NA()))</f>
        <v>44330.739045609538</v>
      </c>
      <c r="H95" s="485" t="str">
        <f t="shared" ca="1" si="6"/>
        <v>017 D 18 H</v>
      </c>
      <c r="I95" s="51">
        <f ca="1">IF(ISBLANK(A95),NA(),IFERROR(SLOPE(INDIRECT("D" &amp; MATCH(A95-$C$1 / 24,A:A,1)):D95, INDIRECT("A" &amp; MATCH(A95-$C$1 / 24,A:A,1)):A95),NA()))</f>
        <v>529134.44549744856</v>
      </c>
      <c r="J95" s="58">
        <f ca="1">IF(ISBLANK(A95),NA(),IFERROR(A95+(PLAYER_EXP_MAX-D95)/I95,NA()))</f>
        <v>44316.920718364017</v>
      </c>
      <c r="K95" s="485" t="str">
        <f t="shared" ca="1" si="7"/>
        <v>003 D 22 H</v>
      </c>
      <c r="L95" s="51">
        <f ca="1">IF(ISBLANK(A95),NA(),IFERROR(SLOPE(INDIRECT("D" &amp; MATCH(A95-$D$1 / 24,A:A,1)):D95, INDIRECT("A" &amp; MATCH(A95-$D$1 / 24,A:A,1)):A95),NA()))</f>
        <v>514882.83852593327</v>
      </c>
      <c r="M95" s="58">
        <f ca="1">IF(ISBLANK(A95),NA(),IFERROR(A95+(PLAYER_EXP_MAX-D95)/L95,NA()))</f>
        <v>44317.268705746712</v>
      </c>
      <c r="N95" s="485" t="str">
        <f t="shared" ca="1" si="8"/>
        <v>004 D 06 H</v>
      </c>
    </row>
    <row r="96" spans="1:14" ht="14.65" customHeight="1" x14ac:dyDescent="0.25">
      <c r="A96" s="8">
        <v>44304.847222222219</v>
      </c>
      <c r="B96" s="42">
        <v>233</v>
      </c>
      <c r="C96" s="42">
        <v>113642</v>
      </c>
      <c r="D96" s="53">
        <f t="shared" si="5"/>
        <v>21459848</v>
      </c>
      <c r="E96" s="46">
        <f>IF(ISBLANK(A96),"-",D96/PLAYER_EXP_MAX)</f>
        <v>0.7719789374163466</v>
      </c>
      <c r="F96" s="51">
        <f ca="1">IF(ISBLANK(A96),NA(),IFERROR(SLOPE(INDIRECT("D" &amp; MATCH(A96-$B$1 / 24,A:A,1)):D96, INDIRECT("A" &amp; MATCH(A96-$B$1 / 24,A:A,1)):A96),NA()))</f>
        <v>629135.5988915062</v>
      </c>
      <c r="G96" s="58">
        <f ca="1">IF(ISBLANK(A96),NA(),IFERROR(A96+(PLAYER_EXP_MAX-D96)/F96,NA()))</f>
        <v>44314.922380918004</v>
      </c>
      <c r="H96" s="485" t="str">
        <f t="shared" ca="1" si="6"/>
        <v>001 D 22 H</v>
      </c>
      <c r="I96" s="51">
        <f ca="1">IF(ISBLANK(A96),NA(),IFERROR(SLOPE(INDIRECT("D" &amp; MATCH(A96-$C$1 / 24,A:A,1)):D96, INDIRECT("A" &amp; MATCH(A96-$C$1 / 24,A:A,1)):A96),NA()))</f>
        <v>492531.12415618997</v>
      </c>
      <c r="J96" s="58">
        <f ca="1">IF(ISBLANK(A96),NA(),IFERROR(A96+(PLAYER_EXP_MAX-D96)/I96,NA()))</f>
        <v>44317.716745972335</v>
      </c>
      <c r="K96" s="485" t="str">
        <f t="shared" ca="1" si="7"/>
        <v>004 D 17 H</v>
      </c>
      <c r="L96" s="51">
        <f ca="1">IF(ISBLANK(A96),NA(),IFERROR(SLOPE(INDIRECT("D" &amp; MATCH(A96-$D$1 / 24,A:A,1)):D96, INDIRECT("A" &amp; MATCH(A96-$D$1 / 24,A:A,1)):A96),NA()))</f>
        <v>523799.89770790288</v>
      </c>
      <c r="M96" s="58">
        <f ca="1">IF(ISBLANK(A96),NA(),IFERROR(A96+(PLAYER_EXP_MAX-D96)/L96,NA()))</f>
        <v>44316.948486517489</v>
      </c>
      <c r="N96" s="485" t="str">
        <f t="shared" ca="1" si="8"/>
        <v>003 D 23 H</v>
      </c>
    </row>
    <row r="97" spans="1:14" ht="14.65" customHeight="1" x14ac:dyDescent="0.25">
      <c r="A97" s="8">
        <v>44305.081250000003</v>
      </c>
      <c r="B97" s="42">
        <v>234</v>
      </c>
      <c r="C97" s="42">
        <v>359007</v>
      </c>
      <c r="D97" s="53">
        <f t="shared" si="5"/>
        <v>21594483</v>
      </c>
      <c r="E97" s="46">
        <f>IF(ISBLANK(A97),"-",D97/PLAYER_EXP_MAX)</f>
        <v>0.77682218627062782</v>
      </c>
      <c r="F97" s="51">
        <f ca="1">IF(ISBLANK(A97),NA(),IFERROR(SLOPE(INDIRECT("D" &amp; MATCH(A97-$B$1 / 24,A:A,1)):D97, INDIRECT("A" &amp; MATCH(A97-$B$1 / 24,A:A,1)):A97),NA()))</f>
        <v>614637.80873588519</v>
      </c>
      <c r="G97" s="58">
        <f ca="1">IF(ISBLANK(A97),NA(),IFERROR(A97+(PLAYER_EXP_MAX-D97)/F97,NA()))</f>
        <v>44315.175009140461</v>
      </c>
      <c r="H97" s="485" t="str">
        <f t="shared" ca="1" si="6"/>
        <v>002 D 04 H</v>
      </c>
      <c r="I97" s="51">
        <f ca="1">IF(ISBLANK(A97),NA(),IFERROR(SLOPE(INDIRECT("D" &amp; MATCH(A97-$C$1 / 24,A:A,1)):D97, INDIRECT("A" &amp; MATCH(A97-$C$1 / 24,A:A,1)):A97),NA()))</f>
        <v>500217.61197782191</v>
      </c>
      <c r="J97" s="58">
        <f ca="1">IF(ISBLANK(A97),NA(),IFERROR(A97+(PLAYER_EXP_MAX-D97)/I97,NA()))</f>
        <v>44317.483864085239</v>
      </c>
      <c r="K97" s="485" t="str">
        <f t="shared" ca="1" si="7"/>
        <v>004 D 12 H</v>
      </c>
      <c r="L97" s="51">
        <f ca="1">IF(ISBLANK(A97),NA(),IFERROR(SLOPE(INDIRECT("D" &amp; MATCH(A97-$D$1 / 24,A:A,1)):D97, INDIRECT("A" &amp; MATCH(A97-$D$1 / 24,A:A,1)):A97),NA()))</f>
        <v>526719.44437400252</v>
      </c>
      <c r="M97" s="58">
        <f ca="1">IF(ISBLANK(A97),NA(),IFERROR(A97+(PLAYER_EXP_MAX-D97)/L97,NA()))</f>
        <v>44316.859827886707</v>
      </c>
      <c r="N97" s="485" t="str">
        <f t="shared" ca="1" si="8"/>
        <v>003 D 21 H</v>
      </c>
    </row>
    <row r="98" spans="1:14" ht="14.65" customHeight="1" x14ac:dyDescent="0.25">
      <c r="A98" s="8">
        <v>44305.511111111111</v>
      </c>
      <c r="B98" s="42">
        <v>234</v>
      </c>
      <c r="C98" s="42">
        <v>110026</v>
      </c>
      <c r="D98" s="53">
        <f t="shared" si="5"/>
        <v>21843464</v>
      </c>
      <c r="E98" s="46">
        <f>IF(ISBLANK(A98),"-",D98/PLAYER_EXP_MAX)</f>
        <v>0.78577882416558686</v>
      </c>
      <c r="F98" s="51">
        <f ca="1">IF(ISBLANK(A98),NA(),IFERROR(SLOPE(INDIRECT("D" &amp; MATCH(A98-$B$1 / 24,A:A,1)):D98, INDIRECT("A" &amp; MATCH(A98-$B$1 / 24,A:A,1)):A98),NA()))</f>
        <v>579212.66559380013</v>
      </c>
      <c r="G98" s="58">
        <f ca="1">IF(ISBLANK(A98),NA(),IFERROR(A98+(PLAYER_EXP_MAX-D98)/F98,NA()))</f>
        <v>44315.792352102093</v>
      </c>
      <c r="H98" s="485" t="str">
        <f t="shared" ca="1" si="6"/>
        <v>002 D 19 H</v>
      </c>
      <c r="I98" s="51">
        <f ca="1">IF(ISBLANK(A98),NA(),IFERROR(SLOPE(INDIRECT("D" &amp; MATCH(A98-$C$1 / 24,A:A,1)):D98, INDIRECT("A" &amp; MATCH(A98-$C$1 / 24,A:A,1)):A98),NA()))</f>
        <v>599455.17644049053</v>
      </c>
      <c r="J98" s="58">
        <f ca="1">IF(ISBLANK(A98),NA(),IFERROR(A98+(PLAYER_EXP_MAX-D98)/I98,NA()))</f>
        <v>44315.445173296313</v>
      </c>
      <c r="K98" s="485" t="str">
        <f t="shared" ca="1" si="7"/>
        <v>002 D 11 H</v>
      </c>
      <c r="L98" s="51">
        <f ca="1">IF(ISBLANK(A98),NA(),IFERROR(SLOPE(INDIRECT("D" &amp; MATCH(A98-$D$1 / 24,A:A,1)):D98, INDIRECT("A" &amp; MATCH(A98-$D$1 / 24,A:A,1)):A98),NA()))</f>
        <v>548856.07068649842</v>
      </c>
      <c r="M98" s="58">
        <f ca="1">IF(ISBLANK(A98),NA(),IFERROR(A98+(PLAYER_EXP_MAX-D98)/L98,NA()))</f>
        <v>44316.360995658353</v>
      </c>
      <c r="N98" s="485" t="str">
        <f t="shared" ca="1" si="8"/>
        <v>003 D 09 H</v>
      </c>
    </row>
    <row r="99" spans="1:14" ht="14.65" customHeight="1" x14ac:dyDescent="0.25">
      <c r="A99" s="8">
        <v>44305.586805555555</v>
      </c>
      <c r="B99" s="42">
        <v>234</v>
      </c>
      <c r="C99" s="42">
        <v>57586</v>
      </c>
      <c r="D99" s="53">
        <f t="shared" si="5"/>
        <v>21895904</v>
      </c>
      <c r="E99" s="46">
        <f>IF(ISBLANK(A99),"-",D99/PLAYER_EXP_MAX)</f>
        <v>0.78766525763324757</v>
      </c>
      <c r="F99" s="51">
        <f ca="1">IF(ISBLANK(A99),NA(),IFERROR(SLOPE(INDIRECT("D" &amp; MATCH(A99-$B$1 / 24,A:A,1)):D99, INDIRECT("A" &amp; MATCH(A99-$B$1 / 24,A:A,1)):A99),NA()))</f>
        <v>590414.05245255388</v>
      </c>
      <c r="G99" s="58">
        <f ca="1">IF(ISBLANK(A99),NA(),IFERROR(A99+(PLAYER_EXP_MAX-D99)/F99,NA()))</f>
        <v>44315.584170922251</v>
      </c>
      <c r="H99" s="485" t="str">
        <f t="shared" ca="1" si="6"/>
        <v>002 D 14 H</v>
      </c>
      <c r="I99" s="51">
        <f ca="1">IF(ISBLANK(A99),NA(),IFERROR(SLOPE(INDIRECT("D" &amp; MATCH(A99-$C$1 / 24,A:A,1)):D99, INDIRECT("A" &amp; MATCH(A99-$C$1 / 24,A:A,1)):A99),NA()))</f>
        <v>600155.21323962358</v>
      </c>
      <c r="J99" s="58">
        <f ca="1">IF(ISBLANK(A99),NA(),IFERROR(A99+(PLAYER_EXP_MAX-D99)/I99,NA()))</f>
        <v>44315.42190299333</v>
      </c>
      <c r="K99" s="485" t="str">
        <f t="shared" ca="1" si="7"/>
        <v>002 D 10 H</v>
      </c>
      <c r="L99" s="51">
        <f ca="1">IF(ISBLANK(A99),NA(),IFERROR(SLOPE(INDIRECT("D" &amp; MATCH(A99-$D$1 / 24,A:A,1)):D99, INDIRECT("A" &amp; MATCH(A99-$D$1 / 24,A:A,1)):A99),NA()))</f>
        <v>551075.40209337755</v>
      </c>
      <c r="M99" s="58">
        <f ca="1">IF(ISBLANK(A99),NA(),IFERROR(A99+(PLAYER_EXP_MAX-D99)/L99,NA()))</f>
        <v>44316.297835257799</v>
      </c>
      <c r="N99" s="485" t="str">
        <f t="shared" ca="1" si="8"/>
        <v>003 D 07 H</v>
      </c>
    </row>
    <row r="100" spans="1:14" ht="14.65" customHeight="1" x14ac:dyDescent="0.25">
      <c r="A100" s="8">
        <v>44305.738888888889</v>
      </c>
      <c r="B100" s="42">
        <v>235</v>
      </c>
      <c r="C100" s="42">
        <v>358406</v>
      </c>
      <c r="D100" s="53">
        <f t="shared" si="5"/>
        <v>21980084</v>
      </c>
      <c r="E100" s="46">
        <f>IF(ISBLANK(A100),"-",D100/PLAYER_EXP_MAX)</f>
        <v>0.79069347977870308</v>
      </c>
      <c r="F100" s="51">
        <f ca="1">IF(ISBLANK(A100),NA(),IFERROR(SLOPE(INDIRECT("D" &amp; MATCH(A100-$B$1 / 24,A:A,1)):D100, INDIRECT("A" &amp; MATCH(A100-$B$1 / 24,A:A,1)):A100),NA()))</f>
        <v>588182.38485565688</v>
      </c>
      <c r="G100" s="58">
        <f ca="1">IF(ISBLANK(A100),NA(),IFERROR(A100+(PLAYER_EXP_MAX-D100)/F100,NA()))</f>
        <v>44315.631067148235</v>
      </c>
      <c r="H100" s="485" t="str">
        <f t="shared" ca="1" si="6"/>
        <v>002 D 15 H</v>
      </c>
      <c r="I100" s="51">
        <f ca="1">IF(ISBLANK(A100),NA(),IFERROR(SLOPE(INDIRECT("D" &amp; MATCH(A100-$C$1 / 24,A:A,1)):D100, INDIRECT("A" &amp; MATCH(A100-$C$1 / 24,A:A,1)):A100),NA()))</f>
        <v>597654.74730231497</v>
      </c>
      <c r="J100" s="58">
        <f ca="1">IF(ISBLANK(A100),NA(),IFERROR(A100+(PLAYER_EXP_MAX-D100)/I100,NA()))</f>
        <v>44315.474283824282</v>
      </c>
      <c r="K100" s="485" t="str">
        <f t="shared" ca="1" si="7"/>
        <v>002 D 11 H</v>
      </c>
      <c r="L100" s="51">
        <f ca="1">IF(ISBLANK(A100),NA(),IFERROR(SLOPE(INDIRECT("D" &amp; MATCH(A100-$D$1 / 24,A:A,1)):D100, INDIRECT("A" &amp; MATCH(A100-$D$1 / 24,A:A,1)):A100),NA()))</f>
        <v>552437.82325503533</v>
      </c>
      <c r="M100" s="58">
        <f ca="1">IF(ISBLANK(A100),NA(),IFERROR(A100+(PLAYER_EXP_MAX-D100)/L100,NA()))</f>
        <v>44316.271123929779</v>
      </c>
      <c r="N100" s="485" t="str">
        <f t="shared" ca="1" si="8"/>
        <v>003 D 06 H</v>
      </c>
    </row>
    <row r="101" spans="1:14" ht="14.65" customHeight="1" x14ac:dyDescent="0.25">
      <c r="A101" s="8">
        <v>44306.572916666664</v>
      </c>
      <c r="B101" s="42">
        <v>236</v>
      </c>
      <c r="C101" s="42">
        <v>199006</v>
      </c>
      <c r="D101" s="53">
        <f t="shared" si="5"/>
        <v>22529484</v>
      </c>
      <c r="E101" s="46">
        <f>IF(ISBLANK(A101),"-",D101/PLAYER_EXP_MAX)</f>
        <v>0.8104571439116709</v>
      </c>
      <c r="F101" s="51">
        <f ca="1">IF(ISBLANK(A101),NA(),IFERROR(SLOPE(INDIRECT("D" &amp; MATCH(A101-$B$1 / 24,A:A,1)):D101, INDIRECT("A" &amp; MATCH(A101-$B$1 / 24,A:A,1)):A101),NA()))</f>
        <v>658731.05745416647</v>
      </c>
      <c r="G101" s="58">
        <f ca="1">IF(ISBLANK(A101),NA(),IFERROR(A101+(PLAYER_EXP_MAX-D101)/F101,NA()))</f>
        <v>44314.571636235713</v>
      </c>
      <c r="H101" s="485" t="str">
        <f t="shared" ca="1" si="6"/>
        <v>001 D 14 H</v>
      </c>
      <c r="I101" s="51">
        <f ca="1">IF(ISBLANK(A101),NA(),IFERROR(SLOPE(INDIRECT("D" &amp; MATCH(A101-$C$1 / 24,A:A,1)):D101, INDIRECT("A" &amp; MATCH(A101-$C$1 / 24,A:A,1)):A101),NA()))</f>
        <v>646447.43500710255</v>
      </c>
      <c r="J101" s="58">
        <f ca="1">IF(ISBLANK(A101),NA(),IFERROR(A101+(PLAYER_EXP_MAX-D101)/I101,NA()))</f>
        <v>44314.723625780302</v>
      </c>
      <c r="K101" s="485" t="str">
        <f t="shared" ca="1" si="7"/>
        <v>001 D 17 H</v>
      </c>
      <c r="L101" s="51">
        <f ca="1">IF(ISBLANK(A101),NA(),IFERROR(SLOPE(INDIRECT("D" &amp; MATCH(A101-$D$1 / 24,A:A,1)):D101, INDIRECT("A" &amp; MATCH(A101-$D$1 / 24,A:A,1)):A101),NA()))</f>
        <v>564570.58136598591</v>
      </c>
      <c r="M101" s="58">
        <f ca="1">IF(ISBLANK(A101),NA(),IFERROR(A101+(PLAYER_EXP_MAX-D101)/L101,NA()))</f>
        <v>44315.905682442826</v>
      </c>
      <c r="N101" s="485" t="str">
        <f t="shared" ca="1" si="8"/>
        <v>002 D 22 H</v>
      </c>
    </row>
    <row r="102" spans="1:14" ht="14.65" customHeight="1" x14ac:dyDescent="0.25">
      <c r="A102" s="8">
        <v>44306.737500000003</v>
      </c>
      <c r="B102" s="42">
        <v>236</v>
      </c>
      <c r="C102" s="42">
        <v>92246</v>
      </c>
      <c r="D102" s="53">
        <f t="shared" si="5"/>
        <v>22636244</v>
      </c>
      <c r="E102" s="46">
        <f>IF(ISBLANK(A102),"-",D102/PLAYER_EXP_MAX)</f>
        <v>0.81429764042211072</v>
      </c>
      <c r="F102" s="51">
        <f ca="1">IF(ISBLANK(A102),NA(),IFERROR(SLOPE(INDIRECT("D" &amp; MATCH(A102-$B$1 / 24,A:A,1)):D102, INDIRECT("A" &amp; MATCH(A102-$B$1 / 24,A:A,1)):A102),NA()))</f>
        <v>657610.98515146517</v>
      </c>
      <c r="G102" s="58">
        <f ca="1">IF(ISBLANK(A102),NA(),IFERROR(A102+(PLAYER_EXP_MAX-D102)/F102,NA()))</f>
        <v>44314.587498124369</v>
      </c>
      <c r="H102" s="485" t="str">
        <f t="shared" ca="1" si="6"/>
        <v>001 D 14 H</v>
      </c>
      <c r="I102" s="51">
        <f ca="1">IF(ISBLANK(A102),NA(),IFERROR(SLOPE(INDIRECT("D" &amp; MATCH(A102-$C$1 / 24,A:A,1)):D102, INDIRECT("A" &amp; MATCH(A102-$C$1 / 24,A:A,1)):A102),NA()))</f>
        <v>648715.35633752134</v>
      </c>
      <c r="J102" s="58">
        <f ca="1">IF(ISBLANK(A102),NA(),IFERROR(A102+(PLAYER_EXP_MAX-D102)/I102,NA()))</f>
        <v>44314.695142669581</v>
      </c>
      <c r="K102" s="485" t="str">
        <f t="shared" ca="1" si="7"/>
        <v>001 D 17 H</v>
      </c>
      <c r="L102" s="51">
        <f ca="1">IF(ISBLANK(A102),NA(),IFERROR(SLOPE(INDIRECT("D" &amp; MATCH(A102-$D$1 / 24,A:A,1)):D102, INDIRECT("A" &amp; MATCH(A102-$D$1 / 24,A:A,1)):A102),NA()))</f>
        <v>576859.81650515157</v>
      </c>
      <c r="M102" s="58">
        <f ca="1">IF(ISBLANK(A102),NA(),IFERROR(A102+(PLAYER_EXP_MAX-D102)/L102,NA()))</f>
        <v>44315.686372589662</v>
      </c>
      <c r="N102" s="485" t="str">
        <f t="shared" ca="1" si="8"/>
        <v>002 D 16 H</v>
      </c>
    </row>
    <row r="103" spans="1:14" ht="14.65" customHeight="1" x14ac:dyDescent="0.25">
      <c r="A103" s="8">
        <v>44306.911805555559</v>
      </c>
      <c r="B103" s="42">
        <v>237</v>
      </c>
      <c r="C103" s="482">
        <v>359366</v>
      </c>
      <c r="D103" s="53">
        <f t="shared" si="5"/>
        <v>22764124</v>
      </c>
      <c r="E103" s="46">
        <f>IF(ISBLANK(A103),"-",D103/PLAYER_EXP_MAX)</f>
        <v>0.81889789045728345</v>
      </c>
      <c r="F103" s="51">
        <f ca="1">IF(ISBLANK(A103),NA(),IFERROR(SLOPE(INDIRECT("D" &amp; MATCH(A103-$B$1 / 24,A:A,1)):D103, INDIRECT("A" &amp; MATCH(A103-$B$1 / 24,A:A,1)):A103),NA()))</f>
        <v>692786.23506381374</v>
      </c>
      <c r="G103" s="58">
        <f ca="1">IF(ISBLANK(A103),NA(),IFERROR(A103+(PLAYER_EXP_MAX-D103)/F103,NA()))</f>
        <v>44314.178643066465</v>
      </c>
      <c r="H103" s="485" t="str">
        <f t="shared" ca="1" si="6"/>
        <v>001 D 04 H</v>
      </c>
      <c r="I103" s="51">
        <f ca="1">IF(ISBLANK(A103),NA(),IFERROR(SLOPE(INDIRECT("D" &amp; MATCH(A103-$C$1 / 24,A:A,1)):D103, INDIRECT("A" &amp; MATCH(A103-$C$1 / 24,A:A,1)):A103),NA()))</f>
        <v>664158.47530008818</v>
      </c>
      <c r="J103" s="58">
        <f ca="1">IF(ISBLANK(A103),NA(),IFERROR(A103+(PLAYER_EXP_MAX-D103)/I103,NA()))</f>
        <v>44314.49187143927</v>
      </c>
      <c r="K103" s="485" t="str">
        <f t="shared" ca="1" si="7"/>
        <v>001 D 12 H</v>
      </c>
      <c r="L103" s="51">
        <f ca="1">IF(ISBLANK(A103),NA(),IFERROR(SLOPE(INDIRECT("D" &amp; MATCH(A103-$D$1 / 24,A:A,1)):D103, INDIRECT("A" &amp; MATCH(A103-$D$1 / 24,A:A,1)):A103),NA()))</f>
        <v>586698.07405704621</v>
      </c>
      <c r="M103" s="58">
        <f ca="1">IF(ISBLANK(A103),NA(),IFERROR(A103+(PLAYER_EXP_MAX-D103)/L103,NA()))</f>
        <v>44315.492650154534</v>
      </c>
      <c r="N103" s="485" t="str">
        <f t="shared" ca="1" si="8"/>
        <v>002 D 12 H</v>
      </c>
    </row>
    <row r="104" spans="1:14" ht="14.65" customHeight="1" x14ac:dyDescent="0.25">
      <c r="A104" s="8">
        <v>44307.078472222223</v>
      </c>
      <c r="B104" s="42">
        <v>237</v>
      </c>
      <c r="C104" s="42">
        <v>245306</v>
      </c>
      <c r="D104" s="53">
        <f t="shared" si="5"/>
        <v>22878184</v>
      </c>
      <c r="E104" s="46">
        <f>IF(ISBLANK(A104),"-",D104/PLAYER_EXP_MAX)</f>
        <v>0.8230009911689804</v>
      </c>
      <c r="F104" s="51">
        <f ca="1">IF(ISBLANK(A104),NA(),IFERROR(SLOPE(INDIRECT("D" &amp; MATCH(A104-$B$1 / 24,A:A,1)):D104, INDIRECT("A" &amp; MATCH(A104-$B$1 / 24,A:A,1)):A104),NA()))</f>
        <v>709743.20204308932</v>
      </c>
      <c r="G104" s="58">
        <f ca="1">IF(ISBLANK(A104),NA(),IFERROR(A104+(PLAYER_EXP_MAX-D104)/F104,NA()))</f>
        <v>44314.010986666653</v>
      </c>
      <c r="H104" s="485" t="str">
        <f t="shared" ca="1" si="6"/>
        <v>001 D 00 H</v>
      </c>
      <c r="I104" s="51">
        <f ca="1">IF(ISBLANK(A104),NA(),IFERROR(SLOPE(INDIRECT("D" &amp; MATCH(A104-$C$1 / 24,A:A,1)):D104, INDIRECT("A" &amp; MATCH(A104-$C$1 / 24,A:A,1)):A104),NA()))</f>
        <v>668507.1970796294</v>
      </c>
      <c r="J104" s="58">
        <f ca="1">IF(ISBLANK(A104),NA(),IFERROR(A104+(PLAYER_EXP_MAX-D104)/I104,NA()))</f>
        <v>44314.438609886405</v>
      </c>
      <c r="K104" s="485" t="str">
        <f t="shared" ca="1" si="7"/>
        <v>001 D 11 H</v>
      </c>
      <c r="L104" s="51">
        <f ca="1">IF(ISBLANK(A104),NA(),IFERROR(SLOPE(INDIRECT("D" &amp; MATCH(A104-$D$1 / 24,A:A,1)):D104, INDIRECT("A" &amp; MATCH(A104-$D$1 / 24,A:A,1)):A104),NA()))</f>
        <v>606631.57857197162</v>
      </c>
      <c r="M104" s="58">
        <f ca="1">IF(ISBLANK(A104),NA(),IFERROR(A104+(PLAYER_EXP_MAX-D104)/L104,NA()))</f>
        <v>44315.189334191498</v>
      </c>
      <c r="N104" s="485" t="str">
        <f t="shared" ca="1" si="8"/>
        <v>002 D 05 H</v>
      </c>
    </row>
    <row r="105" spans="1:14" ht="14.65" customHeight="1" x14ac:dyDescent="0.25">
      <c r="A105" s="8">
        <v>44307.402083333334</v>
      </c>
      <c r="B105" s="42">
        <v>237</v>
      </c>
      <c r="C105" s="42">
        <v>16686</v>
      </c>
      <c r="D105" s="53">
        <f t="shared" si="5"/>
        <v>23106804</v>
      </c>
      <c r="E105" s="46">
        <f>IF(ISBLANK(A105),"-",D105/PLAYER_EXP_MAX)</f>
        <v>0.83122517918150152</v>
      </c>
      <c r="F105" s="51">
        <f ca="1">IF(ISBLANK(A105),NA(),IFERROR(SLOPE(INDIRECT("D" &amp; MATCH(A105-$B$1 / 24,A:A,1)):D105, INDIRECT("A" &amp; MATCH(A105-$B$1 / 24,A:A,1)):A105),NA()))</f>
        <v>706465.23605185514</v>
      </c>
      <c r="G105" s="58">
        <f ca="1">IF(ISBLANK(A105),NA(),IFERROR(A105+(PLAYER_EXP_MAX-D105)/F105,NA()))</f>
        <v>44314.043153212755</v>
      </c>
      <c r="H105" s="485" t="str">
        <f t="shared" ca="1" si="6"/>
        <v>001 D 01 H</v>
      </c>
      <c r="I105" s="51">
        <f ca="1">IF(ISBLANK(A105),NA(),IFERROR(SLOPE(INDIRECT("D" &amp; MATCH(A105-$C$1 / 24,A:A,1)):D105, INDIRECT("A" &amp; MATCH(A105-$C$1 / 24,A:A,1)):A105),NA()))</f>
        <v>676006.8184909604</v>
      </c>
      <c r="J105" s="58">
        <f ca="1">IF(ISBLANK(A105),NA(),IFERROR(A105+(PLAYER_EXP_MAX-D105)/I105,NA()))</f>
        <v>44314.342375755936</v>
      </c>
      <c r="K105" s="485" t="str">
        <f t="shared" ca="1" si="7"/>
        <v>001 D 08 H</v>
      </c>
      <c r="L105" s="51">
        <f ca="1">IF(ISBLANK(A105),NA(),IFERROR(SLOPE(INDIRECT("D" &amp; MATCH(A105-$D$1 / 24,A:A,1)):D105, INDIRECT("A" &amp; MATCH(A105-$D$1 / 24,A:A,1)):A105),NA()))</f>
        <v>639616.93507818191</v>
      </c>
      <c r="M105" s="58">
        <f ca="1">IF(ISBLANK(A105),NA(),IFERROR(A105+(PLAYER_EXP_MAX-D105)/L105,NA()))</f>
        <v>44314.737231517654</v>
      </c>
      <c r="N105" s="485" t="str">
        <f t="shared" ca="1" si="8"/>
        <v>001 D 18 H</v>
      </c>
    </row>
    <row r="106" spans="1:14" ht="14.65" customHeight="1" x14ac:dyDescent="0.25">
      <c r="A106" s="8">
        <v>44308.554861111108</v>
      </c>
      <c r="B106" s="42">
        <v>239</v>
      </c>
      <c r="C106" s="42">
        <v>26304</v>
      </c>
      <c r="D106" s="53">
        <f t="shared" si="5"/>
        <v>23902186</v>
      </c>
      <c r="E106" s="46">
        <f>IF(ISBLANK(A106),"-",D106/PLAYER_EXP_MAX)</f>
        <v>0.8598375976478434</v>
      </c>
      <c r="F106" s="51">
        <f ca="1">IF(ISBLANK(A106),NA(),IFERROR(SLOPE(INDIRECT("D" &amp; MATCH(A106-$B$1 / 24,A:A,1)):D106, INDIRECT("A" &amp; MATCH(A106-$B$1 / 24,A:A,1)):A106),NA()))</f>
        <v>689969.92771326273</v>
      </c>
      <c r="G106" s="58">
        <f ca="1">IF(ISBLANK(A106),NA(),IFERROR(A106+(PLAYER_EXP_MAX-D106)/F106,NA()))</f>
        <v>44314.201923169181</v>
      </c>
      <c r="H106" s="485" t="str">
        <f t="shared" ca="1" si="6"/>
        <v>001 D 05 H</v>
      </c>
      <c r="I106" s="51">
        <f ca="1">IF(ISBLANK(A106),NA(),IFERROR(SLOPE(INDIRECT("D" &amp; MATCH(A106-$C$1 / 24,A:A,1)):D106, INDIRECT("A" &amp; MATCH(A106-$C$1 / 24,A:A,1)):A106),NA()))</f>
        <v>689969.92771326273</v>
      </c>
      <c r="J106" s="58">
        <f ca="1">IF(ISBLANK(A106),NA(),IFERROR(A106+(PLAYER_EXP_MAX-D106)/I106,NA()))</f>
        <v>44314.201923169181</v>
      </c>
      <c r="K106" s="485" t="str">
        <f t="shared" ca="1" si="7"/>
        <v>001 D 05 H</v>
      </c>
      <c r="L106" s="51">
        <f ca="1">IF(ISBLANK(A106),NA(),IFERROR(SLOPE(INDIRECT("D" &amp; MATCH(A106-$D$1 / 24,A:A,1)):D106, INDIRECT("A" &amp; MATCH(A106-$D$1 / 24,A:A,1)):A106),NA()))</f>
        <v>674862.10460543341</v>
      </c>
      <c r="M106" s="58">
        <f ca="1">IF(ISBLANK(A106),NA(),IFERROR(A106+(PLAYER_EXP_MAX-D106)/L106,NA()))</f>
        <v>44314.328341313078</v>
      </c>
      <c r="N106" s="485" t="str">
        <f t="shared" ca="1" si="8"/>
        <v>001 D 08 H</v>
      </c>
    </row>
    <row r="107" spans="1:14" ht="14.65" customHeight="1" x14ac:dyDescent="0.25">
      <c r="A107" s="8">
        <v>44308.640972222223</v>
      </c>
      <c r="B107" s="42">
        <v>240</v>
      </c>
      <c r="C107" s="42">
        <v>404132</v>
      </c>
      <c r="D107" s="53">
        <f t="shared" si="5"/>
        <v>23934358</v>
      </c>
      <c r="E107" s="46">
        <f>IF(ISBLANK(A107),"-",D107/PLAYER_EXP_MAX)</f>
        <v>0.86099492673864397</v>
      </c>
      <c r="F107" s="51">
        <f ca="1">IF(ISBLANK(A107),NA(),IFERROR(SLOPE(INDIRECT("D" &amp; MATCH(A107-$B$1 / 24,A:A,1)):D107, INDIRECT("A" &amp; MATCH(A107-$B$1 / 24,A:A,1)):A107),NA()))</f>
        <v>677398.08052721468</v>
      </c>
      <c r="G107" s="58">
        <f ca="1">IF(ISBLANK(A107),NA(),IFERROR(A107+(PLAYER_EXP_MAX-D107)/F107,NA()))</f>
        <v>44314.345344748632</v>
      </c>
      <c r="H107" s="485" t="str">
        <f t="shared" ca="1" si="6"/>
        <v>001 D 08 H</v>
      </c>
      <c r="I107" s="51">
        <f ca="1">IF(ISBLANK(A107),NA(),IFERROR(SLOPE(INDIRECT("D" &amp; MATCH(A107-$C$1 / 24,A:A,1)):D107, INDIRECT("A" &amp; MATCH(A107-$C$1 / 24,A:A,1)):A107),NA()))</f>
        <v>677398.08052721468</v>
      </c>
      <c r="J107" s="58">
        <f ca="1">IF(ISBLANK(A107),NA(),IFERROR(A107+(PLAYER_EXP_MAX-D107)/I107,NA()))</f>
        <v>44314.345344748632</v>
      </c>
      <c r="K107" s="485" t="str">
        <f t="shared" ca="1" si="7"/>
        <v>001 D 08 H</v>
      </c>
      <c r="L107" s="51">
        <f ca="1">IF(ISBLANK(A107),NA(),IFERROR(SLOPE(INDIRECT("D" &amp; MATCH(A107-$D$1 / 24,A:A,1)):D107, INDIRECT("A" &amp; MATCH(A107-$D$1 / 24,A:A,1)):A107),NA()))</f>
        <v>676306.56356506632</v>
      </c>
      <c r="M107" s="58">
        <f ca="1">IF(ISBLANK(A107),NA(),IFERROR(A107+(PLAYER_EXP_MAX-D107)/L107,NA()))</f>
        <v>44314.354551253055</v>
      </c>
      <c r="N107" s="485" t="str">
        <f t="shared" ca="1" si="8"/>
        <v>001 D 08 H</v>
      </c>
    </row>
    <row r="108" spans="1:14" ht="14.65" customHeight="1" x14ac:dyDescent="0.25">
      <c r="A108" s="8">
        <v>44308.643055555556</v>
      </c>
      <c r="B108" s="42">
        <v>240</v>
      </c>
      <c r="C108" s="42">
        <v>402752</v>
      </c>
      <c r="D108" s="53">
        <f t="shared" si="5"/>
        <v>23935738</v>
      </c>
      <c r="E108" s="46">
        <f>IF(ISBLANK(A108),"-",D108/PLAYER_EXP_MAX)</f>
        <v>0.86104456972463506</v>
      </c>
      <c r="F108" s="51">
        <f ca="1">IF(ISBLANK(A108),NA(),IFERROR(SLOPE(INDIRECT("D" &amp; MATCH(A108-$B$1 / 24,A:A,1)):D108, INDIRECT("A" &amp; MATCH(A108-$B$1 / 24,A:A,1)):A108),NA()))</f>
        <v>673590.14458312234</v>
      </c>
      <c r="G108" s="58">
        <f ca="1">IF(ISBLANK(A108),NA(),IFERROR(A108+(PLAYER_EXP_MAX-D108)/F108,NA()))</f>
        <v>44314.37762728447</v>
      </c>
      <c r="H108" s="485" t="str">
        <f t="shared" ca="1" si="6"/>
        <v>001 D 09 H</v>
      </c>
      <c r="I108" s="51">
        <f ca="1">IF(ISBLANK(A108),NA(),IFERROR(SLOPE(INDIRECT("D" &amp; MATCH(A108-$C$1 / 24,A:A,1)):D108, INDIRECT("A" &amp; MATCH(A108-$C$1 / 24,A:A,1)):A108),NA()))</f>
        <v>673590.14458312234</v>
      </c>
      <c r="J108" s="58">
        <f ca="1">IF(ISBLANK(A108),NA(),IFERROR(A108+(PLAYER_EXP_MAX-D108)/I108,NA()))</f>
        <v>44314.37762728447</v>
      </c>
      <c r="K108" s="485" t="str">
        <f t="shared" ca="1" si="7"/>
        <v>001 D 09 H</v>
      </c>
      <c r="L108" s="51">
        <f ca="1">IF(ISBLANK(A108),NA(),IFERROR(SLOPE(INDIRECT("D" &amp; MATCH(A108-$D$1 / 24,A:A,1)):D108, INDIRECT("A" &amp; MATCH(A108-$D$1 / 24,A:A,1)):A108),NA()))</f>
        <v>675532.2510494563</v>
      </c>
      <c r="M108" s="58">
        <f ca="1">IF(ISBLANK(A108),NA(),IFERROR(A108+(PLAYER_EXP_MAX-D108)/L108,NA()))</f>
        <v>44314.361140804627</v>
      </c>
      <c r="N108" s="485" t="str">
        <f t="shared" ca="1" si="8"/>
        <v>001 D 09 H</v>
      </c>
    </row>
    <row r="109" spans="1:14" ht="14.65" customHeight="1" x14ac:dyDescent="0.25">
      <c r="A109" s="8">
        <v>44308.656944444447</v>
      </c>
      <c r="B109" s="42">
        <v>240</v>
      </c>
      <c r="C109" s="42">
        <v>389872</v>
      </c>
      <c r="D109" s="53">
        <f t="shared" si="5"/>
        <v>23948618</v>
      </c>
      <c r="E109" s="46">
        <f>IF(ISBLANK(A109),"-",D109/PLAYER_EXP_MAX)</f>
        <v>0.86150790426055168</v>
      </c>
      <c r="F109" s="51">
        <f ca="1">IF(ISBLANK(A109),NA(),IFERROR(SLOPE(INDIRECT("D" &amp; MATCH(A109-$B$1 / 24,A:A,1)):D109, INDIRECT("A" &amp; MATCH(A109-$B$1 / 24,A:A,1)):A109),NA()))</f>
        <v>672507.36675504432</v>
      </c>
      <c r="G109" s="58">
        <f ca="1">IF(ISBLANK(A109),NA(),IFERROR(A109+(PLAYER_EXP_MAX-D109)/F109,NA()))</f>
        <v>44314.381596976622</v>
      </c>
      <c r="H109" s="485" t="str">
        <f t="shared" ca="1" si="6"/>
        <v>001 D 09 H</v>
      </c>
      <c r="I109" s="51">
        <f ca="1">IF(ISBLANK(A109),NA(),IFERROR(SLOPE(INDIRECT("D" &amp; MATCH(A109-$C$1 / 24,A:A,1)):D109, INDIRECT("A" &amp; MATCH(A109-$C$1 / 24,A:A,1)):A109),NA()))</f>
        <v>672507.36675504432</v>
      </c>
      <c r="J109" s="58">
        <f ca="1">IF(ISBLANK(A109),NA(),IFERROR(A109+(PLAYER_EXP_MAX-D109)/I109,NA()))</f>
        <v>44314.381596976622</v>
      </c>
      <c r="K109" s="485" t="str">
        <f t="shared" ca="1" si="7"/>
        <v>001 D 09 H</v>
      </c>
      <c r="L109" s="51">
        <f ca="1">IF(ISBLANK(A109),NA(),IFERROR(SLOPE(INDIRECT("D" &amp; MATCH(A109-$D$1 / 24,A:A,1)):D109, INDIRECT("A" &amp; MATCH(A109-$D$1 / 24,A:A,1)):A109),NA()))</f>
        <v>675446.12132015801</v>
      </c>
      <c r="M109" s="58">
        <f ca="1">IF(ISBLANK(A109),NA(),IFERROR(A109+(PLAYER_EXP_MAX-D109)/L109,NA()))</f>
        <v>44314.356689958528</v>
      </c>
      <c r="N109" s="485" t="str">
        <f t="shared" ca="1" si="8"/>
        <v>001 D 09 H</v>
      </c>
    </row>
    <row r="110" spans="1:14" ht="14.65" customHeight="1" x14ac:dyDescent="0.25">
      <c r="A110" s="8">
        <v>44308.679166666669</v>
      </c>
      <c r="B110" s="42">
        <v>240</v>
      </c>
      <c r="C110" s="42">
        <v>370552</v>
      </c>
      <c r="D110" s="53">
        <f t="shared" si="5"/>
        <v>23967938</v>
      </c>
      <c r="E110" s="46">
        <f>IF(ISBLANK(A110),"-",D110/PLAYER_EXP_MAX)</f>
        <v>0.86220290606442673</v>
      </c>
      <c r="F110" s="51">
        <f ca="1">IF(ISBLANK(A110),NA(),IFERROR(SLOPE(INDIRECT("D" &amp; MATCH(A110-$B$1 / 24,A:A,1)):D110, INDIRECT("A" &amp; MATCH(A110-$B$1 / 24,A:A,1)):A110),NA()))</f>
        <v>672688.42865580658</v>
      </c>
      <c r="G110" s="58">
        <f ca="1">IF(ISBLANK(A110),NA(),IFERROR(A110+(PLAYER_EXP_MAX-D110)/F110,NA()))</f>
        <v>44314.373557764869</v>
      </c>
      <c r="H110" s="485" t="str">
        <f t="shared" ca="1" si="6"/>
        <v>001 D 09 H</v>
      </c>
      <c r="I110" s="51">
        <f ca="1">IF(ISBLANK(A110),NA(),IFERROR(SLOPE(INDIRECT("D" &amp; MATCH(A110-$C$1 / 24,A:A,1)):D110, INDIRECT("A" &amp; MATCH(A110-$C$1 / 24,A:A,1)):A110),NA()))</f>
        <v>672688.42865580658</v>
      </c>
      <c r="J110" s="58">
        <f ca="1">IF(ISBLANK(A110),NA(),IFERROR(A110+(PLAYER_EXP_MAX-D110)/I110,NA()))</f>
        <v>44314.373557764869</v>
      </c>
      <c r="K110" s="485" t="str">
        <f t="shared" ca="1" si="7"/>
        <v>001 D 09 H</v>
      </c>
      <c r="L110" s="51">
        <f ca="1">IF(ISBLANK(A110),NA(),IFERROR(SLOPE(INDIRECT("D" &amp; MATCH(A110-$D$1 / 24,A:A,1)):D110, INDIRECT("A" &amp; MATCH(A110-$D$1 / 24,A:A,1)):A110),NA()))</f>
        <v>675745.53236799734</v>
      </c>
      <c r="M110" s="58">
        <f ca="1">IF(ISBLANK(A110),NA(),IFERROR(A110+(PLAYER_EXP_MAX-D110)/L110,NA()))</f>
        <v>44314.347796078953</v>
      </c>
      <c r="N110" s="485" t="str">
        <f t="shared" ca="1" si="8"/>
        <v>001 D 08 H</v>
      </c>
    </row>
    <row r="111" spans="1:14" ht="14.65" customHeight="1" x14ac:dyDescent="0.25">
      <c r="A111" s="8">
        <v>44308.723611111112</v>
      </c>
      <c r="B111" s="42">
        <v>240</v>
      </c>
      <c r="C111" s="42">
        <v>336512</v>
      </c>
      <c r="D111" s="53">
        <f t="shared" si="5"/>
        <v>24001978</v>
      </c>
      <c r="E111" s="46">
        <f>IF(ISBLANK(A111),"-",D111/PLAYER_EXP_MAX)</f>
        <v>0.86342743305220659</v>
      </c>
      <c r="F111" s="51">
        <f ca="1">IF(ISBLANK(A111),NA(),IFERROR(SLOPE(INDIRECT("D" &amp; MATCH(A111-$B$1 / 24,A:A,1)):D111, INDIRECT("A" &amp; MATCH(A111-$B$1 / 24,A:A,1)):A111),NA()))</f>
        <v>673597.63801681704</v>
      </c>
      <c r="G111" s="58">
        <f ca="1">IF(ISBLANK(A111),NA(),IFERROR(A111+(PLAYER_EXP_MAX-D111)/F111,NA()))</f>
        <v>44314.359781408828</v>
      </c>
      <c r="H111" s="485" t="str">
        <f t="shared" ca="1" si="6"/>
        <v>001 D 09 H</v>
      </c>
      <c r="I111" s="51">
        <f ca="1">IF(ISBLANK(A111),NA(),IFERROR(SLOPE(INDIRECT("D" &amp; MATCH(A111-$C$1 / 24,A:A,1)):D111, INDIRECT("A" &amp; MATCH(A111-$C$1 / 24,A:A,1)):A111),NA()))</f>
        <v>673597.63801681704</v>
      </c>
      <c r="J111" s="58">
        <f ca="1">IF(ISBLANK(A111),NA(),IFERROR(A111+(PLAYER_EXP_MAX-D111)/I111,NA()))</f>
        <v>44314.359781408828</v>
      </c>
      <c r="K111" s="485" t="str">
        <f t="shared" ca="1" si="7"/>
        <v>001 D 09 H</v>
      </c>
      <c r="L111" s="51">
        <f ca="1">IF(ISBLANK(A111),NA(),IFERROR(SLOPE(INDIRECT("D" &amp; MATCH(A111-$D$1 / 24,A:A,1)):D111, INDIRECT("A" &amp; MATCH(A111-$D$1 / 24,A:A,1)):A111),NA()))</f>
        <v>676243.32975498331</v>
      </c>
      <c r="M111" s="58">
        <f ca="1">IF(ISBLANK(A111),NA(),IFERROR(A111+(PLAYER_EXP_MAX-D111)/L111,NA()))</f>
        <v>44314.337730811749</v>
      </c>
      <c r="N111" s="485" t="str">
        <f t="shared" ca="1" si="8"/>
        <v>001 D 08 H</v>
      </c>
    </row>
    <row r="112" spans="1:14" ht="14.65" customHeight="1" x14ac:dyDescent="0.25">
      <c r="A112" s="8">
        <v>44308.772916666669</v>
      </c>
      <c r="B112" s="42">
        <v>240</v>
      </c>
      <c r="C112" s="42">
        <v>293732</v>
      </c>
      <c r="D112" s="53">
        <f t="shared" si="5"/>
        <v>24044758</v>
      </c>
      <c r="E112" s="46">
        <f>IF(ISBLANK(A112),"-",D112/PLAYER_EXP_MAX)</f>
        <v>0.86496636561792983</v>
      </c>
      <c r="F112" s="51">
        <f ca="1">IF(ISBLANK(A112),NA(),IFERROR(SLOPE(INDIRECT("D" &amp; MATCH(A112-$B$1 / 24,A:A,1)):D112, INDIRECT("A" &amp; MATCH(A112-$B$1 / 24,A:A,1)):A112),NA()))</f>
        <v>676090.62491211249</v>
      </c>
      <c r="G112" s="58">
        <f ca="1">IF(ISBLANK(A112),NA(),IFERROR(A112+(PLAYER_EXP_MAX-D112)/F112,NA()))</f>
        <v>44314.325028856489</v>
      </c>
      <c r="H112" s="485" t="str">
        <f t="shared" ca="1" si="6"/>
        <v>001 D 08 H</v>
      </c>
      <c r="I112" s="51">
        <f ca="1">IF(ISBLANK(A112),NA(),IFERROR(SLOPE(INDIRECT("D" &amp; MATCH(A112-$C$1 / 24,A:A,1)):D112, INDIRECT("A" &amp; MATCH(A112-$C$1 / 24,A:A,1)):A112),NA()))</f>
        <v>676090.62491211249</v>
      </c>
      <c r="J112" s="58">
        <f ca="1">IF(ISBLANK(A112),NA(),IFERROR(A112+(PLAYER_EXP_MAX-D112)/I112,NA()))</f>
        <v>44314.325028856489</v>
      </c>
      <c r="K112" s="485" t="str">
        <f t="shared" ca="1" si="7"/>
        <v>001 D 08 H</v>
      </c>
      <c r="L112" s="51">
        <f ca="1">IF(ISBLANK(A112),NA(),IFERROR(SLOPE(INDIRECT("D" &amp; MATCH(A112-$D$1 / 24,A:A,1)):D112, INDIRECT("A" &amp; MATCH(A112-$D$1 / 24,A:A,1)):A112),NA()))</f>
        <v>680733.04734518589</v>
      </c>
      <c r="M112" s="58">
        <f ca="1">IF(ISBLANK(A112),NA(),IFERROR(A112+(PLAYER_EXP_MAX-D112)/L112,NA()))</f>
        <v>44314.287164894573</v>
      </c>
      <c r="N112" s="485" t="str">
        <f t="shared" ca="1" si="8"/>
        <v>001 D 07 H</v>
      </c>
    </row>
    <row r="113" spans="1:14" ht="14.65" customHeight="1" x14ac:dyDescent="0.25">
      <c r="A113" s="8">
        <v>44308.854861111111</v>
      </c>
      <c r="B113" s="42">
        <v>240</v>
      </c>
      <c r="C113" s="42">
        <v>222892</v>
      </c>
      <c r="D113" s="53">
        <f t="shared" si="5"/>
        <v>24115598</v>
      </c>
      <c r="E113" s="46">
        <f>IF(ISBLANK(A113),"-",D113/PLAYER_EXP_MAX)</f>
        <v>0.86751470556547161</v>
      </c>
      <c r="F113" s="51">
        <f ca="1">IF(ISBLANK(A113),NA(),IFERROR(SLOPE(INDIRECT("D" &amp; MATCH(A113-$B$1 / 24,A:A,1)):D113, INDIRECT("A" &amp; MATCH(A113-$B$1 / 24,A:A,1)):A113),NA()))</f>
        <v>750154.7984743251</v>
      </c>
      <c r="G113" s="58">
        <f ca="1">IF(ISBLANK(A113),NA(),IFERROR(A113+(PLAYER_EXP_MAX-D113)/F113,NA()))</f>
        <v>44313.764369131975</v>
      </c>
      <c r="H113" s="485" t="str">
        <f t="shared" ca="1" si="6"/>
        <v>000 D 18 H</v>
      </c>
      <c r="I113" s="51">
        <f ca="1">IF(ISBLANK(A113),NA(),IFERROR(SLOPE(INDIRECT("D" &amp; MATCH(A113-$C$1 / 24,A:A,1)):D113, INDIRECT("A" &amp; MATCH(A113-$C$1 / 24,A:A,1)):A113),NA()))</f>
        <v>681413.91851435613</v>
      </c>
      <c r="J113" s="58">
        <f ca="1">IF(ISBLANK(A113),NA(),IFERROR(A113+(PLAYER_EXP_MAX-D113)/I113,NA()))</f>
        <v>44314.259639176154</v>
      </c>
      <c r="K113" s="485" t="str">
        <f t="shared" ca="1" si="7"/>
        <v>001 D 06 H</v>
      </c>
      <c r="L113" s="51">
        <f ca="1">IF(ISBLANK(A113),NA(),IFERROR(SLOPE(INDIRECT("D" &amp; MATCH(A113-$D$1 / 24,A:A,1)):D113, INDIRECT("A" &amp; MATCH(A113-$D$1 / 24,A:A,1)):A113),NA()))</f>
        <v>682520.8165088509</v>
      </c>
      <c r="M113" s="58">
        <f ca="1">IF(ISBLANK(A113),NA(),IFERROR(A113+(PLAYER_EXP_MAX-D113)/L113,NA()))</f>
        <v>44314.250873820056</v>
      </c>
      <c r="N113" s="485" t="str">
        <f t="shared" ca="1" si="8"/>
        <v>001 D 06 H</v>
      </c>
    </row>
    <row r="114" spans="1:14" ht="14.65" customHeight="1" x14ac:dyDescent="0.25">
      <c r="A114" s="8">
        <v>44309.002083333333</v>
      </c>
      <c r="B114" s="42">
        <v>240</v>
      </c>
      <c r="C114" s="42">
        <v>97772</v>
      </c>
      <c r="D114" s="53">
        <f t="shared" si="5"/>
        <v>24240718</v>
      </c>
      <c r="E114" s="46">
        <f>IF(ISBLANK(A114),"-",D114/PLAYER_EXP_MAX)</f>
        <v>0.87201566962866217</v>
      </c>
      <c r="F114" s="51">
        <f ca="1">IF(ISBLANK(A114),NA(),IFERROR(SLOPE(INDIRECT("D" &amp; MATCH(A114-$B$1 / 24,A:A,1)):D114, INDIRECT("A" &amp; MATCH(A114-$B$1 / 24,A:A,1)):A114),NA()))</f>
        <v>856978.24012210814</v>
      </c>
      <c r="G114" s="58">
        <f ca="1">IF(ISBLANK(A114),NA(),IFERROR(A114+(PLAYER_EXP_MAX-D114)/F114,NA()))</f>
        <v>44313.153613481278</v>
      </c>
      <c r="H114" s="485" t="str">
        <f t="shared" ca="1" si="6"/>
        <v>000 D 04 H</v>
      </c>
      <c r="I114" s="51">
        <f ca="1">IF(ISBLANK(A114),NA(),IFERROR(SLOPE(INDIRECT("D" &amp; MATCH(A114-$C$1 / 24,A:A,1)):D114, INDIRECT("A" &amp; MATCH(A114-$C$1 / 24,A:A,1)):A114),NA()))</f>
        <v>692537.18521596421</v>
      </c>
      <c r="J114" s="58">
        <f ca="1">IF(ISBLANK(A114),NA(),IFERROR(A114+(PLAYER_EXP_MAX-D114)/I114,NA()))</f>
        <v>44314.139382926696</v>
      </c>
      <c r="K114" s="485" t="str">
        <f t="shared" ca="1" si="7"/>
        <v>001 D 03 H</v>
      </c>
      <c r="L114" s="51">
        <f ca="1">IF(ISBLANK(A114),NA(),IFERROR(SLOPE(INDIRECT("D" &amp; MATCH(A114-$D$1 / 24,A:A,1)):D114, INDIRECT("A" &amp; MATCH(A114-$D$1 / 24,A:A,1)):A114),NA()))</f>
        <v>685695.87158070831</v>
      </c>
      <c r="M114" s="58">
        <f ca="1">IF(ISBLANK(A114),NA(),IFERROR(A114+(PLAYER_EXP_MAX-D114)/L114,NA()))</f>
        <v>44314.190638708176</v>
      </c>
      <c r="N114" s="485" t="str">
        <f t="shared" ca="1" si="8"/>
        <v>001 D 05 H</v>
      </c>
    </row>
    <row r="115" spans="1:14" ht="14.65" customHeight="1" x14ac:dyDescent="0.25">
      <c r="A115" s="8">
        <v>44309.060416666667</v>
      </c>
      <c r="B115" s="42">
        <v>240</v>
      </c>
      <c r="C115" s="42">
        <v>56392</v>
      </c>
      <c r="D115" s="59">
        <f t="shared" si="5"/>
        <v>24282098</v>
      </c>
      <c r="E115" s="46">
        <f>IF(ISBLANK(A115),"-",D115/PLAYER_EXP_MAX)</f>
        <v>0.87350423974482927</v>
      </c>
      <c r="F115" s="51">
        <f ca="1">IF(ISBLANK(A115),NA(),IFERROR(SLOPE(INDIRECT("D" &amp; MATCH(A115-$B$1 / 24,A:A,1)):D115, INDIRECT("A" &amp; MATCH(A115-$B$1 / 24,A:A,1)):A115),NA()))</f>
        <v>831698.74699581624</v>
      </c>
      <c r="G115" s="58">
        <f ca="1">IF(ISBLANK(A115),NA(),IFERROR(A115+(PLAYER_EXP_MAX-D115)/F115,NA()))</f>
        <v>44313.288379030084</v>
      </c>
      <c r="H115" s="485" t="str">
        <f t="shared" ca="1" si="6"/>
        <v>000 D 07 H</v>
      </c>
      <c r="I115" s="51">
        <f ca="1">IF(ISBLANK(A115),NA(),IFERROR(SLOPE(INDIRECT("D" &amp; MATCH(A115-$C$1 / 24,A:A,1)):D115, INDIRECT("A" &amp; MATCH(A115-$C$1 / 24,A:A,1)):A115),NA()))</f>
        <v>701070.97783763765</v>
      </c>
      <c r="J115" s="58">
        <f ca="1">IF(ISBLANK(A115),NA(),IFERROR(A115+(PLAYER_EXP_MAX-D115)/I115,NA()))</f>
        <v>44314.076158454816</v>
      </c>
      <c r="K115" s="485" t="str">
        <f t="shared" ca="1" si="7"/>
        <v>001 D 02 H</v>
      </c>
      <c r="L115" s="51">
        <f ca="1">IF(ISBLANK(A115),NA(),IFERROR(SLOPE(INDIRECT("D" &amp; MATCH(A115-$D$1 / 24,A:A,1)):D115, INDIRECT("A" &amp; MATCH(A115-$D$1 / 24,A:A,1)):A115),NA()))</f>
        <v>688296.45758951828</v>
      </c>
      <c r="M115" s="58">
        <f ca="1">IF(ISBLANK(A115),NA(),IFERROR(A115+(PLAYER_EXP_MAX-D115)/L115,NA()))</f>
        <v>44314.169248713129</v>
      </c>
      <c r="N115" s="485" t="str">
        <f t="shared" ca="1" si="8"/>
        <v>001 D 04 H</v>
      </c>
    </row>
    <row r="116" spans="1:14" ht="14.65" customHeight="1" x14ac:dyDescent="0.25">
      <c r="A116" s="8">
        <v>44309.443749999999</v>
      </c>
      <c r="B116" s="42">
        <v>241</v>
      </c>
      <c r="C116" s="42">
        <v>159372</v>
      </c>
      <c r="D116" s="59">
        <f t="shared" si="5"/>
        <v>24594118</v>
      </c>
      <c r="E116" s="46">
        <f>IF(ISBLANK(A116),"-",D116/PLAYER_EXP_MAX)</f>
        <v>0.88472859082376742</v>
      </c>
      <c r="F116" s="51">
        <f ca="1">IF(ISBLANK(A116),NA(),IFERROR(SLOPE(INDIRECT("D" &amp; MATCH(A116-$B$1 / 24,A:A,1)):D116, INDIRECT("A" &amp; MATCH(A116-$B$1 / 24,A:A,1)):A116),NA()))</f>
        <v>813965.21739542414</v>
      </c>
      <c r="G116" s="58">
        <f ca="1">IF(ISBLANK(A116),NA(),IFERROR(A116+(PLAYER_EXP_MAX-D116)/F116,NA()))</f>
        <v>44313.380491928918</v>
      </c>
      <c r="H116" s="485" t="str">
        <f t="shared" ca="1" si="6"/>
        <v>000 D 09 H</v>
      </c>
      <c r="I116" s="51">
        <f ca="1">IF(ISBLANK(A116),NA(),IFERROR(SLOPE(INDIRECT("D" &amp; MATCH(A116-$C$1 / 24,A:A,1)):D116, INDIRECT("A" &amp; MATCH(A116-$C$1 / 24,A:A,1)):A116),NA()))</f>
        <v>723045.46187257126</v>
      </c>
      <c r="J116" s="58">
        <f ca="1">IF(ISBLANK(A116),NA(),IFERROR(A116+(PLAYER_EXP_MAX-D116)/I116,NA()))</f>
        <v>44313.875519741974</v>
      </c>
      <c r="K116" s="485" t="str">
        <f t="shared" ca="1" si="7"/>
        <v>000 D 21 H</v>
      </c>
      <c r="L116" s="51">
        <f ca="1">IF(ISBLANK(A116),NA(),IFERROR(SLOPE(INDIRECT("D" &amp; MATCH(A116-$D$1 / 24,A:A,1)):D116, INDIRECT("A" &amp; MATCH(A116-$D$1 / 24,A:A,1)):A116),NA()))</f>
        <v>694329.53304350737</v>
      </c>
      <c r="M116" s="58">
        <f ca="1">IF(ISBLANK(A116),NA(),IFERROR(A116+(PLAYER_EXP_MAX-D116)/L116,NA()))</f>
        <v>44314.058807904788</v>
      </c>
      <c r="N116" s="485" t="str">
        <f t="shared" ca="1" si="8"/>
        <v>001 D 01 H</v>
      </c>
    </row>
    <row r="117" spans="1:14" ht="14.65" customHeight="1" x14ac:dyDescent="0.25">
      <c r="A117" s="8">
        <v>44309.481944444444</v>
      </c>
      <c r="B117" s="42">
        <v>241</v>
      </c>
      <c r="C117" s="42">
        <v>144208</v>
      </c>
      <c r="D117" s="59">
        <f t="shared" si="5"/>
        <v>24609282</v>
      </c>
      <c r="E117" s="46">
        <f>IF(ISBLANK(A117),"-",D117/PLAYER_EXP_MAX)</f>
        <v>0.88527408809881714</v>
      </c>
      <c r="F117" s="51">
        <f ca="1">IF(ISBLANK(A117),NA(),IFERROR(SLOPE(INDIRECT("D" &amp; MATCH(A117-$B$1 / 24,A:A,1)):D117, INDIRECT("A" &amp; MATCH(A117-$B$1 / 24,A:A,1)):A117),NA()))</f>
        <v>791514.12368031545</v>
      </c>
      <c r="G117" s="58">
        <f ca="1">IF(ISBLANK(A117),NA(),IFERROR(A117+(PLAYER_EXP_MAX-D117)/F117,NA()))</f>
        <v>44313.511192823702</v>
      </c>
      <c r="H117" s="485" t="str">
        <f t="shared" ca="1" si="6"/>
        <v>000 D 12 H</v>
      </c>
      <c r="I117" s="51">
        <f ca="1">IF(ISBLANK(A117),NA(),IFERROR(SLOPE(INDIRECT("D" &amp; MATCH(A117-$C$1 / 24,A:A,1)):D117, INDIRECT("A" &amp; MATCH(A117-$C$1 / 24,A:A,1)):A117),NA()))</f>
        <v>732329.51054853946</v>
      </c>
      <c r="J117" s="58">
        <f ca="1">IF(ISBLANK(A117),NA(),IFERROR(A117+(PLAYER_EXP_MAX-D117)/I117,NA()))</f>
        <v>44313.83682425478</v>
      </c>
      <c r="K117" s="485" t="str">
        <f t="shared" ca="1" si="7"/>
        <v>000 D 20 H</v>
      </c>
      <c r="L117" s="51">
        <f ca="1">IF(ISBLANK(A117),NA(),IFERROR(SLOPE(INDIRECT("D" &amp; MATCH(A117-$D$1 / 24,A:A,1)):D117, INDIRECT("A" &amp; MATCH(A117-$D$1 / 24,A:A,1)):A117),NA()))</f>
        <v>698128.89832742384</v>
      </c>
      <c r="M117" s="58">
        <f ca="1">IF(ISBLANK(A117),NA(),IFERROR(A117+(PLAYER_EXP_MAX-D117)/L117,NA()))</f>
        <v>44314.050165309731</v>
      </c>
      <c r="N117" s="485" t="str">
        <f t="shared" ca="1" si="8"/>
        <v>001 D 01 H</v>
      </c>
    </row>
    <row r="118" spans="1:14" ht="14.65" customHeight="1" x14ac:dyDescent="0.25">
      <c r="A118" s="8">
        <v>44309.949305555558</v>
      </c>
      <c r="B118" s="42">
        <v>242</v>
      </c>
      <c r="C118" s="42">
        <v>128128</v>
      </c>
      <c r="D118" s="59">
        <f t="shared" si="5"/>
        <v>25045362</v>
      </c>
      <c r="E118" s="46">
        <f>IF(ISBLANK(A118),"-",D118/PLAYER_EXP_MAX)</f>
        <v>0.90096127167199624</v>
      </c>
      <c r="F118" s="51">
        <f ca="1">IF(ISBLANK(A118),NA(),IFERROR(SLOPE(INDIRECT("D" &amp; MATCH(A118-$B$1 / 24,A:A,1)):D118, INDIRECT("A" &amp; MATCH(A118-$B$1 / 24,A:A,1)):A118),NA()))</f>
        <v>933068.64783998043</v>
      </c>
      <c r="G118" s="58">
        <f ca="1">IF(ISBLANK(A118),NA(),IFERROR(A118+(PLAYER_EXP_MAX-D118)/F118,NA()))</f>
        <v>44312.899921253957</v>
      </c>
      <c r="H118" s="485" t="str">
        <f t="shared" ca="1" si="6"/>
        <v>000 D 01 H</v>
      </c>
      <c r="I118" s="51">
        <f ca="1">IF(ISBLANK(A118),NA(),IFERROR(SLOPE(INDIRECT("D" &amp; MATCH(A118-$C$1 / 24,A:A,1)):D118, INDIRECT("A" &amp; MATCH(A118-$C$1 / 24,A:A,1)):A118),NA()))</f>
        <v>839297.89557297679</v>
      </c>
      <c r="J118" s="58">
        <f ca="1">IF(ISBLANK(A118),NA(),IFERROR(A118+(PLAYER_EXP_MAX-D118)/I118,NA()))</f>
        <v>44313.229579477993</v>
      </c>
      <c r="K118" s="485" t="str">
        <f t="shared" ca="1" si="7"/>
        <v>000 D 05 H</v>
      </c>
      <c r="L118" s="51">
        <f ca="1">IF(ISBLANK(A118),NA(),IFERROR(SLOPE(INDIRECT("D" &amp; MATCH(A118-$D$1 / 24,A:A,1)):D118, INDIRECT("A" &amp; MATCH(A118-$D$1 / 24,A:A,1)):A118),NA()))</f>
        <v>728490.07645241765</v>
      </c>
      <c r="M118" s="58">
        <f ca="1">IF(ISBLANK(A118),NA(),IFERROR(A118+(PLAYER_EXP_MAX-D118)/L118,NA()))</f>
        <v>44313.728529307526</v>
      </c>
      <c r="N118" s="485" t="str">
        <f t="shared" ca="1" si="8"/>
        <v>000 D 17 H</v>
      </c>
    </row>
    <row r="119" spans="1:14" ht="14.65" customHeight="1" x14ac:dyDescent="0.25">
      <c r="A119" s="8">
        <v>44310.006944444445</v>
      </c>
      <c r="B119" s="42">
        <v>242</v>
      </c>
      <c r="C119" s="42">
        <v>74768</v>
      </c>
      <c r="D119" s="59">
        <f t="shared" si="5"/>
        <v>25098722</v>
      </c>
      <c r="E119" s="46">
        <f>IF(ISBLANK(A119),"-",D119/PLAYER_EXP_MAX)</f>
        <v>0.90288080046365105</v>
      </c>
      <c r="F119" s="51">
        <f ca="1">IF(ISBLANK(A119),NA(),IFERROR(SLOPE(INDIRECT("D" &amp; MATCH(A119-$B$1 / 24,A:A,1)):D119, INDIRECT("A" &amp; MATCH(A119-$B$1 / 24,A:A,1)):A119),NA()))</f>
        <v>932575.42841370136</v>
      </c>
      <c r="G119" s="58">
        <f ca="1">IF(ISBLANK(A119),NA(),IFERROR(A119+(PLAYER_EXP_MAX-D119)/F119,NA()))</f>
        <v>44312.901902769256</v>
      </c>
      <c r="H119" s="485" t="str">
        <f t="shared" ca="1" si="6"/>
        <v>000 D 01 H</v>
      </c>
      <c r="I119" s="51">
        <f ca="1">IF(ISBLANK(A119),NA(),IFERROR(SLOPE(INDIRECT("D" &amp; MATCH(A119-$C$1 / 24,A:A,1)):D119, INDIRECT("A" &amp; MATCH(A119-$C$1 / 24,A:A,1)):A119),NA()))</f>
        <v>857400.18465439358</v>
      </c>
      <c r="J119" s="58">
        <f ca="1">IF(ISBLANK(A119),NA(),IFERROR(A119+(PLAYER_EXP_MAX-D119)/I119,NA()))</f>
        <v>44313.155727297912</v>
      </c>
      <c r="K119" s="485" t="str">
        <f t="shared" ca="1" si="7"/>
        <v>000 D 04 H</v>
      </c>
      <c r="L119" s="51">
        <f ca="1">IF(ISBLANK(A119),NA(),IFERROR(SLOPE(INDIRECT("D" &amp; MATCH(A119-$D$1 / 24,A:A,1)):D119, INDIRECT("A" &amp; MATCH(A119-$D$1 / 24,A:A,1)):A119),NA()))</f>
        <v>741842.66891844105</v>
      </c>
      <c r="M119" s="58">
        <f ca="1">IF(ISBLANK(A119),NA(),IFERROR(A119+(PLAYER_EXP_MAX-D119)/L119,NA()))</f>
        <v>44313.646216102861</v>
      </c>
      <c r="N119" s="485" t="str">
        <f t="shared" ca="1" si="8"/>
        <v>000 D 15 H</v>
      </c>
    </row>
    <row r="120" spans="1:14" ht="14.65" customHeight="1" x14ac:dyDescent="0.25">
      <c r="A120" s="8">
        <v>44310.20416666667</v>
      </c>
      <c r="B120" s="42">
        <v>243</v>
      </c>
      <c r="C120" s="42">
        <v>335228</v>
      </c>
      <c r="D120" s="59">
        <f t="shared" si="5"/>
        <v>25263262</v>
      </c>
      <c r="E120" s="46">
        <f>IF(ISBLANK(A120),"-",D120/PLAYER_EXP_MAX)</f>
        <v>0.90879982721363017</v>
      </c>
      <c r="F120" s="51">
        <f ca="1">IF(ISBLANK(A120),NA(),IFERROR(SLOPE(INDIRECT("D" &amp; MATCH(A120-$B$1 / 24,A:A,1)):D120, INDIRECT("A" &amp; MATCH(A120-$B$1 / 24,A:A,1)):A120),NA()))</f>
        <v>849661.42713818408</v>
      </c>
      <c r="G120" s="58">
        <f ca="1">IF(ISBLANK(A120),NA(),IFERROR(A120+(PLAYER_EXP_MAX-D120)/F120,NA()))</f>
        <v>44313.187975180299</v>
      </c>
      <c r="H120" s="485" t="str">
        <f t="shared" ca="1" si="6"/>
        <v>000 D 04 H</v>
      </c>
      <c r="I120" s="51">
        <f ca="1">IF(ISBLANK(A120),NA(),IFERROR(SLOPE(INDIRECT("D" &amp; MATCH(A120-$C$1 / 24,A:A,1)):D120, INDIRECT("A" &amp; MATCH(A120-$C$1 / 24,A:A,1)):A120),NA()))</f>
        <v>871809.48562700849</v>
      </c>
      <c r="J120" s="58">
        <f ca="1">IF(ISBLANK(A120),NA(),IFERROR(A120+(PLAYER_EXP_MAX-D120)/I120,NA()))</f>
        <v>44313.112172419984</v>
      </c>
      <c r="K120" s="485" t="str">
        <f t="shared" ca="1" si="7"/>
        <v>000 D 03 H</v>
      </c>
      <c r="L120" s="51">
        <f ca="1">IF(ISBLANK(A120),NA(),IFERROR(SLOPE(INDIRECT("D" &amp; MATCH(A120-$D$1 / 24,A:A,1)):D120, INDIRECT("A" &amp; MATCH(A120-$D$1 / 24,A:A,1)):A120),NA()))</f>
        <v>767771.30153542</v>
      </c>
      <c r="M120" s="58">
        <f ca="1">IF(ISBLANK(A120),NA(),IFERROR(A120+(PLAYER_EXP_MAX-D120)/L120,NA()))</f>
        <v>44313.506226791775</v>
      </c>
      <c r="N120" s="485" t="str">
        <f t="shared" ca="1" si="8"/>
        <v>000 D 12 H</v>
      </c>
    </row>
    <row r="121" spans="1:14" ht="14.65" customHeight="1" x14ac:dyDescent="0.25">
      <c r="A121" s="8">
        <v>44310.628472222219</v>
      </c>
      <c r="B121" s="42">
        <v>243</v>
      </c>
      <c r="C121" s="42">
        <v>153528</v>
      </c>
      <c r="D121" s="59">
        <f t="shared" si="5"/>
        <v>25444962</v>
      </c>
      <c r="E121" s="46">
        <f>IF(ISBLANK(A121),"-",D121/PLAYER_EXP_MAX)</f>
        <v>0.9153361537024548</v>
      </c>
      <c r="F121" s="51">
        <f ca="1">IF(ISBLANK(A121),NA(),IFERROR(SLOPE(INDIRECT("D" &amp; MATCH(A121-$B$1 / 24,A:A,1)):D121, INDIRECT("A" &amp; MATCH(A121-$B$1 / 24,A:A,1)):A121),NA()))</f>
        <v>428229.13257624861</v>
      </c>
      <c r="G121" s="58">
        <f ca="1">IF(ISBLANK(A121),NA(),IFERROR(A121+(PLAYER_EXP_MAX-D121)/F121,NA()))</f>
        <v>44316.124424788177</v>
      </c>
      <c r="H121" s="485" t="str">
        <f t="shared" ca="1" si="6"/>
        <v>003 D 03 H</v>
      </c>
      <c r="I121" s="51">
        <f ca="1">IF(ISBLANK(A121),NA(),IFERROR(SLOPE(INDIRECT("D" &amp; MATCH(A121-$C$1 / 24,A:A,1)):D121, INDIRECT("A" &amp; MATCH(A121-$C$1 / 24,A:A,1)):A121),NA()))</f>
        <v>734774.96482433379</v>
      </c>
      <c r="J121" s="58">
        <f ca="1">IF(ISBLANK(A121),NA(),IFERROR(A121+(PLAYER_EXP_MAX-D121)/I121,NA()))</f>
        <v>44313.831530454561</v>
      </c>
      <c r="K121" s="485" t="str">
        <f t="shared" ca="1" si="7"/>
        <v>000 D 20 H</v>
      </c>
      <c r="L121" s="51">
        <f ca="1">IF(ISBLANK(A121),NA(),IFERROR(SLOPE(INDIRECT("D" &amp; MATCH(A121-$D$1 / 24,A:A,1)):D121, INDIRECT("A" &amp; MATCH(A121-$D$1 / 24,A:A,1)):A121),NA()))</f>
        <v>777743.75983805396</v>
      </c>
      <c r="M121" s="58">
        <f ca="1">IF(ISBLANK(A121),NA(),IFERROR(A121+(PLAYER_EXP_MAX-D121)/L121,NA()))</f>
        <v>44313.65456786134</v>
      </c>
      <c r="N121" s="485" t="str">
        <f t="shared" ca="1" si="8"/>
        <v>000 D 16 H</v>
      </c>
    </row>
    <row r="122" spans="1:14" ht="14.65" customHeight="1" x14ac:dyDescent="0.25">
      <c r="A122" s="8">
        <v>44310.654861111114</v>
      </c>
      <c r="B122" s="42">
        <v>243</v>
      </c>
      <c r="C122" s="42">
        <v>130068</v>
      </c>
      <c r="D122" s="59">
        <f t="shared" si="5"/>
        <v>25468422</v>
      </c>
      <c r="E122" s="46">
        <f>IF(ISBLANK(A122),"-",D122/PLAYER_EXP_MAX)</f>
        <v>0.9161800844643031</v>
      </c>
      <c r="F122" s="51">
        <f ca="1">IF(ISBLANK(A122),NA(),IFERROR(SLOPE(INDIRECT("D" &amp; MATCH(A122-$B$1 / 24,A:A,1)):D122, INDIRECT("A" &amp; MATCH(A122-$B$1 / 24,A:A,1)):A122),NA()))</f>
        <v>443341.78696443758</v>
      </c>
      <c r="G122" s="58">
        <f ca="1">IF(ISBLANK(A122),NA(),IFERROR(A122+(PLAYER_EXP_MAX-D122)/F122,NA()))</f>
        <v>44315.910551119392</v>
      </c>
      <c r="H122" s="485" t="str">
        <f t="shared" ca="1" si="6"/>
        <v>002 D 22 H</v>
      </c>
      <c r="I122" s="51">
        <f ca="1">IF(ISBLANK(A122),NA(),IFERROR(SLOPE(INDIRECT("D" &amp; MATCH(A122-$C$1 / 24,A:A,1)):D122, INDIRECT("A" &amp; MATCH(A122-$C$1 / 24,A:A,1)):A122),NA()))</f>
        <v>701893.95453807735</v>
      </c>
      <c r="J122" s="58">
        <f ca="1">IF(ISBLANK(A122),NA(),IFERROR(A122+(PLAYER_EXP_MAX-D122)/I122,NA()))</f>
        <v>44313.974546349797</v>
      </c>
      <c r="K122" s="485" t="str">
        <f t="shared" ca="1" si="7"/>
        <v>000 D 23 H</v>
      </c>
      <c r="L122" s="51">
        <f ca="1">IF(ISBLANK(A122),NA(),IFERROR(SLOPE(INDIRECT("D" &amp; MATCH(A122-$D$1 / 24,A:A,1)):D122, INDIRECT("A" &amp; MATCH(A122-$D$1 / 24,A:A,1)):A122),NA()))</f>
        <v>769592.34722911613</v>
      </c>
      <c r="M122" s="58">
        <f ca="1">IF(ISBLANK(A122),NA(),IFERROR(A122+(PLAYER_EXP_MAX-D122)/L122,NA()))</f>
        <v>44313.682525053446</v>
      </c>
      <c r="N122" s="485" t="str">
        <f t="shared" ca="1" si="8"/>
        <v>000 D 16 H</v>
      </c>
    </row>
    <row r="123" spans="1:14" ht="14.65" customHeight="1" x14ac:dyDescent="0.25">
      <c r="A123" s="8">
        <v>44310.679861111108</v>
      </c>
      <c r="B123" s="42">
        <v>243</v>
      </c>
      <c r="C123" s="42">
        <v>106608</v>
      </c>
      <c r="D123" s="59">
        <f t="shared" si="5"/>
        <v>25491882</v>
      </c>
      <c r="E123" s="46">
        <f>IF(ISBLANK(A123),"-",D123/PLAYER_EXP_MAX)</f>
        <v>0.91702401522615129</v>
      </c>
      <c r="F123" s="51">
        <f ca="1">IF(ISBLANK(A123),NA(),IFERROR(SLOPE(INDIRECT("D" &amp; MATCH(A123-$B$1 / 24,A:A,1)):D123, INDIRECT("A" &amp; MATCH(A123-$B$1 / 24,A:A,1)):A123),NA()))</f>
        <v>459613.77682049462</v>
      </c>
      <c r="G123" s="58">
        <f ca="1">IF(ISBLANK(A123),NA(),IFERROR(A123+(PLAYER_EXP_MAX-D123)/F123,NA()))</f>
        <v>44315.698437829924</v>
      </c>
      <c r="H123" s="485" t="str">
        <f t="shared" ca="1" si="6"/>
        <v>002 D 17 H</v>
      </c>
      <c r="I123" s="51">
        <f ca="1">IF(ISBLANK(A123),NA(),IFERROR(SLOPE(INDIRECT("D" &amp; MATCH(A123-$C$1 / 24,A:A,1)):D123, INDIRECT("A" &amp; MATCH(A123-$C$1 / 24,A:A,1)):A123),NA()))</f>
        <v>690170.57371098886</v>
      </c>
      <c r="J123" s="58">
        <f ca="1">IF(ISBLANK(A123),NA(),IFERROR(A123+(PLAYER_EXP_MAX-D123)/I123,NA()))</f>
        <v>44314.021943616302</v>
      </c>
      <c r="K123" s="485" t="str">
        <f t="shared" ca="1" si="7"/>
        <v>001 D 01 H</v>
      </c>
      <c r="L123" s="51">
        <f ca="1">IF(ISBLANK(A123),NA(),IFERROR(SLOPE(INDIRECT("D" &amp; MATCH(A123-$D$1 / 24,A:A,1)):D123, INDIRECT("A" &amp; MATCH(A123-$D$1 / 24,A:A,1)):A123),NA()))</f>
        <v>764919.58893015725</v>
      </c>
      <c r="M123" s="58">
        <f ca="1">IF(ISBLANK(A123),NA(),IFERROR(A123+(PLAYER_EXP_MAX-D123)/L123,NA()))</f>
        <v>44313.6953506258</v>
      </c>
      <c r="N123" s="485" t="str">
        <f t="shared" ca="1" si="8"/>
        <v>000 D 17 H</v>
      </c>
    </row>
    <row r="124" spans="1:14" ht="14.65" customHeight="1" x14ac:dyDescent="0.25">
      <c r="A124" s="8">
        <v>44310.68472222222</v>
      </c>
      <c r="B124" s="42">
        <v>243</v>
      </c>
      <c r="C124" s="42">
        <v>102468</v>
      </c>
      <c r="D124" s="59">
        <f t="shared" si="5"/>
        <v>25496022</v>
      </c>
      <c r="E124" s="46">
        <f>IF(ISBLANK(A124),"-",D124/PLAYER_EXP_MAX)</f>
        <v>0.91717294418412454</v>
      </c>
      <c r="F124" s="51">
        <f ca="1">IF(ISBLANK(A124),NA(),IFERROR(SLOPE(INDIRECT("D" &amp; MATCH(A124-$B$1 / 24,A:A,1)):D124, INDIRECT("A" &amp; MATCH(A124-$B$1 / 24,A:A,1)):A124),NA()))</f>
        <v>468518.91324576316</v>
      </c>
      <c r="G124" s="58">
        <f ca="1">IF(ISBLANK(A124),NA(),IFERROR(A124+(PLAYER_EXP_MAX-D124)/F124,NA()))</f>
        <v>44315.599074524565</v>
      </c>
      <c r="H124" s="485" t="str">
        <f t="shared" ca="1" si="6"/>
        <v>002 D 14 H</v>
      </c>
      <c r="I124" s="51">
        <f ca="1">IF(ISBLANK(A124),NA(),IFERROR(SLOPE(INDIRECT("D" &amp; MATCH(A124-$C$1 / 24,A:A,1)):D124, INDIRECT("A" &amp; MATCH(A124-$C$1 / 24,A:A,1)):A124),NA()))</f>
        <v>684137.15010784962</v>
      </c>
      <c r="J124" s="58">
        <f ca="1">IF(ISBLANK(A124),NA(),IFERROR(A124+(PLAYER_EXP_MAX-D124)/I124,NA()))</f>
        <v>44314.050227223139</v>
      </c>
      <c r="K124" s="485" t="str">
        <f t="shared" ca="1" si="7"/>
        <v>001 D 01 H</v>
      </c>
      <c r="L124" s="51">
        <f ca="1">IF(ISBLANK(A124),NA(),IFERROR(SLOPE(INDIRECT("D" &amp; MATCH(A124-$D$1 / 24,A:A,1)):D124, INDIRECT("A" &amp; MATCH(A124-$D$1 / 24,A:A,1)):A124),NA()))</f>
        <v>761799.52626077749</v>
      </c>
      <c r="M124" s="58">
        <f ca="1">IF(ISBLANK(A124),NA(),IFERROR(A124+(PLAYER_EXP_MAX-D124)/L124,NA()))</f>
        <v>44313.707127619738</v>
      </c>
      <c r="N124" s="485" t="str">
        <f t="shared" ca="1" si="8"/>
        <v>000 D 17 H</v>
      </c>
    </row>
    <row r="125" spans="1:14" ht="14.65" customHeight="1" x14ac:dyDescent="0.25">
      <c r="A125" s="8">
        <v>44310.72152777778</v>
      </c>
      <c r="B125" s="42">
        <v>243</v>
      </c>
      <c r="C125" s="42">
        <v>67508</v>
      </c>
      <c r="D125" s="59">
        <f t="shared" si="5"/>
        <v>25530982</v>
      </c>
      <c r="E125" s="46">
        <f>IF(ISBLANK(A125),"-",D125/PLAYER_EXP_MAX)</f>
        <v>0.91843056649589838</v>
      </c>
      <c r="F125" s="51">
        <f ca="1">IF(ISBLANK(A125),NA(),IFERROR(SLOPE(INDIRECT("D" &amp; MATCH(A125-$B$1 / 24,A:A,1)):D125, INDIRECT("A" &amp; MATCH(A125-$B$1 / 24,A:A,1)):A125),NA()))</f>
        <v>486718.24837337871</v>
      </c>
      <c r="G125" s="58">
        <f ca="1">IF(ISBLANK(A125),NA(),IFERROR(A125+(PLAYER_EXP_MAX-D125)/F125,NA()))</f>
        <v>44315.380294954841</v>
      </c>
      <c r="H125" s="485" t="str">
        <f t="shared" ca="1" si="6"/>
        <v>002 D 09 H</v>
      </c>
      <c r="I125" s="51">
        <f ca="1">IF(ISBLANK(A125),NA(),IFERROR(SLOPE(INDIRECT("D" &amp; MATCH(A125-$C$1 / 24,A:A,1)):D125, INDIRECT("A" &amp; MATCH(A125-$C$1 / 24,A:A,1)):A125),NA()))</f>
        <v>682540.08279318945</v>
      </c>
      <c r="J125" s="58">
        <f ca="1">IF(ISBLANK(A125),NA(),IFERROR(A125+(PLAYER_EXP_MAX-D125)/I125,NA()))</f>
        <v>44314.04368724821</v>
      </c>
      <c r="K125" s="485" t="str">
        <f t="shared" ca="1" si="7"/>
        <v>001 D 01 H</v>
      </c>
      <c r="L125" s="51">
        <f ca="1">IF(ISBLANK(A125),NA(),IFERROR(SLOPE(INDIRECT("D" &amp; MATCH(A125-$D$1 / 24,A:A,1)):D125, INDIRECT("A" &amp; MATCH(A125-$D$1 / 24,A:A,1)):A125),NA()))</f>
        <v>760022.64893590019</v>
      </c>
      <c r="M125" s="58">
        <f ca="1">IF(ISBLANK(A125),NA(),IFERROR(A125+(PLAYER_EXP_MAX-D125)/L125,NA()))</f>
        <v>44313.705000708716</v>
      </c>
      <c r="N125" s="485" t="str">
        <f t="shared" ca="1" si="8"/>
        <v>000 D 17 H</v>
      </c>
    </row>
    <row r="126" spans="1:14" ht="14.65" customHeight="1" x14ac:dyDescent="0.25">
      <c r="A126" s="8">
        <v>44310.90347222222</v>
      </c>
      <c r="B126" s="42">
        <v>244</v>
      </c>
      <c r="C126" s="42">
        <v>327768</v>
      </c>
      <c r="D126" s="42">
        <f t="shared" ref="D126:D189" si="9">IF(ISBLANK(A126),"-",INDEX(DATA_PLAYER_EXP, B126, 3) + INDEX(DATA_PLAYER_EXP, B126, 2) - C126)</f>
        <v>25700722</v>
      </c>
      <c r="E126" s="46">
        <f>IF(ISBLANK(A126),"-",D126/PLAYER_EXP_MAX)</f>
        <v>0.92453665377280037</v>
      </c>
      <c r="F126" s="51">
        <f ca="1">IF(ISBLANK(A126),NA(),IFERROR(SLOPE(INDIRECT("D" &amp; MATCH(A126-$B$1 / 24,A:A,1)):D126, INDIRECT("A" &amp; MATCH(A126-$B$1 / 24,A:A,1)):A126),NA()))</f>
        <v>932491.18227373599</v>
      </c>
      <c r="G126" s="58">
        <f ca="1">IF(ISBLANK(A126),NA(),IFERROR(A126+(PLAYER_EXP_MAX-D126)/F126,NA()))</f>
        <v>44313.153109580599</v>
      </c>
      <c r="H126" s="485" t="str">
        <f ca="1">IF(ISBLANK(A126),NA(),IFERROR(TEXT(TRUNC(G126-NOW()),"000") &amp; " D " &amp; TEXT(TRUNC(ABS(G126-NOW()-TRUNC(G126-NOW()))*24),"00") &amp; " H", NA()))</f>
        <v>000 D 04 H</v>
      </c>
      <c r="I126" s="51">
        <f ca="1">IF(ISBLANK(A126),NA(),IFERROR(SLOPE(INDIRECT("D" &amp; MATCH(A126-$C$1 / 24,A:A,1)):D126, INDIRECT("A" &amp; MATCH(A126-$C$1 / 24,A:A,1)):A126),NA()))</f>
        <v>693584.63143066247</v>
      </c>
      <c r="J126" s="58">
        <f ca="1">IF(ISBLANK(A126),NA(),IFERROR(A126+(PLAYER_EXP_MAX-D126)/I126,NA()))</f>
        <v>44313.928001464847</v>
      </c>
      <c r="K126" s="485" t="str">
        <f t="shared" ref="K126" ca="1" si="10">IF(ISBLANK(A126),NA(),IFERROR(TEXT(TRUNC(J126-NOW()),"000") &amp; " D " &amp; TEXT(TRUNC(ABS(J126-NOW()-TRUNC(J126-NOW()))*24),"00") &amp; " H", NA()))</f>
        <v>000 D 22 H</v>
      </c>
      <c r="L126" s="51">
        <f ca="1">IF(ISBLANK(A126),NA(),IFERROR(SLOPE(INDIRECT("D" &amp; MATCH(A126-$D$1 / 24,A:A,1)):D126, INDIRECT("A" &amp; MATCH(A126-$D$1 / 24,A:A,1)):A126),NA()))</f>
        <v>760811.60825990862</v>
      </c>
      <c r="M126" s="58">
        <f ca="1">IF(ISBLANK(A126),NA(),IFERROR(A126+(PLAYER_EXP_MAX-D126)/L126,NA()))</f>
        <v>44313.660747449394</v>
      </c>
      <c r="N126" s="485" t="str">
        <f t="shared" ref="N126" ca="1" si="11">IF(ISBLANK(A126),NA(),IFERROR(TEXT(TRUNC(M126-NOW()),"000") &amp; " D " &amp; TEXT(TRUNC(ABS(M126-NOW()-TRUNC(M126-NOW()))*24),"00") &amp; " H", NA()))</f>
        <v>000 D 16 H</v>
      </c>
    </row>
    <row r="127" spans="1:14" ht="14.65" customHeight="1" x14ac:dyDescent="0.25">
      <c r="A127" s="8">
        <v>44311.021527777775</v>
      </c>
      <c r="B127" s="42">
        <v>244</v>
      </c>
      <c r="C127" s="42">
        <v>218748</v>
      </c>
      <c r="D127" s="485">
        <f t="shared" ref="D127:D190" si="12">IF(ISBLANK(A127),"-",INDEX(DATA_PLAYER_EXP, B127, 3) + INDEX(DATA_PLAYER_EXP, B127, 2) - C127)</f>
        <v>25809742</v>
      </c>
      <c r="E127" s="46">
        <f>IF(ISBLANK(A127),"-",D127/PLAYER_EXP_MAX)</f>
        <v>0.92845844966609514</v>
      </c>
      <c r="F127" s="51">
        <f ca="1">IF(ISBLANK(A127),NA(),IFERROR(SLOPE(INDIRECT("D" &amp; MATCH(A127-$B$1 / 24,A:A,1)):D127, INDIRECT("A" &amp; MATCH(A127-$B$1 / 24,A:A,1)):A127),NA()))</f>
        <v>929515.7231072929</v>
      </c>
      <c r="G127" s="58">
        <f ca="1">IF(ISBLANK(A127),NA(),IFERROR(A127+(PLAYER_EXP_MAX-D127)/F127,NA()))</f>
        <v>44313.161079536352</v>
      </c>
      <c r="H127" s="485" t="str">
        <f t="shared" ref="H127:H190" ca="1" si="13">IF(ISBLANK(A127),NA(),IFERROR(TEXT(TRUNC(G127-NOW()),"000") &amp; " D " &amp; TEXT(TRUNC(ABS(G127-NOW()-TRUNC(G127-NOW()))*24),"00") &amp; " H", NA()))</f>
        <v>000 D 04 H</v>
      </c>
      <c r="I127" s="51">
        <f ca="1">IF(ISBLANK(A127),NA(),IFERROR(SLOPE(INDIRECT("D" &amp; MATCH(A127-$C$1 / 24,A:A,1)):D127, INDIRECT("A" &amp; MATCH(A127-$C$1 / 24,A:A,1)):A127),NA()))</f>
        <v>648802.96264292777</v>
      </c>
      <c r="J127" s="58">
        <f ca="1">IF(ISBLANK(A127),NA(),IFERROR(A127+(PLAYER_EXP_MAX-D127)/I127,NA()))</f>
        <v>44314.086783509498</v>
      </c>
      <c r="K127" s="485" t="str">
        <f t="shared" ref="K127:K190" ca="1" si="14">IF(ISBLANK(A127),NA(),IFERROR(TEXT(TRUNC(J127-NOW()),"000") &amp; " D " &amp; TEXT(TRUNC(ABS(J127-NOW()-TRUNC(J127-NOW()))*24),"00") &amp; " H", NA()))</f>
        <v>001 D 02 H</v>
      </c>
      <c r="L127" s="51">
        <f ca="1">IF(ISBLANK(A127),NA(),IFERROR(SLOPE(INDIRECT("D" &amp; MATCH(A127-$D$1 / 24,A:A,1)):D127, INDIRECT("A" &amp; MATCH(A127-$D$1 / 24,A:A,1)):A127),NA()))</f>
        <v>762715.92131546349</v>
      </c>
      <c r="M127" s="58">
        <f ca="1">IF(ISBLANK(A127),NA(),IFERROR(A127+(PLAYER_EXP_MAX-D127)/L127,NA()))</f>
        <v>44313.628982197464</v>
      </c>
      <c r="N127" s="485" t="str">
        <f t="shared" ref="N127:N190" ca="1" si="15">IF(ISBLANK(A127),NA(),IFERROR(TEXT(TRUNC(M127-NOW()),"000") &amp; " D " &amp; TEXT(TRUNC(ABS(M127-NOW()-TRUNC(M127-NOW()))*24),"00") &amp; " H", NA()))</f>
        <v>000 D 15 H</v>
      </c>
    </row>
    <row r="128" spans="1:14" ht="14.65" customHeight="1" x14ac:dyDescent="0.25">
      <c r="A128" s="8">
        <v>44311.127083333333</v>
      </c>
      <c r="B128" s="42">
        <v>244</v>
      </c>
      <c r="C128" s="42">
        <v>126288</v>
      </c>
      <c r="D128" s="485">
        <f t="shared" si="12"/>
        <v>25902202</v>
      </c>
      <c r="E128" s="46">
        <f>IF(ISBLANK(A128),"-",D128/PLAYER_EXP_MAX)</f>
        <v>0.93178452972749704</v>
      </c>
      <c r="F128" s="51">
        <f ca="1">IF(ISBLANK(A128),NA(),IFERROR(SLOPE(INDIRECT("D" &amp; MATCH(A128-$B$1 / 24,A:A,1)):D128, INDIRECT("A" &amp; MATCH(A128-$B$1 / 24,A:A,1)):A128),NA()))</f>
        <v>917511.53758796456</v>
      </c>
      <c r="G128" s="58">
        <f ca="1">IF(ISBLANK(A128),NA(),IFERROR(A128+(PLAYER_EXP_MAX-D128)/F128,NA()))</f>
        <v>44313.193855163787</v>
      </c>
      <c r="H128" s="485" t="str">
        <f t="shared" ca="1" si="13"/>
        <v>000 D 05 H</v>
      </c>
      <c r="I128" s="51">
        <f ca="1">IF(ISBLANK(A128),NA(),IFERROR(SLOPE(INDIRECT("D" &amp; MATCH(A128-$C$1 / 24,A:A,1)):D128, INDIRECT("A" &amp; MATCH(A128-$C$1 / 24,A:A,1)):A128),NA()))</f>
        <v>688425.02667417121</v>
      </c>
      <c r="J128" s="58">
        <f ca="1">IF(ISBLANK(A128),NA(),IFERROR(A128+(PLAYER_EXP_MAX-D128)/I128,NA()))</f>
        <v>44313.881612768673</v>
      </c>
      <c r="K128" s="485" t="str">
        <f t="shared" ca="1" si="14"/>
        <v>000 D 21 H</v>
      </c>
      <c r="L128" s="51">
        <f ca="1">IF(ISBLANK(A128),NA(),IFERROR(SLOPE(INDIRECT("D" &amp; MATCH(A128-$D$1 / 24,A:A,1)):D128, INDIRECT("A" &amp; MATCH(A128-$D$1 / 24,A:A,1)):A128),NA()))</f>
        <v>764965.73739822139</v>
      </c>
      <c r="M128" s="58">
        <f ca="1">IF(ISBLANK(A128),NA(),IFERROR(A128+(PLAYER_EXP_MAX-D128)/L128,NA()))</f>
        <v>44313.606000894331</v>
      </c>
      <c r="N128" s="485" t="str">
        <f t="shared" ca="1" si="15"/>
        <v>000 D 15 H</v>
      </c>
    </row>
    <row r="129" spans="1:14" ht="14.65" customHeight="1" x14ac:dyDescent="0.25">
      <c r="A129" s="8">
        <v>44311.543749999997</v>
      </c>
      <c r="B129" s="42">
        <v>245</v>
      </c>
      <c r="C129" s="42">
        <v>195128</v>
      </c>
      <c r="D129" s="485">
        <f t="shared" si="12"/>
        <v>26268362</v>
      </c>
      <c r="E129" s="46">
        <f>IF(ISBLANK(A129),"-",D129/PLAYER_EXP_MAX)</f>
        <v>0.94495646867712846</v>
      </c>
      <c r="F129" s="51">
        <f ca="1">IF(ISBLANK(A129),NA(),IFERROR(SLOPE(INDIRECT("D" &amp; MATCH(A129-$B$1 / 24,A:A,1)):D129, INDIRECT("A" &amp; MATCH(A129-$B$1 / 24,A:A,1)):A129),NA()))</f>
        <v>878784.00000511529</v>
      </c>
      <c r="G129" s="58">
        <f ca="1">IF(ISBLANK(A129),NA(),IFERROR(A129+(PLAYER_EXP_MAX-D129)/F129,NA()))</f>
        <v>44313.284936685224</v>
      </c>
      <c r="H129" s="485" t="str">
        <f t="shared" ca="1" si="13"/>
        <v>000 D 07 H</v>
      </c>
      <c r="I129" s="51">
        <f ca="1">IF(ISBLANK(A129),NA(),IFERROR(SLOPE(INDIRECT("D" &amp; MATCH(A129-$C$1 / 24,A:A,1)):D129, INDIRECT("A" &amp; MATCH(A129-$C$1 / 24,A:A,1)):A129),NA()))</f>
        <v>798281.31301839836</v>
      </c>
      <c r="J129" s="58">
        <f ca="1">IF(ISBLANK(A129),NA(),IFERROR(A129+(PLAYER_EXP_MAX-D129)/I129,NA()))</f>
        <v>44313.460526673894</v>
      </c>
      <c r="K129" s="485" t="str">
        <f t="shared" ca="1" si="14"/>
        <v>000 D 11 H</v>
      </c>
      <c r="L129" s="51">
        <f ca="1">IF(ISBLANK(A129),NA(),IFERROR(SLOPE(INDIRECT("D" &amp; MATCH(A129-$D$1 / 24,A:A,1)):D129, INDIRECT("A" &amp; MATCH(A129-$D$1 / 24,A:A,1)):A129),NA()))</f>
        <v>770162.42718472797</v>
      </c>
      <c r="M129" s="58">
        <f ca="1">IF(ISBLANK(A129),NA(),IFERROR(A129+(PLAYER_EXP_MAX-D129)/L129,NA()))</f>
        <v>44313.530508826436</v>
      </c>
      <c r="N129" s="485" t="str">
        <f t="shared" ca="1" si="15"/>
        <v>000 D 13 H</v>
      </c>
    </row>
    <row r="130" spans="1:14" ht="14.65" customHeight="1" x14ac:dyDescent="0.25">
      <c r="A130" s="8">
        <v>44311.679861111108</v>
      </c>
      <c r="B130" s="42">
        <v>245</v>
      </c>
      <c r="C130" s="42">
        <v>82428</v>
      </c>
      <c r="D130" s="485">
        <f t="shared" si="12"/>
        <v>26381062</v>
      </c>
      <c r="E130" s="46">
        <f>IF(ISBLANK(A130),"-",D130/PLAYER_EXP_MAX)</f>
        <v>0.94901064586639938</v>
      </c>
      <c r="F130" s="51">
        <f ca="1">IF(ISBLANK(A130),NA(),IFERROR(SLOPE(INDIRECT("D" &amp; MATCH(A130-$B$1 / 24,A:A,1)):D130, INDIRECT("A" &amp; MATCH(A130-$B$1 / 24,A:A,1)):A130),NA()))</f>
        <v>869216.43360324972</v>
      </c>
      <c r="G130" s="58">
        <f ca="1">IF(ISBLANK(A130),NA(),IFERROR(A130+(PLAYER_EXP_MAX-D130)/F130,NA()))</f>
        <v>44313.310556235134</v>
      </c>
      <c r="H130" s="485" t="str">
        <f t="shared" ca="1" si="13"/>
        <v>000 D 07 H</v>
      </c>
      <c r="I130" s="51">
        <f ca="1">IF(ISBLANK(A130),NA(),IFERROR(SLOPE(INDIRECT("D" &amp; MATCH(A130-$C$1 / 24,A:A,1)):D130, INDIRECT("A" &amp; MATCH(A130-$C$1 / 24,A:A,1)):A130),NA()))</f>
        <v>891890.42992262449</v>
      </c>
      <c r="J130" s="58">
        <f ca="1">IF(ISBLANK(A130),NA(),IFERROR(A130+(PLAYER_EXP_MAX-D130)/I130,NA()))</f>
        <v>44313.269100049489</v>
      </c>
      <c r="K130" s="485" t="str">
        <f t="shared" ca="1" si="14"/>
        <v>000 D 06 H</v>
      </c>
      <c r="L130" s="51">
        <f ca="1">IF(ISBLANK(A130),NA(),IFERROR(SLOPE(INDIRECT("D" &amp; MATCH(A130-$D$1 / 24,A:A,1)):D130, INDIRECT("A" &amp; MATCH(A130-$D$1 / 24,A:A,1)):A130),NA()))</f>
        <v>782524.5944200434</v>
      </c>
      <c r="M130" s="58">
        <f ca="1">IF(ISBLANK(A130),NA(),IFERROR(A130+(PLAYER_EXP_MAX-D130)/L130,NA()))</f>
        <v>44313.491212486013</v>
      </c>
      <c r="N130" s="485" t="str">
        <f t="shared" ca="1" si="15"/>
        <v>000 D 12 H</v>
      </c>
    </row>
    <row r="131" spans="1:14" ht="14.65" customHeight="1" x14ac:dyDescent="0.25">
      <c r="A131" s="8">
        <v>44311.770138888889</v>
      </c>
      <c r="B131" s="42">
        <v>245</v>
      </c>
      <c r="C131" s="42">
        <v>3488</v>
      </c>
      <c r="D131" s="485">
        <f t="shared" si="12"/>
        <v>26460002</v>
      </c>
      <c r="E131" s="46">
        <f>IF(ISBLANK(A131),"-",D131/PLAYER_EXP_MAX)</f>
        <v>0.95185036855780181</v>
      </c>
      <c r="F131" s="51">
        <f ca="1">IF(ISBLANK(A131),NA(),IFERROR(SLOPE(INDIRECT("D" &amp; MATCH(A131-$B$1 / 24,A:A,1)):D131, INDIRECT("A" &amp; MATCH(A131-$B$1 / 24,A:A,1)):A131),NA()))</f>
        <v>867296.13590700773</v>
      </c>
      <c r="G131" s="58">
        <f ca="1">IF(ISBLANK(A131),NA(),IFERROR(A131+(PLAYER_EXP_MAX-D131)/F131,NA()))</f>
        <v>44313.313426059889</v>
      </c>
      <c r="H131" s="485" t="str">
        <f t="shared" ca="1" si="13"/>
        <v>000 D 08 H</v>
      </c>
      <c r="I131" s="51">
        <f ca="1">IF(ISBLANK(A131),NA(),IFERROR(SLOPE(INDIRECT("D" &amp; MATCH(A131-$C$1 / 24,A:A,1)):D131, INDIRECT("A" &amp; MATCH(A131-$C$1 / 24,A:A,1)):A131),NA()))</f>
        <v>881562.01332092145</v>
      </c>
      <c r="J131" s="58">
        <f ca="1">IF(ISBLANK(A131),NA(),IFERROR(A131+(PLAYER_EXP_MAX-D131)/I131,NA()))</f>
        <v>44313.288451815009</v>
      </c>
      <c r="K131" s="485" t="str">
        <f t="shared" ca="1" si="14"/>
        <v>000 D 07 H</v>
      </c>
      <c r="L131" s="51">
        <f ca="1">IF(ISBLANK(A131),NA(),IFERROR(SLOPE(INDIRECT("D" &amp; MATCH(A131-$D$1 / 24,A:A,1)):D131, INDIRECT("A" &amp; MATCH(A131-$D$1 / 24,A:A,1)):A131),NA()))</f>
        <v>786037.23091899569</v>
      </c>
      <c r="M131" s="58">
        <f ca="1">IF(ISBLANK(A131),NA(),IFERROR(A131+(PLAYER_EXP_MAX-D131)/L131,NA()))</f>
        <v>44313.472967899208</v>
      </c>
      <c r="N131" s="485" t="str">
        <f t="shared" ca="1" si="15"/>
        <v>000 D 11 H</v>
      </c>
    </row>
    <row r="132" spans="1:14" ht="14.65" customHeight="1" x14ac:dyDescent="0.25">
      <c r="A132" s="8">
        <v>44311.961111111108</v>
      </c>
      <c r="B132" s="42">
        <v>246</v>
      </c>
      <c r="C132" s="42">
        <v>255348</v>
      </c>
      <c r="D132" s="485">
        <f t="shared" si="12"/>
        <v>26648142</v>
      </c>
      <c r="E132" s="46">
        <f>IF(ISBLANK(A132),"-",D132/PLAYER_EXP_MAX)</f>
        <v>0.95861836231458475</v>
      </c>
      <c r="F132" s="51">
        <f ca="1">IF(ISBLANK(A132),NA(),IFERROR(SLOPE(INDIRECT("D" &amp; MATCH(A132-$B$1 / 24,A:A,1)):D132, INDIRECT("A" &amp; MATCH(A132-$B$1 / 24,A:A,1)):A132),NA()))</f>
        <v>955143.49639663845</v>
      </c>
      <c r="G132" s="58">
        <f ca="1">IF(ISBLANK(A132),NA(),IFERROR(A132+(PLAYER_EXP_MAX-D132)/F132,NA()))</f>
        <v>44313.165481977201</v>
      </c>
      <c r="H132" s="485" t="str">
        <f t="shared" ca="1" si="13"/>
        <v>000 D 04 H</v>
      </c>
      <c r="I132" s="51">
        <f ca="1">IF(ISBLANK(A132),NA(),IFERROR(SLOPE(INDIRECT("D" &amp; MATCH(A132-$C$1 / 24,A:A,1)):D132, INDIRECT("A" &amp; MATCH(A132-$C$1 / 24,A:A,1)):A132),NA()))</f>
        <v>883928.62134564435</v>
      </c>
      <c r="J132" s="58">
        <f ca="1">IF(ISBLANK(A132),NA(),IFERROR(A132+(PLAYER_EXP_MAX-D132)/I132,NA()))</f>
        <v>44313.262513704285</v>
      </c>
      <c r="K132" s="485" t="str">
        <f t="shared" ca="1" si="14"/>
        <v>000 D 06 H</v>
      </c>
      <c r="L132" s="51">
        <f ca="1">IF(ISBLANK(A132),NA(),IFERROR(SLOPE(INDIRECT("D" &amp; MATCH(A132-$D$1 / 24,A:A,1)):D132, INDIRECT("A" &amp; MATCH(A132-$D$1 / 24,A:A,1)):A132),NA()))</f>
        <v>791520.03928903595</v>
      </c>
      <c r="M132" s="58">
        <f ca="1">IF(ISBLANK(A132),NA(),IFERROR(A132+(PLAYER_EXP_MAX-D132)/L132,NA()))</f>
        <v>44313.414450183904</v>
      </c>
      <c r="N132" s="485" t="str">
        <f t="shared" ca="1" si="15"/>
        <v>000 D 10 H</v>
      </c>
    </row>
    <row r="133" spans="1:14" ht="14.65" customHeight="1" x14ac:dyDescent="0.25">
      <c r="A133" s="8">
        <v>44312.040277777778</v>
      </c>
      <c r="B133" s="42">
        <v>246</v>
      </c>
      <c r="C133" s="42">
        <v>178988</v>
      </c>
      <c r="D133" s="485">
        <f t="shared" si="12"/>
        <v>26724502</v>
      </c>
      <c r="E133" s="46">
        <f>IF(ISBLANK(A133),"-",D133/PLAYER_EXP_MAX)</f>
        <v>0.96136527420609086</v>
      </c>
      <c r="F133" s="51">
        <f ca="1">IF(ISBLANK(A133),NA(),IFERROR(SLOPE(INDIRECT("D" &amp; MATCH(A133-$B$1 / 24,A:A,1)):D133, INDIRECT("A" &amp; MATCH(A133-$B$1 / 24,A:A,1)):A133),NA()))</f>
        <v>980241.13160932611</v>
      </c>
      <c r="G133" s="58">
        <f ca="1">IF(ISBLANK(A133),NA(),IFERROR(A133+(PLAYER_EXP_MAX-D133)/F133,NA()))</f>
        <v>44313.13591329578</v>
      </c>
      <c r="H133" s="485" t="str">
        <f t="shared" ca="1" si="13"/>
        <v>000 D 03 H</v>
      </c>
      <c r="I133" s="51">
        <f ca="1">IF(ISBLANK(A133),NA(),IFERROR(SLOPE(INDIRECT("D" &amp; MATCH(A133-$C$1 / 24,A:A,1)):D133, INDIRECT("A" &amp; MATCH(A133-$C$1 / 24,A:A,1)):A133),NA()))</f>
        <v>891382.69982979016</v>
      </c>
      <c r="J133" s="58">
        <f ca="1">IF(ISBLANK(A133),NA(),IFERROR(A133+(PLAYER_EXP_MAX-D133)/I133,NA()))</f>
        <v>44313.245132886819</v>
      </c>
      <c r="K133" s="485" t="str">
        <f t="shared" ca="1" si="14"/>
        <v>000 D 06 H</v>
      </c>
      <c r="L133" s="51">
        <f ca="1">IF(ISBLANK(A133),NA(),IFERROR(SLOPE(INDIRECT("D" &amp; MATCH(A133-$D$1 / 24,A:A,1)):D133, INDIRECT("A" &amp; MATCH(A133-$D$1 / 24,A:A,1)):A133),NA()))</f>
        <v>799202.76736162661</v>
      </c>
      <c r="M133" s="58">
        <f ca="1">IF(ISBLANK(A133),NA(),IFERROR(A133+(PLAYER_EXP_MAX-D133)/L133,NA()))</f>
        <v>44313.384100702147</v>
      </c>
      <c r="N133" s="485" t="str">
        <f t="shared" ca="1" si="15"/>
        <v>000 D 09 H</v>
      </c>
    </row>
    <row r="134" spans="1:14" ht="14.65" customHeight="1" x14ac:dyDescent="0.25">
      <c r="A134" s="8">
        <v>44312.245138888888</v>
      </c>
      <c r="B134" s="42">
        <v>247</v>
      </c>
      <c r="C134" s="42">
        <v>432288</v>
      </c>
      <c r="D134" s="485">
        <f t="shared" si="12"/>
        <v>26916202</v>
      </c>
      <c r="E134" s="46">
        <f>IF(ISBLANK(A134),"-",D134/PLAYER_EXP_MAX)</f>
        <v>0.96826133247745949</v>
      </c>
      <c r="F134" s="51">
        <f ca="1">IF(ISBLANK(A134),NA(),IFERROR(SLOPE(INDIRECT("D" &amp; MATCH(A134-$B$1 / 24,A:A,1)):D134, INDIRECT("A" &amp; MATCH(A134-$B$1 / 24,A:A,1)):A134),NA()))</f>
        <v>942177.89316635719</v>
      </c>
      <c r="G134" s="58">
        <f ca="1">IF(ISBLANK(A134),NA(),IFERROR(A134+(PLAYER_EXP_MAX-D134)/F134,NA()))</f>
        <v>44313.181572450318</v>
      </c>
      <c r="H134" s="485" t="str">
        <f t="shared" ca="1" si="13"/>
        <v>000 D 04 H</v>
      </c>
      <c r="I134" s="51">
        <f ca="1">IF(ISBLANK(A134),NA(),IFERROR(SLOPE(INDIRECT("D" &amp; MATCH(A134-$C$1 / 24,A:A,1)):D134, INDIRECT("A" &amp; MATCH(A134-$C$1 / 24,A:A,1)):A134),NA()))</f>
        <v>907963.51169111254</v>
      </c>
      <c r="J134" s="58">
        <f ca="1">IF(ISBLANK(A134),NA(),IFERROR(A134+(PLAYER_EXP_MAX-D134)/I134,NA()))</f>
        <v>44313.216859655899</v>
      </c>
      <c r="K134" s="485" t="str">
        <f t="shared" ca="1" si="14"/>
        <v>000 D 05 H</v>
      </c>
      <c r="L134" s="51">
        <f ca="1">IF(ISBLANK(A134),NA(),IFERROR(SLOPE(INDIRECT("D" &amp; MATCH(A134-$D$1 / 24,A:A,1)):D134, INDIRECT("A" &amp; MATCH(A134-$D$1 / 24,A:A,1)):A134),NA()))</f>
        <v>810458.62443460629</v>
      </c>
      <c r="M134" s="58">
        <f ca="1">IF(ISBLANK(A134),NA(),IFERROR(A134+(PLAYER_EXP_MAX-D134)/L134,NA()))</f>
        <v>44313.333765714982</v>
      </c>
      <c r="N134" s="485" t="str">
        <f t="shared" ca="1" si="15"/>
        <v>000 D 08 H</v>
      </c>
    </row>
    <row r="135" spans="1:14" ht="14.65" customHeight="1" x14ac:dyDescent="0.25">
      <c r="A135" s="8">
        <v>44312.692361111112</v>
      </c>
      <c r="B135" s="42">
        <v>247</v>
      </c>
      <c r="C135" s="42">
        <v>161808</v>
      </c>
      <c r="D135" s="485">
        <f t="shared" si="12"/>
        <v>27186682</v>
      </c>
      <c r="E135" s="46">
        <f>IF(ISBLANK(A135),"-",D135/PLAYER_EXP_MAX)</f>
        <v>0.97799135773170975</v>
      </c>
      <c r="F135" s="51">
        <f ca="1">IF(ISBLANK(A135),NA(),IFERROR(SLOPE(INDIRECT("D" &amp; MATCH(A135-$B$1 / 24,A:A,1)):D135, INDIRECT("A" &amp; MATCH(A135-$B$1 / 24,A:A,1)):A135),NA()))</f>
        <v>604799.99999650149</v>
      </c>
      <c r="G135" s="58">
        <f ca="1">IF(ISBLANK(A135),NA(),IFERROR(A135+(PLAYER_EXP_MAX-D135)/F135,NA()))</f>
        <v>44313.703946759269</v>
      </c>
      <c r="H135" s="485" t="str">
        <f t="shared" ca="1" si="13"/>
        <v>000 D 17 H</v>
      </c>
      <c r="I135" s="51">
        <f ca="1">IF(ISBLANK(A135),NA(),IFERROR(SLOPE(INDIRECT("D" &amp; MATCH(A135-$C$1 / 24,A:A,1)):D135, INDIRECT("A" &amp; MATCH(A135-$C$1 / 24,A:A,1)):A135),NA()))</f>
        <v>806701.01395274326</v>
      </c>
      <c r="J135" s="58">
        <f ca="1">IF(ISBLANK(A135),NA(),IFERROR(A135+(PLAYER_EXP_MAX-D135)/I135,NA()))</f>
        <v>44313.450767248476</v>
      </c>
      <c r="K135" s="485" t="str">
        <f t="shared" ca="1" si="14"/>
        <v>000 D 11 H</v>
      </c>
      <c r="L135" s="51">
        <f ca="1">IF(ISBLANK(A135),NA(),IFERROR(SLOPE(INDIRECT("D" &amp; MATCH(A135-$D$1 / 24,A:A,1)):D135, INDIRECT("A" &amp; MATCH(A135-$D$1 / 24,A:A,1)):A135),NA()))</f>
        <v>816605.46816697181</v>
      </c>
      <c r="M135" s="58">
        <f ca="1">IF(ISBLANK(A135),NA(),IFERROR(A135+(PLAYER_EXP_MAX-D135)/L135,NA()))</f>
        <v>44313.441568683003</v>
      </c>
      <c r="N135" s="485" t="str">
        <f t="shared" ca="1" si="15"/>
        <v>000 D 11 H</v>
      </c>
    </row>
    <row r="136" spans="1:14" ht="14.65" customHeight="1" x14ac:dyDescent="0.25">
      <c r="A136" s="8">
        <v>44312.744444444441</v>
      </c>
      <c r="B136" s="42">
        <v>247</v>
      </c>
      <c r="C136" s="42">
        <v>115348</v>
      </c>
      <c r="D136" s="485">
        <f t="shared" si="12"/>
        <v>27233142</v>
      </c>
      <c r="E136" s="46">
        <f>IF(ISBLANK(A136),"-",D136/PLAYER_EXP_MAX)</f>
        <v>0.97966267159340925</v>
      </c>
      <c r="F136" s="51">
        <f ca="1">IF(ISBLANK(A136),NA(),IFERROR(SLOPE(INDIRECT("D" &amp; MATCH(A136-$B$1 / 24,A:A,1)):D136, INDIRECT("A" &amp; MATCH(A136-$B$1 / 24,A:A,1)):A136),NA()))</f>
        <v>623048.44141082768</v>
      </c>
      <c r="G136" s="58">
        <f ca="1">IF(ISBLANK(A136),NA(),IFERROR(A136+(PLAYER_EXP_MAX-D136)/F136,NA()))</f>
        <v>44313.651832959404</v>
      </c>
      <c r="H136" s="485" t="str">
        <f t="shared" ca="1" si="13"/>
        <v>000 D 16 H</v>
      </c>
      <c r="I136" s="51">
        <f ca="1">IF(ISBLANK(A136),NA(),IFERROR(SLOPE(INDIRECT("D" &amp; MATCH(A136-$C$1 / 24,A:A,1)):D136, INDIRECT("A" &amp; MATCH(A136-$C$1 / 24,A:A,1)):A136),NA()))</f>
        <v>787867.85613310349</v>
      </c>
      <c r="J136" s="58">
        <f ca="1">IF(ISBLANK(A136),NA(),IFERROR(A136+(PLAYER_EXP_MAX-D136)/I136,NA()))</f>
        <v>44313.462010208292</v>
      </c>
      <c r="K136" s="485" t="str">
        <f t="shared" ca="1" si="14"/>
        <v>000 D 11 H</v>
      </c>
      <c r="L136" s="51">
        <f ca="1">IF(ISBLANK(A136),NA(),IFERROR(SLOPE(INDIRECT("D" &amp; MATCH(A136-$D$1 / 24,A:A,1)):D136, INDIRECT("A" &amp; MATCH(A136-$D$1 / 24,A:A,1)):A136),NA()))</f>
        <v>815185.8141306414</v>
      </c>
      <c r="M136" s="58">
        <f ca="1">IF(ISBLANK(A136),NA(),IFERROR(A136+(PLAYER_EXP_MAX-D136)/L136,NA()))</f>
        <v>44313.437963627672</v>
      </c>
      <c r="N136" s="485" t="str">
        <f t="shared" ca="1" si="15"/>
        <v>000 D 10 H</v>
      </c>
    </row>
    <row r="137" spans="1:14" ht="14.65" customHeight="1" x14ac:dyDescent="0.25">
      <c r="A137" s="8">
        <v>44312.923611111109</v>
      </c>
      <c r="B137" s="42">
        <v>248</v>
      </c>
      <c r="C137" s="42">
        <v>408948</v>
      </c>
      <c r="D137" s="485">
        <f t="shared" si="12"/>
        <v>27389542</v>
      </c>
      <c r="E137" s="46">
        <f>IF(ISBLANK(A137),"-",D137/PLAYER_EXP_MAX)</f>
        <v>0.98528887667239751</v>
      </c>
      <c r="F137" s="51">
        <f ca="1">IF(ISBLANK(A137),NA(),IFERROR(SLOPE(INDIRECT("D" &amp; MATCH(A137-$B$1 / 24,A:A,1)):D137, INDIRECT("A" &amp; MATCH(A137-$B$1 / 24,A:A,1)):A137),NA()))</f>
        <v>679122.42261202517</v>
      </c>
      <c r="G137" s="58">
        <f ca="1">IF(ISBLANK(A137),NA(),IFERROR(A137+(PLAYER_EXP_MAX-D137)/F137,NA()))</f>
        <v>44313.525780891381</v>
      </c>
      <c r="H137" s="485" t="str">
        <f t="shared" ca="1" si="13"/>
        <v>000 D 13 H</v>
      </c>
      <c r="I137" s="51">
        <f ca="1">IF(ISBLANK(A137),NA(),IFERROR(SLOPE(INDIRECT("D" &amp; MATCH(A137-$C$1 / 24,A:A,1)):D137, INDIRECT("A" &amp; MATCH(A137-$C$1 / 24,A:A,1)):A137),NA()))</f>
        <v>768563.27846575342</v>
      </c>
      <c r="J137" s="58">
        <f ca="1">IF(ISBLANK(A137),NA(),IFERROR(A137+(PLAYER_EXP_MAX-D137)/I137,NA()))</f>
        <v>44313.455703928266</v>
      </c>
      <c r="K137" s="485" t="str">
        <f t="shared" ca="1" si="14"/>
        <v>000 D 11 H</v>
      </c>
      <c r="L137" s="51">
        <f ca="1">IF(ISBLANK(A137),NA(),IFERROR(SLOPE(INDIRECT("D" &amp; MATCH(A137-$D$1 / 24,A:A,1)):D137, INDIRECT("A" &amp; MATCH(A137-$D$1 / 24,A:A,1)):A137),NA()))</f>
        <v>815112.52210573084</v>
      </c>
      <c r="M137" s="58">
        <f ca="1">IF(ISBLANK(A137),NA(),IFERROR(A137+(PLAYER_EXP_MAX-D137)/L137,NA()))</f>
        <v>44313.4253173037</v>
      </c>
      <c r="N137" s="485" t="str">
        <f t="shared" ca="1" si="15"/>
        <v>000 D 10 H</v>
      </c>
    </row>
    <row r="138" spans="1:14" ht="14.65" customHeight="1" x14ac:dyDescent="0.25">
      <c r="A138" s="8">
        <v>44312.959722222222</v>
      </c>
      <c r="B138" s="42">
        <v>248</v>
      </c>
      <c r="C138" s="42">
        <v>387386</v>
      </c>
      <c r="D138" s="485">
        <f t="shared" si="12"/>
        <v>27411104</v>
      </c>
      <c r="E138" s="46">
        <f>IF(ISBLANK(A138),"-",D138/PLAYER_EXP_MAX)</f>
        <v>0.98606453034191899</v>
      </c>
      <c r="F138" s="51">
        <f ca="1">IF(ISBLANK(A138),NA(),IFERROR(SLOPE(INDIRECT("D" &amp; MATCH(A138-$B$1 / 24,A:A,1)):D138, INDIRECT("A" &amp; MATCH(A138-$B$1 / 24,A:A,1)):A138),NA()))</f>
        <v>850660.86197243945</v>
      </c>
      <c r="G138" s="58">
        <f ca="1">IF(ISBLANK(A138),NA(),IFERROR(A138+(PLAYER_EXP_MAX-D138)/F138,NA()))</f>
        <v>44313.41511521997</v>
      </c>
      <c r="H138" s="485" t="str">
        <f t="shared" ca="1" si="13"/>
        <v>000 D 10 H</v>
      </c>
      <c r="I138" s="51">
        <f ca="1">IF(ISBLANK(A138),NA(),IFERROR(SLOPE(INDIRECT("D" &amp; MATCH(A138-$C$1 / 24,A:A,1)):D138, INDIRECT("A" &amp; MATCH(A138-$C$1 / 24,A:A,1)):A138),NA()))</f>
        <v>767713.30869695952</v>
      </c>
      <c r="J138" s="58">
        <f ca="1">IF(ISBLANK(A138),NA(),IFERROR(A138+(PLAYER_EXP_MAX-D138)/I138,NA()))</f>
        <v>44313.464318137929</v>
      </c>
      <c r="K138" s="485" t="str">
        <f t="shared" ca="1" si="14"/>
        <v>000 D 11 H</v>
      </c>
      <c r="L138" s="51">
        <f ca="1">IF(ISBLANK(A138),NA(),IFERROR(SLOPE(INDIRECT("D" &amp; MATCH(A138-$D$1 / 24,A:A,1)):D138, INDIRECT("A" &amp; MATCH(A138-$D$1 / 24,A:A,1)):A138),NA()))</f>
        <v>816905.68746896531</v>
      </c>
      <c r="M138" s="58">
        <f ca="1">IF(ISBLANK(A138),NA(),IFERROR(A138+(PLAYER_EXP_MAX-D138)/L138,NA()))</f>
        <v>44313.43393241067</v>
      </c>
      <c r="N138" s="485" t="str">
        <f t="shared" ca="1" si="15"/>
        <v>000 D 10 H</v>
      </c>
    </row>
    <row r="139" spans="1:14" ht="14.65" customHeight="1" x14ac:dyDescent="0.25">
      <c r="A139" s="8">
        <v>44312.978472222225</v>
      </c>
      <c r="B139" s="42">
        <v>248</v>
      </c>
      <c r="C139" s="42">
        <v>368066</v>
      </c>
      <c r="D139" s="485">
        <f t="shared" si="12"/>
        <v>27430424</v>
      </c>
      <c r="E139" s="46">
        <f>IF(ISBLANK(A139),"-",D139/PLAYER_EXP_MAX)</f>
        <v>0.98675953214579393</v>
      </c>
      <c r="F139" s="51">
        <f ca="1">IF(ISBLANK(A139),NA(),IFERROR(SLOPE(INDIRECT("D" &amp; MATCH(A139-$B$1 / 24,A:A,1)):D139, INDIRECT("A" &amp; MATCH(A139-$B$1 / 24,A:A,1)):A139),NA()))</f>
        <v>849014.21729431034</v>
      </c>
      <c r="G139" s="58">
        <f ca="1">IF(ISBLANK(A139),NA(),IFERROR(A139+(PLAYER_EXP_MAX-D139)/F139,NA()))</f>
        <v>44313.411992642148</v>
      </c>
      <c r="H139" s="485" t="str">
        <f t="shared" ca="1" si="13"/>
        <v>000 D 10 H</v>
      </c>
      <c r="I139" s="51">
        <f ca="1">IF(ISBLANK(A139),NA(),IFERROR(SLOPE(INDIRECT("D" &amp; MATCH(A139-$C$1 / 24,A:A,1)):D139, INDIRECT("A" &amp; MATCH(A139-$C$1 / 24,A:A,1)):A139),NA()))</f>
        <v>743510.36130248732</v>
      </c>
      <c r="J139" s="58">
        <f ca="1">IF(ISBLANK(A139),NA(),IFERROR(A139+(PLAYER_EXP_MAX-D139)/I139,NA()))</f>
        <v>44313.473509035641</v>
      </c>
      <c r="K139" s="485" t="str">
        <f t="shared" ca="1" si="14"/>
        <v>000 D 11 H</v>
      </c>
      <c r="L139" s="51">
        <f ca="1">IF(ISBLANK(A139),NA(),IFERROR(SLOPE(INDIRECT("D" &amp; MATCH(A139-$D$1 / 24,A:A,1)):D139, INDIRECT("A" &amp; MATCH(A139-$D$1 / 24,A:A,1)):A139),NA()))</f>
        <v>816485.99697655346</v>
      </c>
      <c r="M139" s="58">
        <f ca="1">IF(ISBLANK(A139),NA(),IFERROR(A139+(PLAYER_EXP_MAX-D139)/L139,NA()))</f>
        <v>44313.429263786762</v>
      </c>
      <c r="N139" s="485" t="str">
        <f t="shared" ca="1" si="15"/>
        <v>000 D 10 H</v>
      </c>
    </row>
    <row r="140" spans="1:14" ht="14.65" customHeight="1" x14ac:dyDescent="0.25">
      <c r="D140" s="485" t="str">
        <f t="shared" si="12"/>
        <v>-</v>
      </c>
      <c r="E140" s="46" t="str">
        <f>IF(ISBLANK(A140),"-",D140/PLAYER_EXP_MAX)</f>
        <v>-</v>
      </c>
      <c r="F140" s="51" t="e">
        <f ca="1">IF(ISBLANK(A140),NA(),IFERROR(SLOPE(INDIRECT("D" &amp; MATCH(A140-$B$1 / 24,A:A,1)):D140, INDIRECT("A" &amp; MATCH(A140-$B$1 / 24,A:A,1)):A140),NA()))</f>
        <v>#N/A</v>
      </c>
      <c r="G140" s="58" t="e">
        <f>IF(ISBLANK(A140),NA(),IFERROR(A140+(PLAYER_EXP_MAX-D140)/F140,NA()))</f>
        <v>#N/A</v>
      </c>
      <c r="H140" s="485" t="e">
        <f t="shared" ca="1" si="13"/>
        <v>#N/A</v>
      </c>
      <c r="I140" s="51" t="e">
        <f ca="1">IF(ISBLANK(A140),NA(),IFERROR(SLOPE(INDIRECT("D" &amp; MATCH(A140-$C$1 / 24,A:A,1)):D140, INDIRECT("A" &amp; MATCH(A140-$C$1 / 24,A:A,1)):A140),NA()))</f>
        <v>#N/A</v>
      </c>
      <c r="J140" s="58" t="e">
        <f>IF(ISBLANK(A140),NA(),IFERROR(A140+(PLAYER_EXP_MAX-D140)/I140,NA()))</f>
        <v>#N/A</v>
      </c>
      <c r="K140" s="485" t="e">
        <f t="shared" ca="1" si="14"/>
        <v>#N/A</v>
      </c>
      <c r="L140" s="51" t="e">
        <f ca="1">IF(ISBLANK(A140),NA(),IFERROR(SLOPE(INDIRECT("D" &amp; MATCH(A140-$D$1 / 24,A:A,1)):D140, INDIRECT("A" &amp; MATCH(A140-$D$1 / 24,A:A,1)):A140),NA()))</f>
        <v>#N/A</v>
      </c>
      <c r="M140" s="58" t="e">
        <f>IF(ISBLANK(A140),NA(),IFERROR(A140+(PLAYER_EXP_MAX-D140)/L140,NA()))</f>
        <v>#N/A</v>
      </c>
      <c r="N140" s="485" t="e">
        <f t="shared" ca="1" si="15"/>
        <v>#N/A</v>
      </c>
    </row>
    <row r="141" spans="1:14" ht="14.65" customHeight="1" x14ac:dyDescent="0.25">
      <c r="D141" s="485" t="str">
        <f t="shared" si="12"/>
        <v>-</v>
      </c>
      <c r="E141" s="46" t="str">
        <f>IF(ISBLANK(A141),"-",D141/PLAYER_EXP_MAX)</f>
        <v>-</v>
      </c>
      <c r="F141" s="51" t="e">
        <f ca="1">IF(ISBLANK(A141),NA(),IFERROR(SLOPE(INDIRECT("D" &amp; MATCH(A141-$B$1 / 24,A:A,1)):D141, INDIRECT("A" &amp; MATCH(A141-$B$1 / 24,A:A,1)):A141),NA()))</f>
        <v>#N/A</v>
      </c>
      <c r="G141" s="58" t="e">
        <f>IF(ISBLANK(A141),NA(),IFERROR(A141+(PLAYER_EXP_MAX-D141)/F141,NA()))</f>
        <v>#N/A</v>
      </c>
      <c r="H141" s="485" t="e">
        <f t="shared" ca="1" si="13"/>
        <v>#N/A</v>
      </c>
      <c r="I141" s="51" t="e">
        <f ca="1">IF(ISBLANK(A141),NA(),IFERROR(SLOPE(INDIRECT("D" &amp; MATCH(A141-$C$1 / 24,A:A,1)):D141, INDIRECT("A" &amp; MATCH(A141-$C$1 / 24,A:A,1)):A141),NA()))</f>
        <v>#N/A</v>
      </c>
      <c r="J141" s="58" t="e">
        <f>IF(ISBLANK(A141),NA(),IFERROR(A141+(PLAYER_EXP_MAX-D141)/I141,NA()))</f>
        <v>#N/A</v>
      </c>
      <c r="K141" s="485" t="e">
        <f t="shared" ca="1" si="14"/>
        <v>#N/A</v>
      </c>
      <c r="L141" s="51" t="e">
        <f ca="1">IF(ISBLANK(A141),NA(),IFERROR(SLOPE(INDIRECT("D" &amp; MATCH(A141-$D$1 / 24,A:A,1)):D141, INDIRECT("A" &amp; MATCH(A141-$D$1 / 24,A:A,1)):A141),NA()))</f>
        <v>#N/A</v>
      </c>
      <c r="M141" s="58" t="e">
        <f>IF(ISBLANK(A141),NA(),IFERROR(A141+(PLAYER_EXP_MAX-D141)/L141,NA()))</f>
        <v>#N/A</v>
      </c>
      <c r="N141" s="485" t="e">
        <f t="shared" ca="1" si="15"/>
        <v>#N/A</v>
      </c>
    </row>
    <row r="142" spans="1:14" ht="14.65" customHeight="1" x14ac:dyDescent="0.25">
      <c r="D142" s="485" t="str">
        <f t="shared" si="12"/>
        <v>-</v>
      </c>
      <c r="E142" s="46" t="str">
        <f>IF(ISBLANK(A142),"-",D142/PLAYER_EXP_MAX)</f>
        <v>-</v>
      </c>
      <c r="F142" s="51" t="e">
        <f ca="1">IF(ISBLANK(A142),NA(),IFERROR(SLOPE(INDIRECT("D" &amp; MATCH(A142-$B$1 / 24,A:A,1)):D142, INDIRECT("A" &amp; MATCH(A142-$B$1 / 24,A:A,1)):A142),NA()))</f>
        <v>#N/A</v>
      </c>
      <c r="G142" s="58" t="e">
        <f>IF(ISBLANK(A142),NA(),IFERROR(A142+(PLAYER_EXP_MAX-D142)/F142,NA()))</f>
        <v>#N/A</v>
      </c>
      <c r="H142" s="485" t="e">
        <f t="shared" ca="1" si="13"/>
        <v>#N/A</v>
      </c>
      <c r="I142" s="51" t="e">
        <f ca="1">IF(ISBLANK(A142),NA(),IFERROR(SLOPE(INDIRECT("D" &amp; MATCH(A142-$C$1 / 24,A:A,1)):D142, INDIRECT("A" &amp; MATCH(A142-$C$1 / 24,A:A,1)):A142),NA()))</f>
        <v>#N/A</v>
      </c>
      <c r="J142" s="58" t="e">
        <f>IF(ISBLANK(A142),NA(),IFERROR(A142+(PLAYER_EXP_MAX-D142)/I142,NA()))</f>
        <v>#N/A</v>
      </c>
      <c r="K142" s="485" t="e">
        <f t="shared" ca="1" si="14"/>
        <v>#N/A</v>
      </c>
      <c r="L142" s="51" t="e">
        <f ca="1">IF(ISBLANK(A142),NA(),IFERROR(SLOPE(INDIRECT("D" &amp; MATCH(A142-$D$1 / 24,A:A,1)):D142, INDIRECT("A" &amp; MATCH(A142-$D$1 / 24,A:A,1)):A142),NA()))</f>
        <v>#N/A</v>
      </c>
      <c r="M142" s="58" t="e">
        <f>IF(ISBLANK(A142),NA(),IFERROR(A142+(PLAYER_EXP_MAX-D142)/L142,NA()))</f>
        <v>#N/A</v>
      </c>
      <c r="N142" s="485" t="e">
        <f t="shared" ca="1" si="15"/>
        <v>#N/A</v>
      </c>
    </row>
    <row r="143" spans="1:14" ht="14.65" customHeight="1" x14ac:dyDescent="0.25">
      <c r="D143" s="485" t="str">
        <f t="shared" si="12"/>
        <v>-</v>
      </c>
      <c r="E143" s="46" t="str">
        <f>IF(ISBLANK(A143),"-",D143/PLAYER_EXP_MAX)</f>
        <v>-</v>
      </c>
      <c r="F143" s="51" t="e">
        <f ca="1">IF(ISBLANK(A143),NA(),IFERROR(SLOPE(INDIRECT("D" &amp; MATCH(A143-$B$1 / 24,A:A,1)):D143, INDIRECT("A" &amp; MATCH(A143-$B$1 / 24,A:A,1)):A143),NA()))</f>
        <v>#N/A</v>
      </c>
      <c r="G143" s="58" t="e">
        <f>IF(ISBLANK(A143),NA(),IFERROR(A143+(PLAYER_EXP_MAX-D143)/F143,NA()))</f>
        <v>#N/A</v>
      </c>
      <c r="H143" s="485" t="e">
        <f t="shared" ca="1" si="13"/>
        <v>#N/A</v>
      </c>
      <c r="I143" s="51" t="e">
        <f ca="1">IF(ISBLANK(A143),NA(),IFERROR(SLOPE(INDIRECT("D" &amp; MATCH(A143-$C$1 / 24,A:A,1)):D143, INDIRECT("A" &amp; MATCH(A143-$C$1 / 24,A:A,1)):A143),NA()))</f>
        <v>#N/A</v>
      </c>
      <c r="J143" s="58" t="e">
        <f>IF(ISBLANK(A143),NA(),IFERROR(A143+(PLAYER_EXP_MAX-D143)/I143,NA()))</f>
        <v>#N/A</v>
      </c>
      <c r="K143" s="485" t="e">
        <f t="shared" ca="1" si="14"/>
        <v>#N/A</v>
      </c>
      <c r="L143" s="51" t="e">
        <f ca="1">IF(ISBLANK(A143),NA(),IFERROR(SLOPE(INDIRECT("D" &amp; MATCH(A143-$D$1 / 24,A:A,1)):D143, INDIRECT("A" &amp; MATCH(A143-$D$1 / 24,A:A,1)):A143),NA()))</f>
        <v>#N/A</v>
      </c>
      <c r="M143" s="58" t="e">
        <f>IF(ISBLANK(A143),NA(),IFERROR(A143+(PLAYER_EXP_MAX-D143)/L143,NA()))</f>
        <v>#N/A</v>
      </c>
      <c r="N143" s="485" t="e">
        <f t="shared" ca="1" si="15"/>
        <v>#N/A</v>
      </c>
    </row>
    <row r="144" spans="1:14" ht="14.65" customHeight="1" x14ac:dyDescent="0.25">
      <c r="D144" s="485" t="str">
        <f t="shared" si="12"/>
        <v>-</v>
      </c>
      <c r="E144" s="46" t="str">
        <f>IF(ISBLANK(A144),"-",D144/PLAYER_EXP_MAX)</f>
        <v>-</v>
      </c>
      <c r="F144" s="51" t="e">
        <f ca="1">IF(ISBLANK(A144),NA(),IFERROR(SLOPE(INDIRECT("D" &amp; MATCH(A144-$B$1 / 24,A:A,1)):D144, INDIRECT("A" &amp; MATCH(A144-$B$1 / 24,A:A,1)):A144),NA()))</f>
        <v>#N/A</v>
      </c>
      <c r="G144" s="58" t="e">
        <f>IF(ISBLANK(A144),NA(),IFERROR(A144+(PLAYER_EXP_MAX-D144)/F144,NA()))</f>
        <v>#N/A</v>
      </c>
      <c r="H144" s="485" t="e">
        <f t="shared" ca="1" si="13"/>
        <v>#N/A</v>
      </c>
      <c r="I144" s="51" t="e">
        <f ca="1">IF(ISBLANK(A144),NA(),IFERROR(SLOPE(INDIRECT("D" &amp; MATCH(A144-$C$1 / 24,A:A,1)):D144, INDIRECT("A" &amp; MATCH(A144-$C$1 / 24,A:A,1)):A144),NA()))</f>
        <v>#N/A</v>
      </c>
      <c r="J144" s="58" t="e">
        <f>IF(ISBLANK(A144),NA(),IFERROR(A144+(PLAYER_EXP_MAX-D144)/I144,NA()))</f>
        <v>#N/A</v>
      </c>
      <c r="K144" s="485" t="e">
        <f t="shared" ca="1" si="14"/>
        <v>#N/A</v>
      </c>
      <c r="L144" s="51" t="e">
        <f ca="1">IF(ISBLANK(A144),NA(),IFERROR(SLOPE(INDIRECT("D" &amp; MATCH(A144-$D$1 / 24,A:A,1)):D144, INDIRECT("A" &amp; MATCH(A144-$D$1 / 24,A:A,1)):A144),NA()))</f>
        <v>#N/A</v>
      </c>
      <c r="M144" s="58" t="e">
        <f>IF(ISBLANK(A144),NA(),IFERROR(A144+(PLAYER_EXP_MAX-D144)/L144,NA()))</f>
        <v>#N/A</v>
      </c>
      <c r="N144" s="485" t="e">
        <f t="shared" ca="1" si="15"/>
        <v>#N/A</v>
      </c>
    </row>
    <row r="145" spans="4:14" ht="14.65" customHeight="1" x14ac:dyDescent="0.25">
      <c r="D145" s="485" t="str">
        <f t="shared" si="12"/>
        <v>-</v>
      </c>
      <c r="E145" s="46" t="str">
        <f>IF(ISBLANK(A145),"-",D145/PLAYER_EXP_MAX)</f>
        <v>-</v>
      </c>
      <c r="F145" s="51" t="e">
        <f ca="1">IF(ISBLANK(A145),NA(),IFERROR(SLOPE(INDIRECT("D" &amp; MATCH(A145-$B$1 / 24,A:A,1)):D145, INDIRECT("A" &amp; MATCH(A145-$B$1 / 24,A:A,1)):A145),NA()))</f>
        <v>#N/A</v>
      </c>
      <c r="G145" s="58" t="e">
        <f>IF(ISBLANK(A145),NA(),IFERROR(A145+(PLAYER_EXP_MAX-D145)/F145,NA()))</f>
        <v>#N/A</v>
      </c>
      <c r="H145" s="485" t="e">
        <f t="shared" ca="1" si="13"/>
        <v>#N/A</v>
      </c>
      <c r="I145" s="51" t="e">
        <f ca="1">IF(ISBLANK(A145),NA(),IFERROR(SLOPE(INDIRECT("D" &amp; MATCH(A145-$C$1 / 24,A:A,1)):D145, INDIRECT("A" &amp; MATCH(A145-$C$1 / 24,A:A,1)):A145),NA()))</f>
        <v>#N/A</v>
      </c>
      <c r="J145" s="58" t="e">
        <f>IF(ISBLANK(A145),NA(),IFERROR(A145+(PLAYER_EXP_MAX-D145)/I145,NA()))</f>
        <v>#N/A</v>
      </c>
      <c r="K145" s="485" t="e">
        <f t="shared" ca="1" si="14"/>
        <v>#N/A</v>
      </c>
      <c r="L145" s="51" t="e">
        <f ca="1">IF(ISBLANK(A145),NA(),IFERROR(SLOPE(INDIRECT("D" &amp; MATCH(A145-$D$1 / 24,A:A,1)):D145, INDIRECT("A" &amp; MATCH(A145-$D$1 / 24,A:A,1)):A145),NA()))</f>
        <v>#N/A</v>
      </c>
      <c r="M145" s="58" t="e">
        <f>IF(ISBLANK(A145),NA(),IFERROR(A145+(PLAYER_EXP_MAX-D145)/L145,NA()))</f>
        <v>#N/A</v>
      </c>
      <c r="N145" s="485" t="e">
        <f t="shared" ca="1" si="15"/>
        <v>#N/A</v>
      </c>
    </row>
    <row r="146" spans="4:14" ht="14.65" customHeight="1" x14ac:dyDescent="0.25">
      <c r="D146" s="485" t="str">
        <f t="shared" si="12"/>
        <v>-</v>
      </c>
      <c r="E146" s="46" t="str">
        <f>IF(ISBLANK(A146),"-",D146/PLAYER_EXP_MAX)</f>
        <v>-</v>
      </c>
      <c r="F146" s="51" t="e">
        <f ca="1">IF(ISBLANK(A146),NA(),IFERROR(SLOPE(INDIRECT("D" &amp; MATCH(A146-$B$1 / 24,A:A,1)):D146, INDIRECT("A" &amp; MATCH(A146-$B$1 / 24,A:A,1)):A146),NA()))</f>
        <v>#N/A</v>
      </c>
      <c r="G146" s="58" t="e">
        <f>IF(ISBLANK(A146),NA(),IFERROR(A146+(PLAYER_EXP_MAX-D146)/F146,NA()))</f>
        <v>#N/A</v>
      </c>
      <c r="H146" s="485" t="e">
        <f t="shared" ca="1" si="13"/>
        <v>#N/A</v>
      </c>
      <c r="I146" s="51" t="e">
        <f ca="1">IF(ISBLANK(A146),NA(),IFERROR(SLOPE(INDIRECT("D" &amp; MATCH(A146-$C$1 / 24,A:A,1)):D146, INDIRECT("A" &amp; MATCH(A146-$C$1 / 24,A:A,1)):A146),NA()))</f>
        <v>#N/A</v>
      </c>
      <c r="J146" s="58" t="e">
        <f>IF(ISBLANK(A146),NA(),IFERROR(A146+(PLAYER_EXP_MAX-D146)/I146,NA()))</f>
        <v>#N/A</v>
      </c>
      <c r="K146" s="485" t="e">
        <f t="shared" ca="1" si="14"/>
        <v>#N/A</v>
      </c>
      <c r="L146" s="51" t="e">
        <f ca="1">IF(ISBLANK(A146),NA(),IFERROR(SLOPE(INDIRECT("D" &amp; MATCH(A146-$D$1 / 24,A:A,1)):D146, INDIRECT("A" &amp; MATCH(A146-$D$1 / 24,A:A,1)):A146),NA()))</f>
        <v>#N/A</v>
      </c>
      <c r="M146" s="58" t="e">
        <f>IF(ISBLANK(A146),NA(),IFERROR(A146+(PLAYER_EXP_MAX-D146)/L146,NA()))</f>
        <v>#N/A</v>
      </c>
      <c r="N146" s="485" t="e">
        <f t="shared" ca="1" si="15"/>
        <v>#N/A</v>
      </c>
    </row>
    <row r="147" spans="4:14" ht="14.65" customHeight="1" x14ac:dyDescent="0.25">
      <c r="D147" s="485" t="str">
        <f t="shared" si="12"/>
        <v>-</v>
      </c>
      <c r="E147" s="46" t="str">
        <f>IF(ISBLANK(A147),"-",D147/PLAYER_EXP_MAX)</f>
        <v>-</v>
      </c>
      <c r="F147" s="51" t="e">
        <f ca="1">IF(ISBLANK(A147),NA(),IFERROR(SLOPE(INDIRECT("D" &amp; MATCH(A147-$B$1 / 24,A:A,1)):D147, INDIRECT("A" &amp; MATCH(A147-$B$1 / 24,A:A,1)):A147),NA()))</f>
        <v>#N/A</v>
      </c>
      <c r="G147" s="58" t="e">
        <f>IF(ISBLANK(A147),NA(),IFERROR(A147+(PLAYER_EXP_MAX-D147)/F147,NA()))</f>
        <v>#N/A</v>
      </c>
      <c r="H147" s="485" t="e">
        <f t="shared" ca="1" si="13"/>
        <v>#N/A</v>
      </c>
      <c r="I147" s="51" t="e">
        <f ca="1">IF(ISBLANK(A147),NA(),IFERROR(SLOPE(INDIRECT("D" &amp; MATCH(A147-$C$1 / 24,A:A,1)):D147, INDIRECT("A" &amp; MATCH(A147-$C$1 / 24,A:A,1)):A147),NA()))</f>
        <v>#N/A</v>
      </c>
      <c r="J147" s="58" t="e">
        <f>IF(ISBLANK(A147),NA(),IFERROR(A147+(PLAYER_EXP_MAX-D147)/I147,NA()))</f>
        <v>#N/A</v>
      </c>
      <c r="K147" s="485" t="e">
        <f t="shared" ca="1" si="14"/>
        <v>#N/A</v>
      </c>
      <c r="L147" s="51" t="e">
        <f ca="1">IF(ISBLANK(A147),NA(),IFERROR(SLOPE(INDIRECT("D" &amp; MATCH(A147-$D$1 / 24,A:A,1)):D147, INDIRECT("A" &amp; MATCH(A147-$D$1 / 24,A:A,1)):A147),NA()))</f>
        <v>#N/A</v>
      </c>
      <c r="M147" s="58" t="e">
        <f>IF(ISBLANK(A147),NA(),IFERROR(A147+(PLAYER_EXP_MAX-D147)/L147,NA()))</f>
        <v>#N/A</v>
      </c>
      <c r="N147" s="485" t="e">
        <f t="shared" ca="1" si="15"/>
        <v>#N/A</v>
      </c>
    </row>
    <row r="148" spans="4:14" ht="14.65" customHeight="1" x14ac:dyDescent="0.25">
      <c r="D148" s="485" t="str">
        <f t="shared" si="12"/>
        <v>-</v>
      </c>
      <c r="E148" s="46" t="str">
        <f>IF(ISBLANK(A148),"-",D148/PLAYER_EXP_MAX)</f>
        <v>-</v>
      </c>
      <c r="F148" s="51" t="e">
        <f ca="1">IF(ISBLANK(A148),NA(),IFERROR(SLOPE(INDIRECT("D" &amp; MATCH(A148-$B$1 / 24,A:A,1)):D148, INDIRECT("A" &amp; MATCH(A148-$B$1 / 24,A:A,1)):A148),NA()))</f>
        <v>#N/A</v>
      </c>
      <c r="G148" s="58" t="e">
        <f>IF(ISBLANK(A148),NA(),IFERROR(A148+(PLAYER_EXP_MAX-D148)/F148,NA()))</f>
        <v>#N/A</v>
      </c>
      <c r="H148" s="485" t="e">
        <f t="shared" ca="1" si="13"/>
        <v>#N/A</v>
      </c>
      <c r="I148" s="51" t="e">
        <f ca="1">IF(ISBLANK(A148),NA(),IFERROR(SLOPE(INDIRECT("D" &amp; MATCH(A148-$C$1 / 24,A:A,1)):D148, INDIRECT("A" &amp; MATCH(A148-$C$1 / 24,A:A,1)):A148),NA()))</f>
        <v>#N/A</v>
      </c>
      <c r="J148" s="58" t="e">
        <f>IF(ISBLANK(A148),NA(),IFERROR(A148+(PLAYER_EXP_MAX-D148)/I148,NA()))</f>
        <v>#N/A</v>
      </c>
      <c r="K148" s="485" t="e">
        <f t="shared" ca="1" si="14"/>
        <v>#N/A</v>
      </c>
      <c r="L148" s="51" t="e">
        <f ca="1">IF(ISBLANK(A148),NA(),IFERROR(SLOPE(INDIRECT("D" &amp; MATCH(A148-$D$1 / 24,A:A,1)):D148, INDIRECT("A" &amp; MATCH(A148-$D$1 / 24,A:A,1)):A148),NA()))</f>
        <v>#N/A</v>
      </c>
      <c r="M148" s="58" t="e">
        <f>IF(ISBLANK(A148),NA(),IFERROR(A148+(PLAYER_EXP_MAX-D148)/L148,NA()))</f>
        <v>#N/A</v>
      </c>
      <c r="N148" s="485" t="e">
        <f t="shared" ca="1" si="15"/>
        <v>#N/A</v>
      </c>
    </row>
    <row r="149" spans="4:14" ht="14.65" customHeight="1" x14ac:dyDescent="0.25">
      <c r="D149" s="485" t="str">
        <f t="shared" si="12"/>
        <v>-</v>
      </c>
      <c r="E149" s="46" t="str">
        <f>IF(ISBLANK(A149),"-",D149/PLAYER_EXP_MAX)</f>
        <v>-</v>
      </c>
      <c r="F149" s="51" t="e">
        <f ca="1">IF(ISBLANK(A149),NA(),IFERROR(SLOPE(INDIRECT("D" &amp; MATCH(A149-$B$1 / 24,A:A,1)):D149, INDIRECT("A" &amp; MATCH(A149-$B$1 / 24,A:A,1)):A149),NA()))</f>
        <v>#N/A</v>
      </c>
      <c r="G149" s="58" t="e">
        <f>IF(ISBLANK(A149),NA(),IFERROR(A149+(PLAYER_EXP_MAX-D149)/F149,NA()))</f>
        <v>#N/A</v>
      </c>
      <c r="H149" s="485" t="e">
        <f t="shared" ca="1" si="13"/>
        <v>#N/A</v>
      </c>
      <c r="I149" s="51" t="e">
        <f ca="1">IF(ISBLANK(A149),NA(),IFERROR(SLOPE(INDIRECT("D" &amp; MATCH(A149-$C$1 / 24,A:A,1)):D149, INDIRECT("A" &amp; MATCH(A149-$C$1 / 24,A:A,1)):A149),NA()))</f>
        <v>#N/A</v>
      </c>
      <c r="J149" s="58" t="e">
        <f>IF(ISBLANK(A149),NA(),IFERROR(A149+(PLAYER_EXP_MAX-D149)/I149,NA()))</f>
        <v>#N/A</v>
      </c>
      <c r="K149" s="485" t="e">
        <f t="shared" ca="1" si="14"/>
        <v>#N/A</v>
      </c>
      <c r="L149" s="51" t="e">
        <f ca="1">IF(ISBLANK(A149),NA(),IFERROR(SLOPE(INDIRECT("D" &amp; MATCH(A149-$D$1 / 24,A:A,1)):D149, INDIRECT("A" &amp; MATCH(A149-$D$1 / 24,A:A,1)):A149),NA()))</f>
        <v>#N/A</v>
      </c>
      <c r="M149" s="58" t="e">
        <f>IF(ISBLANK(A149),NA(),IFERROR(A149+(PLAYER_EXP_MAX-D149)/L149,NA()))</f>
        <v>#N/A</v>
      </c>
      <c r="N149" s="485" t="e">
        <f t="shared" ca="1" si="15"/>
        <v>#N/A</v>
      </c>
    </row>
    <row r="150" spans="4:14" ht="14.65" customHeight="1" x14ac:dyDescent="0.25">
      <c r="D150" s="485" t="str">
        <f t="shared" si="12"/>
        <v>-</v>
      </c>
      <c r="E150" s="46" t="str">
        <f>IF(ISBLANK(A150),"-",D150/PLAYER_EXP_MAX)</f>
        <v>-</v>
      </c>
      <c r="F150" s="51" t="e">
        <f ca="1">IF(ISBLANK(A150),NA(),IFERROR(SLOPE(INDIRECT("D" &amp; MATCH(A150-$B$1 / 24,A:A,1)):D150, INDIRECT("A" &amp; MATCH(A150-$B$1 / 24,A:A,1)):A150),NA()))</f>
        <v>#N/A</v>
      </c>
      <c r="G150" s="58" t="e">
        <f>IF(ISBLANK(A150),NA(),IFERROR(A150+(PLAYER_EXP_MAX-D150)/F150,NA()))</f>
        <v>#N/A</v>
      </c>
      <c r="H150" s="485" t="e">
        <f t="shared" ca="1" si="13"/>
        <v>#N/A</v>
      </c>
      <c r="I150" s="51" t="e">
        <f ca="1">IF(ISBLANK(A150),NA(),IFERROR(SLOPE(INDIRECT("D" &amp; MATCH(A150-$C$1 / 24,A:A,1)):D150, INDIRECT("A" &amp; MATCH(A150-$C$1 / 24,A:A,1)):A150),NA()))</f>
        <v>#N/A</v>
      </c>
      <c r="J150" s="58" t="e">
        <f>IF(ISBLANK(A150),NA(),IFERROR(A150+(PLAYER_EXP_MAX-D150)/I150,NA()))</f>
        <v>#N/A</v>
      </c>
      <c r="K150" s="485" t="e">
        <f t="shared" ca="1" si="14"/>
        <v>#N/A</v>
      </c>
      <c r="L150" s="51" t="e">
        <f ca="1">IF(ISBLANK(A150),NA(),IFERROR(SLOPE(INDIRECT("D" &amp; MATCH(A150-$D$1 / 24,A:A,1)):D150, INDIRECT("A" &amp; MATCH(A150-$D$1 / 24,A:A,1)):A150),NA()))</f>
        <v>#N/A</v>
      </c>
      <c r="M150" s="58" t="e">
        <f>IF(ISBLANK(A150),NA(),IFERROR(A150+(PLAYER_EXP_MAX-D150)/L150,NA()))</f>
        <v>#N/A</v>
      </c>
      <c r="N150" s="485" t="e">
        <f t="shared" ca="1" si="15"/>
        <v>#N/A</v>
      </c>
    </row>
    <row r="151" spans="4:14" ht="14.65" customHeight="1" x14ac:dyDescent="0.25">
      <c r="D151" s="485" t="str">
        <f t="shared" si="12"/>
        <v>-</v>
      </c>
      <c r="E151" s="46" t="str">
        <f>IF(ISBLANK(A151),"-",D151/PLAYER_EXP_MAX)</f>
        <v>-</v>
      </c>
      <c r="F151" s="51" t="e">
        <f ca="1">IF(ISBLANK(A151),NA(),IFERROR(SLOPE(INDIRECT("D" &amp; MATCH(A151-$B$1 / 24,A:A,1)):D151, INDIRECT("A" &amp; MATCH(A151-$B$1 / 24,A:A,1)):A151),NA()))</f>
        <v>#N/A</v>
      </c>
      <c r="G151" s="58" t="e">
        <f>IF(ISBLANK(A151),NA(),IFERROR(A151+(PLAYER_EXP_MAX-D151)/F151,NA()))</f>
        <v>#N/A</v>
      </c>
      <c r="H151" s="485" t="e">
        <f t="shared" ca="1" si="13"/>
        <v>#N/A</v>
      </c>
      <c r="I151" s="51" t="e">
        <f ca="1">IF(ISBLANK(A151),NA(),IFERROR(SLOPE(INDIRECT("D" &amp; MATCH(A151-$C$1 / 24,A:A,1)):D151, INDIRECT("A" &amp; MATCH(A151-$C$1 / 24,A:A,1)):A151),NA()))</f>
        <v>#N/A</v>
      </c>
      <c r="J151" s="58" t="e">
        <f>IF(ISBLANK(A151),NA(),IFERROR(A151+(PLAYER_EXP_MAX-D151)/I151,NA()))</f>
        <v>#N/A</v>
      </c>
      <c r="K151" s="485" t="e">
        <f t="shared" ca="1" si="14"/>
        <v>#N/A</v>
      </c>
      <c r="L151" s="51" t="e">
        <f ca="1">IF(ISBLANK(A151),NA(),IFERROR(SLOPE(INDIRECT("D" &amp; MATCH(A151-$D$1 / 24,A:A,1)):D151, INDIRECT("A" &amp; MATCH(A151-$D$1 / 24,A:A,1)):A151),NA()))</f>
        <v>#N/A</v>
      </c>
      <c r="M151" s="58" t="e">
        <f>IF(ISBLANK(A151),NA(),IFERROR(A151+(PLAYER_EXP_MAX-D151)/L151,NA()))</f>
        <v>#N/A</v>
      </c>
      <c r="N151" s="485" t="e">
        <f t="shared" ca="1" si="15"/>
        <v>#N/A</v>
      </c>
    </row>
    <row r="152" spans="4:14" ht="14.65" customHeight="1" x14ac:dyDescent="0.25">
      <c r="D152" s="485" t="str">
        <f t="shared" si="12"/>
        <v>-</v>
      </c>
      <c r="E152" s="46" t="str">
        <f>IF(ISBLANK(A152),"-",D152/PLAYER_EXP_MAX)</f>
        <v>-</v>
      </c>
      <c r="F152" s="51" t="e">
        <f ca="1">IF(ISBLANK(A152),NA(),IFERROR(SLOPE(INDIRECT("D" &amp; MATCH(A152-$B$1 / 24,A:A,1)):D152, INDIRECT("A" &amp; MATCH(A152-$B$1 / 24,A:A,1)):A152),NA()))</f>
        <v>#N/A</v>
      </c>
      <c r="G152" s="58" t="e">
        <f>IF(ISBLANK(A152),NA(),IFERROR(A152+(PLAYER_EXP_MAX-D152)/F152,NA()))</f>
        <v>#N/A</v>
      </c>
      <c r="H152" s="485" t="e">
        <f t="shared" ca="1" si="13"/>
        <v>#N/A</v>
      </c>
      <c r="I152" s="51" t="e">
        <f ca="1">IF(ISBLANK(A152),NA(),IFERROR(SLOPE(INDIRECT("D" &amp; MATCH(A152-$C$1 / 24,A:A,1)):D152, INDIRECT("A" &amp; MATCH(A152-$C$1 / 24,A:A,1)):A152),NA()))</f>
        <v>#N/A</v>
      </c>
      <c r="J152" s="58" t="e">
        <f>IF(ISBLANK(A152),NA(),IFERROR(A152+(PLAYER_EXP_MAX-D152)/I152,NA()))</f>
        <v>#N/A</v>
      </c>
      <c r="K152" s="485" t="e">
        <f t="shared" ca="1" si="14"/>
        <v>#N/A</v>
      </c>
      <c r="L152" s="51" t="e">
        <f ca="1">IF(ISBLANK(A152),NA(),IFERROR(SLOPE(INDIRECT("D" &amp; MATCH(A152-$D$1 / 24,A:A,1)):D152, INDIRECT("A" &amp; MATCH(A152-$D$1 / 24,A:A,1)):A152),NA()))</f>
        <v>#N/A</v>
      </c>
      <c r="M152" s="58" t="e">
        <f>IF(ISBLANK(A152),NA(),IFERROR(A152+(PLAYER_EXP_MAX-D152)/L152,NA()))</f>
        <v>#N/A</v>
      </c>
      <c r="N152" s="485" t="e">
        <f t="shared" ca="1" si="15"/>
        <v>#N/A</v>
      </c>
    </row>
    <row r="153" spans="4:14" ht="14.65" customHeight="1" x14ac:dyDescent="0.25">
      <c r="D153" s="485" t="str">
        <f t="shared" si="12"/>
        <v>-</v>
      </c>
      <c r="E153" s="46" t="str">
        <f>IF(ISBLANK(A153),"-",D153/PLAYER_EXP_MAX)</f>
        <v>-</v>
      </c>
      <c r="F153" s="51" t="e">
        <f ca="1">IF(ISBLANK(A153),NA(),IFERROR(SLOPE(INDIRECT("D" &amp; MATCH(A153-$B$1 / 24,A:A,1)):D153, INDIRECT("A" &amp; MATCH(A153-$B$1 / 24,A:A,1)):A153),NA()))</f>
        <v>#N/A</v>
      </c>
      <c r="G153" s="58" t="e">
        <f>IF(ISBLANK(A153),NA(),IFERROR(A153+(PLAYER_EXP_MAX-D153)/F153,NA()))</f>
        <v>#N/A</v>
      </c>
      <c r="H153" s="485" t="e">
        <f t="shared" ca="1" si="13"/>
        <v>#N/A</v>
      </c>
      <c r="I153" s="51" t="e">
        <f ca="1">IF(ISBLANK(A153),NA(),IFERROR(SLOPE(INDIRECT("D" &amp; MATCH(A153-$C$1 / 24,A:A,1)):D153, INDIRECT("A" &amp; MATCH(A153-$C$1 / 24,A:A,1)):A153),NA()))</f>
        <v>#N/A</v>
      </c>
      <c r="J153" s="58" t="e">
        <f>IF(ISBLANK(A153),NA(),IFERROR(A153+(PLAYER_EXP_MAX-D153)/I153,NA()))</f>
        <v>#N/A</v>
      </c>
      <c r="K153" s="485" t="e">
        <f t="shared" ca="1" si="14"/>
        <v>#N/A</v>
      </c>
      <c r="L153" s="51" t="e">
        <f ca="1">IF(ISBLANK(A153),NA(),IFERROR(SLOPE(INDIRECT("D" &amp; MATCH(A153-$D$1 / 24,A:A,1)):D153, INDIRECT("A" &amp; MATCH(A153-$D$1 / 24,A:A,1)):A153),NA()))</f>
        <v>#N/A</v>
      </c>
      <c r="M153" s="58" t="e">
        <f>IF(ISBLANK(A153),NA(),IFERROR(A153+(PLAYER_EXP_MAX-D153)/L153,NA()))</f>
        <v>#N/A</v>
      </c>
      <c r="N153" s="485" t="e">
        <f t="shared" ca="1" si="15"/>
        <v>#N/A</v>
      </c>
    </row>
    <row r="154" spans="4:14" ht="14.65" customHeight="1" x14ac:dyDescent="0.25">
      <c r="D154" s="485" t="str">
        <f t="shared" si="12"/>
        <v>-</v>
      </c>
      <c r="E154" s="46" t="str">
        <f>IF(ISBLANK(A154),"-",D154/PLAYER_EXP_MAX)</f>
        <v>-</v>
      </c>
      <c r="F154" s="51" t="e">
        <f ca="1">IF(ISBLANK(A154),NA(),IFERROR(SLOPE(INDIRECT("D" &amp; MATCH(A154-$B$1 / 24,A:A,1)):D154, INDIRECT("A" &amp; MATCH(A154-$B$1 / 24,A:A,1)):A154),NA()))</f>
        <v>#N/A</v>
      </c>
      <c r="G154" s="58" t="e">
        <f>IF(ISBLANK(A154),NA(),IFERROR(A154+(PLAYER_EXP_MAX-D154)/F154,NA()))</f>
        <v>#N/A</v>
      </c>
      <c r="H154" s="485" t="e">
        <f t="shared" ca="1" si="13"/>
        <v>#N/A</v>
      </c>
      <c r="I154" s="51" t="e">
        <f ca="1">IF(ISBLANK(A154),NA(),IFERROR(SLOPE(INDIRECT("D" &amp; MATCH(A154-$C$1 / 24,A:A,1)):D154, INDIRECT("A" &amp; MATCH(A154-$C$1 / 24,A:A,1)):A154),NA()))</f>
        <v>#N/A</v>
      </c>
      <c r="J154" s="58" t="e">
        <f>IF(ISBLANK(A154),NA(),IFERROR(A154+(PLAYER_EXP_MAX-D154)/I154,NA()))</f>
        <v>#N/A</v>
      </c>
      <c r="K154" s="485" t="e">
        <f t="shared" ca="1" si="14"/>
        <v>#N/A</v>
      </c>
      <c r="L154" s="51" t="e">
        <f ca="1">IF(ISBLANK(A154),NA(),IFERROR(SLOPE(INDIRECT("D" &amp; MATCH(A154-$D$1 / 24,A:A,1)):D154, INDIRECT("A" &amp; MATCH(A154-$D$1 / 24,A:A,1)):A154),NA()))</f>
        <v>#N/A</v>
      </c>
      <c r="M154" s="58" t="e">
        <f>IF(ISBLANK(A154),NA(),IFERROR(A154+(PLAYER_EXP_MAX-D154)/L154,NA()))</f>
        <v>#N/A</v>
      </c>
      <c r="N154" s="485" t="e">
        <f t="shared" ca="1" si="15"/>
        <v>#N/A</v>
      </c>
    </row>
    <row r="155" spans="4:14" ht="14.65" customHeight="1" x14ac:dyDescent="0.25">
      <c r="D155" s="485" t="str">
        <f t="shared" si="12"/>
        <v>-</v>
      </c>
      <c r="E155" s="46" t="str">
        <f>IF(ISBLANK(A155),"-",D155/PLAYER_EXP_MAX)</f>
        <v>-</v>
      </c>
      <c r="F155" s="51" t="e">
        <f ca="1">IF(ISBLANK(A155),NA(),IFERROR(SLOPE(INDIRECT("D" &amp; MATCH(A155-$B$1 / 24,A:A,1)):D155, INDIRECT("A" &amp; MATCH(A155-$B$1 / 24,A:A,1)):A155),NA()))</f>
        <v>#N/A</v>
      </c>
      <c r="G155" s="58" t="e">
        <f>IF(ISBLANK(A155),NA(),IFERROR(A155+(PLAYER_EXP_MAX-D155)/F155,NA()))</f>
        <v>#N/A</v>
      </c>
      <c r="H155" s="485" t="e">
        <f t="shared" ca="1" si="13"/>
        <v>#N/A</v>
      </c>
      <c r="I155" s="51" t="e">
        <f ca="1">IF(ISBLANK(A155),NA(),IFERROR(SLOPE(INDIRECT("D" &amp; MATCH(A155-$C$1 / 24,A:A,1)):D155, INDIRECT("A" &amp; MATCH(A155-$C$1 / 24,A:A,1)):A155),NA()))</f>
        <v>#N/A</v>
      </c>
      <c r="J155" s="58" t="e">
        <f>IF(ISBLANK(A155),NA(),IFERROR(A155+(PLAYER_EXP_MAX-D155)/I155,NA()))</f>
        <v>#N/A</v>
      </c>
      <c r="K155" s="485" t="e">
        <f t="shared" ca="1" si="14"/>
        <v>#N/A</v>
      </c>
      <c r="L155" s="51" t="e">
        <f ca="1">IF(ISBLANK(A155),NA(),IFERROR(SLOPE(INDIRECT("D" &amp; MATCH(A155-$D$1 / 24,A:A,1)):D155, INDIRECT("A" &amp; MATCH(A155-$D$1 / 24,A:A,1)):A155),NA()))</f>
        <v>#N/A</v>
      </c>
      <c r="M155" s="58" t="e">
        <f>IF(ISBLANK(A155),NA(),IFERROR(A155+(PLAYER_EXP_MAX-D155)/L155,NA()))</f>
        <v>#N/A</v>
      </c>
      <c r="N155" s="485" t="e">
        <f t="shared" ca="1" si="15"/>
        <v>#N/A</v>
      </c>
    </row>
    <row r="156" spans="4:14" ht="14.65" customHeight="1" x14ac:dyDescent="0.25">
      <c r="D156" s="485" t="str">
        <f t="shared" si="12"/>
        <v>-</v>
      </c>
      <c r="E156" s="46" t="str">
        <f>IF(ISBLANK(A156),"-",D156/PLAYER_EXP_MAX)</f>
        <v>-</v>
      </c>
      <c r="F156" s="51" t="e">
        <f ca="1">IF(ISBLANK(A156),NA(),IFERROR(SLOPE(INDIRECT("D" &amp; MATCH(A156-$B$1 / 24,A:A,1)):D156, INDIRECT("A" &amp; MATCH(A156-$B$1 / 24,A:A,1)):A156),NA()))</f>
        <v>#N/A</v>
      </c>
      <c r="G156" s="58" t="e">
        <f>IF(ISBLANK(A156),NA(),IFERROR(A156+(PLAYER_EXP_MAX-D156)/F156,NA()))</f>
        <v>#N/A</v>
      </c>
      <c r="H156" s="485" t="e">
        <f t="shared" ca="1" si="13"/>
        <v>#N/A</v>
      </c>
      <c r="I156" s="51" t="e">
        <f ca="1">IF(ISBLANK(A156),NA(),IFERROR(SLOPE(INDIRECT("D" &amp; MATCH(A156-$C$1 / 24,A:A,1)):D156, INDIRECT("A" &amp; MATCH(A156-$C$1 / 24,A:A,1)):A156),NA()))</f>
        <v>#N/A</v>
      </c>
      <c r="J156" s="58" t="e">
        <f>IF(ISBLANK(A156),NA(),IFERROR(A156+(PLAYER_EXP_MAX-D156)/I156,NA()))</f>
        <v>#N/A</v>
      </c>
      <c r="K156" s="485" t="e">
        <f t="shared" ca="1" si="14"/>
        <v>#N/A</v>
      </c>
      <c r="L156" s="51" t="e">
        <f ca="1">IF(ISBLANK(A156),NA(),IFERROR(SLOPE(INDIRECT("D" &amp; MATCH(A156-$D$1 / 24,A:A,1)):D156, INDIRECT("A" &amp; MATCH(A156-$D$1 / 24,A:A,1)):A156),NA()))</f>
        <v>#N/A</v>
      </c>
      <c r="M156" s="58" t="e">
        <f>IF(ISBLANK(A156),NA(),IFERROR(A156+(PLAYER_EXP_MAX-D156)/L156,NA()))</f>
        <v>#N/A</v>
      </c>
      <c r="N156" s="485" t="e">
        <f t="shared" ca="1" si="15"/>
        <v>#N/A</v>
      </c>
    </row>
    <row r="157" spans="4:14" ht="14.65" customHeight="1" x14ac:dyDescent="0.25">
      <c r="D157" s="485" t="str">
        <f t="shared" si="12"/>
        <v>-</v>
      </c>
      <c r="E157" s="46" t="str">
        <f>IF(ISBLANK(A157),"-",D157/PLAYER_EXP_MAX)</f>
        <v>-</v>
      </c>
      <c r="F157" s="51" t="e">
        <f ca="1">IF(ISBLANK(A157),NA(),IFERROR(SLOPE(INDIRECT("D" &amp; MATCH(A157-$B$1 / 24,A:A,1)):D157, INDIRECT("A" &amp; MATCH(A157-$B$1 / 24,A:A,1)):A157),NA()))</f>
        <v>#N/A</v>
      </c>
      <c r="G157" s="58" t="e">
        <f>IF(ISBLANK(A157),NA(),IFERROR(A157+(PLAYER_EXP_MAX-D157)/F157,NA()))</f>
        <v>#N/A</v>
      </c>
      <c r="H157" s="485" t="e">
        <f t="shared" ca="1" si="13"/>
        <v>#N/A</v>
      </c>
      <c r="I157" s="51" t="e">
        <f ca="1">IF(ISBLANK(A157),NA(),IFERROR(SLOPE(INDIRECT("D" &amp; MATCH(A157-$C$1 / 24,A:A,1)):D157, INDIRECT("A" &amp; MATCH(A157-$C$1 / 24,A:A,1)):A157),NA()))</f>
        <v>#N/A</v>
      </c>
      <c r="J157" s="58" t="e">
        <f>IF(ISBLANK(A157),NA(),IFERROR(A157+(PLAYER_EXP_MAX-D157)/I157,NA()))</f>
        <v>#N/A</v>
      </c>
      <c r="K157" s="485" t="e">
        <f t="shared" ca="1" si="14"/>
        <v>#N/A</v>
      </c>
      <c r="L157" s="51" t="e">
        <f ca="1">IF(ISBLANK(A157),NA(),IFERROR(SLOPE(INDIRECT("D" &amp; MATCH(A157-$D$1 / 24,A:A,1)):D157, INDIRECT("A" &amp; MATCH(A157-$D$1 / 24,A:A,1)):A157),NA()))</f>
        <v>#N/A</v>
      </c>
      <c r="M157" s="58" t="e">
        <f>IF(ISBLANK(A157),NA(),IFERROR(A157+(PLAYER_EXP_MAX-D157)/L157,NA()))</f>
        <v>#N/A</v>
      </c>
      <c r="N157" s="485" t="e">
        <f t="shared" ca="1" si="15"/>
        <v>#N/A</v>
      </c>
    </row>
    <row r="158" spans="4:14" ht="14.65" customHeight="1" x14ac:dyDescent="0.25">
      <c r="D158" s="485" t="str">
        <f t="shared" si="12"/>
        <v>-</v>
      </c>
      <c r="E158" s="46" t="str">
        <f>IF(ISBLANK(A158),"-",D158/PLAYER_EXP_MAX)</f>
        <v>-</v>
      </c>
      <c r="F158" s="51" t="e">
        <f ca="1">IF(ISBLANK(A158),NA(),IFERROR(SLOPE(INDIRECT("D" &amp; MATCH(A158-$B$1 / 24,A:A,1)):D158, INDIRECT("A" &amp; MATCH(A158-$B$1 / 24,A:A,1)):A158),NA()))</f>
        <v>#N/A</v>
      </c>
      <c r="G158" s="58" t="e">
        <f>IF(ISBLANK(A158),NA(),IFERROR(A158+(PLAYER_EXP_MAX-D158)/F158,NA()))</f>
        <v>#N/A</v>
      </c>
      <c r="H158" s="485" t="e">
        <f t="shared" ca="1" si="13"/>
        <v>#N/A</v>
      </c>
      <c r="I158" s="51" t="e">
        <f ca="1">IF(ISBLANK(A158),NA(),IFERROR(SLOPE(INDIRECT("D" &amp; MATCH(A158-$C$1 / 24,A:A,1)):D158, INDIRECT("A" &amp; MATCH(A158-$C$1 / 24,A:A,1)):A158),NA()))</f>
        <v>#N/A</v>
      </c>
      <c r="J158" s="58" t="e">
        <f>IF(ISBLANK(A158),NA(),IFERROR(A158+(PLAYER_EXP_MAX-D158)/I158,NA()))</f>
        <v>#N/A</v>
      </c>
      <c r="K158" s="485" t="e">
        <f t="shared" ca="1" si="14"/>
        <v>#N/A</v>
      </c>
      <c r="L158" s="51" t="e">
        <f ca="1">IF(ISBLANK(A158),NA(),IFERROR(SLOPE(INDIRECT("D" &amp; MATCH(A158-$D$1 / 24,A:A,1)):D158, INDIRECT("A" &amp; MATCH(A158-$D$1 / 24,A:A,1)):A158),NA()))</f>
        <v>#N/A</v>
      </c>
      <c r="M158" s="58" t="e">
        <f>IF(ISBLANK(A158),NA(),IFERROR(A158+(PLAYER_EXP_MAX-D158)/L158,NA()))</f>
        <v>#N/A</v>
      </c>
      <c r="N158" s="485" t="e">
        <f t="shared" ca="1" si="15"/>
        <v>#N/A</v>
      </c>
    </row>
    <row r="159" spans="4:14" ht="14.65" customHeight="1" x14ac:dyDescent="0.25">
      <c r="D159" s="485" t="str">
        <f t="shared" si="12"/>
        <v>-</v>
      </c>
      <c r="E159" s="46" t="str">
        <f>IF(ISBLANK(A159),"-",D159/PLAYER_EXP_MAX)</f>
        <v>-</v>
      </c>
      <c r="F159" s="51" t="e">
        <f ca="1">IF(ISBLANK(A159),NA(),IFERROR(SLOPE(INDIRECT("D" &amp; MATCH(A159-$B$1 / 24,A:A,1)):D159, INDIRECT("A" &amp; MATCH(A159-$B$1 / 24,A:A,1)):A159),NA()))</f>
        <v>#N/A</v>
      </c>
      <c r="G159" s="58" t="e">
        <f>IF(ISBLANK(A159),NA(),IFERROR(A159+(PLAYER_EXP_MAX-D159)/F159,NA()))</f>
        <v>#N/A</v>
      </c>
      <c r="H159" s="485" t="e">
        <f t="shared" ca="1" si="13"/>
        <v>#N/A</v>
      </c>
      <c r="I159" s="51" t="e">
        <f ca="1">IF(ISBLANK(A159),NA(),IFERROR(SLOPE(INDIRECT("D" &amp; MATCH(A159-$C$1 / 24,A:A,1)):D159, INDIRECT("A" &amp; MATCH(A159-$C$1 / 24,A:A,1)):A159),NA()))</f>
        <v>#N/A</v>
      </c>
      <c r="J159" s="58" t="e">
        <f>IF(ISBLANK(A159),NA(),IFERROR(A159+(PLAYER_EXP_MAX-D159)/I159,NA()))</f>
        <v>#N/A</v>
      </c>
      <c r="K159" s="485" t="e">
        <f t="shared" ca="1" si="14"/>
        <v>#N/A</v>
      </c>
      <c r="L159" s="51" t="e">
        <f ca="1">IF(ISBLANK(A159),NA(),IFERROR(SLOPE(INDIRECT("D" &amp; MATCH(A159-$D$1 / 24,A:A,1)):D159, INDIRECT("A" &amp; MATCH(A159-$D$1 / 24,A:A,1)):A159),NA()))</f>
        <v>#N/A</v>
      </c>
      <c r="M159" s="58" t="e">
        <f>IF(ISBLANK(A159),NA(),IFERROR(A159+(PLAYER_EXP_MAX-D159)/L159,NA()))</f>
        <v>#N/A</v>
      </c>
      <c r="N159" s="485" t="e">
        <f t="shared" ca="1" si="15"/>
        <v>#N/A</v>
      </c>
    </row>
    <row r="160" spans="4:14" ht="14.65" customHeight="1" x14ac:dyDescent="0.25">
      <c r="D160" s="485" t="str">
        <f t="shared" si="12"/>
        <v>-</v>
      </c>
      <c r="E160" s="46" t="str">
        <f>IF(ISBLANK(A160),"-",D160/PLAYER_EXP_MAX)</f>
        <v>-</v>
      </c>
      <c r="F160" s="51" t="e">
        <f ca="1">IF(ISBLANK(A160),NA(),IFERROR(SLOPE(INDIRECT("D" &amp; MATCH(A160-$B$1 / 24,A:A,1)):D160, INDIRECT("A" &amp; MATCH(A160-$B$1 / 24,A:A,1)):A160),NA()))</f>
        <v>#N/A</v>
      </c>
      <c r="G160" s="58" t="e">
        <f>IF(ISBLANK(A160),NA(),IFERROR(A160+(PLAYER_EXP_MAX-D160)/F160,NA()))</f>
        <v>#N/A</v>
      </c>
      <c r="H160" s="485" t="e">
        <f t="shared" ca="1" si="13"/>
        <v>#N/A</v>
      </c>
      <c r="I160" s="51" t="e">
        <f ca="1">IF(ISBLANK(A160),NA(),IFERROR(SLOPE(INDIRECT("D" &amp; MATCH(A160-$C$1 / 24,A:A,1)):D160, INDIRECT("A" &amp; MATCH(A160-$C$1 / 24,A:A,1)):A160),NA()))</f>
        <v>#N/A</v>
      </c>
      <c r="J160" s="58" t="e">
        <f>IF(ISBLANK(A160),NA(),IFERROR(A160+(PLAYER_EXP_MAX-D160)/I160,NA()))</f>
        <v>#N/A</v>
      </c>
      <c r="K160" s="485" t="e">
        <f t="shared" ca="1" si="14"/>
        <v>#N/A</v>
      </c>
      <c r="L160" s="51" t="e">
        <f ca="1">IF(ISBLANK(A160),NA(),IFERROR(SLOPE(INDIRECT("D" &amp; MATCH(A160-$D$1 / 24,A:A,1)):D160, INDIRECT("A" &amp; MATCH(A160-$D$1 / 24,A:A,1)):A160),NA()))</f>
        <v>#N/A</v>
      </c>
      <c r="M160" s="58" t="e">
        <f>IF(ISBLANK(A160),NA(),IFERROR(A160+(PLAYER_EXP_MAX-D160)/L160,NA()))</f>
        <v>#N/A</v>
      </c>
      <c r="N160" s="485" t="e">
        <f t="shared" ca="1" si="15"/>
        <v>#N/A</v>
      </c>
    </row>
    <row r="161" spans="4:14" ht="14.65" customHeight="1" x14ac:dyDescent="0.25">
      <c r="D161" s="485" t="str">
        <f t="shared" si="12"/>
        <v>-</v>
      </c>
      <c r="E161" s="46" t="str">
        <f>IF(ISBLANK(A161),"-",D161/PLAYER_EXP_MAX)</f>
        <v>-</v>
      </c>
      <c r="F161" s="51" t="e">
        <f ca="1">IF(ISBLANK(A161),NA(),IFERROR(SLOPE(INDIRECT("D" &amp; MATCH(A161-$B$1 / 24,A:A,1)):D161, INDIRECT("A" &amp; MATCH(A161-$B$1 / 24,A:A,1)):A161),NA()))</f>
        <v>#N/A</v>
      </c>
      <c r="G161" s="58" t="e">
        <f>IF(ISBLANK(A161),NA(),IFERROR(A161+(PLAYER_EXP_MAX-D161)/F161,NA()))</f>
        <v>#N/A</v>
      </c>
      <c r="H161" s="485" t="e">
        <f t="shared" ca="1" si="13"/>
        <v>#N/A</v>
      </c>
      <c r="I161" s="51" t="e">
        <f ca="1">IF(ISBLANK(A161),NA(),IFERROR(SLOPE(INDIRECT("D" &amp; MATCH(A161-$C$1 / 24,A:A,1)):D161, INDIRECT("A" &amp; MATCH(A161-$C$1 / 24,A:A,1)):A161),NA()))</f>
        <v>#N/A</v>
      </c>
      <c r="J161" s="58" t="e">
        <f>IF(ISBLANK(A161),NA(),IFERROR(A161+(PLAYER_EXP_MAX-D161)/I161,NA()))</f>
        <v>#N/A</v>
      </c>
      <c r="K161" s="485" t="e">
        <f t="shared" ca="1" si="14"/>
        <v>#N/A</v>
      </c>
      <c r="L161" s="51" t="e">
        <f ca="1">IF(ISBLANK(A161),NA(),IFERROR(SLOPE(INDIRECT("D" &amp; MATCH(A161-$D$1 / 24,A:A,1)):D161, INDIRECT("A" &amp; MATCH(A161-$D$1 / 24,A:A,1)):A161),NA()))</f>
        <v>#N/A</v>
      </c>
      <c r="M161" s="58" t="e">
        <f>IF(ISBLANK(A161),NA(),IFERROR(A161+(PLAYER_EXP_MAX-D161)/L161,NA()))</f>
        <v>#N/A</v>
      </c>
      <c r="N161" s="485" t="e">
        <f t="shared" ca="1" si="15"/>
        <v>#N/A</v>
      </c>
    </row>
    <row r="162" spans="4:14" ht="14.65" customHeight="1" x14ac:dyDescent="0.25">
      <c r="D162" s="485" t="str">
        <f t="shared" si="12"/>
        <v>-</v>
      </c>
      <c r="E162" s="46" t="str">
        <f>IF(ISBLANK(A162),"-",D162/PLAYER_EXP_MAX)</f>
        <v>-</v>
      </c>
      <c r="F162" s="51" t="e">
        <f ca="1">IF(ISBLANK(A162),NA(),IFERROR(SLOPE(INDIRECT("D" &amp; MATCH(A162-$B$1 / 24,A:A,1)):D162, INDIRECT("A" &amp; MATCH(A162-$B$1 / 24,A:A,1)):A162),NA()))</f>
        <v>#N/A</v>
      </c>
      <c r="G162" s="58" t="e">
        <f>IF(ISBLANK(A162),NA(),IFERROR(A162+(PLAYER_EXP_MAX-D162)/F162,NA()))</f>
        <v>#N/A</v>
      </c>
      <c r="H162" s="485" t="e">
        <f t="shared" ca="1" si="13"/>
        <v>#N/A</v>
      </c>
      <c r="I162" s="51" t="e">
        <f ca="1">IF(ISBLANK(A162),NA(),IFERROR(SLOPE(INDIRECT("D" &amp; MATCH(A162-$C$1 / 24,A:A,1)):D162, INDIRECT("A" &amp; MATCH(A162-$C$1 / 24,A:A,1)):A162),NA()))</f>
        <v>#N/A</v>
      </c>
      <c r="J162" s="58" t="e">
        <f>IF(ISBLANK(A162),NA(),IFERROR(A162+(PLAYER_EXP_MAX-D162)/I162,NA()))</f>
        <v>#N/A</v>
      </c>
      <c r="K162" s="485" t="e">
        <f t="shared" ca="1" si="14"/>
        <v>#N/A</v>
      </c>
      <c r="L162" s="51" t="e">
        <f ca="1">IF(ISBLANK(A162),NA(),IFERROR(SLOPE(INDIRECT("D" &amp; MATCH(A162-$D$1 / 24,A:A,1)):D162, INDIRECT("A" &amp; MATCH(A162-$D$1 / 24,A:A,1)):A162),NA()))</f>
        <v>#N/A</v>
      </c>
      <c r="M162" s="58" t="e">
        <f>IF(ISBLANK(A162),NA(),IFERROR(A162+(PLAYER_EXP_MAX-D162)/L162,NA()))</f>
        <v>#N/A</v>
      </c>
      <c r="N162" s="485" t="e">
        <f t="shared" ca="1" si="15"/>
        <v>#N/A</v>
      </c>
    </row>
    <row r="163" spans="4:14" ht="14.65" customHeight="1" x14ac:dyDescent="0.25">
      <c r="D163" s="485" t="str">
        <f t="shared" si="12"/>
        <v>-</v>
      </c>
      <c r="E163" s="46" t="str">
        <f>IF(ISBLANK(A163),"-",D163/PLAYER_EXP_MAX)</f>
        <v>-</v>
      </c>
      <c r="F163" s="51" t="e">
        <f ca="1">IF(ISBLANK(A163),NA(),IFERROR(SLOPE(INDIRECT("D" &amp; MATCH(A163-$B$1 / 24,A:A,1)):D163, INDIRECT("A" &amp; MATCH(A163-$B$1 / 24,A:A,1)):A163),NA()))</f>
        <v>#N/A</v>
      </c>
      <c r="G163" s="58" t="e">
        <f>IF(ISBLANK(A163),NA(),IFERROR(A163+(PLAYER_EXP_MAX-D163)/F163,NA()))</f>
        <v>#N/A</v>
      </c>
      <c r="H163" s="485" t="e">
        <f t="shared" ca="1" si="13"/>
        <v>#N/A</v>
      </c>
      <c r="I163" s="51" t="e">
        <f ca="1">IF(ISBLANK(A163),NA(),IFERROR(SLOPE(INDIRECT("D" &amp; MATCH(A163-$C$1 / 24,A:A,1)):D163, INDIRECT("A" &amp; MATCH(A163-$C$1 / 24,A:A,1)):A163),NA()))</f>
        <v>#N/A</v>
      </c>
      <c r="J163" s="58" t="e">
        <f>IF(ISBLANK(A163),NA(),IFERROR(A163+(PLAYER_EXP_MAX-D163)/I163,NA()))</f>
        <v>#N/A</v>
      </c>
      <c r="K163" s="485" t="e">
        <f t="shared" ca="1" si="14"/>
        <v>#N/A</v>
      </c>
      <c r="L163" s="51" t="e">
        <f ca="1">IF(ISBLANK(A163),NA(),IFERROR(SLOPE(INDIRECT("D" &amp; MATCH(A163-$D$1 / 24,A:A,1)):D163, INDIRECT("A" &amp; MATCH(A163-$D$1 / 24,A:A,1)):A163),NA()))</f>
        <v>#N/A</v>
      </c>
      <c r="M163" s="58" t="e">
        <f>IF(ISBLANK(A163),NA(),IFERROR(A163+(PLAYER_EXP_MAX-D163)/L163,NA()))</f>
        <v>#N/A</v>
      </c>
      <c r="N163" s="485" t="e">
        <f t="shared" ca="1" si="15"/>
        <v>#N/A</v>
      </c>
    </row>
    <row r="164" spans="4:14" ht="14.65" customHeight="1" x14ac:dyDescent="0.25">
      <c r="D164" s="485" t="str">
        <f t="shared" si="12"/>
        <v>-</v>
      </c>
      <c r="E164" s="46" t="str">
        <f>IF(ISBLANK(A164),"-",D164/PLAYER_EXP_MAX)</f>
        <v>-</v>
      </c>
      <c r="F164" s="51" t="e">
        <f ca="1">IF(ISBLANK(A164),NA(),IFERROR(SLOPE(INDIRECT("D" &amp; MATCH(A164-$B$1 / 24,A:A,1)):D164, INDIRECT("A" &amp; MATCH(A164-$B$1 / 24,A:A,1)):A164),NA()))</f>
        <v>#N/A</v>
      </c>
      <c r="G164" s="58" t="e">
        <f>IF(ISBLANK(A164),NA(),IFERROR(A164+(PLAYER_EXP_MAX-D164)/F164,NA()))</f>
        <v>#N/A</v>
      </c>
      <c r="H164" s="485" t="e">
        <f t="shared" ca="1" si="13"/>
        <v>#N/A</v>
      </c>
      <c r="I164" s="51" t="e">
        <f ca="1">IF(ISBLANK(A164),NA(),IFERROR(SLOPE(INDIRECT("D" &amp; MATCH(A164-$C$1 / 24,A:A,1)):D164, INDIRECT("A" &amp; MATCH(A164-$C$1 / 24,A:A,1)):A164),NA()))</f>
        <v>#N/A</v>
      </c>
      <c r="J164" s="58" t="e">
        <f>IF(ISBLANK(A164),NA(),IFERROR(A164+(PLAYER_EXP_MAX-D164)/I164,NA()))</f>
        <v>#N/A</v>
      </c>
      <c r="K164" s="485" t="e">
        <f t="shared" ca="1" si="14"/>
        <v>#N/A</v>
      </c>
      <c r="L164" s="51" t="e">
        <f ca="1">IF(ISBLANK(A164),NA(),IFERROR(SLOPE(INDIRECT("D" &amp; MATCH(A164-$D$1 / 24,A:A,1)):D164, INDIRECT("A" &amp; MATCH(A164-$D$1 / 24,A:A,1)):A164),NA()))</f>
        <v>#N/A</v>
      </c>
      <c r="M164" s="58" t="e">
        <f>IF(ISBLANK(A164),NA(),IFERROR(A164+(PLAYER_EXP_MAX-D164)/L164,NA()))</f>
        <v>#N/A</v>
      </c>
      <c r="N164" s="485" t="e">
        <f t="shared" ca="1" si="15"/>
        <v>#N/A</v>
      </c>
    </row>
    <row r="165" spans="4:14" ht="14.65" customHeight="1" x14ac:dyDescent="0.25">
      <c r="D165" s="485" t="str">
        <f t="shared" si="12"/>
        <v>-</v>
      </c>
      <c r="E165" s="46" t="str">
        <f>IF(ISBLANK(A165),"-",D165/PLAYER_EXP_MAX)</f>
        <v>-</v>
      </c>
      <c r="F165" s="51" t="e">
        <f ca="1">IF(ISBLANK(A165),NA(),IFERROR(SLOPE(INDIRECT("D" &amp; MATCH(A165-$B$1 / 24,A:A,1)):D165, INDIRECT("A" &amp; MATCH(A165-$B$1 / 24,A:A,1)):A165),NA()))</f>
        <v>#N/A</v>
      </c>
      <c r="G165" s="58" t="e">
        <f>IF(ISBLANK(A165),NA(),IFERROR(A165+(PLAYER_EXP_MAX-D165)/F165,NA()))</f>
        <v>#N/A</v>
      </c>
      <c r="H165" s="485" t="e">
        <f t="shared" ca="1" si="13"/>
        <v>#N/A</v>
      </c>
      <c r="I165" s="51" t="e">
        <f ca="1">IF(ISBLANK(A165),NA(),IFERROR(SLOPE(INDIRECT("D" &amp; MATCH(A165-$C$1 / 24,A:A,1)):D165, INDIRECT("A" &amp; MATCH(A165-$C$1 / 24,A:A,1)):A165),NA()))</f>
        <v>#N/A</v>
      </c>
      <c r="J165" s="58" t="e">
        <f>IF(ISBLANK(A165),NA(),IFERROR(A165+(PLAYER_EXP_MAX-D165)/I165,NA()))</f>
        <v>#N/A</v>
      </c>
      <c r="K165" s="485" t="e">
        <f t="shared" ca="1" si="14"/>
        <v>#N/A</v>
      </c>
      <c r="L165" s="51" t="e">
        <f ca="1">IF(ISBLANK(A165),NA(),IFERROR(SLOPE(INDIRECT("D" &amp; MATCH(A165-$D$1 / 24,A:A,1)):D165, INDIRECT("A" &amp; MATCH(A165-$D$1 / 24,A:A,1)):A165),NA()))</f>
        <v>#N/A</v>
      </c>
      <c r="M165" s="58" t="e">
        <f>IF(ISBLANK(A165),NA(),IFERROR(A165+(PLAYER_EXP_MAX-D165)/L165,NA()))</f>
        <v>#N/A</v>
      </c>
      <c r="N165" s="485" t="e">
        <f t="shared" ca="1" si="15"/>
        <v>#N/A</v>
      </c>
    </row>
    <row r="166" spans="4:14" ht="14.65" customHeight="1" x14ac:dyDescent="0.25">
      <c r="D166" s="485" t="str">
        <f t="shared" si="12"/>
        <v>-</v>
      </c>
      <c r="E166" s="46" t="str">
        <f>IF(ISBLANK(A166),"-",D166/PLAYER_EXP_MAX)</f>
        <v>-</v>
      </c>
      <c r="F166" s="51" t="e">
        <f ca="1">IF(ISBLANK(A166),NA(),IFERROR(SLOPE(INDIRECT("D" &amp; MATCH(A166-$B$1 / 24,A:A,1)):D166, INDIRECT("A" &amp; MATCH(A166-$B$1 / 24,A:A,1)):A166),NA()))</f>
        <v>#N/A</v>
      </c>
      <c r="G166" s="58" t="e">
        <f>IF(ISBLANK(A166),NA(),IFERROR(A166+(PLAYER_EXP_MAX-D166)/F166,NA()))</f>
        <v>#N/A</v>
      </c>
      <c r="H166" s="485" t="e">
        <f t="shared" ca="1" si="13"/>
        <v>#N/A</v>
      </c>
      <c r="I166" s="51" t="e">
        <f ca="1">IF(ISBLANK(A166),NA(),IFERROR(SLOPE(INDIRECT("D" &amp; MATCH(A166-$C$1 / 24,A:A,1)):D166, INDIRECT("A" &amp; MATCH(A166-$C$1 / 24,A:A,1)):A166),NA()))</f>
        <v>#N/A</v>
      </c>
      <c r="J166" s="58" t="e">
        <f>IF(ISBLANK(A166),NA(),IFERROR(A166+(PLAYER_EXP_MAX-D166)/I166,NA()))</f>
        <v>#N/A</v>
      </c>
      <c r="K166" s="485" t="e">
        <f t="shared" ca="1" si="14"/>
        <v>#N/A</v>
      </c>
      <c r="L166" s="51" t="e">
        <f ca="1">IF(ISBLANK(A166),NA(),IFERROR(SLOPE(INDIRECT("D" &amp; MATCH(A166-$D$1 / 24,A:A,1)):D166, INDIRECT("A" &amp; MATCH(A166-$D$1 / 24,A:A,1)):A166),NA()))</f>
        <v>#N/A</v>
      </c>
      <c r="M166" s="58" t="e">
        <f>IF(ISBLANK(A166),NA(),IFERROR(A166+(PLAYER_EXP_MAX-D166)/L166,NA()))</f>
        <v>#N/A</v>
      </c>
      <c r="N166" s="485" t="e">
        <f t="shared" ca="1" si="15"/>
        <v>#N/A</v>
      </c>
    </row>
    <row r="167" spans="4:14" ht="14.65" customHeight="1" x14ac:dyDescent="0.25">
      <c r="D167" s="485" t="str">
        <f t="shared" si="12"/>
        <v>-</v>
      </c>
      <c r="E167" s="46" t="str">
        <f>IF(ISBLANK(A167),"-",D167/PLAYER_EXP_MAX)</f>
        <v>-</v>
      </c>
      <c r="F167" s="51" t="e">
        <f ca="1">IF(ISBLANK(A167),NA(),IFERROR(SLOPE(INDIRECT("D" &amp; MATCH(A167-$B$1 / 24,A:A,1)):D167, INDIRECT("A" &amp; MATCH(A167-$B$1 / 24,A:A,1)):A167),NA()))</f>
        <v>#N/A</v>
      </c>
      <c r="G167" s="58" t="e">
        <f>IF(ISBLANK(A167),NA(),IFERROR(A167+(PLAYER_EXP_MAX-D167)/F167,NA()))</f>
        <v>#N/A</v>
      </c>
      <c r="H167" s="485" t="e">
        <f t="shared" ca="1" si="13"/>
        <v>#N/A</v>
      </c>
      <c r="I167" s="51" t="e">
        <f ca="1">IF(ISBLANK(A167),NA(),IFERROR(SLOPE(INDIRECT("D" &amp; MATCH(A167-$C$1 / 24,A:A,1)):D167, INDIRECT("A" &amp; MATCH(A167-$C$1 / 24,A:A,1)):A167),NA()))</f>
        <v>#N/A</v>
      </c>
      <c r="J167" s="58" t="e">
        <f>IF(ISBLANK(A167),NA(),IFERROR(A167+(PLAYER_EXP_MAX-D167)/I167,NA()))</f>
        <v>#N/A</v>
      </c>
      <c r="K167" s="485" t="e">
        <f t="shared" ca="1" si="14"/>
        <v>#N/A</v>
      </c>
      <c r="L167" s="51" t="e">
        <f ca="1">IF(ISBLANK(A167),NA(),IFERROR(SLOPE(INDIRECT("D" &amp; MATCH(A167-$D$1 / 24,A:A,1)):D167, INDIRECT("A" &amp; MATCH(A167-$D$1 / 24,A:A,1)):A167),NA()))</f>
        <v>#N/A</v>
      </c>
      <c r="M167" s="58" t="e">
        <f>IF(ISBLANK(A167),NA(),IFERROR(A167+(PLAYER_EXP_MAX-D167)/L167,NA()))</f>
        <v>#N/A</v>
      </c>
      <c r="N167" s="485" t="e">
        <f t="shared" ca="1" si="15"/>
        <v>#N/A</v>
      </c>
    </row>
    <row r="168" spans="4:14" ht="14.65" customHeight="1" x14ac:dyDescent="0.25">
      <c r="D168" s="485" t="str">
        <f t="shared" si="12"/>
        <v>-</v>
      </c>
      <c r="E168" s="46" t="str">
        <f>IF(ISBLANK(A168),"-",D168/PLAYER_EXP_MAX)</f>
        <v>-</v>
      </c>
      <c r="F168" s="51" t="e">
        <f ca="1">IF(ISBLANK(A168),NA(),IFERROR(SLOPE(INDIRECT("D" &amp; MATCH(A168-$B$1 / 24,A:A,1)):D168, INDIRECT("A" &amp; MATCH(A168-$B$1 / 24,A:A,1)):A168),NA()))</f>
        <v>#N/A</v>
      </c>
      <c r="G168" s="58" t="e">
        <f>IF(ISBLANK(A168),NA(),IFERROR(A168+(PLAYER_EXP_MAX-D168)/F168,NA()))</f>
        <v>#N/A</v>
      </c>
      <c r="H168" s="485" t="e">
        <f t="shared" ca="1" si="13"/>
        <v>#N/A</v>
      </c>
      <c r="I168" s="51" t="e">
        <f ca="1">IF(ISBLANK(A168),NA(),IFERROR(SLOPE(INDIRECT("D" &amp; MATCH(A168-$C$1 / 24,A:A,1)):D168, INDIRECT("A" &amp; MATCH(A168-$C$1 / 24,A:A,1)):A168),NA()))</f>
        <v>#N/A</v>
      </c>
      <c r="J168" s="58" t="e">
        <f>IF(ISBLANK(A168),NA(),IFERROR(A168+(PLAYER_EXP_MAX-D168)/I168,NA()))</f>
        <v>#N/A</v>
      </c>
      <c r="K168" s="485" t="e">
        <f t="shared" ca="1" si="14"/>
        <v>#N/A</v>
      </c>
      <c r="L168" s="51" t="e">
        <f ca="1">IF(ISBLANK(A168),NA(),IFERROR(SLOPE(INDIRECT("D" &amp; MATCH(A168-$D$1 / 24,A:A,1)):D168, INDIRECT("A" &amp; MATCH(A168-$D$1 / 24,A:A,1)):A168),NA()))</f>
        <v>#N/A</v>
      </c>
      <c r="M168" s="58" t="e">
        <f>IF(ISBLANK(A168),NA(),IFERROR(A168+(PLAYER_EXP_MAX-D168)/L168,NA()))</f>
        <v>#N/A</v>
      </c>
      <c r="N168" s="485" t="e">
        <f t="shared" ca="1" si="15"/>
        <v>#N/A</v>
      </c>
    </row>
    <row r="169" spans="4:14" ht="14.65" customHeight="1" x14ac:dyDescent="0.25">
      <c r="D169" s="485" t="str">
        <f t="shared" si="12"/>
        <v>-</v>
      </c>
      <c r="E169" s="46" t="str">
        <f>IF(ISBLANK(A169),"-",D169/PLAYER_EXP_MAX)</f>
        <v>-</v>
      </c>
      <c r="F169" s="51" t="e">
        <f ca="1">IF(ISBLANK(A169),NA(),IFERROR(SLOPE(INDIRECT("D" &amp; MATCH(A169-$B$1 / 24,A:A,1)):D169, INDIRECT("A" &amp; MATCH(A169-$B$1 / 24,A:A,1)):A169),NA()))</f>
        <v>#N/A</v>
      </c>
      <c r="G169" s="58" t="e">
        <f>IF(ISBLANK(A169),NA(),IFERROR(A169+(PLAYER_EXP_MAX-D169)/F169,NA()))</f>
        <v>#N/A</v>
      </c>
      <c r="H169" s="485" t="e">
        <f t="shared" ca="1" si="13"/>
        <v>#N/A</v>
      </c>
      <c r="I169" s="51" t="e">
        <f ca="1">IF(ISBLANK(A169),NA(),IFERROR(SLOPE(INDIRECT("D" &amp; MATCH(A169-$C$1 / 24,A:A,1)):D169, INDIRECT("A" &amp; MATCH(A169-$C$1 / 24,A:A,1)):A169),NA()))</f>
        <v>#N/A</v>
      </c>
      <c r="J169" s="58" t="e">
        <f>IF(ISBLANK(A169),NA(),IFERROR(A169+(PLAYER_EXP_MAX-D169)/I169,NA()))</f>
        <v>#N/A</v>
      </c>
      <c r="K169" s="485" t="e">
        <f t="shared" ca="1" si="14"/>
        <v>#N/A</v>
      </c>
      <c r="L169" s="51" t="e">
        <f ca="1">IF(ISBLANK(A169),NA(),IFERROR(SLOPE(INDIRECT("D" &amp; MATCH(A169-$D$1 / 24,A:A,1)):D169, INDIRECT("A" &amp; MATCH(A169-$D$1 / 24,A:A,1)):A169),NA()))</f>
        <v>#N/A</v>
      </c>
      <c r="M169" s="58" t="e">
        <f>IF(ISBLANK(A169),NA(),IFERROR(A169+(PLAYER_EXP_MAX-D169)/L169,NA()))</f>
        <v>#N/A</v>
      </c>
      <c r="N169" s="485" t="e">
        <f t="shared" ca="1" si="15"/>
        <v>#N/A</v>
      </c>
    </row>
    <row r="170" spans="4:14" ht="14.65" customHeight="1" x14ac:dyDescent="0.25">
      <c r="D170" s="485" t="str">
        <f t="shared" si="12"/>
        <v>-</v>
      </c>
      <c r="E170" s="46" t="str">
        <f>IF(ISBLANK(A170),"-",D170/PLAYER_EXP_MAX)</f>
        <v>-</v>
      </c>
      <c r="F170" s="51" t="e">
        <f ca="1">IF(ISBLANK(A170),NA(),IFERROR(SLOPE(INDIRECT("D" &amp; MATCH(A170-$B$1 / 24,A:A,1)):D170, INDIRECT("A" &amp; MATCH(A170-$B$1 / 24,A:A,1)):A170),NA()))</f>
        <v>#N/A</v>
      </c>
      <c r="G170" s="58" t="e">
        <f>IF(ISBLANK(A170),NA(),IFERROR(A170+(PLAYER_EXP_MAX-D170)/F170,NA()))</f>
        <v>#N/A</v>
      </c>
      <c r="H170" s="485" t="e">
        <f t="shared" ca="1" si="13"/>
        <v>#N/A</v>
      </c>
      <c r="I170" s="51" t="e">
        <f ca="1">IF(ISBLANK(A170),NA(),IFERROR(SLOPE(INDIRECT("D" &amp; MATCH(A170-$C$1 / 24,A:A,1)):D170, INDIRECT("A" &amp; MATCH(A170-$C$1 / 24,A:A,1)):A170),NA()))</f>
        <v>#N/A</v>
      </c>
      <c r="J170" s="58" t="e">
        <f>IF(ISBLANK(A170),NA(),IFERROR(A170+(PLAYER_EXP_MAX-D170)/I170,NA()))</f>
        <v>#N/A</v>
      </c>
      <c r="K170" s="485" t="e">
        <f t="shared" ca="1" si="14"/>
        <v>#N/A</v>
      </c>
      <c r="L170" s="51" t="e">
        <f ca="1">IF(ISBLANK(A170),NA(),IFERROR(SLOPE(INDIRECT("D" &amp; MATCH(A170-$D$1 / 24,A:A,1)):D170, INDIRECT("A" &amp; MATCH(A170-$D$1 / 24,A:A,1)):A170),NA()))</f>
        <v>#N/A</v>
      </c>
      <c r="M170" s="58" t="e">
        <f>IF(ISBLANK(A170),NA(),IFERROR(A170+(PLAYER_EXP_MAX-D170)/L170,NA()))</f>
        <v>#N/A</v>
      </c>
      <c r="N170" s="485" t="e">
        <f t="shared" ca="1" si="15"/>
        <v>#N/A</v>
      </c>
    </row>
    <row r="171" spans="4:14" ht="14.65" customHeight="1" x14ac:dyDescent="0.25">
      <c r="D171" s="485" t="str">
        <f t="shared" si="12"/>
        <v>-</v>
      </c>
      <c r="E171" s="46" t="str">
        <f>IF(ISBLANK(A171),"-",D171/PLAYER_EXP_MAX)</f>
        <v>-</v>
      </c>
      <c r="F171" s="51" t="e">
        <f ca="1">IF(ISBLANK(A171),NA(),IFERROR(SLOPE(INDIRECT("D" &amp; MATCH(A171-$B$1 / 24,A:A,1)):D171, INDIRECT("A" &amp; MATCH(A171-$B$1 / 24,A:A,1)):A171),NA()))</f>
        <v>#N/A</v>
      </c>
      <c r="G171" s="58" t="e">
        <f>IF(ISBLANK(A171),NA(),IFERROR(A171+(PLAYER_EXP_MAX-D171)/F171,NA()))</f>
        <v>#N/A</v>
      </c>
      <c r="H171" s="485" t="e">
        <f t="shared" ca="1" si="13"/>
        <v>#N/A</v>
      </c>
      <c r="I171" s="51" t="e">
        <f ca="1">IF(ISBLANK(A171),NA(),IFERROR(SLOPE(INDIRECT("D" &amp; MATCH(A171-$C$1 / 24,A:A,1)):D171, INDIRECT("A" &amp; MATCH(A171-$C$1 / 24,A:A,1)):A171),NA()))</f>
        <v>#N/A</v>
      </c>
      <c r="J171" s="58" t="e">
        <f>IF(ISBLANK(A171),NA(),IFERROR(A171+(PLAYER_EXP_MAX-D171)/I171,NA()))</f>
        <v>#N/A</v>
      </c>
      <c r="K171" s="485" t="e">
        <f t="shared" ca="1" si="14"/>
        <v>#N/A</v>
      </c>
      <c r="L171" s="51" t="e">
        <f ca="1">IF(ISBLANK(A171),NA(),IFERROR(SLOPE(INDIRECT("D" &amp; MATCH(A171-$D$1 / 24,A:A,1)):D171, INDIRECT("A" &amp; MATCH(A171-$D$1 / 24,A:A,1)):A171),NA()))</f>
        <v>#N/A</v>
      </c>
      <c r="M171" s="58" t="e">
        <f>IF(ISBLANK(A171),NA(),IFERROR(A171+(PLAYER_EXP_MAX-D171)/L171,NA()))</f>
        <v>#N/A</v>
      </c>
      <c r="N171" s="485" t="e">
        <f t="shared" ca="1" si="15"/>
        <v>#N/A</v>
      </c>
    </row>
    <row r="172" spans="4:14" ht="14.65" customHeight="1" x14ac:dyDescent="0.25">
      <c r="D172" s="485" t="str">
        <f t="shared" si="12"/>
        <v>-</v>
      </c>
      <c r="E172" s="46" t="str">
        <f>IF(ISBLANK(A172),"-",D172/PLAYER_EXP_MAX)</f>
        <v>-</v>
      </c>
      <c r="F172" s="51" t="e">
        <f ca="1">IF(ISBLANK(A172),NA(),IFERROR(SLOPE(INDIRECT("D" &amp; MATCH(A172-$B$1 / 24,A:A,1)):D172, INDIRECT("A" &amp; MATCH(A172-$B$1 / 24,A:A,1)):A172),NA()))</f>
        <v>#N/A</v>
      </c>
      <c r="G172" s="58" t="e">
        <f>IF(ISBLANK(A172),NA(),IFERROR(A172+(PLAYER_EXP_MAX-D172)/F172,NA()))</f>
        <v>#N/A</v>
      </c>
      <c r="H172" s="485" t="e">
        <f t="shared" ca="1" si="13"/>
        <v>#N/A</v>
      </c>
      <c r="I172" s="51" t="e">
        <f ca="1">IF(ISBLANK(A172),NA(),IFERROR(SLOPE(INDIRECT("D" &amp; MATCH(A172-$C$1 / 24,A:A,1)):D172, INDIRECT("A" &amp; MATCH(A172-$C$1 / 24,A:A,1)):A172),NA()))</f>
        <v>#N/A</v>
      </c>
      <c r="J172" s="58" t="e">
        <f>IF(ISBLANK(A172),NA(),IFERROR(A172+(PLAYER_EXP_MAX-D172)/I172,NA()))</f>
        <v>#N/A</v>
      </c>
      <c r="K172" s="485" t="e">
        <f t="shared" ca="1" si="14"/>
        <v>#N/A</v>
      </c>
      <c r="L172" s="51" t="e">
        <f ca="1">IF(ISBLANK(A172),NA(),IFERROR(SLOPE(INDIRECT("D" &amp; MATCH(A172-$D$1 / 24,A:A,1)):D172, INDIRECT("A" &amp; MATCH(A172-$D$1 / 24,A:A,1)):A172),NA()))</f>
        <v>#N/A</v>
      </c>
      <c r="M172" s="58" t="e">
        <f>IF(ISBLANK(A172),NA(),IFERROR(A172+(PLAYER_EXP_MAX-D172)/L172,NA()))</f>
        <v>#N/A</v>
      </c>
      <c r="N172" s="485" t="e">
        <f t="shared" ca="1" si="15"/>
        <v>#N/A</v>
      </c>
    </row>
    <row r="173" spans="4:14" ht="14.65" customHeight="1" x14ac:dyDescent="0.25">
      <c r="D173" s="485" t="str">
        <f t="shared" si="12"/>
        <v>-</v>
      </c>
      <c r="E173" s="46" t="str">
        <f>IF(ISBLANK(A173),"-",D173/PLAYER_EXP_MAX)</f>
        <v>-</v>
      </c>
      <c r="F173" s="51" t="e">
        <f ca="1">IF(ISBLANK(A173),NA(),IFERROR(SLOPE(INDIRECT("D" &amp; MATCH(A173-$B$1 / 24,A:A,1)):D173, INDIRECT("A" &amp; MATCH(A173-$B$1 / 24,A:A,1)):A173),NA()))</f>
        <v>#N/A</v>
      </c>
      <c r="G173" s="58" t="e">
        <f>IF(ISBLANK(A173),NA(),IFERROR(A173+(PLAYER_EXP_MAX-D173)/F173,NA()))</f>
        <v>#N/A</v>
      </c>
      <c r="H173" s="485" t="e">
        <f t="shared" ca="1" si="13"/>
        <v>#N/A</v>
      </c>
      <c r="I173" s="51" t="e">
        <f ca="1">IF(ISBLANK(A173),NA(),IFERROR(SLOPE(INDIRECT("D" &amp; MATCH(A173-$C$1 / 24,A:A,1)):D173, INDIRECT("A" &amp; MATCH(A173-$C$1 / 24,A:A,1)):A173),NA()))</f>
        <v>#N/A</v>
      </c>
      <c r="J173" s="58" t="e">
        <f>IF(ISBLANK(A173),NA(),IFERROR(A173+(PLAYER_EXP_MAX-D173)/I173,NA()))</f>
        <v>#N/A</v>
      </c>
      <c r="K173" s="485" t="e">
        <f t="shared" ca="1" si="14"/>
        <v>#N/A</v>
      </c>
      <c r="L173" s="51" t="e">
        <f ca="1">IF(ISBLANK(A173),NA(),IFERROR(SLOPE(INDIRECT("D" &amp; MATCH(A173-$D$1 / 24,A:A,1)):D173, INDIRECT("A" &amp; MATCH(A173-$D$1 / 24,A:A,1)):A173),NA()))</f>
        <v>#N/A</v>
      </c>
      <c r="M173" s="58" t="e">
        <f>IF(ISBLANK(A173),NA(),IFERROR(A173+(PLAYER_EXP_MAX-D173)/L173,NA()))</f>
        <v>#N/A</v>
      </c>
      <c r="N173" s="485" t="e">
        <f t="shared" ca="1" si="15"/>
        <v>#N/A</v>
      </c>
    </row>
    <row r="174" spans="4:14" ht="14.65" customHeight="1" x14ac:dyDescent="0.25">
      <c r="D174" s="485" t="str">
        <f t="shared" si="12"/>
        <v>-</v>
      </c>
      <c r="E174" s="46" t="str">
        <f>IF(ISBLANK(A174),"-",D174/PLAYER_EXP_MAX)</f>
        <v>-</v>
      </c>
      <c r="F174" s="51" t="e">
        <f ca="1">IF(ISBLANK(A174),NA(),IFERROR(SLOPE(INDIRECT("D" &amp; MATCH(A174-$B$1 / 24,A:A,1)):D174, INDIRECT("A" &amp; MATCH(A174-$B$1 / 24,A:A,1)):A174),NA()))</f>
        <v>#N/A</v>
      </c>
      <c r="G174" s="58" t="e">
        <f>IF(ISBLANK(A174),NA(),IFERROR(A174+(PLAYER_EXP_MAX-D174)/F174,NA()))</f>
        <v>#N/A</v>
      </c>
      <c r="H174" s="485" t="e">
        <f t="shared" ca="1" si="13"/>
        <v>#N/A</v>
      </c>
      <c r="I174" s="51" t="e">
        <f ca="1">IF(ISBLANK(A174),NA(),IFERROR(SLOPE(INDIRECT("D" &amp; MATCH(A174-$C$1 / 24,A:A,1)):D174, INDIRECT("A" &amp; MATCH(A174-$C$1 / 24,A:A,1)):A174),NA()))</f>
        <v>#N/A</v>
      </c>
      <c r="J174" s="58" t="e">
        <f>IF(ISBLANK(A174),NA(),IFERROR(A174+(PLAYER_EXP_MAX-D174)/I174,NA()))</f>
        <v>#N/A</v>
      </c>
      <c r="K174" s="485" t="e">
        <f t="shared" ca="1" si="14"/>
        <v>#N/A</v>
      </c>
      <c r="L174" s="51" t="e">
        <f ca="1">IF(ISBLANK(A174),NA(),IFERROR(SLOPE(INDIRECT("D" &amp; MATCH(A174-$D$1 / 24,A:A,1)):D174, INDIRECT("A" &amp; MATCH(A174-$D$1 / 24,A:A,1)):A174),NA()))</f>
        <v>#N/A</v>
      </c>
      <c r="M174" s="58" t="e">
        <f>IF(ISBLANK(A174),NA(),IFERROR(A174+(PLAYER_EXP_MAX-D174)/L174,NA()))</f>
        <v>#N/A</v>
      </c>
      <c r="N174" s="485" t="e">
        <f t="shared" ca="1" si="15"/>
        <v>#N/A</v>
      </c>
    </row>
    <row r="175" spans="4:14" ht="14.65" customHeight="1" x14ac:dyDescent="0.25">
      <c r="D175" s="485" t="str">
        <f t="shared" si="12"/>
        <v>-</v>
      </c>
      <c r="E175" s="46" t="str">
        <f>IF(ISBLANK(A175),"-",D175/PLAYER_EXP_MAX)</f>
        <v>-</v>
      </c>
      <c r="F175" s="51" t="e">
        <f ca="1">IF(ISBLANK(A175),NA(),IFERROR(SLOPE(INDIRECT("D" &amp; MATCH(A175-$B$1 / 24,A:A,1)):D175, INDIRECT("A" &amp; MATCH(A175-$B$1 / 24,A:A,1)):A175),NA()))</f>
        <v>#N/A</v>
      </c>
      <c r="G175" s="58" t="e">
        <f>IF(ISBLANK(A175),NA(),IFERROR(A175+(PLAYER_EXP_MAX-D175)/F175,NA()))</f>
        <v>#N/A</v>
      </c>
      <c r="H175" s="485" t="e">
        <f t="shared" ca="1" si="13"/>
        <v>#N/A</v>
      </c>
      <c r="I175" s="51" t="e">
        <f ca="1">IF(ISBLANK(A175),NA(),IFERROR(SLOPE(INDIRECT("D" &amp; MATCH(A175-$C$1 / 24,A:A,1)):D175, INDIRECT("A" &amp; MATCH(A175-$C$1 / 24,A:A,1)):A175),NA()))</f>
        <v>#N/A</v>
      </c>
      <c r="J175" s="58" t="e">
        <f>IF(ISBLANK(A175),NA(),IFERROR(A175+(PLAYER_EXP_MAX-D175)/I175,NA()))</f>
        <v>#N/A</v>
      </c>
      <c r="K175" s="485" t="e">
        <f t="shared" ca="1" si="14"/>
        <v>#N/A</v>
      </c>
      <c r="L175" s="51" t="e">
        <f ca="1">IF(ISBLANK(A175),NA(),IFERROR(SLOPE(INDIRECT("D" &amp; MATCH(A175-$D$1 / 24,A:A,1)):D175, INDIRECT("A" &amp; MATCH(A175-$D$1 / 24,A:A,1)):A175),NA()))</f>
        <v>#N/A</v>
      </c>
      <c r="M175" s="58" t="e">
        <f>IF(ISBLANK(A175),NA(),IFERROR(A175+(PLAYER_EXP_MAX-D175)/L175,NA()))</f>
        <v>#N/A</v>
      </c>
      <c r="N175" s="485" t="e">
        <f t="shared" ca="1" si="15"/>
        <v>#N/A</v>
      </c>
    </row>
    <row r="176" spans="4:14" ht="14.65" customHeight="1" x14ac:dyDescent="0.25">
      <c r="D176" s="485" t="str">
        <f t="shared" si="12"/>
        <v>-</v>
      </c>
      <c r="E176" s="46" t="str">
        <f>IF(ISBLANK(A176),"-",D176/PLAYER_EXP_MAX)</f>
        <v>-</v>
      </c>
      <c r="F176" s="51" t="e">
        <f ca="1">IF(ISBLANK(A176),NA(),IFERROR(SLOPE(INDIRECT("D" &amp; MATCH(A176-$B$1 / 24,A:A,1)):D176, INDIRECT("A" &amp; MATCH(A176-$B$1 / 24,A:A,1)):A176),NA()))</f>
        <v>#N/A</v>
      </c>
      <c r="G176" s="58" t="e">
        <f>IF(ISBLANK(A176),NA(),IFERROR(A176+(PLAYER_EXP_MAX-D176)/F176,NA()))</f>
        <v>#N/A</v>
      </c>
      <c r="H176" s="485" t="e">
        <f t="shared" ca="1" si="13"/>
        <v>#N/A</v>
      </c>
      <c r="I176" s="51" t="e">
        <f ca="1">IF(ISBLANK(A176),NA(),IFERROR(SLOPE(INDIRECT("D" &amp; MATCH(A176-$C$1 / 24,A:A,1)):D176, INDIRECT("A" &amp; MATCH(A176-$C$1 / 24,A:A,1)):A176),NA()))</f>
        <v>#N/A</v>
      </c>
      <c r="J176" s="58" t="e">
        <f>IF(ISBLANK(A176),NA(),IFERROR(A176+(PLAYER_EXP_MAX-D176)/I176,NA()))</f>
        <v>#N/A</v>
      </c>
      <c r="K176" s="485" t="e">
        <f t="shared" ca="1" si="14"/>
        <v>#N/A</v>
      </c>
      <c r="L176" s="51" t="e">
        <f ca="1">IF(ISBLANK(A176),NA(),IFERROR(SLOPE(INDIRECT("D" &amp; MATCH(A176-$D$1 / 24,A:A,1)):D176, INDIRECT("A" &amp; MATCH(A176-$D$1 / 24,A:A,1)):A176),NA()))</f>
        <v>#N/A</v>
      </c>
      <c r="M176" s="58" t="e">
        <f>IF(ISBLANK(A176),NA(),IFERROR(A176+(PLAYER_EXP_MAX-D176)/L176,NA()))</f>
        <v>#N/A</v>
      </c>
      <c r="N176" s="485" t="e">
        <f t="shared" ca="1" si="15"/>
        <v>#N/A</v>
      </c>
    </row>
    <row r="177" spans="4:14" ht="14.65" customHeight="1" x14ac:dyDescent="0.25">
      <c r="D177" s="485" t="str">
        <f t="shared" si="12"/>
        <v>-</v>
      </c>
      <c r="E177" s="46" t="str">
        <f>IF(ISBLANK(A177),"-",D177/PLAYER_EXP_MAX)</f>
        <v>-</v>
      </c>
      <c r="F177" s="51" t="e">
        <f ca="1">IF(ISBLANK(A177),NA(),IFERROR(SLOPE(INDIRECT("D" &amp; MATCH(A177-$B$1 / 24,A:A,1)):D177, INDIRECT("A" &amp; MATCH(A177-$B$1 / 24,A:A,1)):A177),NA()))</f>
        <v>#N/A</v>
      </c>
      <c r="G177" s="58" t="e">
        <f>IF(ISBLANK(A177),NA(),IFERROR(A177+(PLAYER_EXP_MAX-D177)/F177,NA()))</f>
        <v>#N/A</v>
      </c>
      <c r="H177" s="485" t="e">
        <f t="shared" ca="1" si="13"/>
        <v>#N/A</v>
      </c>
      <c r="I177" s="51" t="e">
        <f ca="1">IF(ISBLANK(A177),NA(),IFERROR(SLOPE(INDIRECT("D" &amp; MATCH(A177-$C$1 / 24,A:A,1)):D177, INDIRECT("A" &amp; MATCH(A177-$C$1 / 24,A:A,1)):A177),NA()))</f>
        <v>#N/A</v>
      </c>
      <c r="J177" s="58" t="e">
        <f>IF(ISBLANK(A177),NA(),IFERROR(A177+(PLAYER_EXP_MAX-D177)/I177,NA()))</f>
        <v>#N/A</v>
      </c>
      <c r="K177" s="485" t="e">
        <f t="shared" ca="1" si="14"/>
        <v>#N/A</v>
      </c>
      <c r="L177" s="51" t="e">
        <f ca="1">IF(ISBLANK(A177),NA(),IFERROR(SLOPE(INDIRECT("D" &amp; MATCH(A177-$D$1 / 24,A:A,1)):D177, INDIRECT("A" &amp; MATCH(A177-$D$1 / 24,A:A,1)):A177),NA()))</f>
        <v>#N/A</v>
      </c>
      <c r="M177" s="58" t="e">
        <f>IF(ISBLANK(A177),NA(),IFERROR(A177+(PLAYER_EXP_MAX-D177)/L177,NA()))</f>
        <v>#N/A</v>
      </c>
      <c r="N177" s="485" t="e">
        <f t="shared" ca="1" si="15"/>
        <v>#N/A</v>
      </c>
    </row>
    <row r="178" spans="4:14" ht="14.65" customHeight="1" x14ac:dyDescent="0.25">
      <c r="D178" s="485" t="str">
        <f t="shared" si="12"/>
        <v>-</v>
      </c>
      <c r="E178" s="46" t="str">
        <f>IF(ISBLANK(A178),"-",D178/PLAYER_EXP_MAX)</f>
        <v>-</v>
      </c>
      <c r="F178" s="51" t="e">
        <f ca="1">IF(ISBLANK(A178),NA(),IFERROR(SLOPE(INDIRECT("D" &amp; MATCH(A178-$B$1 / 24,A:A,1)):D178, INDIRECT("A" &amp; MATCH(A178-$B$1 / 24,A:A,1)):A178),NA()))</f>
        <v>#N/A</v>
      </c>
      <c r="G178" s="58" t="e">
        <f>IF(ISBLANK(A178),NA(),IFERROR(A178+(PLAYER_EXP_MAX-D178)/F178,NA()))</f>
        <v>#N/A</v>
      </c>
      <c r="H178" s="485" t="e">
        <f t="shared" ca="1" si="13"/>
        <v>#N/A</v>
      </c>
      <c r="I178" s="51" t="e">
        <f ca="1">IF(ISBLANK(A178),NA(),IFERROR(SLOPE(INDIRECT("D" &amp; MATCH(A178-$C$1 / 24,A:A,1)):D178, INDIRECT("A" &amp; MATCH(A178-$C$1 / 24,A:A,1)):A178),NA()))</f>
        <v>#N/A</v>
      </c>
      <c r="J178" s="58" t="e">
        <f>IF(ISBLANK(A178),NA(),IFERROR(A178+(PLAYER_EXP_MAX-D178)/I178,NA()))</f>
        <v>#N/A</v>
      </c>
      <c r="K178" s="485" t="e">
        <f t="shared" ca="1" si="14"/>
        <v>#N/A</v>
      </c>
      <c r="L178" s="51" t="e">
        <f ca="1">IF(ISBLANK(A178),NA(),IFERROR(SLOPE(INDIRECT("D" &amp; MATCH(A178-$D$1 / 24,A:A,1)):D178, INDIRECT("A" &amp; MATCH(A178-$D$1 / 24,A:A,1)):A178),NA()))</f>
        <v>#N/A</v>
      </c>
      <c r="M178" s="58" t="e">
        <f>IF(ISBLANK(A178),NA(),IFERROR(A178+(PLAYER_EXP_MAX-D178)/L178,NA()))</f>
        <v>#N/A</v>
      </c>
      <c r="N178" s="485" t="e">
        <f t="shared" ca="1" si="15"/>
        <v>#N/A</v>
      </c>
    </row>
    <row r="179" spans="4:14" ht="14.65" customHeight="1" x14ac:dyDescent="0.25">
      <c r="D179" s="485" t="str">
        <f t="shared" si="12"/>
        <v>-</v>
      </c>
      <c r="E179" s="46" t="str">
        <f>IF(ISBLANK(A179),"-",D179/PLAYER_EXP_MAX)</f>
        <v>-</v>
      </c>
      <c r="F179" s="51" t="e">
        <f ca="1">IF(ISBLANK(A179),NA(),IFERROR(SLOPE(INDIRECT("D" &amp; MATCH(A179-$B$1 / 24,A:A,1)):D179, INDIRECT("A" &amp; MATCH(A179-$B$1 / 24,A:A,1)):A179),NA()))</f>
        <v>#N/A</v>
      </c>
      <c r="G179" s="58" t="e">
        <f>IF(ISBLANK(A179),NA(),IFERROR(A179+(PLAYER_EXP_MAX-D179)/F179,NA()))</f>
        <v>#N/A</v>
      </c>
      <c r="H179" s="485" t="e">
        <f t="shared" ca="1" si="13"/>
        <v>#N/A</v>
      </c>
      <c r="I179" s="51" t="e">
        <f ca="1">IF(ISBLANK(A179),NA(),IFERROR(SLOPE(INDIRECT("D" &amp; MATCH(A179-$C$1 / 24,A:A,1)):D179, INDIRECT("A" &amp; MATCH(A179-$C$1 / 24,A:A,1)):A179),NA()))</f>
        <v>#N/A</v>
      </c>
      <c r="J179" s="58" t="e">
        <f>IF(ISBLANK(A179),NA(),IFERROR(A179+(PLAYER_EXP_MAX-D179)/I179,NA()))</f>
        <v>#N/A</v>
      </c>
      <c r="K179" s="485" t="e">
        <f t="shared" ca="1" si="14"/>
        <v>#N/A</v>
      </c>
      <c r="L179" s="51" t="e">
        <f ca="1">IF(ISBLANK(A179),NA(),IFERROR(SLOPE(INDIRECT("D" &amp; MATCH(A179-$D$1 / 24,A:A,1)):D179, INDIRECT("A" &amp; MATCH(A179-$D$1 / 24,A:A,1)):A179),NA()))</f>
        <v>#N/A</v>
      </c>
      <c r="M179" s="58" t="e">
        <f>IF(ISBLANK(A179),NA(),IFERROR(A179+(PLAYER_EXP_MAX-D179)/L179,NA()))</f>
        <v>#N/A</v>
      </c>
      <c r="N179" s="485" t="e">
        <f t="shared" ca="1" si="15"/>
        <v>#N/A</v>
      </c>
    </row>
    <row r="180" spans="4:14" ht="14.65" customHeight="1" x14ac:dyDescent="0.25">
      <c r="D180" s="485" t="str">
        <f t="shared" si="12"/>
        <v>-</v>
      </c>
      <c r="E180" s="46" t="str">
        <f>IF(ISBLANK(A180),"-",D180/PLAYER_EXP_MAX)</f>
        <v>-</v>
      </c>
      <c r="F180" s="51" t="e">
        <f ca="1">IF(ISBLANK(A180),NA(),IFERROR(SLOPE(INDIRECT("D" &amp; MATCH(A180-$B$1 / 24,A:A,1)):D180, INDIRECT("A" &amp; MATCH(A180-$B$1 / 24,A:A,1)):A180),NA()))</f>
        <v>#N/A</v>
      </c>
      <c r="G180" s="58" t="e">
        <f>IF(ISBLANK(A180),NA(),IFERROR(A180+(PLAYER_EXP_MAX-D180)/F180,NA()))</f>
        <v>#N/A</v>
      </c>
      <c r="H180" s="485" t="e">
        <f t="shared" ca="1" si="13"/>
        <v>#N/A</v>
      </c>
      <c r="I180" s="51" t="e">
        <f ca="1">IF(ISBLANK(A180),NA(),IFERROR(SLOPE(INDIRECT("D" &amp; MATCH(A180-$C$1 / 24,A:A,1)):D180, INDIRECT("A" &amp; MATCH(A180-$C$1 / 24,A:A,1)):A180),NA()))</f>
        <v>#N/A</v>
      </c>
      <c r="J180" s="58" t="e">
        <f>IF(ISBLANK(A180),NA(),IFERROR(A180+(PLAYER_EXP_MAX-D180)/I180,NA()))</f>
        <v>#N/A</v>
      </c>
      <c r="K180" s="485" t="e">
        <f t="shared" ca="1" si="14"/>
        <v>#N/A</v>
      </c>
      <c r="L180" s="51" t="e">
        <f ca="1">IF(ISBLANK(A180),NA(),IFERROR(SLOPE(INDIRECT("D" &amp; MATCH(A180-$D$1 / 24,A:A,1)):D180, INDIRECT("A" &amp; MATCH(A180-$D$1 / 24,A:A,1)):A180),NA()))</f>
        <v>#N/A</v>
      </c>
      <c r="M180" s="58" t="e">
        <f>IF(ISBLANK(A180),NA(),IFERROR(A180+(PLAYER_EXP_MAX-D180)/L180,NA()))</f>
        <v>#N/A</v>
      </c>
      <c r="N180" s="485" t="e">
        <f t="shared" ca="1" si="15"/>
        <v>#N/A</v>
      </c>
    </row>
    <row r="181" spans="4:14" ht="14.65" customHeight="1" x14ac:dyDescent="0.25">
      <c r="D181" s="485" t="str">
        <f t="shared" si="12"/>
        <v>-</v>
      </c>
      <c r="E181" s="46" t="str">
        <f>IF(ISBLANK(A181),"-",D181/PLAYER_EXP_MAX)</f>
        <v>-</v>
      </c>
      <c r="F181" s="51" t="e">
        <f ca="1">IF(ISBLANK(A181),NA(),IFERROR(SLOPE(INDIRECT("D" &amp; MATCH(A181-$B$1 / 24,A:A,1)):D181, INDIRECT("A" &amp; MATCH(A181-$B$1 / 24,A:A,1)):A181),NA()))</f>
        <v>#N/A</v>
      </c>
      <c r="G181" s="58" t="e">
        <f>IF(ISBLANK(A181),NA(),IFERROR(A181+(PLAYER_EXP_MAX-D181)/F181,NA()))</f>
        <v>#N/A</v>
      </c>
      <c r="H181" s="485" t="e">
        <f t="shared" ca="1" si="13"/>
        <v>#N/A</v>
      </c>
      <c r="I181" s="51" t="e">
        <f ca="1">IF(ISBLANK(A181),NA(),IFERROR(SLOPE(INDIRECT("D" &amp; MATCH(A181-$C$1 / 24,A:A,1)):D181, INDIRECT("A" &amp; MATCH(A181-$C$1 / 24,A:A,1)):A181),NA()))</f>
        <v>#N/A</v>
      </c>
      <c r="J181" s="58" t="e">
        <f>IF(ISBLANK(A181),NA(),IFERROR(A181+(PLAYER_EXP_MAX-D181)/I181,NA()))</f>
        <v>#N/A</v>
      </c>
      <c r="K181" s="485" t="e">
        <f t="shared" ca="1" si="14"/>
        <v>#N/A</v>
      </c>
      <c r="L181" s="51" t="e">
        <f ca="1">IF(ISBLANK(A181),NA(),IFERROR(SLOPE(INDIRECT("D" &amp; MATCH(A181-$D$1 / 24,A:A,1)):D181, INDIRECT("A" &amp; MATCH(A181-$D$1 / 24,A:A,1)):A181),NA()))</f>
        <v>#N/A</v>
      </c>
      <c r="M181" s="58" t="e">
        <f>IF(ISBLANK(A181),NA(),IFERROR(A181+(PLAYER_EXP_MAX-D181)/L181,NA()))</f>
        <v>#N/A</v>
      </c>
      <c r="N181" s="485" t="e">
        <f t="shared" ca="1" si="15"/>
        <v>#N/A</v>
      </c>
    </row>
    <row r="182" spans="4:14" ht="14.65" customHeight="1" x14ac:dyDescent="0.25">
      <c r="D182" s="485" t="str">
        <f t="shared" si="12"/>
        <v>-</v>
      </c>
      <c r="E182" s="46" t="str">
        <f>IF(ISBLANK(A182),"-",D182/PLAYER_EXP_MAX)</f>
        <v>-</v>
      </c>
      <c r="F182" s="51" t="e">
        <f ca="1">IF(ISBLANK(A182),NA(),IFERROR(SLOPE(INDIRECT("D" &amp; MATCH(A182-$B$1 / 24,A:A,1)):D182, INDIRECT("A" &amp; MATCH(A182-$B$1 / 24,A:A,1)):A182),NA()))</f>
        <v>#N/A</v>
      </c>
      <c r="G182" s="58" t="e">
        <f>IF(ISBLANK(A182),NA(),IFERROR(A182+(PLAYER_EXP_MAX-D182)/F182,NA()))</f>
        <v>#N/A</v>
      </c>
      <c r="H182" s="485" t="e">
        <f t="shared" ca="1" si="13"/>
        <v>#N/A</v>
      </c>
      <c r="I182" s="51" t="e">
        <f ca="1">IF(ISBLANK(A182),NA(),IFERROR(SLOPE(INDIRECT("D" &amp; MATCH(A182-$C$1 / 24,A:A,1)):D182, INDIRECT("A" &amp; MATCH(A182-$C$1 / 24,A:A,1)):A182),NA()))</f>
        <v>#N/A</v>
      </c>
      <c r="J182" s="58" t="e">
        <f>IF(ISBLANK(A182),NA(),IFERROR(A182+(PLAYER_EXP_MAX-D182)/I182,NA()))</f>
        <v>#N/A</v>
      </c>
      <c r="K182" s="485" t="e">
        <f t="shared" ca="1" si="14"/>
        <v>#N/A</v>
      </c>
      <c r="L182" s="51" t="e">
        <f ca="1">IF(ISBLANK(A182),NA(),IFERROR(SLOPE(INDIRECT("D" &amp; MATCH(A182-$D$1 / 24,A:A,1)):D182, INDIRECT("A" &amp; MATCH(A182-$D$1 / 24,A:A,1)):A182),NA()))</f>
        <v>#N/A</v>
      </c>
      <c r="M182" s="58" t="e">
        <f>IF(ISBLANK(A182),NA(),IFERROR(A182+(PLAYER_EXP_MAX-D182)/L182,NA()))</f>
        <v>#N/A</v>
      </c>
      <c r="N182" s="485" t="e">
        <f t="shared" ca="1" si="15"/>
        <v>#N/A</v>
      </c>
    </row>
    <row r="183" spans="4:14" ht="14.65" customHeight="1" x14ac:dyDescent="0.25">
      <c r="D183" s="485" t="str">
        <f t="shared" si="12"/>
        <v>-</v>
      </c>
      <c r="E183" s="46" t="str">
        <f>IF(ISBLANK(A183),"-",D183/PLAYER_EXP_MAX)</f>
        <v>-</v>
      </c>
      <c r="F183" s="51" t="e">
        <f ca="1">IF(ISBLANK(A183),NA(),IFERROR(SLOPE(INDIRECT("D" &amp; MATCH(A183-$B$1 / 24,A:A,1)):D183, INDIRECT("A" &amp; MATCH(A183-$B$1 / 24,A:A,1)):A183),NA()))</f>
        <v>#N/A</v>
      </c>
      <c r="G183" s="58" t="e">
        <f>IF(ISBLANK(A183),NA(),IFERROR(A183+(PLAYER_EXP_MAX-D183)/F183,NA()))</f>
        <v>#N/A</v>
      </c>
      <c r="H183" s="485" t="e">
        <f t="shared" ca="1" si="13"/>
        <v>#N/A</v>
      </c>
      <c r="I183" s="51" t="e">
        <f ca="1">IF(ISBLANK(A183),NA(),IFERROR(SLOPE(INDIRECT("D" &amp; MATCH(A183-$C$1 / 24,A:A,1)):D183, INDIRECT("A" &amp; MATCH(A183-$C$1 / 24,A:A,1)):A183),NA()))</f>
        <v>#N/A</v>
      </c>
      <c r="J183" s="58" t="e">
        <f>IF(ISBLANK(A183),NA(),IFERROR(A183+(PLAYER_EXP_MAX-D183)/I183,NA()))</f>
        <v>#N/A</v>
      </c>
      <c r="K183" s="485" t="e">
        <f t="shared" ca="1" si="14"/>
        <v>#N/A</v>
      </c>
      <c r="L183" s="51" t="e">
        <f ca="1">IF(ISBLANK(A183),NA(),IFERROR(SLOPE(INDIRECT("D" &amp; MATCH(A183-$D$1 / 24,A:A,1)):D183, INDIRECT("A" &amp; MATCH(A183-$D$1 / 24,A:A,1)):A183),NA()))</f>
        <v>#N/A</v>
      </c>
      <c r="M183" s="58" t="e">
        <f>IF(ISBLANK(A183),NA(),IFERROR(A183+(PLAYER_EXP_MAX-D183)/L183,NA()))</f>
        <v>#N/A</v>
      </c>
      <c r="N183" s="485" t="e">
        <f t="shared" ca="1" si="15"/>
        <v>#N/A</v>
      </c>
    </row>
    <row r="184" spans="4:14" ht="14.65" customHeight="1" x14ac:dyDescent="0.25">
      <c r="D184" s="485" t="str">
        <f t="shared" si="12"/>
        <v>-</v>
      </c>
      <c r="E184" s="46" t="str">
        <f>IF(ISBLANK(A184),"-",D184/PLAYER_EXP_MAX)</f>
        <v>-</v>
      </c>
      <c r="F184" s="51" t="e">
        <f ca="1">IF(ISBLANK(A184),NA(),IFERROR(SLOPE(INDIRECT("D" &amp; MATCH(A184-$B$1 / 24,A:A,1)):D184, INDIRECT("A" &amp; MATCH(A184-$B$1 / 24,A:A,1)):A184),NA()))</f>
        <v>#N/A</v>
      </c>
      <c r="G184" s="58" t="e">
        <f>IF(ISBLANK(A184),NA(),IFERROR(A184+(PLAYER_EXP_MAX-D184)/F184,NA()))</f>
        <v>#N/A</v>
      </c>
      <c r="H184" s="485" t="e">
        <f t="shared" ca="1" si="13"/>
        <v>#N/A</v>
      </c>
      <c r="I184" s="51" t="e">
        <f ca="1">IF(ISBLANK(A184),NA(),IFERROR(SLOPE(INDIRECT("D" &amp; MATCH(A184-$C$1 / 24,A:A,1)):D184, INDIRECT("A" &amp; MATCH(A184-$C$1 / 24,A:A,1)):A184),NA()))</f>
        <v>#N/A</v>
      </c>
      <c r="J184" s="58" t="e">
        <f>IF(ISBLANK(A184),NA(),IFERROR(A184+(PLAYER_EXP_MAX-D184)/I184,NA()))</f>
        <v>#N/A</v>
      </c>
      <c r="K184" s="485" t="e">
        <f t="shared" ca="1" si="14"/>
        <v>#N/A</v>
      </c>
      <c r="L184" s="51" t="e">
        <f ca="1">IF(ISBLANK(A184),NA(),IFERROR(SLOPE(INDIRECT("D" &amp; MATCH(A184-$D$1 / 24,A:A,1)):D184, INDIRECT("A" &amp; MATCH(A184-$D$1 / 24,A:A,1)):A184),NA()))</f>
        <v>#N/A</v>
      </c>
      <c r="M184" s="58" t="e">
        <f>IF(ISBLANK(A184),NA(),IFERROR(A184+(PLAYER_EXP_MAX-D184)/L184,NA()))</f>
        <v>#N/A</v>
      </c>
      <c r="N184" s="485" t="e">
        <f t="shared" ca="1" si="15"/>
        <v>#N/A</v>
      </c>
    </row>
    <row r="185" spans="4:14" ht="14.65" customHeight="1" x14ac:dyDescent="0.25">
      <c r="D185" s="485" t="str">
        <f t="shared" si="12"/>
        <v>-</v>
      </c>
      <c r="E185" s="46" t="str">
        <f>IF(ISBLANK(A185),"-",D185/PLAYER_EXP_MAX)</f>
        <v>-</v>
      </c>
      <c r="F185" s="51" t="e">
        <f ca="1">IF(ISBLANK(A185),NA(),IFERROR(SLOPE(INDIRECT("D" &amp; MATCH(A185-$B$1 / 24,A:A,1)):D185, INDIRECT("A" &amp; MATCH(A185-$B$1 / 24,A:A,1)):A185),NA()))</f>
        <v>#N/A</v>
      </c>
      <c r="G185" s="58" t="e">
        <f>IF(ISBLANK(A185),NA(),IFERROR(A185+(PLAYER_EXP_MAX-D185)/F185,NA()))</f>
        <v>#N/A</v>
      </c>
      <c r="H185" s="485" t="e">
        <f t="shared" ca="1" si="13"/>
        <v>#N/A</v>
      </c>
      <c r="I185" s="51" t="e">
        <f ca="1">IF(ISBLANK(A185),NA(),IFERROR(SLOPE(INDIRECT("D" &amp; MATCH(A185-$C$1 / 24,A:A,1)):D185, INDIRECT("A" &amp; MATCH(A185-$C$1 / 24,A:A,1)):A185),NA()))</f>
        <v>#N/A</v>
      </c>
      <c r="J185" s="58" t="e">
        <f>IF(ISBLANK(A185),NA(),IFERROR(A185+(PLAYER_EXP_MAX-D185)/I185,NA()))</f>
        <v>#N/A</v>
      </c>
      <c r="K185" s="485" t="e">
        <f t="shared" ca="1" si="14"/>
        <v>#N/A</v>
      </c>
      <c r="L185" s="51" t="e">
        <f ca="1">IF(ISBLANK(A185),NA(),IFERROR(SLOPE(INDIRECT("D" &amp; MATCH(A185-$D$1 / 24,A:A,1)):D185, INDIRECT("A" &amp; MATCH(A185-$D$1 / 24,A:A,1)):A185),NA()))</f>
        <v>#N/A</v>
      </c>
      <c r="M185" s="58" t="e">
        <f>IF(ISBLANK(A185),NA(),IFERROR(A185+(PLAYER_EXP_MAX-D185)/L185,NA()))</f>
        <v>#N/A</v>
      </c>
      <c r="N185" s="485" t="e">
        <f t="shared" ca="1" si="15"/>
        <v>#N/A</v>
      </c>
    </row>
    <row r="186" spans="4:14" ht="14.65" customHeight="1" x14ac:dyDescent="0.25">
      <c r="D186" s="485" t="str">
        <f t="shared" si="12"/>
        <v>-</v>
      </c>
      <c r="E186" s="46" t="str">
        <f>IF(ISBLANK(A186),"-",D186/PLAYER_EXP_MAX)</f>
        <v>-</v>
      </c>
      <c r="F186" s="51" t="e">
        <f ca="1">IF(ISBLANK(A186),NA(),IFERROR(SLOPE(INDIRECT("D" &amp; MATCH(A186-$B$1 / 24,A:A,1)):D186, INDIRECT("A" &amp; MATCH(A186-$B$1 / 24,A:A,1)):A186),NA()))</f>
        <v>#N/A</v>
      </c>
      <c r="G186" s="58" t="e">
        <f>IF(ISBLANK(A186),NA(),IFERROR(A186+(PLAYER_EXP_MAX-D186)/F186,NA()))</f>
        <v>#N/A</v>
      </c>
      <c r="H186" s="485" t="e">
        <f t="shared" ca="1" si="13"/>
        <v>#N/A</v>
      </c>
      <c r="I186" s="51" t="e">
        <f ca="1">IF(ISBLANK(A186),NA(),IFERROR(SLOPE(INDIRECT("D" &amp; MATCH(A186-$C$1 / 24,A:A,1)):D186, INDIRECT("A" &amp; MATCH(A186-$C$1 / 24,A:A,1)):A186),NA()))</f>
        <v>#N/A</v>
      </c>
      <c r="J186" s="58" t="e">
        <f>IF(ISBLANK(A186),NA(),IFERROR(A186+(PLAYER_EXP_MAX-D186)/I186,NA()))</f>
        <v>#N/A</v>
      </c>
      <c r="K186" s="485" t="e">
        <f t="shared" ca="1" si="14"/>
        <v>#N/A</v>
      </c>
      <c r="L186" s="51" t="e">
        <f ca="1">IF(ISBLANK(A186),NA(),IFERROR(SLOPE(INDIRECT("D" &amp; MATCH(A186-$D$1 / 24,A:A,1)):D186, INDIRECT("A" &amp; MATCH(A186-$D$1 / 24,A:A,1)):A186),NA()))</f>
        <v>#N/A</v>
      </c>
      <c r="M186" s="58" t="e">
        <f>IF(ISBLANK(A186),NA(),IFERROR(A186+(PLAYER_EXP_MAX-D186)/L186,NA()))</f>
        <v>#N/A</v>
      </c>
      <c r="N186" s="485" t="e">
        <f t="shared" ca="1" si="15"/>
        <v>#N/A</v>
      </c>
    </row>
    <row r="187" spans="4:14" ht="14.65" customHeight="1" x14ac:dyDescent="0.25">
      <c r="D187" s="485" t="str">
        <f t="shared" si="12"/>
        <v>-</v>
      </c>
      <c r="E187" s="46" t="str">
        <f>IF(ISBLANK(A187),"-",D187/PLAYER_EXP_MAX)</f>
        <v>-</v>
      </c>
      <c r="F187" s="51" t="e">
        <f ca="1">IF(ISBLANK(A187),NA(),IFERROR(SLOPE(INDIRECT("D" &amp; MATCH(A187-$B$1 / 24,A:A,1)):D187, INDIRECT("A" &amp; MATCH(A187-$B$1 / 24,A:A,1)):A187),NA()))</f>
        <v>#N/A</v>
      </c>
      <c r="G187" s="58" t="e">
        <f>IF(ISBLANK(A187),NA(),IFERROR(A187+(PLAYER_EXP_MAX-D187)/F187,NA()))</f>
        <v>#N/A</v>
      </c>
      <c r="H187" s="485" t="e">
        <f t="shared" ca="1" si="13"/>
        <v>#N/A</v>
      </c>
      <c r="I187" s="51" t="e">
        <f ca="1">IF(ISBLANK(A187),NA(),IFERROR(SLOPE(INDIRECT("D" &amp; MATCH(A187-$C$1 / 24,A:A,1)):D187, INDIRECT("A" &amp; MATCH(A187-$C$1 / 24,A:A,1)):A187),NA()))</f>
        <v>#N/A</v>
      </c>
      <c r="J187" s="58" t="e">
        <f>IF(ISBLANK(A187),NA(),IFERROR(A187+(PLAYER_EXP_MAX-D187)/I187,NA()))</f>
        <v>#N/A</v>
      </c>
      <c r="K187" s="485" t="e">
        <f t="shared" ca="1" si="14"/>
        <v>#N/A</v>
      </c>
      <c r="L187" s="51" t="e">
        <f ca="1">IF(ISBLANK(A187),NA(),IFERROR(SLOPE(INDIRECT("D" &amp; MATCH(A187-$D$1 / 24,A:A,1)):D187, INDIRECT("A" &amp; MATCH(A187-$D$1 / 24,A:A,1)):A187),NA()))</f>
        <v>#N/A</v>
      </c>
      <c r="M187" s="58" t="e">
        <f>IF(ISBLANK(A187),NA(),IFERROR(A187+(PLAYER_EXP_MAX-D187)/L187,NA()))</f>
        <v>#N/A</v>
      </c>
      <c r="N187" s="485" t="e">
        <f t="shared" ca="1" si="15"/>
        <v>#N/A</v>
      </c>
    </row>
    <row r="188" spans="4:14" ht="14.65" customHeight="1" x14ac:dyDescent="0.25">
      <c r="D188" s="485" t="str">
        <f t="shared" si="12"/>
        <v>-</v>
      </c>
      <c r="E188" s="46" t="str">
        <f>IF(ISBLANK(A188),"-",D188/PLAYER_EXP_MAX)</f>
        <v>-</v>
      </c>
      <c r="F188" s="51" t="e">
        <f ca="1">IF(ISBLANK(A188),NA(),IFERROR(SLOPE(INDIRECT("D" &amp; MATCH(A188-$B$1 / 24,A:A,1)):D188, INDIRECT("A" &amp; MATCH(A188-$B$1 / 24,A:A,1)):A188),NA()))</f>
        <v>#N/A</v>
      </c>
      <c r="G188" s="58" t="e">
        <f>IF(ISBLANK(A188),NA(),IFERROR(A188+(PLAYER_EXP_MAX-D188)/F188,NA()))</f>
        <v>#N/A</v>
      </c>
      <c r="H188" s="485" t="e">
        <f t="shared" ca="1" si="13"/>
        <v>#N/A</v>
      </c>
      <c r="I188" s="51" t="e">
        <f ca="1">IF(ISBLANK(A188),NA(),IFERROR(SLOPE(INDIRECT("D" &amp; MATCH(A188-$C$1 / 24,A:A,1)):D188, INDIRECT("A" &amp; MATCH(A188-$C$1 / 24,A:A,1)):A188),NA()))</f>
        <v>#N/A</v>
      </c>
      <c r="J188" s="58" t="e">
        <f>IF(ISBLANK(A188),NA(),IFERROR(A188+(PLAYER_EXP_MAX-D188)/I188,NA()))</f>
        <v>#N/A</v>
      </c>
      <c r="K188" s="485" t="e">
        <f t="shared" ca="1" si="14"/>
        <v>#N/A</v>
      </c>
      <c r="L188" s="51" t="e">
        <f ca="1">IF(ISBLANK(A188),NA(),IFERROR(SLOPE(INDIRECT("D" &amp; MATCH(A188-$D$1 / 24,A:A,1)):D188, INDIRECT("A" &amp; MATCH(A188-$D$1 / 24,A:A,1)):A188),NA()))</f>
        <v>#N/A</v>
      </c>
      <c r="M188" s="58" t="e">
        <f>IF(ISBLANK(A188),NA(),IFERROR(A188+(PLAYER_EXP_MAX-D188)/L188,NA()))</f>
        <v>#N/A</v>
      </c>
      <c r="N188" s="485" t="e">
        <f t="shared" ca="1" si="15"/>
        <v>#N/A</v>
      </c>
    </row>
    <row r="189" spans="4:14" ht="14.65" customHeight="1" x14ac:dyDescent="0.25">
      <c r="D189" s="485" t="str">
        <f t="shared" si="12"/>
        <v>-</v>
      </c>
      <c r="E189" s="46" t="str">
        <f>IF(ISBLANK(A189),"-",D189/PLAYER_EXP_MAX)</f>
        <v>-</v>
      </c>
      <c r="F189" s="51" t="e">
        <f ca="1">IF(ISBLANK(A189),NA(),IFERROR(SLOPE(INDIRECT("D" &amp; MATCH(A189-$B$1 / 24,A:A,1)):D189, INDIRECT("A" &amp; MATCH(A189-$B$1 / 24,A:A,1)):A189),NA()))</f>
        <v>#N/A</v>
      </c>
      <c r="G189" s="58" t="e">
        <f>IF(ISBLANK(A189),NA(),IFERROR(A189+(PLAYER_EXP_MAX-D189)/F189,NA()))</f>
        <v>#N/A</v>
      </c>
      <c r="H189" s="485" t="e">
        <f t="shared" ca="1" si="13"/>
        <v>#N/A</v>
      </c>
      <c r="I189" s="51" t="e">
        <f ca="1">IF(ISBLANK(A189),NA(),IFERROR(SLOPE(INDIRECT("D" &amp; MATCH(A189-$C$1 / 24,A:A,1)):D189, INDIRECT("A" &amp; MATCH(A189-$C$1 / 24,A:A,1)):A189),NA()))</f>
        <v>#N/A</v>
      </c>
      <c r="J189" s="58" t="e">
        <f>IF(ISBLANK(A189),NA(),IFERROR(A189+(PLAYER_EXP_MAX-D189)/I189,NA()))</f>
        <v>#N/A</v>
      </c>
      <c r="K189" s="485" t="e">
        <f t="shared" ca="1" si="14"/>
        <v>#N/A</v>
      </c>
      <c r="L189" s="51" t="e">
        <f ca="1">IF(ISBLANK(A189),NA(),IFERROR(SLOPE(INDIRECT("D" &amp; MATCH(A189-$D$1 / 24,A:A,1)):D189, INDIRECT("A" &amp; MATCH(A189-$D$1 / 24,A:A,1)):A189),NA()))</f>
        <v>#N/A</v>
      </c>
      <c r="M189" s="58" t="e">
        <f>IF(ISBLANK(A189),NA(),IFERROR(A189+(PLAYER_EXP_MAX-D189)/L189,NA()))</f>
        <v>#N/A</v>
      </c>
      <c r="N189" s="485" t="e">
        <f t="shared" ca="1" si="15"/>
        <v>#N/A</v>
      </c>
    </row>
    <row r="190" spans="4:14" ht="14.65" customHeight="1" x14ac:dyDescent="0.25">
      <c r="D190" s="485" t="str">
        <f t="shared" si="12"/>
        <v>-</v>
      </c>
      <c r="E190" s="46" t="str">
        <f>IF(ISBLANK(A190),"-",D190/PLAYER_EXP_MAX)</f>
        <v>-</v>
      </c>
      <c r="F190" s="51" t="e">
        <f ca="1">IF(ISBLANK(A190),NA(),IFERROR(SLOPE(INDIRECT("D" &amp; MATCH(A190-$B$1 / 24,A:A,1)):D190, INDIRECT("A" &amp; MATCH(A190-$B$1 / 24,A:A,1)):A190),NA()))</f>
        <v>#N/A</v>
      </c>
      <c r="G190" s="58" t="e">
        <f>IF(ISBLANK(A190),NA(),IFERROR(A190+(PLAYER_EXP_MAX-D190)/F190,NA()))</f>
        <v>#N/A</v>
      </c>
      <c r="H190" s="485" t="e">
        <f t="shared" ca="1" si="13"/>
        <v>#N/A</v>
      </c>
      <c r="I190" s="51" t="e">
        <f ca="1">IF(ISBLANK(A190),NA(),IFERROR(SLOPE(INDIRECT("D" &amp; MATCH(A190-$C$1 / 24,A:A,1)):D190, INDIRECT("A" &amp; MATCH(A190-$C$1 / 24,A:A,1)):A190),NA()))</f>
        <v>#N/A</v>
      </c>
      <c r="J190" s="58" t="e">
        <f>IF(ISBLANK(A190),NA(),IFERROR(A190+(PLAYER_EXP_MAX-D190)/I190,NA()))</f>
        <v>#N/A</v>
      </c>
      <c r="K190" s="485" t="e">
        <f t="shared" ca="1" si="14"/>
        <v>#N/A</v>
      </c>
      <c r="L190" s="51" t="e">
        <f ca="1">IF(ISBLANK(A190),NA(),IFERROR(SLOPE(INDIRECT("D" &amp; MATCH(A190-$D$1 / 24,A:A,1)):D190, INDIRECT("A" &amp; MATCH(A190-$D$1 / 24,A:A,1)):A190),NA()))</f>
        <v>#N/A</v>
      </c>
      <c r="M190" s="58" t="e">
        <f>IF(ISBLANK(A190),NA(),IFERROR(A190+(PLAYER_EXP_MAX-D190)/L190,NA()))</f>
        <v>#N/A</v>
      </c>
      <c r="N190" s="485" t="e">
        <f t="shared" ca="1" si="15"/>
        <v>#N/A</v>
      </c>
    </row>
    <row r="191" spans="4:14" ht="14.65" customHeight="1" x14ac:dyDescent="0.25">
      <c r="D191" s="485" t="str">
        <f t="shared" ref="D191:D200" si="16">IF(ISBLANK(A191),"-",INDEX(DATA_PLAYER_EXP, B191, 3) + INDEX(DATA_PLAYER_EXP, B191, 2) - C191)</f>
        <v>-</v>
      </c>
      <c r="E191" s="46" t="str">
        <f>IF(ISBLANK(A191),"-",D191/PLAYER_EXP_MAX)</f>
        <v>-</v>
      </c>
      <c r="F191" s="51" t="e">
        <f ca="1">IF(ISBLANK(A191),NA(),IFERROR(SLOPE(INDIRECT("D" &amp; MATCH(A191-$B$1 / 24,A:A,1)):D191, INDIRECT("A" &amp; MATCH(A191-$B$1 / 24,A:A,1)):A191),NA()))</f>
        <v>#N/A</v>
      </c>
      <c r="G191" s="58" t="e">
        <f>IF(ISBLANK(A191),NA(),IFERROR(A191+(PLAYER_EXP_MAX-D191)/F191,NA()))</f>
        <v>#N/A</v>
      </c>
      <c r="H191" s="485" t="e">
        <f t="shared" ref="H191:H200" ca="1" si="17">IF(ISBLANK(A191),NA(),IFERROR(TEXT(TRUNC(G191-NOW()),"000") &amp; " D " &amp; TEXT(TRUNC(ABS(G191-NOW()-TRUNC(G191-NOW()))*24),"00") &amp; " H", NA()))</f>
        <v>#N/A</v>
      </c>
      <c r="I191" s="51" t="e">
        <f ca="1">IF(ISBLANK(A191),NA(),IFERROR(SLOPE(INDIRECT("D" &amp; MATCH(A191-$C$1 / 24,A:A,1)):D191, INDIRECT("A" &amp; MATCH(A191-$C$1 / 24,A:A,1)):A191),NA()))</f>
        <v>#N/A</v>
      </c>
      <c r="J191" s="58" t="e">
        <f>IF(ISBLANK(A191),NA(),IFERROR(A191+(PLAYER_EXP_MAX-D191)/I191,NA()))</f>
        <v>#N/A</v>
      </c>
      <c r="K191" s="485" t="e">
        <f t="shared" ref="K191:K200" ca="1" si="18">IF(ISBLANK(A191),NA(),IFERROR(TEXT(TRUNC(J191-NOW()),"000") &amp; " D " &amp; TEXT(TRUNC(ABS(J191-NOW()-TRUNC(J191-NOW()))*24),"00") &amp; " H", NA()))</f>
        <v>#N/A</v>
      </c>
      <c r="L191" s="51" t="e">
        <f ca="1">IF(ISBLANK(A191),NA(),IFERROR(SLOPE(INDIRECT("D" &amp; MATCH(A191-$D$1 / 24,A:A,1)):D191, INDIRECT("A" &amp; MATCH(A191-$D$1 / 24,A:A,1)):A191),NA()))</f>
        <v>#N/A</v>
      </c>
      <c r="M191" s="58" t="e">
        <f>IF(ISBLANK(A191),NA(),IFERROR(A191+(PLAYER_EXP_MAX-D191)/L191,NA()))</f>
        <v>#N/A</v>
      </c>
      <c r="N191" s="485" t="e">
        <f t="shared" ref="N191:N200" ca="1" si="19">IF(ISBLANK(A191),NA(),IFERROR(TEXT(TRUNC(M191-NOW()),"000") &amp; " D " &amp; TEXT(TRUNC(ABS(M191-NOW()-TRUNC(M191-NOW()))*24),"00") &amp; " H", NA()))</f>
        <v>#N/A</v>
      </c>
    </row>
    <row r="192" spans="4:14" ht="14.65" customHeight="1" x14ac:dyDescent="0.25">
      <c r="D192" s="485" t="str">
        <f t="shared" si="16"/>
        <v>-</v>
      </c>
      <c r="E192" s="46" t="str">
        <f>IF(ISBLANK(A192),"-",D192/PLAYER_EXP_MAX)</f>
        <v>-</v>
      </c>
      <c r="F192" s="51" t="e">
        <f ca="1">IF(ISBLANK(A192),NA(),IFERROR(SLOPE(INDIRECT("D" &amp; MATCH(A192-$B$1 / 24,A:A,1)):D192, INDIRECT("A" &amp; MATCH(A192-$B$1 / 24,A:A,1)):A192),NA()))</f>
        <v>#N/A</v>
      </c>
      <c r="G192" s="58" t="e">
        <f>IF(ISBLANK(A192),NA(),IFERROR(A192+(PLAYER_EXP_MAX-D192)/F192,NA()))</f>
        <v>#N/A</v>
      </c>
      <c r="H192" s="485" t="e">
        <f t="shared" ca="1" si="17"/>
        <v>#N/A</v>
      </c>
      <c r="I192" s="51" t="e">
        <f ca="1">IF(ISBLANK(A192),NA(),IFERROR(SLOPE(INDIRECT("D" &amp; MATCH(A192-$C$1 / 24,A:A,1)):D192, INDIRECT("A" &amp; MATCH(A192-$C$1 / 24,A:A,1)):A192),NA()))</f>
        <v>#N/A</v>
      </c>
      <c r="J192" s="58" t="e">
        <f>IF(ISBLANK(A192),NA(),IFERROR(A192+(PLAYER_EXP_MAX-D192)/I192,NA()))</f>
        <v>#N/A</v>
      </c>
      <c r="K192" s="485" t="e">
        <f t="shared" ca="1" si="18"/>
        <v>#N/A</v>
      </c>
      <c r="L192" s="51" t="e">
        <f ca="1">IF(ISBLANK(A192),NA(),IFERROR(SLOPE(INDIRECT("D" &amp; MATCH(A192-$D$1 / 24,A:A,1)):D192, INDIRECT("A" &amp; MATCH(A192-$D$1 / 24,A:A,1)):A192),NA()))</f>
        <v>#N/A</v>
      </c>
      <c r="M192" s="58" t="e">
        <f>IF(ISBLANK(A192),NA(),IFERROR(A192+(PLAYER_EXP_MAX-D192)/L192,NA()))</f>
        <v>#N/A</v>
      </c>
      <c r="N192" s="485" t="e">
        <f t="shared" ca="1" si="19"/>
        <v>#N/A</v>
      </c>
    </row>
    <row r="193" spans="4:14" ht="14.65" customHeight="1" x14ac:dyDescent="0.25">
      <c r="D193" s="485" t="str">
        <f t="shared" si="16"/>
        <v>-</v>
      </c>
      <c r="E193" s="46" t="str">
        <f>IF(ISBLANK(A193),"-",D193/PLAYER_EXP_MAX)</f>
        <v>-</v>
      </c>
      <c r="F193" s="51" t="e">
        <f ca="1">IF(ISBLANK(A193),NA(),IFERROR(SLOPE(INDIRECT("D" &amp; MATCH(A193-$B$1 / 24,A:A,1)):D193, INDIRECT("A" &amp; MATCH(A193-$B$1 / 24,A:A,1)):A193),NA()))</f>
        <v>#N/A</v>
      </c>
      <c r="G193" s="58" t="e">
        <f>IF(ISBLANK(A193),NA(),IFERROR(A193+(PLAYER_EXP_MAX-D193)/F193,NA()))</f>
        <v>#N/A</v>
      </c>
      <c r="H193" s="485" t="e">
        <f t="shared" ca="1" si="17"/>
        <v>#N/A</v>
      </c>
      <c r="I193" s="51" t="e">
        <f ca="1">IF(ISBLANK(A193),NA(),IFERROR(SLOPE(INDIRECT("D" &amp; MATCH(A193-$C$1 / 24,A:A,1)):D193, INDIRECT("A" &amp; MATCH(A193-$C$1 / 24,A:A,1)):A193),NA()))</f>
        <v>#N/A</v>
      </c>
      <c r="J193" s="58" t="e">
        <f>IF(ISBLANK(A193),NA(),IFERROR(A193+(PLAYER_EXP_MAX-D193)/I193,NA()))</f>
        <v>#N/A</v>
      </c>
      <c r="K193" s="485" t="e">
        <f t="shared" ca="1" si="18"/>
        <v>#N/A</v>
      </c>
      <c r="L193" s="51" t="e">
        <f ca="1">IF(ISBLANK(A193),NA(),IFERROR(SLOPE(INDIRECT("D" &amp; MATCH(A193-$D$1 / 24,A:A,1)):D193, INDIRECT("A" &amp; MATCH(A193-$D$1 / 24,A:A,1)):A193),NA()))</f>
        <v>#N/A</v>
      </c>
      <c r="M193" s="58" t="e">
        <f>IF(ISBLANK(A193),NA(),IFERROR(A193+(PLAYER_EXP_MAX-D193)/L193,NA()))</f>
        <v>#N/A</v>
      </c>
      <c r="N193" s="485" t="e">
        <f t="shared" ca="1" si="19"/>
        <v>#N/A</v>
      </c>
    </row>
    <row r="194" spans="4:14" ht="14.65" customHeight="1" x14ac:dyDescent="0.25">
      <c r="D194" s="485" t="str">
        <f t="shared" si="16"/>
        <v>-</v>
      </c>
      <c r="E194" s="46" t="str">
        <f>IF(ISBLANK(A194),"-",D194/PLAYER_EXP_MAX)</f>
        <v>-</v>
      </c>
      <c r="F194" s="51" t="e">
        <f ca="1">IF(ISBLANK(A194),NA(),IFERROR(SLOPE(INDIRECT("D" &amp; MATCH(A194-$B$1 / 24,A:A,1)):D194, INDIRECT("A" &amp; MATCH(A194-$B$1 / 24,A:A,1)):A194),NA()))</f>
        <v>#N/A</v>
      </c>
      <c r="G194" s="58" t="e">
        <f>IF(ISBLANK(A194),NA(),IFERROR(A194+(PLAYER_EXP_MAX-D194)/F194,NA()))</f>
        <v>#N/A</v>
      </c>
      <c r="H194" s="485" t="e">
        <f t="shared" ca="1" si="17"/>
        <v>#N/A</v>
      </c>
      <c r="I194" s="51" t="e">
        <f ca="1">IF(ISBLANK(A194),NA(),IFERROR(SLOPE(INDIRECT("D" &amp; MATCH(A194-$C$1 / 24,A:A,1)):D194, INDIRECT("A" &amp; MATCH(A194-$C$1 / 24,A:A,1)):A194),NA()))</f>
        <v>#N/A</v>
      </c>
      <c r="J194" s="58" t="e">
        <f>IF(ISBLANK(A194),NA(),IFERROR(A194+(PLAYER_EXP_MAX-D194)/I194,NA()))</f>
        <v>#N/A</v>
      </c>
      <c r="K194" s="485" t="e">
        <f t="shared" ca="1" si="18"/>
        <v>#N/A</v>
      </c>
      <c r="L194" s="51" t="e">
        <f ca="1">IF(ISBLANK(A194),NA(),IFERROR(SLOPE(INDIRECT("D" &amp; MATCH(A194-$D$1 / 24,A:A,1)):D194, INDIRECT("A" &amp; MATCH(A194-$D$1 / 24,A:A,1)):A194),NA()))</f>
        <v>#N/A</v>
      </c>
      <c r="M194" s="58" t="e">
        <f>IF(ISBLANK(A194),NA(),IFERROR(A194+(PLAYER_EXP_MAX-D194)/L194,NA()))</f>
        <v>#N/A</v>
      </c>
      <c r="N194" s="485" t="e">
        <f t="shared" ca="1" si="19"/>
        <v>#N/A</v>
      </c>
    </row>
    <row r="195" spans="4:14" ht="14.65" customHeight="1" x14ac:dyDescent="0.25">
      <c r="D195" s="485" t="str">
        <f t="shared" si="16"/>
        <v>-</v>
      </c>
      <c r="E195" s="46" t="str">
        <f>IF(ISBLANK(A195),"-",D195/PLAYER_EXP_MAX)</f>
        <v>-</v>
      </c>
      <c r="F195" s="51" t="e">
        <f ca="1">IF(ISBLANK(A195),NA(),IFERROR(SLOPE(INDIRECT("D" &amp; MATCH(A195-$B$1 / 24,A:A,1)):D195, INDIRECT("A" &amp; MATCH(A195-$B$1 / 24,A:A,1)):A195),NA()))</f>
        <v>#N/A</v>
      </c>
      <c r="G195" s="58" t="e">
        <f>IF(ISBLANK(A195),NA(),IFERROR(A195+(PLAYER_EXP_MAX-D195)/F195,NA()))</f>
        <v>#N/A</v>
      </c>
      <c r="H195" s="485" t="e">
        <f t="shared" ca="1" si="17"/>
        <v>#N/A</v>
      </c>
      <c r="I195" s="51" t="e">
        <f ca="1">IF(ISBLANK(A195),NA(),IFERROR(SLOPE(INDIRECT("D" &amp; MATCH(A195-$C$1 / 24,A:A,1)):D195, INDIRECT("A" &amp; MATCH(A195-$C$1 / 24,A:A,1)):A195),NA()))</f>
        <v>#N/A</v>
      </c>
      <c r="J195" s="58" t="e">
        <f>IF(ISBLANK(A195),NA(),IFERROR(A195+(PLAYER_EXP_MAX-D195)/I195,NA()))</f>
        <v>#N/A</v>
      </c>
      <c r="K195" s="485" t="e">
        <f t="shared" ca="1" si="18"/>
        <v>#N/A</v>
      </c>
      <c r="L195" s="51" t="e">
        <f ca="1">IF(ISBLANK(A195),NA(),IFERROR(SLOPE(INDIRECT("D" &amp; MATCH(A195-$D$1 / 24,A:A,1)):D195, INDIRECT("A" &amp; MATCH(A195-$D$1 / 24,A:A,1)):A195),NA()))</f>
        <v>#N/A</v>
      </c>
      <c r="M195" s="58" t="e">
        <f>IF(ISBLANK(A195),NA(),IFERROR(A195+(PLAYER_EXP_MAX-D195)/L195,NA()))</f>
        <v>#N/A</v>
      </c>
      <c r="N195" s="485" t="e">
        <f t="shared" ca="1" si="19"/>
        <v>#N/A</v>
      </c>
    </row>
    <row r="196" spans="4:14" ht="14.65" customHeight="1" x14ac:dyDescent="0.25">
      <c r="D196" s="485" t="str">
        <f t="shared" si="16"/>
        <v>-</v>
      </c>
      <c r="E196" s="46" t="str">
        <f>IF(ISBLANK(A196),"-",D196/PLAYER_EXP_MAX)</f>
        <v>-</v>
      </c>
      <c r="F196" s="51" t="e">
        <f ca="1">IF(ISBLANK(A196),NA(),IFERROR(SLOPE(INDIRECT("D" &amp; MATCH(A196-$B$1 / 24,A:A,1)):D196, INDIRECT("A" &amp; MATCH(A196-$B$1 / 24,A:A,1)):A196),NA()))</f>
        <v>#N/A</v>
      </c>
      <c r="G196" s="58" t="e">
        <f>IF(ISBLANK(A196),NA(),IFERROR(A196+(PLAYER_EXP_MAX-D196)/F196,NA()))</f>
        <v>#N/A</v>
      </c>
      <c r="H196" s="485" t="e">
        <f t="shared" ca="1" si="17"/>
        <v>#N/A</v>
      </c>
      <c r="I196" s="51" t="e">
        <f ca="1">IF(ISBLANK(A196),NA(),IFERROR(SLOPE(INDIRECT("D" &amp; MATCH(A196-$C$1 / 24,A:A,1)):D196, INDIRECT("A" &amp; MATCH(A196-$C$1 / 24,A:A,1)):A196),NA()))</f>
        <v>#N/A</v>
      </c>
      <c r="J196" s="58" t="e">
        <f>IF(ISBLANK(A196),NA(),IFERROR(A196+(PLAYER_EXP_MAX-D196)/I196,NA()))</f>
        <v>#N/A</v>
      </c>
      <c r="K196" s="485" t="e">
        <f t="shared" ca="1" si="18"/>
        <v>#N/A</v>
      </c>
      <c r="L196" s="51" t="e">
        <f ca="1">IF(ISBLANK(A196),NA(),IFERROR(SLOPE(INDIRECT("D" &amp; MATCH(A196-$D$1 / 24,A:A,1)):D196, INDIRECT("A" &amp; MATCH(A196-$D$1 / 24,A:A,1)):A196),NA()))</f>
        <v>#N/A</v>
      </c>
      <c r="M196" s="58" t="e">
        <f>IF(ISBLANK(A196),NA(),IFERROR(A196+(PLAYER_EXP_MAX-D196)/L196,NA()))</f>
        <v>#N/A</v>
      </c>
      <c r="N196" s="485" t="e">
        <f t="shared" ca="1" si="19"/>
        <v>#N/A</v>
      </c>
    </row>
    <row r="197" spans="4:14" ht="14.65" customHeight="1" x14ac:dyDescent="0.25">
      <c r="D197" s="485" t="str">
        <f t="shared" si="16"/>
        <v>-</v>
      </c>
      <c r="E197" s="46" t="str">
        <f>IF(ISBLANK(A197),"-",D197/PLAYER_EXP_MAX)</f>
        <v>-</v>
      </c>
      <c r="F197" s="51" t="e">
        <f ca="1">IF(ISBLANK(A197),NA(),IFERROR(SLOPE(INDIRECT("D" &amp; MATCH(A197-$B$1 / 24,A:A,1)):D197, INDIRECT("A" &amp; MATCH(A197-$B$1 / 24,A:A,1)):A197),NA()))</f>
        <v>#N/A</v>
      </c>
      <c r="G197" s="58" t="e">
        <f>IF(ISBLANK(A197),NA(),IFERROR(A197+(PLAYER_EXP_MAX-D197)/F197,NA()))</f>
        <v>#N/A</v>
      </c>
      <c r="H197" s="485" t="e">
        <f t="shared" ca="1" si="17"/>
        <v>#N/A</v>
      </c>
      <c r="I197" s="51" t="e">
        <f ca="1">IF(ISBLANK(A197),NA(),IFERROR(SLOPE(INDIRECT("D" &amp; MATCH(A197-$C$1 / 24,A:A,1)):D197, INDIRECT("A" &amp; MATCH(A197-$C$1 / 24,A:A,1)):A197),NA()))</f>
        <v>#N/A</v>
      </c>
      <c r="J197" s="58" t="e">
        <f>IF(ISBLANK(A197),NA(),IFERROR(A197+(PLAYER_EXP_MAX-D197)/I197,NA()))</f>
        <v>#N/A</v>
      </c>
      <c r="K197" s="485" t="e">
        <f t="shared" ca="1" si="18"/>
        <v>#N/A</v>
      </c>
      <c r="L197" s="51" t="e">
        <f ca="1">IF(ISBLANK(A197),NA(),IFERROR(SLOPE(INDIRECT("D" &amp; MATCH(A197-$D$1 / 24,A:A,1)):D197, INDIRECT("A" &amp; MATCH(A197-$D$1 / 24,A:A,1)):A197),NA()))</f>
        <v>#N/A</v>
      </c>
      <c r="M197" s="58" t="e">
        <f>IF(ISBLANK(A197),NA(),IFERROR(A197+(PLAYER_EXP_MAX-D197)/L197,NA()))</f>
        <v>#N/A</v>
      </c>
      <c r="N197" s="485" t="e">
        <f t="shared" ca="1" si="19"/>
        <v>#N/A</v>
      </c>
    </row>
    <row r="198" spans="4:14" ht="14.65" customHeight="1" x14ac:dyDescent="0.25">
      <c r="D198" s="485" t="str">
        <f t="shared" si="16"/>
        <v>-</v>
      </c>
      <c r="E198" s="46" t="str">
        <f>IF(ISBLANK(A198),"-",D198/PLAYER_EXP_MAX)</f>
        <v>-</v>
      </c>
      <c r="F198" s="51" t="e">
        <f ca="1">IF(ISBLANK(A198),NA(),IFERROR(SLOPE(INDIRECT("D" &amp; MATCH(A198-$B$1 / 24,A:A,1)):D198, INDIRECT("A" &amp; MATCH(A198-$B$1 / 24,A:A,1)):A198),NA()))</f>
        <v>#N/A</v>
      </c>
      <c r="G198" s="58" t="e">
        <f>IF(ISBLANK(A198),NA(),IFERROR(A198+(PLAYER_EXP_MAX-D198)/F198,NA()))</f>
        <v>#N/A</v>
      </c>
      <c r="H198" s="485" t="e">
        <f t="shared" ca="1" si="17"/>
        <v>#N/A</v>
      </c>
      <c r="I198" s="51" t="e">
        <f ca="1">IF(ISBLANK(A198),NA(),IFERROR(SLOPE(INDIRECT("D" &amp; MATCH(A198-$C$1 / 24,A:A,1)):D198, INDIRECT("A" &amp; MATCH(A198-$C$1 / 24,A:A,1)):A198),NA()))</f>
        <v>#N/A</v>
      </c>
      <c r="J198" s="58" t="e">
        <f>IF(ISBLANK(A198),NA(),IFERROR(A198+(PLAYER_EXP_MAX-D198)/I198,NA()))</f>
        <v>#N/A</v>
      </c>
      <c r="K198" s="485" t="e">
        <f t="shared" ca="1" si="18"/>
        <v>#N/A</v>
      </c>
      <c r="L198" s="51" t="e">
        <f ca="1">IF(ISBLANK(A198),NA(),IFERROR(SLOPE(INDIRECT("D" &amp; MATCH(A198-$D$1 / 24,A:A,1)):D198, INDIRECT("A" &amp; MATCH(A198-$D$1 / 24,A:A,1)):A198),NA()))</f>
        <v>#N/A</v>
      </c>
      <c r="M198" s="58" t="e">
        <f>IF(ISBLANK(A198),NA(),IFERROR(A198+(PLAYER_EXP_MAX-D198)/L198,NA()))</f>
        <v>#N/A</v>
      </c>
      <c r="N198" s="485" t="e">
        <f t="shared" ca="1" si="19"/>
        <v>#N/A</v>
      </c>
    </row>
    <row r="199" spans="4:14" ht="14.65" customHeight="1" x14ac:dyDescent="0.25">
      <c r="D199" s="485" t="str">
        <f t="shared" si="16"/>
        <v>-</v>
      </c>
      <c r="E199" s="46" t="str">
        <f>IF(ISBLANK(A199),"-",D199/PLAYER_EXP_MAX)</f>
        <v>-</v>
      </c>
      <c r="F199" s="51" t="e">
        <f ca="1">IF(ISBLANK(A199),NA(),IFERROR(SLOPE(INDIRECT("D" &amp; MATCH(A199-$B$1 / 24,A:A,1)):D199, INDIRECT("A" &amp; MATCH(A199-$B$1 / 24,A:A,1)):A199),NA()))</f>
        <v>#N/A</v>
      </c>
      <c r="G199" s="58" t="e">
        <f>IF(ISBLANK(A199),NA(),IFERROR(A199+(PLAYER_EXP_MAX-D199)/F199,NA()))</f>
        <v>#N/A</v>
      </c>
      <c r="H199" s="485" t="e">
        <f t="shared" ca="1" si="17"/>
        <v>#N/A</v>
      </c>
      <c r="I199" s="51" t="e">
        <f ca="1">IF(ISBLANK(A199),NA(),IFERROR(SLOPE(INDIRECT("D" &amp; MATCH(A199-$C$1 / 24,A:A,1)):D199, INDIRECT("A" &amp; MATCH(A199-$C$1 / 24,A:A,1)):A199),NA()))</f>
        <v>#N/A</v>
      </c>
      <c r="J199" s="58" t="e">
        <f>IF(ISBLANK(A199),NA(),IFERROR(A199+(PLAYER_EXP_MAX-D199)/I199,NA()))</f>
        <v>#N/A</v>
      </c>
      <c r="K199" s="485" t="e">
        <f t="shared" ca="1" si="18"/>
        <v>#N/A</v>
      </c>
      <c r="L199" s="51" t="e">
        <f ca="1">IF(ISBLANK(A199),NA(),IFERROR(SLOPE(INDIRECT("D" &amp; MATCH(A199-$D$1 / 24,A:A,1)):D199, INDIRECT("A" &amp; MATCH(A199-$D$1 / 24,A:A,1)):A199),NA()))</f>
        <v>#N/A</v>
      </c>
      <c r="M199" s="58" t="e">
        <f>IF(ISBLANK(A199),NA(),IFERROR(A199+(PLAYER_EXP_MAX-D199)/L199,NA()))</f>
        <v>#N/A</v>
      </c>
      <c r="N199" s="485" t="e">
        <f t="shared" ca="1" si="19"/>
        <v>#N/A</v>
      </c>
    </row>
    <row r="200" spans="4:14" ht="14.65" customHeight="1" x14ac:dyDescent="0.25">
      <c r="D200" s="485" t="str">
        <f t="shared" si="16"/>
        <v>-</v>
      </c>
      <c r="E200" s="46" t="str">
        <f>IF(ISBLANK(A200),"-",D200/PLAYER_EXP_MAX)</f>
        <v>-</v>
      </c>
      <c r="F200" s="51" t="e">
        <f ca="1">IF(ISBLANK(A200),NA(),IFERROR(SLOPE(INDIRECT("D" &amp; MATCH(A200-$B$1 / 24,A:A,1)):D200, INDIRECT("A" &amp; MATCH(A200-$B$1 / 24,A:A,1)):A200),NA()))</f>
        <v>#N/A</v>
      </c>
      <c r="G200" s="58" t="e">
        <f>IF(ISBLANK(A200),NA(),IFERROR(A200+(PLAYER_EXP_MAX-D200)/F200,NA()))</f>
        <v>#N/A</v>
      </c>
      <c r="H200" s="485" t="e">
        <f t="shared" ca="1" si="17"/>
        <v>#N/A</v>
      </c>
      <c r="I200" s="51" t="e">
        <f ca="1">IF(ISBLANK(A200),NA(),IFERROR(SLOPE(INDIRECT("D" &amp; MATCH(A200-$C$1 / 24,A:A,1)):D200, INDIRECT("A" &amp; MATCH(A200-$C$1 / 24,A:A,1)):A200),NA()))</f>
        <v>#N/A</v>
      </c>
      <c r="J200" s="58" t="e">
        <f>IF(ISBLANK(A200),NA(),IFERROR(A200+(PLAYER_EXP_MAX-D200)/I200,NA()))</f>
        <v>#N/A</v>
      </c>
      <c r="K200" s="485" t="e">
        <f t="shared" ca="1" si="18"/>
        <v>#N/A</v>
      </c>
      <c r="L200" s="51" t="e">
        <f ca="1">IF(ISBLANK(A200),NA(),IFERROR(SLOPE(INDIRECT("D" &amp; MATCH(A200-$D$1 / 24,A:A,1)):D200, INDIRECT("A" &amp; MATCH(A200-$D$1 / 24,A:A,1)):A200),NA()))</f>
        <v>#N/A</v>
      </c>
      <c r="M200" s="58" t="e">
        <f>IF(ISBLANK(A200),NA(),IFERROR(A200+(PLAYER_EXP_MAX-D200)/L200,NA()))</f>
        <v>#N/A</v>
      </c>
      <c r="N200" s="485" t="e">
        <f t="shared" ca="1" si="19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1048576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{428C462C-7F79-42C2-944C-BD4800A3E204}</x14:id>
        </ext>
      </extLst>
    </cfRule>
  </conditionalFormatting>
  <conditionalFormatting sqref="F1:F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28C462C-7F79-42C2-944C-BD4800A3E20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D251"/>
  <sheetViews>
    <sheetView tabSelected="1" topLeftCell="A244" workbookViewId="0">
      <selection activeCell="C251" sqref="C251"/>
    </sheetView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54</v>
      </c>
      <c r="C1" s="45" t="s">
        <v>55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  <row r="202" spans="1:3" x14ac:dyDescent="0.25">
      <c r="A202" s="44">
        <v>201</v>
      </c>
      <c r="B202" s="44">
        <v>243000</v>
      </c>
      <c r="C202" s="44">
        <v>11432490</v>
      </c>
    </row>
    <row r="203" spans="1:3" x14ac:dyDescent="0.25">
      <c r="A203" s="44">
        <v>202</v>
      </c>
      <c r="B203" s="44">
        <v>247000</v>
      </c>
      <c r="C203" s="44">
        <v>11675490</v>
      </c>
    </row>
    <row r="204" spans="1:3" x14ac:dyDescent="0.25">
      <c r="A204" s="44">
        <v>203</v>
      </c>
      <c r="B204" s="44">
        <v>251000</v>
      </c>
      <c r="C204" s="44">
        <v>11922490</v>
      </c>
    </row>
    <row r="205" spans="1:3" x14ac:dyDescent="0.25">
      <c r="A205" s="44">
        <v>204</v>
      </c>
      <c r="B205" s="44">
        <v>255000</v>
      </c>
      <c r="C205" s="44">
        <v>12173490</v>
      </c>
    </row>
    <row r="206" spans="1:3" x14ac:dyDescent="0.25">
      <c r="A206" s="44">
        <v>205</v>
      </c>
      <c r="B206" s="44">
        <v>259000</v>
      </c>
      <c r="C206" s="44">
        <v>12428490</v>
      </c>
    </row>
    <row r="207" spans="1:3" x14ac:dyDescent="0.25">
      <c r="A207" s="44">
        <v>206</v>
      </c>
      <c r="B207" s="44">
        <v>263000</v>
      </c>
      <c r="C207" s="44">
        <v>12687490</v>
      </c>
    </row>
    <row r="208" spans="1:3" x14ac:dyDescent="0.25">
      <c r="A208" s="44">
        <v>207</v>
      </c>
      <c r="B208" s="44">
        <v>267000</v>
      </c>
      <c r="C208" s="44">
        <v>12950490</v>
      </c>
    </row>
    <row r="209" spans="1:3" x14ac:dyDescent="0.25">
      <c r="A209" s="44">
        <v>208</v>
      </c>
      <c r="B209" s="44">
        <v>271000</v>
      </c>
      <c r="C209" s="44">
        <v>13217490</v>
      </c>
    </row>
    <row r="210" spans="1:3" x14ac:dyDescent="0.25">
      <c r="A210" s="44">
        <v>209</v>
      </c>
      <c r="B210" s="44">
        <v>275000</v>
      </c>
      <c r="C210" s="44">
        <v>13488490</v>
      </c>
    </row>
    <row r="211" spans="1:3" x14ac:dyDescent="0.25">
      <c r="A211" s="44">
        <v>210</v>
      </c>
      <c r="B211" s="44">
        <v>279000</v>
      </c>
      <c r="C211" s="44">
        <v>13763490</v>
      </c>
    </row>
    <row r="212" spans="1:3" x14ac:dyDescent="0.25">
      <c r="A212" s="44">
        <v>211</v>
      </c>
      <c r="B212" s="44">
        <v>283000</v>
      </c>
      <c r="C212" s="44">
        <v>14042490</v>
      </c>
    </row>
    <row r="213" spans="1:3" x14ac:dyDescent="0.25">
      <c r="A213" s="44">
        <v>212</v>
      </c>
      <c r="B213" s="44">
        <v>287000</v>
      </c>
      <c r="C213" s="44">
        <v>14325490</v>
      </c>
    </row>
    <row r="214" spans="1:3" x14ac:dyDescent="0.25">
      <c r="A214" s="44">
        <v>213</v>
      </c>
      <c r="B214" s="44">
        <v>291000</v>
      </c>
      <c r="C214" s="44">
        <v>14612490</v>
      </c>
    </row>
    <row r="215" spans="1:3" x14ac:dyDescent="0.25">
      <c r="A215" s="44">
        <v>214</v>
      </c>
      <c r="B215" s="44">
        <v>295000</v>
      </c>
      <c r="C215" s="44">
        <v>14903490</v>
      </c>
    </row>
    <row r="216" spans="1:3" x14ac:dyDescent="0.25">
      <c r="A216" s="44">
        <v>215</v>
      </c>
      <c r="B216" s="44">
        <v>299000</v>
      </c>
      <c r="C216" s="44">
        <v>15198490</v>
      </c>
    </row>
    <row r="217" spans="1:3" x14ac:dyDescent="0.25">
      <c r="A217" s="44">
        <v>216</v>
      </c>
      <c r="B217" s="44">
        <v>303000</v>
      </c>
      <c r="C217" s="44">
        <v>15497490</v>
      </c>
    </row>
    <row r="218" spans="1:3" x14ac:dyDescent="0.25">
      <c r="A218" s="44">
        <v>217</v>
      </c>
      <c r="B218" s="44">
        <v>307000</v>
      </c>
      <c r="C218" s="44">
        <v>15800490</v>
      </c>
    </row>
    <row r="219" spans="1:3" x14ac:dyDescent="0.25">
      <c r="A219" s="44">
        <v>218</v>
      </c>
      <c r="B219" s="44">
        <v>311000</v>
      </c>
      <c r="C219" s="44">
        <v>16107490</v>
      </c>
    </row>
    <row r="220" spans="1:3" x14ac:dyDescent="0.25">
      <c r="A220" s="44">
        <v>219</v>
      </c>
      <c r="B220" s="44">
        <v>315000</v>
      </c>
      <c r="C220" s="44">
        <v>16418490</v>
      </c>
    </row>
    <row r="221" spans="1:3" x14ac:dyDescent="0.25">
      <c r="A221" s="44">
        <v>220</v>
      </c>
      <c r="B221" s="44">
        <v>319000</v>
      </c>
      <c r="C221" s="44">
        <v>16733490</v>
      </c>
    </row>
    <row r="222" spans="1:3" x14ac:dyDescent="0.25">
      <c r="A222" s="44">
        <v>221</v>
      </c>
      <c r="B222" s="44">
        <v>323000</v>
      </c>
      <c r="C222" s="44">
        <v>17052490</v>
      </c>
    </row>
    <row r="223" spans="1:3" x14ac:dyDescent="0.25">
      <c r="A223" s="44">
        <v>222</v>
      </c>
      <c r="B223" s="44">
        <v>327000</v>
      </c>
      <c r="C223" s="44">
        <v>17375490</v>
      </c>
    </row>
    <row r="224" spans="1:3" x14ac:dyDescent="0.25">
      <c r="A224" s="44">
        <v>223</v>
      </c>
      <c r="B224" s="44">
        <v>331000</v>
      </c>
      <c r="C224" s="44">
        <v>17702490</v>
      </c>
    </row>
    <row r="225" spans="1:3" x14ac:dyDescent="0.25">
      <c r="A225" s="44">
        <v>224</v>
      </c>
      <c r="B225" s="44">
        <v>335000</v>
      </c>
      <c r="C225" s="44">
        <v>18033490</v>
      </c>
    </row>
    <row r="226" spans="1:3" x14ac:dyDescent="0.25">
      <c r="A226" s="44">
        <v>225</v>
      </c>
      <c r="B226" s="44">
        <v>339000</v>
      </c>
      <c r="C226" s="44">
        <v>18368490</v>
      </c>
    </row>
    <row r="227" spans="1:3" x14ac:dyDescent="0.25">
      <c r="A227" s="44">
        <v>226</v>
      </c>
      <c r="B227" s="44">
        <v>343000</v>
      </c>
      <c r="C227" s="44">
        <v>18707490</v>
      </c>
    </row>
    <row r="228" spans="1:3" x14ac:dyDescent="0.25">
      <c r="A228" s="44">
        <v>227</v>
      </c>
      <c r="B228" s="44">
        <v>347000</v>
      </c>
      <c r="C228" s="44">
        <v>19050490</v>
      </c>
    </row>
    <row r="229" spans="1:3" x14ac:dyDescent="0.25">
      <c r="A229" s="44">
        <v>228</v>
      </c>
      <c r="B229" s="44">
        <v>351000</v>
      </c>
      <c r="C229" s="44">
        <v>19397490</v>
      </c>
    </row>
    <row r="230" spans="1:3" x14ac:dyDescent="0.25">
      <c r="A230" s="44">
        <v>229</v>
      </c>
      <c r="B230" s="44">
        <v>355000</v>
      </c>
      <c r="C230" s="44">
        <v>19748490</v>
      </c>
    </row>
    <row r="231" spans="1:3" x14ac:dyDescent="0.25">
      <c r="A231" s="44">
        <v>230</v>
      </c>
      <c r="B231" s="44">
        <v>360000</v>
      </c>
      <c r="C231" s="44">
        <v>20103490</v>
      </c>
    </row>
    <row r="232" spans="1:3" x14ac:dyDescent="0.25">
      <c r="A232" s="44">
        <v>231</v>
      </c>
      <c r="B232" s="44">
        <v>365000</v>
      </c>
      <c r="C232" s="44">
        <v>20463490</v>
      </c>
    </row>
    <row r="233" spans="1:3" x14ac:dyDescent="0.25">
      <c r="A233" s="44">
        <v>232</v>
      </c>
      <c r="B233" s="44">
        <v>370000</v>
      </c>
      <c r="C233" s="44">
        <v>20828490</v>
      </c>
    </row>
    <row r="234" spans="1:3" x14ac:dyDescent="0.25">
      <c r="A234" s="44">
        <v>233</v>
      </c>
      <c r="B234" s="44">
        <v>375000</v>
      </c>
      <c r="C234" s="44">
        <v>21198490</v>
      </c>
    </row>
    <row r="235" spans="1:3" x14ac:dyDescent="0.25">
      <c r="A235" s="44">
        <v>234</v>
      </c>
      <c r="B235" s="44">
        <v>380000</v>
      </c>
      <c r="C235" s="44">
        <v>21573490</v>
      </c>
    </row>
    <row r="236" spans="1:3" x14ac:dyDescent="0.25">
      <c r="A236" s="44">
        <v>235</v>
      </c>
      <c r="B236" s="44">
        <v>385000</v>
      </c>
      <c r="C236" s="44">
        <v>21953490</v>
      </c>
    </row>
    <row r="237" spans="1:3" x14ac:dyDescent="0.25">
      <c r="A237" s="44">
        <v>236</v>
      </c>
      <c r="B237" s="44">
        <v>390000</v>
      </c>
      <c r="C237" s="44">
        <v>22338490</v>
      </c>
    </row>
    <row r="238" spans="1:3" x14ac:dyDescent="0.25">
      <c r="A238" s="44">
        <v>237</v>
      </c>
      <c r="B238" s="44">
        <v>395000</v>
      </c>
      <c r="C238" s="44">
        <v>22728490</v>
      </c>
    </row>
    <row r="239" spans="1:3" x14ac:dyDescent="0.25">
      <c r="A239" s="44">
        <v>238</v>
      </c>
      <c r="B239" s="44">
        <v>400000</v>
      </c>
      <c r="C239" s="44">
        <v>23123490</v>
      </c>
    </row>
    <row r="240" spans="1:3" x14ac:dyDescent="0.25">
      <c r="A240" s="44">
        <v>239</v>
      </c>
      <c r="B240" s="44">
        <v>405000</v>
      </c>
      <c r="C240" s="44">
        <v>23523490</v>
      </c>
    </row>
    <row r="241" spans="1:4" x14ac:dyDescent="0.25">
      <c r="A241" s="44">
        <v>240</v>
      </c>
      <c r="B241" s="44">
        <v>410000</v>
      </c>
      <c r="C241" s="44">
        <v>23928490</v>
      </c>
    </row>
    <row r="242" spans="1:4" x14ac:dyDescent="0.25">
      <c r="A242" s="44">
        <v>241</v>
      </c>
      <c r="B242" s="44">
        <v>415000</v>
      </c>
      <c r="C242" s="44">
        <v>24338490</v>
      </c>
    </row>
    <row r="243" spans="1:4" x14ac:dyDescent="0.25">
      <c r="A243" s="44">
        <v>242</v>
      </c>
      <c r="B243" s="44">
        <v>420000</v>
      </c>
      <c r="C243" s="44">
        <v>24753490</v>
      </c>
    </row>
    <row r="244" spans="1:4" x14ac:dyDescent="0.25">
      <c r="A244" s="44">
        <v>243</v>
      </c>
      <c r="B244" s="44">
        <v>425000</v>
      </c>
      <c r="C244" s="44">
        <v>25173490</v>
      </c>
    </row>
    <row r="245" spans="1:4" x14ac:dyDescent="0.25">
      <c r="A245" s="44">
        <v>244</v>
      </c>
      <c r="B245" s="44">
        <v>430000</v>
      </c>
      <c r="C245" s="44">
        <v>25598490</v>
      </c>
    </row>
    <row r="246" spans="1:4" x14ac:dyDescent="0.25">
      <c r="A246" s="44">
        <v>245</v>
      </c>
      <c r="B246" s="44">
        <v>435000</v>
      </c>
      <c r="C246" s="44">
        <v>26028490</v>
      </c>
    </row>
    <row r="247" spans="1:4" x14ac:dyDescent="0.25">
      <c r="A247" s="44">
        <v>246</v>
      </c>
      <c r="B247" s="44">
        <v>440000</v>
      </c>
      <c r="C247" s="44">
        <v>26463490</v>
      </c>
    </row>
    <row r="248" spans="1:4" x14ac:dyDescent="0.25">
      <c r="A248" s="44">
        <v>247</v>
      </c>
      <c r="B248" s="44">
        <v>445000</v>
      </c>
      <c r="C248" s="44">
        <v>26903490</v>
      </c>
    </row>
    <row r="249" spans="1:4" x14ac:dyDescent="0.25">
      <c r="A249" s="44">
        <v>248</v>
      </c>
      <c r="B249" s="44">
        <v>450000</v>
      </c>
      <c r="C249" s="44">
        <v>27348490</v>
      </c>
    </row>
    <row r="250" spans="1:4" x14ac:dyDescent="0.25">
      <c r="A250" s="44">
        <v>249</v>
      </c>
      <c r="B250" s="44">
        <v>455000</v>
      </c>
      <c r="C250" s="44">
        <v>27798490</v>
      </c>
    </row>
    <row r="251" spans="1:4" x14ac:dyDescent="0.25">
      <c r="A251" s="44">
        <v>250</v>
      </c>
      <c r="B251" s="44">
        <v>0</v>
      </c>
      <c r="C251" s="44">
        <v>27798490</v>
      </c>
      <c r="D251" s="44">
        <v>460000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20</v>
      </c>
      <c r="B1" s="627">
        <v>43677.583333333336</v>
      </c>
      <c r="C1" s="627"/>
      <c r="D1" s="28" t="s">
        <v>38</v>
      </c>
      <c r="E1" s="26" t="s">
        <v>30</v>
      </c>
      <c r="F1" s="26" t="s">
        <v>22</v>
      </c>
      <c r="G1" s="518" t="s">
        <v>23</v>
      </c>
      <c r="H1" s="518"/>
      <c r="I1" s="518"/>
      <c r="J1" s="518"/>
      <c r="K1" s="6"/>
      <c r="L1" s="25" t="s">
        <v>25</v>
      </c>
      <c r="M1" s="25"/>
      <c r="N1" s="620" t="s">
        <v>19</v>
      </c>
      <c r="O1" s="37"/>
      <c r="P1" s="40" t="s">
        <v>47</v>
      </c>
      <c r="Q1" s="40" t="s">
        <v>48</v>
      </c>
      <c r="R1" s="40" t="s">
        <v>49</v>
      </c>
      <c r="S1" s="41" t="s">
        <v>44</v>
      </c>
      <c r="T1" s="40" t="s">
        <v>45</v>
      </c>
      <c r="U1" s="38" t="s">
        <v>46</v>
      </c>
      <c r="V1" s="38" t="s">
        <v>50</v>
      </c>
      <c r="W1" s="38" t="s">
        <v>34</v>
      </c>
    </row>
    <row r="2" spans="1:23" x14ac:dyDescent="0.25">
      <c r="A2" s="6" t="s">
        <v>21</v>
      </c>
      <c r="B2" s="627">
        <v>43688.583333333336</v>
      </c>
      <c r="C2" s="627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626" t="str">
        <f ca="1">IF(NOW() &gt; $B$2,"",(NOW()-$B$1)/($B$2-$B$1))</f>
        <v/>
      </c>
      <c r="H2" s="626"/>
      <c r="I2" s="626"/>
      <c r="J2" s="626"/>
      <c r="K2" s="6" t="s">
        <v>27</v>
      </c>
      <c r="L2" s="11">
        <v>100000</v>
      </c>
      <c r="N2" s="620"/>
      <c r="O2" s="40" t="s">
        <v>51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63</v>
      </c>
      <c r="B3" s="19">
        <v>3</v>
      </c>
      <c r="D3" s="29"/>
      <c r="F3" s="27"/>
      <c r="G3" s="27"/>
      <c r="H3" s="27"/>
      <c r="I3" s="27"/>
      <c r="J3" s="27"/>
      <c r="K3" s="6" t="s">
        <v>28</v>
      </c>
      <c r="L3" s="11">
        <v>100000</v>
      </c>
      <c r="N3" s="620"/>
      <c r="O3" s="40" t="s">
        <v>52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620"/>
      <c r="O4" s="40" t="s">
        <v>33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628" t="s">
        <v>24</v>
      </c>
      <c r="C5" s="628"/>
      <c r="D5" s="629" t="s">
        <v>42</v>
      </c>
      <c r="E5" s="629"/>
      <c r="F5" s="629" t="s">
        <v>26</v>
      </c>
      <c r="G5" s="629"/>
      <c r="H5" s="629" t="s">
        <v>29</v>
      </c>
      <c r="I5" s="629"/>
      <c r="J5" s="518" t="s">
        <v>40</v>
      </c>
      <c r="K5" s="518"/>
      <c r="L5" s="630" t="s">
        <v>41</v>
      </c>
      <c r="M5" s="630"/>
      <c r="N5" s="518" t="s">
        <v>39</v>
      </c>
      <c r="O5" s="518"/>
      <c r="T5" s="1"/>
    </row>
    <row r="6" spans="1:23" x14ac:dyDescent="0.25">
      <c r="A6" s="6" t="s">
        <v>11</v>
      </c>
      <c r="B6" s="7" t="s">
        <v>27</v>
      </c>
      <c r="C6" s="7" t="s">
        <v>28</v>
      </c>
      <c r="D6" s="31" t="s">
        <v>27</v>
      </c>
      <c r="E6" s="31" t="s">
        <v>28</v>
      </c>
      <c r="F6" s="7" t="s">
        <v>27</v>
      </c>
      <c r="G6" s="7" t="s">
        <v>28</v>
      </c>
      <c r="H6" s="20" t="s">
        <v>27</v>
      </c>
      <c r="I6" s="20" t="s">
        <v>28</v>
      </c>
      <c r="J6" s="20" t="s">
        <v>27</v>
      </c>
      <c r="K6" s="20" t="s">
        <v>28</v>
      </c>
      <c r="L6" s="23" t="s">
        <v>27</v>
      </c>
      <c r="M6" s="23" t="s">
        <v>28</v>
      </c>
      <c r="N6" s="20" t="s">
        <v>27</v>
      </c>
      <c r="O6" s="20" t="s">
        <v>28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M40"/>
  <sheetViews>
    <sheetView workbookViewId="0">
      <selection activeCell="K24" sqref="K24:K25"/>
    </sheetView>
  </sheetViews>
  <sheetFormatPr defaultColWidth="9.28515625" defaultRowHeight="15" x14ac:dyDescent="0.25"/>
  <cols>
    <col min="1" max="2" width="9.28515625" style="329"/>
    <col min="3" max="3" width="9.42578125" style="332" customWidth="1"/>
    <col min="4" max="4" width="12.42578125" style="333" customWidth="1"/>
    <col min="5" max="7" width="9.28515625" style="329"/>
    <col min="8" max="9" width="9.28515625" style="329" customWidth="1"/>
    <col min="10" max="16384" width="9.28515625" style="329"/>
  </cols>
  <sheetData>
    <row r="1" spans="1:13" ht="14.65" customHeight="1" x14ac:dyDescent="0.25">
      <c r="A1" s="327" t="s">
        <v>59</v>
      </c>
      <c r="B1" s="328">
        <v>31</v>
      </c>
      <c r="C1" s="631" t="s">
        <v>61</v>
      </c>
      <c r="D1" s="632">
        <f>INDEX(DATA_EVTBLD,B1,3)-B3</f>
        <v>62</v>
      </c>
      <c r="E1" s="631" t="s">
        <v>12</v>
      </c>
      <c r="F1" s="633">
        <f>1-(INDEX(DATA_EVTBLD,B1,3)-B3)/DATA_EVTBLD_MAX</f>
        <v>0.99566918133556859</v>
      </c>
      <c r="G1" s="633"/>
      <c r="H1" s="633"/>
      <c r="I1" s="633"/>
      <c r="J1" s="633"/>
      <c r="K1" s="633"/>
      <c r="L1" s="633"/>
      <c r="M1" s="633"/>
    </row>
    <row r="2" spans="1:13" ht="14.65" customHeight="1" x14ac:dyDescent="0.25">
      <c r="A2" s="327" t="s">
        <v>77</v>
      </c>
      <c r="B2" s="328">
        <v>35</v>
      </c>
      <c r="C2" s="631"/>
      <c r="D2" s="632"/>
      <c r="E2" s="631"/>
      <c r="F2" s="633"/>
      <c r="G2" s="633"/>
      <c r="H2" s="633"/>
      <c r="I2" s="633"/>
      <c r="J2" s="633"/>
      <c r="K2" s="633"/>
      <c r="L2" s="633"/>
      <c r="M2" s="633"/>
    </row>
    <row r="3" spans="1:13" ht="14.65" customHeight="1" x14ac:dyDescent="0.25">
      <c r="A3" s="327" t="s">
        <v>60</v>
      </c>
      <c r="B3" s="328">
        <v>5338</v>
      </c>
      <c r="C3" s="631"/>
      <c r="D3" s="632"/>
      <c r="E3" s="631"/>
      <c r="F3" s="633"/>
      <c r="G3" s="633"/>
      <c r="H3" s="633"/>
      <c r="I3" s="633"/>
      <c r="J3" s="633"/>
      <c r="K3" s="633"/>
      <c r="L3" s="633"/>
      <c r="M3" s="633"/>
    </row>
    <row r="5" spans="1:13" s="327" customFormat="1" ht="14.65" customHeight="1" x14ac:dyDescent="0.25">
      <c r="A5" s="327" t="s">
        <v>15</v>
      </c>
      <c r="B5" s="327" t="s">
        <v>76</v>
      </c>
      <c r="C5" s="330" t="s">
        <v>16</v>
      </c>
      <c r="D5" s="331"/>
      <c r="E5" s="337" t="s">
        <v>59</v>
      </c>
      <c r="F5" s="338" t="s">
        <v>294</v>
      </c>
      <c r="G5" s="338" t="s">
        <v>299</v>
      </c>
      <c r="H5" s="338" t="s">
        <v>295</v>
      </c>
      <c r="I5" s="338" t="s">
        <v>297</v>
      </c>
      <c r="J5" s="338" t="s">
        <v>296</v>
      </c>
      <c r="K5" s="338" t="s">
        <v>298</v>
      </c>
    </row>
    <row r="6" spans="1:13" x14ac:dyDescent="0.25">
      <c r="A6" s="329">
        <v>1</v>
      </c>
      <c r="B6" s="329">
        <v>3</v>
      </c>
      <c r="C6" s="328">
        <f>IF(A6&gt;=$B$2,0,SUM(B6:IF($B$2=30,$B$34,$B$39)))</f>
        <v>14316</v>
      </c>
      <c r="D6" s="332"/>
      <c r="E6" s="334">
        <f>A6</f>
        <v>1</v>
      </c>
      <c r="F6" s="339">
        <f>B6</f>
        <v>3</v>
      </c>
      <c r="G6" s="340">
        <f>3/1440</f>
        <v>2.0833333333333333E-3</v>
      </c>
      <c r="H6" s="343">
        <f>SUM(F6:F$34)</f>
        <v>7816</v>
      </c>
      <c r="I6" s="344">
        <f>SUM(G6:G$34)</f>
        <v>3.5972222222222223</v>
      </c>
      <c r="J6" s="346">
        <f>SUM(F6:F$40)</f>
        <v>14316</v>
      </c>
      <c r="K6" s="347">
        <f>SUM(G6:G$40)</f>
        <v>6.0972222222222223</v>
      </c>
    </row>
    <row r="7" spans="1:13" x14ac:dyDescent="0.25">
      <c r="A7" s="329">
        <f>A6+1</f>
        <v>2</v>
      </c>
      <c r="B7" s="329">
        <v>5</v>
      </c>
      <c r="C7" s="328">
        <f>IF(A7&gt;=$B$2,0,SUM(B7:IF($B$2=30,$B$34,$B$39)))</f>
        <v>14313</v>
      </c>
      <c r="D7" s="332"/>
      <c r="E7" s="334">
        <f t="shared" ref="E7:E40" si="0">A7</f>
        <v>2</v>
      </c>
      <c r="F7" s="339">
        <f t="shared" ref="F7:F40" si="1">B7</f>
        <v>5</v>
      </c>
      <c r="G7" s="340">
        <f>3/1440</f>
        <v>2.0833333333333333E-3</v>
      </c>
      <c r="H7" s="343">
        <f>SUM(F7:F$34)</f>
        <v>7813</v>
      </c>
      <c r="I7" s="344">
        <f>SUM(G7:G$34)</f>
        <v>3.5951388888888891</v>
      </c>
      <c r="J7" s="346">
        <f>SUM(F7:F$40)</f>
        <v>14313</v>
      </c>
      <c r="K7" s="347">
        <f>SUM(G7:G$40)</f>
        <v>6.0951388888888891</v>
      </c>
    </row>
    <row r="8" spans="1:13" x14ac:dyDescent="0.25">
      <c r="A8" s="329">
        <f t="shared" ref="A8:A40" si="2">A7+1</f>
        <v>3</v>
      </c>
      <c r="B8" s="329">
        <v>7</v>
      </c>
      <c r="C8" s="328">
        <f>IF(A8&gt;=$B$2,0,SUM(B8:IF($B$2=30,$B$34,$B$39)))</f>
        <v>14308</v>
      </c>
      <c r="D8" s="332"/>
      <c r="E8" s="334">
        <f t="shared" si="0"/>
        <v>3</v>
      </c>
      <c r="F8" s="339">
        <f t="shared" si="1"/>
        <v>7</v>
      </c>
      <c r="G8" s="340">
        <f>3/1440</f>
        <v>2.0833333333333333E-3</v>
      </c>
      <c r="H8" s="343">
        <f>SUM(F8:F$34)</f>
        <v>7808</v>
      </c>
      <c r="I8" s="344">
        <f>SUM(G8:G$34)</f>
        <v>3.5930555555555554</v>
      </c>
      <c r="J8" s="346">
        <f>SUM(F8:F$40)</f>
        <v>14308</v>
      </c>
      <c r="K8" s="347">
        <f>SUM(G8:G$40)</f>
        <v>6.093055555555555</v>
      </c>
    </row>
    <row r="9" spans="1:13" x14ac:dyDescent="0.25">
      <c r="A9" s="329">
        <f t="shared" si="2"/>
        <v>4</v>
      </c>
      <c r="B9" s="329">
        <v>10</v>
      </c>
      <c r="C9" s="328">
        <f>IF(A9&gt;=$B$2,0,SUM(B9:IF($B$2=30,$B$34,$B$39)))</f>
        <v>14301</v>
      </c>
      <c r="D9" s="332"/>
      <c r="E9" s="334">
        <f t="shared" si="0"/>
        <v>4</v>
      </c>
      <c r="F9" s="339">
        <f t="shared" si="1"/>
        <v>10</v>
      </c>
      <c r="G9" s="340">
        <f>3/1440</f>
        <v>2.0833333333333333E-3</v>
      </c>
      <c r="H9" s="343">
        <f>SUM(F9:F$34)</f>
        <v>7801</v>
      </c>
      <c r="I9" s="344">
        <f>SUM(G9:G$34)</f>
        <v>3.5909722222222222</v>
      </c>
      <c r="J9" s="346">
        <f>SUM(F9:F$40)</f>
        <v>14301</v>
      </c>
      <c r="K9" s="347">
        <f>SUM(G9:G$40)</f>
        <v>6.0909722222222218</v>
      </c>
    </row>
    <row r="10" spans="1:13" x14ac:dyDescent="0.25">
      <c r="A10" s="329">
        <f t="shared" si="2"/>
        <v>5</v>
      </c>
      <c r="B10" s="329">
        <v>12</v>
      </c>
      <c r="C10" s="328">
        <f>IF(A10&gt;=$B$2,0,SUM(B10:IF($B$2=30,$B$34,$B$39)))</f>
        <v>14291</v>
      </c>
      <c r="D10" s="332"/>
      <c r="E10" s="334">
        <f t="shared" si="0"/>
        <v>5</v>
      </c>
      <c r="F10" s="339">
        <f t="shared" si="1"/>
        <v>12</v>
      </c>
      <c r="G10" s="340">
        <f>3/1440</f>
        <v>2.0833333333333333E-3</v>
      </c>
      <c r="H10" s="343">
        <f>SUM(F10:F$34)</f>
        <v>7791</v>
      </c>
      <c r="I10" s="344">
        <f>SUM(G10:G$34)</f>
        <v>3.588888888888889</v>
      </c>
      <c r="J10" s="346">
        <f>SUM(F10:F$40)</f>
        <v>14291</v>
      </c>
      <c r="K10" s="347">
        <f>SUM(G10:G$40)</f>
        <v>6.0888888888888886</v>
      </c>
    </row>
    <row r="11" spans="1:13" x14ac:dyDescent="0.25">
      <c r="A11" s="329">
        <f t="shared" si="2"/>
        <v>6</v>
      </c>
      <c r="B11" s="329">
        <v>15</v>
      </c>
      <c r="C11" s="328">
        <f>IF(A11&gt;=$B$2,0,SUM(B11:IF($B$2=30,$B$34,$B$39)))</f>
        <v>14279</v>
      </c>
      <c r="D11" s="332"/>
      <c r="E11" s="334">
        <f t="shared" si="0"/>
        <v>6</v>
      </c>
      <c r="F11" s="339">
        <f t="shared" si="1"/>
        <v>15</v>
      </c>
      <c r="G11" s="340">
        <f>5/1440</f>
        <v>3.472222222222222E-3</v>
      </c>
      <c r="H11" s="343">
        <f>SUM(F11:F$34)</f>
        <v>7779</v>
      </c>
      <c r="I11" s="344">
        <f>SUM(G11:G$34)</f>
        <v>3.5868055555555554</v>
      </c>
      <c r="J11" s="346">
        <f>SUM(F11:F$40)</f>
        <v>14279</v>
      </c>
      <c r="K11" s="347">
        <f>SUM(G11:G$40)</f>
        <v>6.0868055555555554</v>
      </c>
    </row>
    <row r="12" spans="1:13" x14ac:dyDescent="0.25">
      <c r="A12" s="329">
        <f t="shared" si="2"/>
        <v>7</v>
      </c>
      <c r="B12" s="329">
        <v>18</v>
      </c>
      <c r="C12" s="328">
        <f>IF(A12&gt;=$B$2,0,SUM(B12:IF($B$2=30,$B$34,$B$39)))</f>
        <v>14264</v>
      </c>
      <c r="D12" s="332"/>
      <c r="E12" s="334">
        <f t="shared" si="0"/>
        <v>7</v>
      </c>
      <c r="F12" s="339">
        <f t="shared" si="1"/>
        <v>18</v>
      </c>
      <c r="G12" s="340">
        <f>5/1440</f>
        <v>3.472222222222222E-3</v>
      </c>
      <c r="H12" s="343">
        <f>SUM(F12:F$34)</f>
        <v>7764</v>
      </c>
      <c r="I12" s="344">
        <f>SUM(G12:G$34)</f>
        <v>3.583333333333333</v>
      </c>
      <c r="J12" s="346">
        <f>SUM(F12:F$40)</f>
        <v>14264</v>
      </c>
      <c r="K12" s="347">
        <f>SUM(G12:G$40)</f>
        <v>6.083333333333333</v>
      </c>
    </row>
    <row r="13" spans="1:13" x14ac:dyDescent="0.25">
      <c r="A13" s="329">
        <f t="shared" si="2"/>
        <v>8</v>
      </c>
      <c r="B13" s="329">
        <v>21</v>
      </c>
      <c r="C13" s="328">
        <f>IF(A13&gt;=$B$2,0,SUM(B13:IF($B$2=30,$B$34,$B$39)))</f>
        <v>14246</v>
      </c>
      <c r="D13" s="332"/>
      <c r="E13" s="334">
        <f t="shared" si="0"/>
        <v>8</v>
      </c>
      <c r="F13" s="339">
        <f t="shared" si="1"/>
        <v>21</v>
      </c>
      <c r="G13" s="340">
        <f>5/1440</f>
        <v>3.472222222222222E-3</v>
      </c>
      <c r="H13" s="343">
        <f>SUM(F13:F$34)</f>
        <v>7746</v>
      </c>
      <c r="I13" s="344">
        <f>SUM(G13:G$34)</f>
        <v>3.5798611111111112</v>
      </c>
      <c r="J13" s="346">
        <f>SUM(F13:F$40)</f>
        <v>14246</v>
      </c>
      <c r="K13" s="347">
        <f>SUM(G13:G$40)</f>
        <v>6.0798611111111107</v>
      </c>
    </row>
    <row r="14" spans="1:13" x14ac:dyDescent="0.25">
      <c r="A14" s="329">
        <f t="shared" si="2"/>
        <v>9</v>
      </c>
      <c r="B14" s="329">
        <v>25</v>
      </c>
      <c r="C14" s="328">
        <f>IF(A14&gt;=$B$2,0,SUM(B14:IF($B$2=30,$B$34,$B$39)))</f>
        <v>14225</v>
      </c>
      <c r="D14" s="332"/>
      <c r="E14" s="334">
        <f t="shared" si="0"/>
        <v>9</v>
      </c>
      <c r="F14" s="339">
        <f t="shared" si="1"/>
        <v>25</v>
      </c>
      <c r="G14" s="340">
        <f>1/144</f>
        <v>6.9444444444444441E-3</v>
      </c>
      <c r="H14" s="343">
        <f>SUM(F14:F$34)</f>
        <v>7725</v>
      </c>
      <c r="I14" s="344">
        <f>SUM(G14:G$34)</f>
        <v>3.5763888888888888</v>
      </c>
      <c r="J14" s="346">
        <f>SUM(F14:F$40)</f>
        <v>14225</v>
      </c>
      <c r="K14" s="347">
        <f>SUM(G14:G$40)</f>
        <v>6.0763888888888893</v>
      </c>
    </row>
    <row r="15" spans="1:13" x14ac:dyDescent="0.25">
      <c r="A15" s="329">
        <f t="shared" si="2"/>
        <v>10</v>
      </c>
      <c r="B15" s="329">
        <v>30</v>
      </c>
      <c r="C15" s="328">
        <f>IF(A15&gt;=$B$2,0,SUM(B15:IF($B$2=30,$B$34,$B$39)))</f>
        <v>14200</v>
      </c>
      <c r="D15" s="332"/>
      <c r="E15" s="334">
        <f t="shared" si="0"/>
        <v>10</v>
      </c>
      <c r="F15" s="339">
        <f t="shared" si="1"/>
        <v>30</v>
      </c>
      <c r="G15" s="340">
        <f>1/144</f>
        <v>6.9444444444444441E-3</v>
      </c>
      <c r="H15" s="343">
        <f>SUM(F15:F$34)</f>
        <v>7700</v>
      </c>
      <c r="I15" s="344">
        <f>SUM(G15:G$34)</f>
        <v>3.5694444444444446</v>
      </c>
      <c r="J15" s="346">
        <f>SUM(F15:F$40)</f>
        <v>14200</v>
      </c>
      <c r="K15" s="347">
        <f>SUM(G15:G$40)</f>
        <v>6.0694444444444446</v>
      </c>
    </row>
    <row r="16" spans="1:13" x14ac:dyDescent="0.25">
      <c r="A16" s="329">
        <f t="shared" si="2"/>
        <v>11</v>
      </c>
      <c r="B16" s="329">
        <v>50</v>
      </c>
      <c r="C16" s="328">
        <f>IF(A16&gt;=$B$2,0,SUM(B16:IF($B$2=30,$B$34,$B$39)))</f>
        <v>14170</v>
      </c>
      <c r="D16" s="332"/>
      <c r="E16" s="334">
        <f t="shared" si="0"/>
        <v>11</v>
      </c>
      <c r="F16" s="339">
        <f t="shared" si="1"/>
        <v>50</v>
      </c>
      <c r="G16" s="340">
        <f>3/144</f>
        <v>2.0833333333333332E-2</v>
      </c>
      <c r="H16" s="343">
        <f>SUM(F16:F$34)</f>
        <v>7670</v>
      </c>
      <c r="I16" s="344">
        <f>SUM(G16:G$34)</f>
        <v>3.5625</v>
      </c>
      <c r="J16" s="346">
        <f>SUM(F16:F$40)</f>
        <v>14170</v>
      </c>
      <c r="K16" s="347">
        <f>SUM(G16:G$40)</f>
        <v>6.0625</v>
      </c>
    </row>
    <row r="17" spans="1:11" x14ac:dyDescent="0.25">
      <c r="A17" s="329">
        <f t="shared" si="2"/>
        <v>12</v>
      </c>
      <c r="B17" s="329">
        <v>70</v>
      </c>
      <c r="C17" s="328">
        <f>IF(A17&gt;=$B$2,0,SUM(B17:IF($B$2=30,$B$34,$B$39)))</f>
        <v>14120</v>
      </c>
      <c r="D17" s="332"/>
      <c r="E17" s="334">
        <f t="shared" si="0"/>
        <v>12</v>
      </c>
      <c r="F17" s="339">
        <f t="shared" si="1"/>
        <v>70</v>
      </c>
      <c r="G17" s="340">
        <f>3/144</f>
        <v>2.0833333333333332E-2</v>
      </c>
      <c r="H17" s="343">
        <f>SUM(F17:F$34)</f>
        <v>7620</v>
      </c>
      <c r="I17" s="344">
        <f>SUM(G17:G$34)</f>
        <v>3.5416666666666665</v>
      </c>
      <c r="J17" s="346">
        <f>SUM(F17:F$40)</f>
        <v>14120</v>
      </c>
      <c r="K17" s="347">
        <f>SUM(G17:G$40)</f>
        <v>6.0416666666666661</v>
      </c>
    </row>
    <row r="18" spans="1:11" x14ac:dyDescent="0.25">
      <c r="A18" s="329">
        <f t="shared" si="2"/>
        <v>13</v>
      </c>
      <c r="B18" s="329">
        <v>90</v>
      </c>
      <c r="C18" s="328">
        <f>IF(A18&gt;=$B$2,0,SUM(B18:IF($B$2=30,$B$34,$B$39)))</f>
        <v>14050</v>
      </c>
      <c r="D18" s="332"/>
      <c r="E18" s="334">
        <f t="shared" si="0"/>
        <v>13</v>
      </c>
      <c r="F18" s="339">
        <f t="shared" si="1"/>
        <v>90</v>
      </c>
      <c r="G18" s="340">
        <f>3/144</f>
        <v>2.0833333333333332E-2</v>
      </c>
      <c r="H18" s="343">
        <f>SUM(F18:F$34)</f>
        <v>7550</v>
      </c>
      <c r="I18" s="344">
        <f>SUM(G18:G$34)</f>
        <v>3.520833333333333</v>
      </c>
      <c r="J18" s="346">
        <f>SUM(F18:F$40)</f>
        <v>14050</v>
      </c>
      <c r="K18" s="347">
        <f>SUM(G18:G$40)</f>
        <v>6.020833333333333</v>
      </c>
    </row>
    <row r="19" spans="1:11" x14ac:dyDescent="0.25">
      <c r="A19" s="329">
        <f t="shared" si="2"/>
        <v>14</v>
      </c>
      <c r="B19" s="329">
        <v>120</v>
      </c>
      <c r="C19" s="328">
        <f>IF(A19&gt;=$B$2,0,SUM(B19:IF($B$2=30,$B$34,$B$39)))</f>
        <v>13960</v>
      </c>
      <c r="D19" s="332"/>
      <c r="E19" s="334">
        <f t="shared" si="0"/>
        <v>14</v>
      </c>
      <c r="F19" s="339">
        <f t="shared" si="1"/>
        <v>120</v>
      </c>
      <c r="G19" s="340">
        <f>3/144</f>
        <v>2.0833333333333332E-2</v>
      </c>
      <c r="H19" s="343">
        <f>SUM(F19:F$34)</f>
        <v>7460</v>
      </c>
      <c r="I19" s="344">
        <f>SUM(G19:G$34)</f>
        <v>3.5</v>
      </c>
      <c r="J19" s="346">
        <f>SUM(F19:F$40)</f>
        <v>13960</v>
      </c>
      <c r="K19" s="347">
        <f>SUM(G19:G$40)</f>
        <v>6</v>
      </c>
    </row>
    <row r="20" spans="1:11" x14ac:dyDescent="0.25">
      <c r="A20" s="329">
        <f t="shared" si="2"/>
        <v>15</v>
      </c>
      <c r="B20" s="329">
        <v>150</v>
      </c>
      <c r="C20" s="328">
        <f>IF(A20&gt;=$B$2,0,SUM(B20:IF($B$2=30,$B$34,$B$39)))</f>
        <v>13840</v>
      </c>
      <c r="D20" s="332"/>
      <c r="E20" s="334">
        <f t="shared" si="0"/>
        <v>15</v>
      </c>
      <c r="F20" s="339">
        <f t="shared" si="1"/>
        <v>150</v>
      </c>
      <c r="G20" s="340">
        <f>3/144</f>
        <v>2.0833333333333332E-2</v>
      </c>
      <c r="H20" s="343">
        <f>SUM(F20:F$34)</f>
        <v>7340</v>
      </c>
      <c r="I20" s="344">
        <f>SUM(G20:G$34)</f>
        <v>3.4791666666666665</v>
      </c>
      <c r="J20" s="346">
        <f>SUM(F20:F$40)</f>
        <v>13840</v>
      </c>
      <c r="K20" s="347">
        <f>SUM(G20:G$40)</f>
        <v>5.9791666666666661</v>
      </c>
    </row>
    <row r="21" spans="1:11" x14ac:dyDescent="0.25">
      <c r="A21" s="329">
        <f t="shared" si="2"/>
        <v>16</v>
      </c>
      <c r="B21" s="329">
        <v>180</v>
      </c>
      <c r="C21" s="328">
        <f>IF(A21&gt;=$B$2,0,SUM(B21:IF($B$2=30,$B$34,$B$39)))</f>
        <v>13690</v>
      </c>
      <c r="D21" s="332"/>
      <c r="E21" s="334">
        <f t="shared" si="0"/>
        <v>16</v>
      </c>
      <c r="F21" s="339">
        <f t="shared" si="1"/>
        <v>180</v>
      </c>
      <c r="G21" s="340">
        <f>1/24</f>
        <v>4.1666666666666664E-2</v>
      </c>
      <c r="H21" s="343">
        <f>SUM(F21:F$34)</f>
        <v>7190</v>
      </c>
      <c r="I21" s="344">
        <f>SUM(G21:G$34)</f>
        <v>3.458333333333333</v>
      </c>
      <c r="J21" s="346">
        <f>SUM(F21:F$40)</f>
        <v>13690</v>
      </c>
      <c r="K21" s="347">
        <f>SUM(G21:G$40)</f>
        <v>5.958333333333333</v>
      </c>
    </row>
    <row r="22" spans="1:11" x14ac:dyDescent="0.25">
      <c r="A22" s="329">
        <f t="shared" si="2"/>
        <v>17</v>
      </c>
      <c r="B22" s="329">
        <v>210</v>
      </c>
      <c r="C22" s="328">
        <f>IF(A22&gt;=$B$2,0,SUM(B22:IF($B$2=30,$B$34,$B$39)))</f>
        <v>13510</v>
      </c>
      <c r="D22" s="332"/>
      <c r="E22" s="334">
        <f t="shared" si="0"/>
        <v>17</v>
      </c>
      <c r="F22" s="339">
        <f t="shared" si="1"/>
        <v>210</v>
      </c>
      <c r="G22" s="340">
        <f>1/24</f>
        <v>4.1666666666666664E-2</v>
      </c>
      <c r="H22" s="343">
        <f>SUM(F22:F$34)</f>
        <v>7010</v>
      </c>
      <c r="I22" s="344">
        <f>SUM(G22:G$34)</f>
        <v>3.4166666666666665</v>
      </c>
      <c r="J22" s="346">
        <f>SUM(F22:F$40)</f>
        <v>13510</v>
      </c>
      <c r="K22" s="347">
        <f>SUM(G22:G$40)</f>
        <v>5.9166666666666661</v>
      </c>
    </row>
    <row r="23" spans="1:11" x14ac:dyDescent="0.25">
      <c r="A23" s="329">
        <f t="shared" si="2"/>
        <v>18</v>
      </c>
      <c r="B23" s="329">
        <v>250</v>
      </c>
      <c r="C23" s="328">
        <f>IF(A23&gt;=$B$2,0,SUM(B23:IF($B$2=30,$B$34,$B$39)))</f>
        <v>13300</v>
      </c>
      <c r="D23" s="332"/>
      <c r="E23" s="334">
        <f t="shared" si="0"/>
        <v>18</v>
      </c>
      <c r="F23" s="339">
        <f t="shared" si="1"/>
        <v>250</v>
      </c>
      <c r="G23" s="340">
        <f>1/24</f>
        <v>4.1666666666666664E-2</v>
      </c>
      <c r="H23" s="343">
        <f>SUM(F23:F$34)</f>
        <v>6800</v>
      </c>
      <c r="I23" s="344">
        <f>SUM(G23:G$34)</f>
        <v>3.375</v>
      </c>
      <c r="J23" s="346">
        <f>SUM(F23:F$40)</f>
        <v>13300</v>
      </c>
      <c r="K23" s="347">
        <f>SUM(G23:G$40)</f>
        <v>5.875</v>
      </c>
    </row>
    <row r="24" spans="1:11" x14ac:dyDescent="0.25">
      <c r="A24" s="329">
        <f t="shared" si="2"/>
        <v>19</v>
      </c>
      <c r="B24" s="329">
        <v>300</v>
      </c>
      <c r="C24" s="328">
        <f>IF(A24&gt;=$B$2,0,SUM(B24:IF($B$2=30,$B$34,$B$39)))</f>
        <v>13050</v>
      </c>
      <c r="D24" s="332"/>
      <c r="E24" s="334">
        <f t="shared" si="0"/>
        <v>19</v>
      </c>
      <c r="F24" s="339">
        <f t="shared" si="1"/>
        <v>300</v>
      </c>
      <c r="G24" s="340">
        <f>1/24</f>
        <v>4.1666666666666664E-2</v>
      </c>
      <c r="H24" s="343">
        <f>SUM(F24:F$34)</f>
        <v>6550</v>
      </c>
      <c r="I24" s="344">
        <f>SUM(G24:G$34)</f>
        <v>3.333333333333333</v>
      </c>
      <c r="J24" s="346">
        <f>SUM(F24:F$40)</f>
        <v>13050</v>
      </c>
      <c r="K24" s="347">
        <f>SUM(G24:G$40)</f>
        <v>5.833333333333333</v>
      </c>
    </row>
    <row r="25" spans="1:11" x14ac:dyDescent="0.25">
      <c r="A25" s="329">
        <f t="shared" si="2"/>
        <v>20</v>
      </c>
      <c r="B25" s="329">
        <v>350</v>
      </c>
      <c r="C25" s="328">
        <f>IF(A25&gt;=$B$2,0,SUM(B25:IF($B$2=30,$B$34,$B$39)))</f>
        <v>12750</v>
      </c>
      <c r="D25" s="332"/>
      <c r="E25" s="334">
        <f t="shared" si="0"/>
        <v>20</v>
      </c>
      <c r="F25" s="339">
        <f t="shared" si="1"/>
        <v>350</v>
      </c>
      <c r="G25" s="340">
        <f>1/24</f>
        <v>4.1666666666666664E-2</v>
      </c>
      <c r="H25" s="343">
        <f>SUM(F25:F$34)</f>
        <v>6250</v>
      </c>
      <c r="I25" s="344">
        <f>SUM(G25:G$34)</f>
        <v>3.291666666666667</v>
      </c>
      <c r="J25" s="346">
        <f>SUM(F25:F$40)</f>
        <v>12750</v>
      </c>
      <c r="K25" s="347">
        <f>SUM(G25:G$40)</f>
        <v>5.791666666666667</v>
      </c>
    </row>
    <row r="26" spans="1:11" x14ac:dyDescent="0.25">
      <c r="A26" s="329">
        <f t="shared" si="2"/>
        <v>21</v>
      </c>
      <c r="B26" s="329">
        <v>400</v>
      </c>
      <c r="C26" s="328">
        <f>IF(A26&gt;=$B$2,0,SUM(B26:IF($B$2=30,$B$34,$B$39)))</f>
        <v>12400</v>
      </c>
      <c r="D26" s="332"/>
      <c r="E26" s="334">
        <f t="shared" si="0"/>
        <v>21</v>
      </c>
      <c r="F26" s="339">
        <f t="shared" si="1"/>
        <v>400</v>
      </c>
      <c r="G26" s="340">
        <f>6/24</f>
        <v>0.25</v>
      </c>
      <c r="H26" s="343">
        <f>SUM(F26:F$34)</f>
        <v>5900</v>
      </c>
      <c r="I26" s="344">
        <f>SUM(G26:G$34)</f>
        <v>3.25</v>
      </c>
      <c r="J26" s="346">
        <f>SUM(F26:F$40)</f>
        <v>12400</v>
      </c>
      <c r="K26" s="347">
        <f>SUM(G26:G$40)</f>
        <v>5.75</v>
      </c>
    </row>
    <row r="27" spans="1:11" x14ac:dyDescent="0.25">
      <c r="A27" s="329">
        <f t="shared" si="2"/>
        <v>22</v>
      </c>
      <c r="B27" s="329">
        <v>450</v>
      </c>
      <c r="C27" s="328">
        <f>IF(A27&gt;=$B$2,0,SUM(B27:IF($B$2=30,$B$34,$B$39)))</f>
        <v>12000</v>
      </c>
      <c r="D27" s="332"/>
      <c r="E27" s="334">
        <f t="shared" si="0"/>
        <v>22</v>
      </c>
      <c r="F27" s="339">
        <f t="shared" si="1"/>
        <v>450</v>
      </c>
      <c r="G27" s="340">
        <f>6/24</f>
        <v>0.25</v>
      </c>
      <c r="H27" s="343">
        <f>SUM(F27:F$34)</f>
        <v>5500</v>
      </c>
      <c r="I27" s="344">
        <f>SUM(G27:G$34)</f>
        <v>3</v>
      </c>
      <c r="J27" s="346">
        <f>SUM(F27:F$40)</f>
        <v>12000</v>
      </c>
      <c r="K27" s="347">
        <f>SUM(G27:G$40)</f>
        <v>5.5</v>
      </c>
    </row>
    <row r="28" spans="1:11" x14ac:dyDescent="0.25">
      <c r="A28" s="329">
        <f t="shared" si="2"/>
        <v>23</v>
      </c>
      <c r="B28" s="329">
        <v>500</v>
      </c>
      <c r="C28" s="328">
        <f>IF(A28&gt;=$B$2,0,SUM(B28:IF($B$2=30,$B$34,$B$39)))</f>
        <v>11550</v>
      </c>
      <c r="D28" s="332"/>
      <c r="E28" s="334">
        <f t="shared" si="0"/>
        <v>23</v>
      </c>
      <c r="F28" s="339">
        <f t="shared" si="1"/>
        <v>500</v>
      </c>
      <c r="G28" s="340">
        <f>6/24</f>
        <v>0.25</v>
      </c>
      <c r="H28" s="343">
        <f>SUM(F28:F$34)</f>
        <v>5050</v>
      </c>
      <c r="I28" s="344">
        <f>SUM(G28:G$34)</f>
        <v>2.75</v>
      </c>
      <c r="J28" s="346">
        <f>SUM(F28:F$40)</f>
        <v>11550</v>
      </c>
      <c r="K28" s="347">
        <f>SUM(G28:G$40)</f>
        <v>5.25</v>
      </c>
    </row>
    <row r="29" spans="1:11" x14ac:dyDescent="0.25">
      <c r="A29" s="329">
        <f t="shared" si="2"/>
        <v>24</v>
      </c>
      <c r="B29" s="329">
        <v>550</v>
      </c>
      <c r="C29" s="328">
        <f>IF(A29&gt;=$B$2,0,SUM(B29:IF($B$2=30,$B$34,$B$39)))</f>
        <v>11050</v>
      </c>
      <c r="D29" s="332"/>
      <c r="E29" s="334">
        <f t="shared" si="0"/>
        <v>24</v>
      </c>
      <c r="F29" s="339">
        <f t="shared" si="1"/>
        <v>550</v>
      </c>
      <c r="G29" s="340">
        <f>6/24</f>
        <v>0.25</v>
      </c>
      <c r="H29" s="343">
        <f>SUM(F29:F$34)</f>
        <v>4550</v>
      </c>
      <c r="I29" s="344">
        <f>SUM(G29:G$34)</f>
        <v>2.5</v>
      </c>
      <c r="J29" s="346">
        <f>SUM(F29:F$40)</f>
        <v>11050</v>
      </c>
      <c r="K29" s="347">
        <f>SUM(G29:G$40)</f>
        <v>5</v>
      </c>
    </row>
    <row r="30" spans="1:11" x14ac:dyDescent="0.25">
      <c r="A30" s="329">
        <f t="shared" si="2"/>
        <v>25</v>
      </c>
      <c r="B30" s="329">
        <v>600</v>
      </c>
      <c r="C30" s="328">
        <f>IF(A30&gt;=$B$2,0,SUM(B30:IF($B$2=30,$B$34,$B$39)))</f>
        <v>10500</v>
      </c>
      <c r="D30" s="332"/>
      <c r="E30" s="334">
        <f t="shared" si="0"/>
        <v>25</v>
      </c>
      <c r="F30" s="339">
        <f t="shared" si="1"/>
        <v>600</v>
      </c>
      <c r="G30" s="340">
        <f>6/24</f>
        <v>0.25</v>
      </c>
      <c r="H30" s="343">
        <f>SUM(F30:F$34)</f>
        <v>4000</v>
      </c>
      <c r="I30" s="344">
        <f>SUM(G30:G$34)</f>
        <v>2.25</v>
      </c>
      <c r="J30" s="346">
        <f>SUM(F30:F$40)</f>
        <v>10500</v>
      </c>
      <c r="K30" s="347">
        <f>SUM(G30:G$40)</f>
        <v>4.75</v>
      </c>
    </row>
    <row r="31" spans="1:11" x14ac:dyDescent="0.25">
      <c r="A31" s="329">
        <f t="shared" si="2"/>
        <v>26</v>
      </c>
      <c r="B31" s="329">
        <v>700</v>
      </c>
      <c r="C31" s="328">
        <f>IF(A31&gt;=$B$2,0,SUM(B31:IF($B$2=30,$B$34,$B$39)))</f>
        <v>9900</v>
      </c>
      <c r="D31" s="332"/>
      <c r="E31" s="334">
        <f t="shared" si="0"/>
        <v>26</v>
      </c>
      <c r="F31" s="339">
        <f t="shared" si="1"/>
        <v>700</v>
      </c>
      <c r="G31" s="340">
        <f>1/2</f>
        <v>0.5</v>
      </c>
      <c r="H31" s="343">
        <f>SUM(F31:F$34)</f>
        <v>3400</v>
      </c>
      <c r="I31" s="344">
        <f>SUM(G31:G$34)</f>
        <v>2</v>
      </c>
      <c r="J31" s="346">
        <f>SUM(F31:F$40)</f>
        <v>9900</v>
      </c>
      <c r="K31" s="347">
        <f>SUM(G31:G$40)</f>
        <v>4.5</v>
      </c>
    </row>
    <row r="32" spans="1:11" x14ac:dyDescent="0.25">
      <c r="A32" s="329">
        <f t="shared" si="2"/>
        <v>27</v>
      </c>
      <c r="B32" s="329">
        <v>800</v>
      </c>
      <c r="C32" s="328">
        <f>IF(A32&gt;=$B$2,0,SUM(B32:IF($B$2=30,$B$34,$B$39)))</f>
        <v>9200</v>
      </c>
      <c r="D32" s="332"/>
      <c r="E32" s="334">
        <f t="shared" si="0"/>
        <v>27</v>
      </c>
      <c r="F32" s="339">
        <f t="shared" si="1"/>
        <v>800</v>
      </c>
      <c r="G32" s="340">
        <f t="shared" ref="G32:G39" si="3">1/2</f>
        <v>0.5</v>
      </c>
      <c r="H32" s="343">
        <f>SUM(F32:F$34)</f>
        <v>2700</v>
      </c>
      <c r="I32" s="344">
        <f>SUM(G32:G$34)</f>
        <v>1.5</v>
      </c>
      <c r="J32" s="346">
        <f>SUM(F32:F$40)</f>
        <v>9200</v>
      </c>
      <c r="K32" s="347">
        <f>SUM(G32:G$40)</f>
        <v>4</v>
      </c>
    </row>
    <row r="33" spans="1:11" x14ac:dyDescent="0.25">
      <c r="A33" s="329">
        <f t="shared" si="2"/>
        <v>28</v>
      </c>
      <c r="B33" s="329">
        <v>900</v>
      </c>
      <c r="C33" s="328">
        <f>IF(A33&gt;=$B$2,0,SUM(B33:IF($B$2=30,$B$34,$B$39)))</f>
        <v>8400</v>
      </c>
      <c r="D33" s="332"/>
      <c r="E33" s="334">
        <f t="shared" si="0"/>
        <v>28</v>
      </c>
      <c r="F33" s="339">
        <f t="shared" si="1"/>
        <v>900</v>
      </c>
      <c r="G33" s="340">
        <f t="shared" si="3"/>
        <v>0.5</v>
      </c>
      <c r="H33" s="343">
        <f>SUM(F33:F$34)</f>
        <v>1900</v>
      </c>
      <c r="I33" s="344">
        <f>SUM(G33:G$34)</f>
        <v>1</v>
      </c>
      <c r="J33" s="346">
        <f>SUM(F33:F$40)</f>
        <v>8400</v>
      </c>
      <c r="K33" s="347">
        <f>SUM(G33:G$40)</f>
        <v>3.5</v>
      </c>
    </row>
    <row r="34" spans="1:11" x14ac:dyDescent="0.25">
      <c r="A34" s="329">
        <f t="shared" si="2"/>
        <v>29</v>
      </c>
      <c r="B34" s="329">
        <v>1000</v>
      </c>
      <c r="C34" s="328">
        <f>IF(A34&gt;=$B$2,0,SUM(B34:IF($B$2=30,$B$34,$B$39)))</f>
        <v>7500</v>
      </c>
      <c r="D34" s="332"/>
      <c r="E34" s="334">
        <f t="shared" si="0"/>
        <v>29</v>
      </c>
      <c r="F34" s="339">
        <f t="shared" si="1"/>
        <v>1000</v>
      </c>
      <c r="G34" s="340">
        <f t="shared" si="3"/>
        <v>0.5</v>
      </c>
      <c r="H34" s="343">
        <f>SUM(F34:F$34)</f>
        <v>1000</v>
      </c>
      <c r="I34" s="344">
        <f>SUM(G34:G$34)</f>
        <v>0.5</v>
      </c>
      <c r="J34" s="346">
        <f>SUM(F34:F$40)</f>
        <v>7500</v>
      </c>
      <c r="K34" s="347">
        <f>SUM(G34:G$40)</f>
        <v>3</v>
      </c>
    </row>
    <row r="35" spans="1:11" x14ac:dyDescent="0.25">
      <c r="A35" s="329">
        <f t="shared" si="2"/>
        <v>30</v>
      </c>
      <c r="B35" s="329">
        <v>1100</v>
      </c>
      <c r="C35" s="328">
        <f>IF(A35&gt;=$B$2,0,SUM(B35:IF($B$2=30,$B$34,$B$39)))</f>
        <v>6500</v>
      </c>
      <c r="D35" s="332"/>
      <c r="E35" s="334">
        <f t="shared" si="0"/>
        <v>30</v>
      </c>
      <c r="F35" s="339">
        <f t="shared" si="1"/>
        <v>1100</v>
      </c>
      <c r="G35" s="340">
        <f t="shared" si="3"/>
        <v>0.5</v>
      </c>
      <c r="H35" s="343">
        <v>0</v>
      </c>
      <c r="I35" s="344">
        <v>0</v>
      </c>
      <c r="J35" s="348">
        <f>SUM(F35:F$40)</f>
        <v>6500</v>
      </c>
      <c r="K35" s="349">
        <f>SUM(G35:G$40)</f>
        <v>2.5</v>
      </c>
    </row>
    <row r="36" spans="1:11" x14ac:dyDescent="0.25">
      <c r="A36" s="329">
        <f t="shared" si="2"/>
        <v>31</v>
      </c>
      <c r="B36" s="329">
        <v>1200</v>
      </c>
      <c r="C36" s="328">
        <f>IF(A36&gt;=$B$2,0,SUM(B36:IF($B$2=30,$B$34,$B$39)))</f>
        <v>5400</v>
      </c>
      <c r="E36" s="335">
        <f t="shared" si="0"/>
        <v>31</v>
      </c>
      <c r="F36" s="341">
        <f t="shared" si="1"/>
        <v>1200</v>
      </c>
      <c r="G36" s="342">
        <f t="shared" si="3"/>
        <v>0.5</v>
      </c>
      <c r="H36" s="336"/>
      <c r="I36" s="345"/>
      <c r="J36" s="348">
        <f>SUM(F36:F$40)</f>
        <v>5400</v>
      </c>
      <c r="K36" s="349">
        <f>SUM(G36:G$40)</f>
        <v>2</v>
      </c>
    </row>
    <row r="37" spans="1:11" x14ac:dyDescent="0.25">
      <c r="A37" s="329">
        <f t="shared" si="2"/>
        <v>32</v>
      </c>
      <c r="B37" s="329">
        <v>1300</v>
      </c>
      <c r="C37" s="328">
        <f>IF(A37&gt;=$B$2,0,SUM(B37:IF($B$2=30,$B$34,$B$39)))</f>
        <v>4200</v>
      </c>
      <c r="E37" s="335">
        <f t="shared" si="0"/>
        <v>32</v>
      </c>
      <c r="F37" s="341">
        <f t="shared" si="1"/>
        <v>1300</v>
      </c>
      <c r="G37" s="342">
        <f t="shared" si="3"/>
        <v>0.5</v>
      </c>
      <c r="H37" s="336"/>
      <c r="I37" s="345"/>
      <c r="J37" s="348">
        <f>SUM(F37:F$40)</f>
        <v>4200</v>
      </c>
      <c r="K37" s="349">
        <f>SUM(G37:G$40)</f>
        <v>1.5</v>
      </c>
    </row>
    <row r="38" spans="1:11" x14ac:dyDescent="0.25">
      <c r="A38" s="329">
        <f t="shared" si="2"/>
        <v>33</v>
      </c>
      <c r="B38" s="329">
        <v>1400</v>
      </c>
      <c r="C38" s="328">
        <f>IF(A38&gt;=$B$2,0,SUM(B38:IF($B$2=30,$B$34,$B$39)))</f>
        <v>2900</v>
      </c>
      <c r="E38" s="335">
        <f t="shared" si="0"/>
        <v>33</v>
      </c>
      <c r="F38" s="341">
        <f t="shared" si="1"/>
        <v>1400</v>
      </c>
      <c r="G38" s="342">
        <f t="shared" si="3"/>
        <v>0.5</v>
      </c>
      <c r="H38" s="336"/>
      <c r="I38" s="345"/>
      <c r="J38" s="348">
        <f>SUM(F38:F$40)</f>
        <v>2900</v>
      </c>
      <c r="K38" s="349">
        <f>SUM(G38:G$40)</f>
        <v>1</v>
      </c>
    </row>
    <row r="39" spans="1:11" x14ac:dyDescent="0.25">
      <c r="A39" s="329">
        <f t="shared" si="2"/>
        <v>34</v>
      </c>
      <c r="B39" s="329">
        <v>1500</v>
      </c>
      <c r="C39" s="328">
        <f>IF(A39&gt;=$B$2,0,SUM(B39:IF($B$2=30,$B$34,$B$39)))</f>
        <v>1500</v>
      </c>
      <c r="E39" s="335">
        <f t="shared" si="0"/>
        <v>34</v>
      </c>
      <c r="F39" s="341">
        <f t="shared" si="1"/>
        <v>1500</v>
      </c>
      <c r="G39" s="342">
        <f t="shared" si="3"/>
        <v>0.5</v>
      </c>
      <c r="H39" s="336"/>
      <c r="I39" s="345"/>
      <c r="J39" s="348">
        <f>SUM(F39:F$40)</f>
        <v>1500</v>
      </c>
      <c r="K39" s="349">
        <f>SUM(G39:G$40)</f>
        <v>0.5</v>
      </c>
    </row>
    <row r="40" spans="1:11" x14ac:dyDescent="0.25">
      <c r="A40" s="329">
        <f t="shared" si="2"/>
        <v>35</v>
      </c>
      <c r="B40" s="329">
        <v>0</v>
      </c>
      <c r="C40" s="328">
        <f>IF(A40&gt;=$B$2,0,SUM(B40:IF($B$2=30,$B$34,$B$39)))</f>
        <v>0</v>
      </c>
      <c r="E40" s="335">
        <f t="shared" si="0"/>
        <v>35</v>
      </c>
      <c r="F40" s="341">
        <f t="shared" si="1"/>
        <v>0</v>
      </c>
      <c r="G40" s="342">
        <f>0</f>
        <v>0</v>
      </c>
      <c r="H40" s="336"/>
      <c r="I40" s="345"/>
      <c r="J40" s="348">
        <f>SUM(F40:F$40)</f>
        <v>0</v>
      </c>
      <c r="K40" s="349">
        <f>SUM(G40:G$40)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M3"/>
  </mergeCells>
  <conditionalFormatting sqref="F1:G1">
    <cfRule type="dataBar" priority="4">
      <dataBar>
        <cfvo type="num" val="0"/>
        <cfvo type="num" val="1"/>
        <color theme="1" tint="4.9989318521683403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:G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1" tint="4.9989318521683403E-2"/>
              <x14:negativeFillColor rgb="FFFF0000"/>
              <x14:axisColor rgb="FF000000"/>
            </x14:dataBar>
          </x14:cfRule>
          <xm:sqref>F1:G1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E88A5F-D954-4B04-A96E-95097CC308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19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53" baseType="lpstr">
      <vt:lpstr>真龍</vt:lpstr>
      <vt:lpstr>D真龍</vt:lpstr>
      <vt:lpstr>咢牙</vt:lpstr>
      <vt:lpstr>D咢牙</vt:lpstr>
      <vt:lpstr>奇美拉</vt:lpstr>
      <vt:lpstr>升70</vt:lpstr>
      <vt:lpstr>D奇美拉</vt:lpstr>
      <vt:lpstr>厄魔</vt:lpstr>
      <vt:lpstr>D厄魔</vt:lpstr>
      <vt:lpstr>鑽量</vt:lpstr>
      <vt:lpstr>抽卷</vt:lpstr>
      <vt:lpstr>月送抽</vt:lpstr>
      <vt:lpstr>抽抽</vt:lpstr>
      <vt:lpstr>進度預估</vt:lpstr>
      <vt:lpstr>EXP (OLD)</vt:lpstr>
      <vt:lpstr>EXP</vt:lpstr>
      <vt:lpstr>D-EXP</vt:lpstr>
      <vt:lpstr>Raid</vt:lpstr>
      <vt:lpstr>活動建築</vt:lpstr>
      <vt:lpstr>C鑽量</vt:lpstr>
      <vt:lpstr>C月送抽</vt:lpstr>
      <vt:lpstr>E速度</vt:lpstr>
      <vt:lpstr>R速度</vt:lpstr>
      <vt:lpstr>R預估差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'EXP (OLD)'!INPUT_EXP_DATA</vt:lpstr>
      <vt:lpstr>INPUT_EXP_DATA</vt:lpstr>
      <vt:lpstr>'EXP (OLD)'!INPUT_EXP_PERIODS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2021-04-27T04:30:46Z</dcterms:modified>
</cp:coreProperties>
</file>