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369" documentId="8_{5F5015E9-030B-4CE7-A0EC-3ABEB79D1BA9}" xr6:coauthVersionLast="45" xr6:coauthVersionMax="45" xr10:uidLastSave="{BB433E38-D00D-45A0-8B52-EB95E5CE6619}"/>
  <bookViews>
    <workbookView xWindow="3435" yWindow="720" windowWidth="21390" windowHeight="14295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玩家EXP" sheetId="33" state="hidden" r:id="rId17"/>
    <sheet name="D玩家EXP" sheetId="32" state="hidden" r:id="rId18"/>
    <sheet name="E速度" sheetId="36" state="hidden" r:id="rId19"/>
    <sheet name="Raid" sheetId="16" state="hidden" r:id="rId20"/>
    <sheet name="R速度" sheetId="30" state="hidden" r:id="rId21"/>
    <sheet name="R預估差" sheetId="31" state="hidden" r:id="rId22"/>
    <sheet name="迎擊" sheetId="18" state="hidden" r:id="rId23"/>
    <sheet name="D迎擊" sheetId="7" state="hidden" r:id="rId24"/>
    <sheet name="龍煉-護符" sheetId="19" state="hidden" r:id="rId25"/>
    <sheet name="D龍煉-護符" sheetId="4" state="hidden" r:id="rId26"/>
    <sheet name="虛空" sheetId="21" state="hidden" r:id="rId27"/>
    <sheet name="D虛空" sheetId="15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6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GOLD">VLOOKUP(624,DATA_AGITO_WEAPON,3,FALSE)</definedName>
    <definedName name="AGITO_WEAPON_MUB_POT">VLOOKUP(624,DATA_AGITO_WEAPON,4,FALSE)</definedName>
    <definedName name="AGITO_WEAPON_MUB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50" l="1"/>
  <c r="E2" i="50"/>
  <c r="D2" i="50"/>
  <c r="E18" i="50" l="1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G75" i="47" l="1"/>
  <c r="F75" i="47"/>
  <c r="H75" i="47" s="1"/>
  <c r="I75" i="47" s="1"/>
  <c r="E75" i="47"/>
  <c r="G74" i="47" l="1"/>
  <c r="F74" i="47"/>
  <c r="H74" i="47" s="1"/>
  <c r="I74" i="47" s="1"/>
  <c r="E74" i="47"/>
  <c r="L9" i="44" l="1"/>
  <c r="L8" i="44"/>
  <c r="L7" i="44"/>
  <c r="L6" i="44"/>
  <c r="L4" i="44"/>
  <c r="L5" i="44"/>
  <c r="G73" i="47" l="1"/>
  <c r="F73" i="47"/>
  <c r="H73" i="47" s="1"/>
  <c r="I73" i="47" s="1"/>
  <c r="E73" i="47"/>
  <c r="S38" i="44" l="1" a="1"/>
  <c r="S38" i="44" s="1"/>
  <c r="R38" i="44" a="1"/>
  <c r="R38" i="44" s="1"/>
  <c r="S37" i="44" a="1"/>
  <c r="S37" i="44" s="1"/>
  <c r="S36" i="44" a="1"/>
  <c r="S36" i="44" s="1"/>
  <c r="S32" i="44" a="1"/>
  <c r="S32" i="44" s="1"/>
  <c r="X32" i="44" s="1"/>
  <c r="R32" i="44" a="1"/>
  <c r="R32" i="44" s="1"/>
  <c r="S20" i="44" a="1"/>
  <c r="S20" i="44" s="1"/>
  <c r="S14" i="44" a="1"/>
  <c r="S14" i="44" s="1"/>
  <c r="S13" i="44" a="1"/>
  <c r="S13" i="44" s="1"/>
  <c r="S12" i="44" a="1"/>
  <c r="S12" i="44" s="1"/>
  <c r="R20" i="44" a="1"/>
  <c r="R20" i="44" s="1"/>
  <c r="R14" i="44" a="1"/>
  <c r="R14" i="44" s="1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W9" i="44" s="1" a="1"/>
  <c r="W9" i="44" s="1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Q8" i="44"/>
  <c r="P8" i="44"/>
  <c r="R7" i="44"/>
  <c r="W7" i="44" s="1" a="1"/>
  <c r="W7" i="44" s="1"/>
  <c r="Q7" i="44"/>
  <c r="P7" i="44"/>
  <c r="R6" i="44"/>
  <c r="W6" i="44" s="1" a="1"/>
  <c r="W6" i="44" s="1"/>
  <c r="Q6" i="44"/>
  <c r="P6" i="44"/>
  <c r="R5" i="44"/>
  <c r="W5" i="44" s="1" a="1"/>
  <c r="W5" i="44" s="1"/>
  <c r="Q5" i="44"/>
  <c r="P5" i="44"/>
  <c r="R4" i="44"/>
  <c r="W4" i="44" s="1" a="1"/>
  <c r="W4" i="44" s="1"/>
  <c r="Q4" i="44"/>
  <c r="P4" i="44"/>
  <c r="V36" i="44" l="1"/>
  <c r="W37" i="44"/>
  <c r="W38" i="44"/>
  <c r="X38" i="44"/>
  <c r="R26" i="44" a="1"/>
  <c r="R26" i="44" s="1"/>
  <c r="S26" i="44" a="1"/>
  <c r="S26" i="44" s="1"/>
  <c r="X26" i="44" s="1"/>
  <c r="W32" i="44"/>
  <c r="V37" i="44"/>
  <c r="W14" i="44"/>
  <c r="X20" i="44"/>
  <c r="W20" i="44"/>
  <c r="V13" i="44"/>
  <c r="W13" i="44"/>
  <c r="V12" i="44"/>
  <c r="X14" i="44"/>
  <c r="G72" i="47"/>
  <c r="F72" i="47"/>
  <c r="H72" i="47" s="1"/>
  <c r="I72" i="47" s="1"/>
  <c r="E72" i="47"/>
  <c r="G71" i="47" l="1"/>
  <c r="F71" i="47"/>
  <c r="E71" i="47"/>
  <c r="H71" i="47" l="1"/>
  <c r="I71" i="47" s="1"/>
  <c r="G70" i="47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 s="1"/>
  <c r="E68" i="47"/>
  <c r="G67" i="47"/>
  <c r="F67" i="47"/>
  <c r="H67" i="47" s="1"/>
  <c r="I67" i="47" s="1"/>
  <c r="E67" i="47"/>
  <c r="H66" i="47"/>
  <c r="I66" i="47"/>
  <c r="G66" i="47"/>
  <c r="F66" i="47"/>
  <c r="E66" i="47"/>
  <c r="G65" i="47"/>
  <c r="F65" i="47"/>
  <c r="H65" i="47" s="1"/>
  <c r="I65" i="47" s="1"/>
  <c r="E65" i="47"/>
  <c r="G64" i="47"/>
  <c r="H64" i="47" s="1"/>
  <c r="I64" i="47" s="1"/>
  <c r="F64" i="47"/>
  <c r="E64" i="47"/>
  <c r="G63" i="47"/>
  <c r="F63" i="47"/>
  <c r="H63" i="47" s="1"/>
  <c r="I63" i="47" s="1"/>
  <c r="E63" i="47"/>
  <c r="G62" i="47"/>
  <c r="F62" i="47"/>
  <c r="H62" i="47"/>
  <c r="I62" i="47" s="1"/>
  <c r="E62" i="47"/>
  <c r="G61" i="47"/>
  <c r="H61" i="47" s="1"/>
  <c r="I61" i="47" s="1"/>
  <c r="F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H59" i="47" s="1"/>
  <c r="I59" i="47" s="1"/>
  <c r="F59" i="47"/>
  <c r="E59" i="47"/>
  <c r="G58" i="47"/>
  <c r="F58" i="47"/>
  <c r="E58" i="47"/>
  <c r="H58" i="47"/>
  <c r="I58" i="47"/>
  <c r="G57" i="47"/>
  <c r="F57" i="47"/>
  <c r="H57" i="47" s="1"/>
  <c r="I57" i="47" s="1"/>
  <c r="E57" i="47"/>
  <c r="G56" i="47"/>
  <c r="H56" i="47" s="1"/>
  <c r="I56" i="47" s="1"/>
  <c r="F56" i="47"/>
  <c r="E56" i="47"/>
  <c r="G55" i="47"/>
  <c r="F55" i="47"/>
  <c r="E55" i="47"/>
  <c r="H55" i="47"/>
  <c r="I55" i="47" s="1"/>
  <c r="G54" i="47"/>
  <c r="F54" i="47"/>
  <c r="H54" i="47" s="1"/>
  <c r="I54" i="47" s="1"/>
  <c r="E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O9" i="44"/>
  <c r="V9" i="44" s="1" a="1"/>
  <c r="V9" i="44" s="1"/>
  <c r="U9" i="44" s="1" a="1"/>
  <c r="U9" i="44" s="1"/>
  <c r="K9" i="44"/>
  <c r="C6" i="37"/>
  <c r="R37" i="44" a="1"/>
  <c r="R37" i="44" s="1"/>
  <c r="R36" i="44" a="1"/>
  <c r="R36" i="44" s="1"/>
  <c r="O8" i="44"/>
  <c r="V8" i="44" s="1" a="1"/>
  <c r="V8" i="44" s="1"/>
  <c r="U8" i="44" s="1" a="1"/>
  <c r="U8" i="44" s="1"/>
  <c r="K8" i="44"/>
  <c r="U36" i="44" s="1"/>
  <c r="O7" i="44"/>
  <c r="V7" i="44" s="1" a="1"/>
  <c r="V7" i="44" s="1"/>
  <c r="U7" i="44" s="1" a="1"/>
  <c r="U7" i="44" s="1"/>
  <c r="K7" i="44"/>
  <c r="O6" i="44"/>
  <c r="V6" i="44" s="1" a="1"/>
  <c r="V6" i="44" s="1"/>
  <c r="U6" i="44" s="1" a="1"/>
  <c r="U6" i="44" s="1"/>
  <c r="K6" i="44"/>
  <c r="O5" i="44"/>
  <c r="V5" i="44" s="1" a="1"/>
  <c r="V5" i="44" s="1"/>
  <c r="U5" i="44" s="1" a="1"/>
  <c r="U5" i="44" s="1"/>
  <c r="K5" i="44"/>
  <c r="O4" i="44"/>
  <c r="V4" i="44" s="1" a="1"/>
  <c r="V4" i="44" s="1"/>
  <c r="U4" i="44" s="1" a="1"/>
  <c r="U4" i="44" s="1"/>
  <c r="K4" i="44"/>
  <c r="U12" i="44" s="1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R12" i="44" a="1"/>
  <c r="R12" i="44" s="1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 s="1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 s="1"/>
  <c r="C4" i="9"/>
  <c r="G10" i="20"/>
  <c r="Q8" i="20"/>
  <c r="G15" i="20"/>
  <c r="Q14" i="20" s="1"/>
  <c r="R14" i="20" s="1"/>
  <c r="G20" i="20"/>
  <c r="Q19" i="20" s="1"/>
  <c r="R19" i="20" s="1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AQ37" i="7"/>
  <c r="E8" i="18" s="1"/>
  <c r="AP37" i="7"/>
  <c r="E18" i="18" s="1"/>
  <c r="H18" i="18" s="1"/>
  <c r="AO37" i="7"/>
  <c r="E17" i="18" s="1"/>
  <c r="J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L699" i="33"/>
  <c r="K699" i="33"/>
  <c r="J699" i="33"/>
  <c r="I699" i="33"/>
  <c r="G699" i="33"/>
  <c r="H699" i="33" s="1"/>
  <c r="F699" i="33"/>
  <c r="E699" i="33"/>
  <c r="D699" i="33"/>
  <c r="N699" i="33" s="1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 s="1"/>
  <c r="F696" i="33"/>
  <c r="E696" i="33"/>
  <c r="D696" i="33"/>
  <c r="M695" i="33"/>
  <c r="D695" i="33"/>
  <c r="N695" i="33" s="1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 s="1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N673" i="33" s="1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N660" i="33" s="1"/>
  <c r="M659" i="33"/>
  <c r="D659" i="33"/>
  <c r="N659" i="33" s="1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D647" i="33"/>
  <c r="N647" i="33" s="1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 s="1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 s="1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 s="1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 s="1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N609" i="33" s="1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L607" i="33"/>
  <c r="K607" i="33"/>
  <c r="J607" i="33"/>
  <c r="I607" i="33"/>
  <c r="G607" i="33"/>
  <c r="H607" i="33" s="1"/>
  <c r="F607" i="33"/>
  <c r="E607" i="33"/>
  <c r="D607" i="33"/>
  <c r="N607" i="33" s="1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L593" i="33"/>
  <c r="K593" i="33"/>
  <c r="J593" i="33"/>
  <c r="I593" i="33"/>
  <c r="G593" i="33"/>
  <c r="H593" i="33" s="1"/>
  <c r="F593" i="33"/>
  <c r="E593" i="33"/>
  <c r="D593" i="33"/>
  <c r="N593" i="33" s="1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D572" i="33"/>
  <c r="N572" i="33" s="1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L568" i="33"/>
  <c r="K568" i="33"/>
  <c r="J568" i="33"/>
  <c r="I568" i="33"/>
  <c r="G568" i="33"/>
  <c r="H568" i="33" s="1"/>
  <c r="F568" i="33"/>
  <c r="E568" i="33"/>
  <c r="D568" i="33"/>
  <c r="N568" i="33" s="1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 s="1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D556" i="33"/>
  <c r="N556" i="33" s="1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 s="1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N541" i="33" s="1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D535" i="33"/>
  <c r="N535" i="33" s="1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 s="1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L521" i="33"/>
  <c r="K521" i="33"/>
  <c r="J521" i="33"/>
  <c r="I521" i="33"/>
  <c r="G521" i="33"/>
  <c r="H521" i="33" s="1"/>
  <c r="F521" i="33"/>
  <c r="E521" i="33"/>
  <c r="D521" i="33"/>
  <c r="N521" i="33" s="1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 s="1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 s="1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 s="1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N497" i="33" s="1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 s="1"/>
  <c r="M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 s="1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 s="1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N464" i="33" s="1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D452" i="33"/>
  <c r="N452" i="33" s="1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D449" i="33"/>
  <c r="N449" i="33" s="1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 s="1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N440" i="33" s="1"/>
  <c r="L440" i="33"/>
  <c r="K440" i="33"/>
  <c r="J440" i="33"/>
  <c r="I440" i="33"/>
  <c r="G440" i="33"/>
  <c r="H440" i="33" s="1"/>
  <c r="F440" i="33"/>
  <c r="E440" i="33"/>
  <c r="M439" i="33"/>
  <c r="L439" i="33"/>
  <c r="K439" i="33"/>
  <c r="J439" i="33"/>
  <c r="I439" i="33"/>
  <c r="G439" i="33"/>
  <c r="H439" i="33" s="1"/>
  <c r="F439" i="33"/>
  <c r="E439" i="33"/>
  <c r="D439" i="33"/>
  <c r="N439" i="33" s="1"/>
  <c r="M438" i="33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 s="1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 s="1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 s="1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L419" i="33"/>
  <c r="K419" i="33"/>
  <c r="J419" i="33"/>
  <c r="I419" i="33"/>
  <c r="G419" i="33"/>
  <c r="H419" i="33" s="1"/>
  <c r="F419" i="33"/>
  <c r="E419" i="33"/>
  <c r="D419" i="33"/>
  <c r="N419" i="33" s="1"/>
  <c r="M418" i="33"/>
  <c r="N418" i="33" s="1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L415" i="33"/>
  <c r="K415" i="33"/>
  <c r="J415" i="33"/>
  <c r="I415" i="33"/>
  <c r="G415" i="33"/>
  <c r="H415" i="33" s="1"/>
  <c r="F415" i="33"/>
  <c r="E415" i="33"/>
  <c r="D415" i="33"/>
  <c r="N415" i="33" s="1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 s="1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 s="1"/>
  <c r="R7" i="19"/>
  <c r="U6" i="19" s="1"/>
  <c r="M3" i="19"/>
  <c r="N3" i="19"/>
  <c r="M4" i="19"/>
  <c r="N4" i="19"/>
  <c r="M5" i="19"/>
  <c r="N5" i="19"/>
  <c r="M6" i="19"/>
  <c r="N6" i="19"/>
  <c r="M7" i="19"/>
  <c r="N7" i="19"/>
  <c r="C8" i="19"/>
  <c r="C7" i="19" s="1"/>
  <c r="G3" i="19" s="1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D26" i="33"/>
  <c r="E26" i="33" s="1"/>
  <c r="L25" i="33"/>
  <c r="M25" i="33" s="1"/>
  <c r="N25" i="33" s="1"/>
  <c r="D25" i="33"/>
  <c r="E25" i="33"/>
  <c r="L24" i="33"/>
  <c r="D24" i="33"/>
  <c r="E24" i="33" s="1"/>
  <c r="L23" i="33"/>
  <c r="M23" i="33" s="1"/>
  <c r="N23" i="33" s="1"/>
  <c r="D23" i="33"/>
  <c r="E23" i="33" s="1"/>
  <c r="L22" i="33"/>
  <c r="L21" i="33"/>
  <c r="M21" i="33" s="1"/>
  <c r="N21" i="33" s="1"/>
  <c r="D21" i="33"/>
  <c r="E21" i="33"/>
  <c r="L20" i="33"/>
  <c r="D20" i="33"/>
  <c r="E20" i="33" s="1"/>
  <c r="L19" i="33"/>
  <c r="M19" i="33" s="1"/>
  <c r="N19" i="33" s="1"/>
  <c r="D19" i="33"/>
  <c r="L18" i="33"/>
  <c r="M18" i="33" s="1"/>
  <c r="N18" i="33" s="1"/>
  <c r="D18" i="33"/>
  <c r="E18" i="33" s="1"/>
  <c r="L17" i="33"/>
  <c r="D17" i="33"/>
  <c r="E17" i="33" s="1"/>
  <c r="L16" i="33"/>
  <c r="M16" i="33" s="1"/>
  <c r="N16" i="33" s="1"/>
  <c r="L15" i="33"/>
  <c r="D15" i="33"/>
  <c r="E15" i="33" s="1"/>
  <c r="L14" i="33"/>
  <c r="M14" i="33" s="1"/>
  <c r="N14" i="33" s="1"/>
  <c r="D14" i="33"/>
  <c r="E14" i="33" s="1"/>
  <c r="L13" i="33"/>
  <c r="D13" i="33"/>
  <c r="E13" i="33" s="1"/>
  <c r="L12" i="33"/>
  <c r="D12" i="33"/>
  <c r="L11" i="33"/>
  <c r="L10" i="33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E6" i="33" s="1"/>
  <c r="L5" i="33"/>
  <c r="M5" i="33" s="1"/>
  <c r="N5" i="33" s="1"/>
  <c r="D5" i="33"/>
  <c r="L4" i="33"/>
  <c r="L3" i="33"/>
  <c r="D3" i="33"/>
  <c r="L9" i="33"/>
  <c r="J21" i="22"/>
  <c r="K21" i="22" s="1"/>
  <c r="L21" i="22" s="1"/>
  <c r="J20" i="22"/>
  <c r="K20" i="22"/>
  <c r="L20" i="22" s="1"/>
  <c r="J19" i="22"/>
  <c r="K19" i="22" s="1"/>
  <c r="J18" i="22"/>
  <c r="K18" i="22" s="1"/>
  <c r="L18" i="22" s="1"/>
  <c r="J17" i="22"/>
  <c r="K17" i="22"/>
  <c r="L17" i="22" s="1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 s="1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D368" i="33"/>
  <c r="N368" i="33" s="1"/>
  <c r="K368" i="33"/>
  <c r="J368" i="33"/>
  <c r="I368" i="33"/>
  <c r="G368" i="33"/>
  <c r="H368" i="33" s="1"/>
  <c r="F368" i="33"/>
  <c r="E368" i="33"/>
  <c r="M367" i="33"/>
  <c r="D367" i="33"/>
  <c r="N367" i="33" s="1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D364" i="33"/>
  <c r="N364" i="33" s="1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N340" i="33" s="1"/>
  <c r="K340" i="33"/>
  <c r="J340" i="33"/>
  <c r="I340" i="33"/>
  <c r="G340" i="33"/>
  <c r="H340" i="33" s="1"/>
  <c r="F340" i="33"/>
  <c r="E340" i="33"/>
  <c r="M339" i="33"/>
  <c r="N339" i="33" s="1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 s="1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N331" i="33" s="1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N322" i="33" s="1"/>
  <c r="K322" i="33"/>
  <c r="J322" i="33"/>
  <c r="I322" i="33"/>
  <c r="G322" i="33"/>
  <c r="H322" i="33" s="1"/>
  <c r="F322" i="33"/>
  <c r="E322" i="33"/>
  <c r="M321" i="33"/>
  <c r="D321" i="33"/>
  <c r="N321" i="33" s="1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N318" i="33" s="1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N316" i="33" s="1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D305" i="33"/>
  <c r="N305" i="33" s="1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K295" i="33"/>
  <c r="J295" i="33"/>
  <c r="I295" i="33"/>
  <c r="G295" i="33"/>
  <c r="H295" i="33" s="1"/>
  <c r="F295" i="33"/>
  <c r="E295" i="33"/>
  <c r="D295" i="33"/>
  <c r="N295" i="33" s="1"/>
  <c r="M294" i="33"/>
  <c r="D294" i="33"/>
  <c r="K294" i="33"/>
  <c r="J294" i="33"/>
  <c r="I294" i="33"/>
  <c r="G294" i="33"/>
  <c r="H294" i="33" s="1"/>
  <c r="F294" i="33"/>
  <c r="E294" i="33"/>
  <c r="M293" i="33"/>
  <c r="N293" i="33" s="1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D282" i="33"/>
  <c r="N282" i="33" s="1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N273" i="33" s="1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D265" i="33"/>
  <c r="K265" i="33"/>
  <c r="J265" i="33"/>
  <c r="I265" i="33"/>
  <c r="G265" i="33"/>
  <c r="H265" i="33" s="1"/>
  <c r="F265" i="33"/>
  <c r="E265" i="33"/>
  <c r="M264" i="33"/>
  <c r="D264" i="33"/>
  <c r="K264" i="33"/>
  <c r="J264" i="33"/>
  <c r="I264" i="33"/>
  <c r="G264" i="33"/>
  <c r="H264" i="33" s="1"/>
  <c r="F264" i="33"/>
  <c r="E264" i="33"/>
  <c r="M263" i="33"/>
  <c r="D263" i="33"/>
  <c r="K263" i="33"/>
  <c r="J263" i="33"/>
  <c r="I263" i="33"/>
  <c r="G263" i="33"/>
  <c r="H263" i="33" s="1"/>
  <c r="F263" i="33"/>
  <c r="E263" i="33"/>
  <c r="M262" i="33"/>
  <c r="D262" i="33"/>
  <c r="K262" i="33"/>
  <c r="J262" i="33"/>
  <c r="I262" i="33"/>
  <c r="G262" i="33"/>
  <c r="H262" i="33" s="1"/>
  <c r="F262" i="33"/>
  <c r="E262" i="33"/>
  <c r="M261" i="33"/>
  <c r="D261" i="33"/>
  <c r="K261" i="33"/>
  <c r="J261" i="33"/>
  <c r="I261" i="33"/>
  <c r="G261" i="33"/>
  <c r="H261" i="33" s="1"/>
  <c r="F261" i="33"/>
  <c r="E261" i="33"/>
  <c r="M260" i="33"/>
  <c r="D260" i="33"/>
  <c r="K260" i="33"/>
  <c r="J260" i="33"/>
  <c r="I260" i="33"/>
  <c r="G260" i="33"/>
  <c r="H260" i="33" s="1"/>
  <c r="F260" i="33"/>
  <c r="E260" i="33"/>
  <c r="M259" i="33"/>
  <c r="D259" i="33"/>
  <c r="K259" i="33"/>
  <c r="J259" i="33"/>
  <c r="I259" i="33"/>
  <c r="G259" i="33"/>
  <c r="H259" i="33" s="1"/>
  <c r="F259" i="33"/>
  <c r="E259" i="33"/>
  <c r="M258" i="33"/>
  <c r="D258" i="33"/>
  <c r="K258" i="33"/>
  <c r="J258" i="33"/>
  <c r="I258" i="33"/>
  <c r="G258" i="33"/>
  <c r="H258" i="33" s="1"/>
  <c r="F258" i="33"/>
  <c r="E258" i="33"/>
  <c r="M257" i="33"/>
  <c r="D257" i="33"/>
  <c r="K257" i="33"/>
  <c r="J257" i="33"/>
  <c r="I257" i="33"/>
  <c r="G257" i="33"/>
  <c r="H257" i="33" s="1"/>
  <c r="F257" i="33"/>
  <c r="E257" i="33"/>
  <c r="M256" i="33"/>
  <c r="K256" i="33"/>
  <c r="J256" i="33"/>
  <c r="I256" i="33"/>
  <c r="G256" i="33"/>
  <c r="H256" i="33" s="1"/>
  <c r="F256" i="33"/>
  <c r="E256" i="33"/>
  <c r="D256" i="33"/>
  <c r="M255" i="33"/>
  <c r="D255" i="33"/>
  <c r="K255" i="33"/>
  <c r="J255" i="33"/>
  <c r="I255" i="33"/>
  <c r="G255" i="33"/>
  <c r="H255" i="33" s="1"/>
  <c r="F255" i="33"/>
  <c r="E255" i="33"/>
  <c r="M254" i="33"/>
  <c r="D254" i="33"/>
  <c r="K254" i="33"/>
  <c r="J254" i="33"/>
  <c r="I254" i="33"/>
  <c r="G254" i="33"/>
  <c r="H254" i="33" s="1"/>
  <c r="F254" i="33"/>
  <c r="E254" i="33"/>
  <c r="M253" i="33"/>
  <c r="D253" i="33"/>
  <c r="K253" i="33"/>
  <c r="J253" i="33"/>
  <c r="I253" i="33"/>
  <c r="G253" i="33"/>
  <c r="H253" i="33" s="1"/>
  <c r="F253" i="33"/>
  <c r="E253" i="33"/>
  <c r="M252" i="33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D250" i="33"/>
  <c r="K250" i="33"/>
  <c r="J250" i="33"/>
  <c r="I250" i="33"/>
  <c r="G250" i="33"/>
  <c r="H250" i="33" s="1"/>
  <c r="F250" i="33"/>
  <c r="E250" i="33"/>
  <c r="M249" i="33"/>
  <c r="D249" i="33"/>
  <c r="K249" i="33"/>
  <c r="J249" i="33"/>
  <c r="I249" i="33"/>
  <c r="G249" i="33"/>
  <c r="H249" i="33" s="1"/>
  <c r="F249" i="33"/>
  <c r="E249" i="33"/>
  <c r="M248" i="33"/>
  <c r="D248" i="33"/>
  <c r="K248" i="33"/>
  <c r="J248" i="33"/>
  <c r="I248" i="33"/>
  <c r="G248" i="33"/>
  <c r="H248" i="33" s="1"/>
  <c r="F248" i="33"/>
  <c r="E248" i="33"/>
  <c r="M247" i="33"/>
  <c r="D247" i="33"/>
  <c r="K247" i="33"/>
  <c r="J247" i="33"/>
  <c r="I247" i="33"/>
  <c r="G247" i="33"/>
  <c r="H247" i="33" s="1"/>
  <c r="F247" i="33"/>
  <c r="E247" i="33"/>
  <c r="M246" i="33"/>
  <c r="D246" i="33"/>
  <c r="K246" i="33"/>
  <c r="J246" i="33"/>
  <c r="I246" i="33"/>
  <c r="G246" i="33"/>
  <c r="H246" i="33" s="1"/>
  <c r="F246" i="33"/>
  <c r="E246" i="33"/>
  <c r="M245" i="33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D243" i="33"/>
  <c r="K243" i="33"/>
  <c r="J243" i="33"/>
  <c r="I243" i="33"/>
  <c r="G243" i="33"/>
  <c r="H243" i="33" s="1"/>
  <c r="F243" i="33"/>
  <c r="E243" i="33"/>
  <c r="M242" i="33"/>
  <c r="D242" i="33"/>
  <c r="K242" i="33"/>
  <c r="J242" i="33"/>
  <c r="I242" i="33"/>
  <c r="G242" i="33"/>
  <c r="H242" i="33" s="1"/>
  <c r="F242" i="33"/>
  <c r="E242" i="33"/>
  <c r="M241" i="33"/>
  <c r="D241" i="33"/>
  <c r="K241" i="33"/>
  <c r="J241" i="33"/>
  <c r="I241" i="33"/>
  <c r="G241" i="33"/>
  <c r="H241" i="33" s="1"/>
  <c r="F241" i="33"/>
  <c r="E241" i="33"/>
  <c r="M240" i="33"/>
  <c r="D240" i="33"/>
  <c r="K240" i="33"/>
  <c r="J240" i="33"/>
  <c r="I240" i="33"/>
  <c r="G240" i="33"/>
  <c r="H240" i="33" s="1"/>
  <c r="F240" i="33"/>
  <c r="E240" i="33"/>
  <c r="M239" i="33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D237" i="33"/>
  <c r="K237" i="33"/>
  <c r="J237" i="33"/>
  <c r="I237" i="33"/>
  <c r="G237" i="33"/>
  <c r="H237" i="33" s="1"/>
  <c r="F237" i="33"/>
  <c r="E237" i="33"/>
  <c r="M236" i="33"/>
  <c r="D236" i="33"/>
  <c r="K236" i="33"/>
  <c r="J236" i="33"/>
  <c r="I236" i="33"/>
  <c r="G236" i="33"/>
  <c r="H236" i="33" s="1"/>
  <c r="F236" i="33"/>
  <c r="E236" i="33"/>
  <c r="M235" i="33"/>
  <c r="D235" i="33"/>
  <c r="K235" i="33"/>
  <c r="J235" i="33"/>
  <c r="I235" i="33"/>
  <c r="G235" i="33"/>
  <c r="H235" i="33" s="1"/>
  <c r="F235" i="33"/>
  <c r="E235" i="33"/>
  <c r="M234" i="33"/>
  <c r="D234" i="33"/>
  <c r="K234" i="33"/>
  <c r="J234" i="33"/>
  <c r="I234" i="33"/>
  <c r="G234" i="33"/>
  <c r="H234" i="33" s="1"/>
  <c r="F234" i="33"/>
  <c r="E234" i="33"/>
  <c r="M233" i="33"/>
  <c r="D233" i="33"/>
  <c r="K233" i="33"/>
  <c r="J233" i="33"/>
  <c r="I233" i="33"/>
  <c r="G233" i="33"/>
  <c r="H233" i="33" s="1"/>
  <c r="F233" i="33"/>
  <c r="E233" i="33"/>
  <c r="M232" i="33"/>
  <c r="D232" i="33"/>
  <c r="K232" i="33"/>
  <c r="J232" i="33"/>
  <c r="I232" i="33"/>
  <c r="G232" i="33"/>
  <c r="H232" i="33" s="1"/>
  <c r="F232" i="33"/>
  <c r="E232" i="33"/>
  <c r="M231" i="33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D229" i="33"/>
  <c r="K229" i="33"/>
  <c r="J229" i="33"/>
  <c r="I229" i="33"/>
  <c r="G229" i="33"/>
  <c r="H229" i="33" s="1"/>
  <c r="F229" i="33"/>
  <c r="E229" i="33"/>
  <c r="M228" i="33"/>
  <c r="D228" i="33"/>
  <c r="K228" i="33"/>
  <c r="J228" i="33"/>
  <c r="I228" i="33"/>
  <c r="G228" i="33"/>
  <c r="H228" i="33" s="1"/>
  <c r="F228" i="33"/>
  <c r="E228" i="33"/>
  <c r="M227" i="33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D225" i="33"/>
  <c r="K225" i="33"/>
  <c r="J225" i="33"/>
  <c r="I225" i="33"/>
  <c r="G225" i="33"/>
  <c r="H225" i="33" s="1"/>
  <c r="F225" i="33"/>
  <c r="E225" i="33"/>
  <c r="M224" i="33"/>
  <c r="D224" i="33"/>
  <c r="K224" i="33"/>
  <c r="J224" i="33"/>
  <c r="I224" i="33"/>
  <c r="G224" i="33"/>
  <c r="H224" i="33" s="1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E221" i="33" s="1"/>
  <c r="D220" i="33"/>
  <c r="E220" i="33" s="1"/>
  <c r="D219" i="33"/>
  <c r="L219" i="33" s="1"/>
  <c r="M219" i="33" s="1"/>
  <c r="N219" i="33" s="1"/>
  <c r="D218" i="33"/>
  <c r="D196" i="33"/>
  <c r="E196" i="33"/>
  <c r="D217" i="33"/>
  <c r="D216" i="33"/>
  <c r="E216" i="33" s="1"/>
  <c r="D215" i="33"/>
  <c r="E215" i="33" s="1"/>
  <c r="D214" i="33"/>
  <c r="E214" i="33" s="1"/>
  <c r="D213" i="33"/>
  <c r="D212" i="33"/>
  <c r="E212" i="33"/>
  <c r="D211" i="33"/>
  <c r="D210" i="33"/>
  <c r="D209" i="33"/>
  <c r="D208" i="33"/>
  <c r="E208" i="33" s="1"/>
  <c r="D207" i="33"/>
  <c r="D206" i="33"/>
  <c r="E206" i="33" s="1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 s="1"/>
  <c r="D199" i="33"/>
  <c r="E199" i="33"/>
  <c r="D198" i="33"/>
  <c r="E198" i="33" s="1"/>
  <c r="D197" i="33"/>
  <c r="D195" i="33"/>
  <c r="D194" i="33"/>
  <c r="D193" i="33"/>
  <c r="E193" i="33"/>
  <c r="D192" i="33"/>
  <c r="E192" i="33"/>
  <c r="D191" i="33"/>
  <c r="E191" i="33" s="1"/>
  <c r="D190" i="33"/>
  <c r="L190" i="33" s="1"/>
  <c r="M190" i="33" s="1"/>
  <c r="N190" i="33" s="1"/>
  <c r="D189" i="33"/>
  <c r="E189" i="33" s="1"/>
  <c r="D188" i="33"/>
  <c r="E188" i="33" s="1"/>
  <c r="D187" i="33"/>
  <c r="D186" i="33"/>
  <c r="D185" i="33"/>
  <c r="D184" i="33"/>
  <c r="E184" i="33"/>
  <c r="D183" i="33"/>
  <c r="E183" i="33" s="1"/>
  <c r="D182" i="33"/>
  <c r="D181" i="33"/>
  <c r="D180" i="33"/>
  <c r="D179" i="33"/>
  <c r="D178" i="33"/>
  <c r="E178" i="33"/>
  <c r="D177" i="33"/>
  <c r="E177" i="33"/>
  <c r="D176" i="33"/>
  <c r="E176" i="33"/>
  <c r="D175" i="33"/>
  <c r="L175" i="33" s="1"/>
  <c r="M175" i="33" s="1"/>
  <c r="N175" i="33" s="1"/>
  <c r="D174" i="33"/>
  <c r="E174" i="33" s="1"/>
  <c r="D173" i="33"/>
  <c r="E173" i="33" s="1"/>
  <c r="D172" i="33"/>
  <c r="D171" i="33"/>
  <c r="E171" i="33"/>
  <c r="D170" i="33"/>
  <c r="E170" i="33"/>
  <c r="D169" i="33"/>
  <c r="E169" i="33" s="1"/>
  <c r="D168" i="33"/>
  <c r="E168" i="33"/>
  <c r="D167" i="33"/>
  <c r="E167" i="33"/>
  <c r="D166" i="33"/>
  <c r="E166" i="33" s="1"/>
  <c r="D165" i="33"/>
  <c r="E165" i="33"/>
  <c r="D164" i="33"/>
  <c r="D163" i="33"/>
  <c r="E163" i="33"/>
  <c r="D162" i="33"/>
  <c r="E162" i="33"/>
  <c r="D161" i="33"/>
  <c r="E161" i="33" s="1"/>
  <c r="D160" i="33"/>
  <c r="E160" i="33"/>
  <c r="D159" i="33"/>
  <c r="E159" i="33" s="1"/>
  <c r="D158" i="33"/>
  <c r="D157" i="33"/>
  <c r="E157" i="33"/>
  <c r="D156" i="33"/>
  <c r="D155" i="33"/>
  <c r="E155" i="33"/>
  <c r="D154" i="33"/>
  <c r="E154" i="33"/>
  <c r="D153" i="33"/>
  <c r="D152" i="33"/>
  <c r="E152" i="33" s="1"/>
  <c r="D151" i="33"/>
  <c r="D150" i="33"/>
  <c r="E150" i="33"/>
  <c r="D149" i="33"/>
  <c r="E149" i="33"/>
  <c r="D148" i="33"/>
  <c r="E148" i="33" s="1"/>
  <c r="D139" i="33"/>
  <c r="L139" i="33"/>
  <c r="M139" i="33" s="1"/>
  <c r="N139" i="33" s="1"/>
  <c r="D140" i="33"/>
  <c r="E140" i="33" s="1"/>
  <c r="D141" i="33"/>
  <c r="D142" i="33"/>
  <c r="E142" i="33"/>
  <c r="D143" i="33"/>
  <c r="L143" i="33" s="1"/>
  <c r="M143" i="33" s="1"/>
  <c r="N143" i="33" s="1"/>
  <c r="D144" i="33"/>
  <c r="D145" i="33"/>
  <c r="E145" i="33" s="1"/>
  <c r="D146" i="33"/>
  <c r="D147" i="33"/>
  <c r="E147" i="33" s="1"/>
  <c r="D118" i="33"/>
  <c r="E118" i="33" s="1"/>
  <c r="D119" i="33"/>
  <c r="L119" i="33" s="1"/>
  <c r="M119" i="33" s="1"/>
  <c r="N119" i="33" s="1"/>
  <c r="D120" i="33"/>
  <c r="E120" i="33"/>
  <c r="D121" i="33"/>
  <c r="E121" i="33"/>
  <c r="D122" i="33"/>
  <c r="L122" i="33" s="1"/>
  <c r="M122" i="33" s="1"/>
  <c r="N122" i="33" s="1"/>
  <c r="D123" i="33"/>
  <c r="D124" i="33"/>
  <c r="E124" i="33" s="1"/>
  <c r="D125" i="33"/>
  <c r="L125" i="33"/>
  <c r="M125" i="33" s="1"/>
  <c r="N125" i="33" s="1"/>
  <c r="D126" i="33"/>
  <c r="D127" i="33"/>
  <c r="E127" i="33" s="1"/>
  <c r="D128" i="33"/>
  <c r="E128" i="33" s="1"/>
  <c r="D65" i="33"/>
  <c r="D136" i="33"/>
  <c r="D129" i="33"/>
  <c r="E129" i="33"/>
  <c r="D130" i="33"/>
  <c r="D131" i="33"/>
  <c r="E131" i="33"/>
  <c r="D132" i="33"/>
  <c r="D133" i="33"/>
  <c r="E133" i="33" s="1"/>
  <c r="D134" i="33"/>
  <c r="D135" i="33"/>
  <c r="E135" i="33"/>
  <c r="D137" i="33"/>
  <c r="D138" i="33"/>
  <c r="E138" i="33"/>
  <c r="D116" i="33"/>
  <c r="E116" i="33" s="1"/>
  <c r="D117" i="33"/>
  <c r="A7" i="37"/>
  <c r="C7" i="37" s="1"/>
  <c r="D115" i="33"/>
  <c r="E115" i="33"/>
  <c r="D114" i="33"/>
  <c r="D113" i="33"/>
  <c r="D112" i="33"/>
  <c r="E112" i="33" s="1"/>
  <c r="D111" i="33"/>
  <c r="E111" i="33" s="1"/>
  <c r="D100" i="33"/>
  <c r="E100" i="33" s="1"/>
  <c r="D99" i="33"/>
  <c r="D98" i="33"/>
  <c r="E98" i="33"/>
  <c r="D97" i="33"/>
  <c r="E97" i="33"/>
  <c r="D96" i="33"/>
  <c r="E96" i="33" s="1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 s="1"/>
  <c r="D88" i="33"/>
  <c r="E88" i="33" s="1"/>
  <c r="D85" i="33"/>
  <c r="L85" i="33" s="1"/>
  <c r="M85" i="33" s="1"/>
  <c r="N85" i="33" s="1"/>
  <c r="E85" i="33"/>
  <c r="D84" i="33"/>
  <c r="D83" i="33"/>
  <c r="D79" i="33"/>
  <c r="E79" i="33" s="1"/>
  <c r="D4" i="33"/>
  <c r="E4" i="33"/>
  <c r="D110" i="33"/>
  <c r="D109" i="33"/>
  <c r="E109" i="33" s="1"/>
  <c r="D108" i="33"/>
  <c r="E108" i="33" s="1"/>
  <c r="D107" i="33"/>
  <c r="D106" i="33"/>
  <c r="D105" i="33"/>
  <c r="D104" i="33"/>
  <c r="E104" i="33" s="1"/>
  <c r="D103" i="33"/>
  <c r="E103" i="33"/>
  <c r="D102" i="33"/>
  <c r="E102" i="33"/>
  <c r="D101" i="33"/>
  <c r="E101" i="33" s="1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 s="1"/>
  <c r="D77" i="33"/>
  <c r="E77" i="33" s="1"/>
  <c r="D76" i="33"/>
  <c r="E76" i="33"/>
  <c r="D75" i="33"/>
  <c r="E75" i="33" s="1"/>
  <c r="D74" i="33"/>
  <c r="D73" i="33"/>
  <c r="E73" i="33" s="1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 s="1"/>
  <c r="D67" i="33"/>
  <c r="D66" i="33"/>
  <c r="D64" i="33"/>
  <c r="D63" i="33"/>
  <c r="E63" i="33"/>
  <c r="D62" i="33"/>
  <c r="E62" i="33" s="1"/>
  <c r="D60" i="33"/>
  <c r="E60" i="33"/>
  <c r="D59" i="33"/>
  <c r="E59" i="33"/>
  <c r="D58" i="33"/>
  <c r="D57" i="33"/>
  <c r="E57" i="33" s="1"/>
  <c r="D56" i="33"/>
  <c r="D55" i="33"/>
  <c r="E55" i="33"/>
  <c r="D54" i="33"/>
  <c r="E54" i="33"/>
  <c r="D53" i="33"/>
  <c r="E53" i="33"/>
  <c r="D52" i="33"/>
  <c r="D51" i="33"/>
  <c r="D50" i="33"/>
  <c r="D49" i="33"/>
  <c r="E49" i="33" s="1"/>
  <c r="D48" i="33"/>
  <c r="D47" i="33"/>
  <c r="E47" i="33" s="1"/>
  <c r="D46" i="33"/>
  <c r="E46" i="33" s="1"/>
  <c r="D45" i="33"/>
  <c r="D44" i="33"/>
  <c r="D36" i="33"/>
  <c r="E36" i="33" s="1"/>
  <c r="D37" i="33"/>
  <c r="E37" i="33" s="1"/>
  <c r="D38" i="33"/>
  <c r="E38" i="33"/>
  <c r="D39" i="33"/>
  <c r="D40" i="33"/>
  <c r="E40" i="33"/>
  <c r="D41" i="33"/>
  <c r="E41" i="33" s="1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 s="1"/>
  <c r="D29" i="33"/>
  <c r="D28" i="33"/>
  <c r="E28" i="33"/>
  <c r="D27" i="33"/>
  <c r="E27" i="33"/>
  <c r="F10" i="21"/>
  <c r="B10" i="21"/>
  <c r="D22" i="33"/>
  <c r="E22" i="33"/>
  <c r="D16" i="33"/>
  <c r="E16" i="33" s="1"/>
  <c r="D9" i="33"/>
  <c r="E9" i="33" s="1"/>
  <c r="D10" i="33"/>
  <c r="E10" i="33" s="1"/>
  <c r="D11" i="33"/>
  <c r="E12" i="33"/>
  <c r="D3" i="7"/>
  <c r="P5" i="18"/>
  <c r="P7" i="18"/>
  <c r="P9" i="18"/>
  <c r="O9" i="18" s="1"/>
  <c r="P11" i="18"/>
  <c r="P13" i="18"/>
  <c r="O13" i="18"/>
  <c r="J3" i="7"/>
  <c r="P3" i="7"/>
  <c r="P4" i="7"/>
  <c r="V3" i="7"/>
  <c r="V4" i="7"/>
  <c r="V5" i="7"/>
  <c r="O11" i="18" s="1"/>
  <c r="V6" i="7"/>
  <c r="AE10" i="7"/>
  <c r="AG10" i="7"/>
  <c r="AI10" i="7"/>
  <c r="C6" i="19"/>
  <c r="AE9" i="7"/>
  <c r="AG9" i="7"/>
  <c r="AI9" i="7"/>
  <c r="F2" i="16"/>
  <c r="F9" i="16" s="1"/>
  <c r="J9" i="16" s="1"/>
  <c r="L9" i="16" s="1"/>
  <c r="G9" i="16"/>
  <c r="K9" i="16" s="1"/>
  <c r="M9" i="16" s="1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 s="1"/>
  <c r="X17" i="18"/>
  <c r="X18" i="18" s="1"/>
  <c r="W17" i="18"/>
  <c r="V17" i="18"/>
  <c r="U17" i="18"/>
  <c r="AE4" i="7"/>
  <c r="AI4" i="7"/>
  <c r="AG4" i="7"/>
  <c r="S4" i="7"/>
  <c r="O10" i="18" s="1"/>
  <c r="O14" i="18" s="1"/>
  <c r="F6" i="21"/>
  <c r="D6" i="21" s="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 s="1"/>
  <c r="M76" i="16" s="1"/>
  <c r="F76" i="16"/>
  <c r="J76" i="16" s="1"/>
  <c r="L76" i="16" s="1"/>
  <c r="E76" i="16"/>
  <c r="D76" i="16"/>
  <c r="F75" i="16"/>
  <c r="J75" i="16" s="1"/>
  <c r="L75" i="16" s="1"/>
  <c r="G75" i="16"/>
  <c r="K75" i="16"/>
  <c r="M75" i="16" s="1"/>
  <c r="F74" i="16"/>
  <c r="J74" i="16" s="1"/>
  <c r="L74" i="16" s="1"/>
  <c r="G74" i="16"/>
  <c r="K74" i="16" s="1"/>
  <c r="M74" i="16" s="1"/>
  <c r="G73" i="16"/>
  <c r="K73" i="16" s="1"/>
  <c r="M73" i="16" s="1"/>
  <c r="F73" i="16"/>
  <c r="J73" i="16" s="1"/>
  <c r="L73" i="16" s="1"/>
  <c r="G72" i="16"/>
  <c r="K72" i="16" s="1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 s="1"/>
  <c r="M68" i="16" s="1"/>
  <c r="F68" i="16"/>
  <c r="J68" i="16" s="1"/>
  <c r="L68" i="16" s="1"/>
  <c r="G67" i="16"/>
  <c r="K67" i="16" s="1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 s="1"/>
  <c r="F51" i="16"/>
  <c r="J51" i="16" s="1"/>
  <c r="L51" i="16" s="1"/>
  <c r="F41" i="16"/>
  <c r="J41" i="16" s="1"/>
  <c r="L41" i="16" s="1"/>
  <c r="G37" i="16"/>
  <c r="K37" i="16" s="1"/>
  <c r="M37" i="16" s="1"/>
  <c r="G43" i="16"/>
  <c r="K43" i="16" s="1"/>
  <c r="M43" i="16" s="1"/>
  <c r="G47" i="16"/>
  <c r="K47" i="16" s="1"/>
  <c r="M47" i="16" s="1"/>
  <c r="F47" i="16"/>
  <c r="J47" i="16" s="1"/>
  <c r="L47" i="16" s="1"/>
  <c r="F46" i="16"/>
  <c r="J46" i="16" s="1"/>
  <c r="L46" i="16" s="1"/>
  <c r="G45" i="16"/>
  <c r="K45" i="16" s="1"/>
  <c r="M45" i="16" s="1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 s="1"/>
  <c r="M20" i="16" s="1"/>
  <c r="G18" i="16"/>
  <c r="K18" i="16"/>
  <c r="M18" i="16" s="1"/>
  <c r="F15" i="16"/>
  <c r="J15" i="16" s="1"/>
  <c r="L15" i="16" s="1"/>
  <c r="D2" i="16"/>
  <c r="F3" i="21"/>
  <c r="E3" i="21"/>
  <c r="F12" i="21"/>
  <c r="F11" i="21"/>
  <c r="C11" i="21"/>
  <c r="B9" i="21"/>
  <c r="F8" i="21"/>
  <c r="C8" i="21" s="1"/>
  <c r="B7" i="21"/>
  <c r="B4" i="21"/>
  <c r="K9" i="22"/>
  <c r="L9" i="22" s="1"/>
  <c r="K12" i="22"/>
  <c r="L12" i="22" s="1"/>
  <c r="K10" i="22"/>
  <c r="L10" i="22" s="1"/>
  <c r="K11" i="22"/>
  <c r="L11" i="22" s="1"/>
  <c r="K13" i="22"/>
  <c r="L13" i="22"/>
  <c r="C5" i="22"/>
  <c r="C3" i="22"/>
  <c r="C4" i="22"/>
  <c r="F3" i="22"/>
  <c r="J3" i="22" s="1"/>
  <c r="F4" i="22"/>
  <c r="J4" i="22" s="1"/>
  <c r="L4" i="22" s="1"/>
  <c r="F5" i="22"/>
  <c r="J5" i="22"/>
  <c r="B5" i="22"/>
  <c r="B4" i="22"/>
  <c r="B3" i="22"/>
  <c r="F9" i="21"/>
  <c r="C9" i="21"/>
  <c r="F7" i="21"/>
  <c r="C7" i="21"/>
  <c r="F5" i="21"/>
  <c r="D5" i="21"/>
  <c r="F4" i="21"/>
  <c r="D4" i="21" s="1"/>
  <c r="D9" i="21"/>
  <c r="AG3" i="7"/>
  <c r="P16" i="18"/>
  <c r="P12" i="18"/>
  <c r="O12" i="18"/>
  <c r="P4" i="18"/>
  <c r="P6" i="18"/>
  <c r="P8" i="18"/>
  <c r="P14" i="18" s="1"/>
  <c r="S3" i="7"/>
  <c r="P10" i="18"/>
  <c r="AI3" i="7"/>
  <c r="O16" i="18" s="1"/>
  <c r="AE3" i="7"/>
  <c r="O18" i="18" s="1"/>
  <c r="N6" i="21"/>
  <c r="H6" i="21"/>
  <c r="L7" i="21"/>
  <c r="K6" i="21"/>
  <c r="K7" i="21"/>
  <c r="M6" i="21"/>
  <c r="M7" i="21"/>
  <c r="L6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 s="1"/>
  <c r="M28" i="16" s="1"/>
  <c r="F36" i="16"/>
  <c r="J36" i="16" s="1"/>
  <c r="L36" i="16" s="1"/>
  <c r="F24" i="16"/>
  <c r="J24" i="16" s="1"/>
  <c r="L24" i="16" s="1"/>
  <c r="G26" i="16"/>
  <c r="K26" i="16" s="1"/>
  <c r="M26" i="16"/>
  <c r="G31" i="16"/>
  <c r="K31" i="16"/>
  <c r="M31" i="16" s="1"/>
  <c r="F29" i="16"/>
  <c r="J29" i="16" s="1"/>
  <c r="L29" i="16" s="1"/>
  <c r="F25" i="16"/>
  <c r="J25" i="16" s="1"/>
  <c r="L25" i="16" s="1"/>
  <c r="G23" i="16"/>
  <c r="K23" i="16" s="1"/>
  <c r="M23" i="16" s="1"/>
  <c r="F30" i="16"/>
  <c r="J30" i="16" s="1"/>
  <c r="L30" i="16" s="1"/>
  <c r="G27" i="16"/>
  <c r="K27" i="16"/>
  <c r="M27" i="16" s="1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 s="1"/>
  <c r="F8" i="16"/>
  <c r="J8" i="16" s="1"/>
  <c r="L8" i="16" s="1"/>
  <c r="G34" i="16"/>
  <c r="K34" i="16"/>
  <c r="M34" i="16" s="1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 s="1"/>
  <c r="M35" i="16" s="1"/>
  <c r="G22" i="16"/>
  <c r="K22" i="16"/>
  <c r="M22" i="16"/>
  <c r="G17" i="16"/>
  <c r="K17" i="16" s="1"/>
  <c r="M17" i="16" s="1"/>
  <c r="G13" i="16"/>
  <c r="K13" i="16" s="1"/>
  <c r="M13" i="16"/>
  <c r="G16" i="16"/>
  <c r="K16" i="16" s="1"/>
  <c r="M16" i="16" s="1"/>
  <c r="G19" i="16"/>
  <c r="K19" i="16" s="1"/>
  <c r="M19" i="16"/>
  <c r="G10" i="16"/>
  <c r="K10" i="16"/>
  <c r="M10" i="16" s="1"/>
  <c r="G15" i="16"/>
  <c r="K15" i="16" s="1"/>
  <c r="M15" i="16"/>
  <c r="G41" i="16"/>
  <c r="K41" i="16" s="1"/>
  <c r="M41" i="16" s="1"/>
  <c r="G30" i="16"/>
  <c r="K30" i="16" s="1"/>
  <c r="M30" i="16" s="1"/>
  <c r="G38" i="16"/>
  <c r="K38" i="16" s="1"/>
  <c r="M38" i="16" s="1"/>
  <c r="F42" i="16"/>
  <c r="J42" i="16" s="1"/>
  <c r="L42" i="16" s="1"/>
  <c r="G33" i="16"/>
  <c r="K33" i="16"/>
  <c r="M33" i="16" s="1"/>
  <c r="F13" i="16"/>
  <c r="J13" i="16" s="1"/>
  <c r="L13" i="16" s="1"/>
  <c r="F16" i="16"/>
  <c r="J16" i="16" s="1"/>
  <c r="L16" i="16" s="1"/>
  <c r="F23" i="16"/>
  <c r="J23" i="16" s="1"/>
  <c r="L23" i="16" s="1"/>
  <c r="G11" i="16"/>
  <c r="K11" i="16" s="1"/>
  <c r="M11" i="16" s="1"/>
  <c r="F17" i="16"/>
  <c r="J17" i="16" s="1"/>
  <c r="L17" i="16" s="1"/>
  <c r="F26" i="16"/>
  <c r="J26" i="16" s="1"/>
  <c r="L26" i="16" s="1"/>
  <c r="G42" i="16"/>
  <c r="K42" i="16" s="1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 s="1"/>
  <c r="F33" i="16"/>
  <c r="J33" i="16" s="1"/>
  <c r="L33" i="16" s="1"/>
  <c r="G24" i="16"/>
  <c r="K24" i="16"/>
  <c r="M24" i="16" s="1"/>
  <c r="G12" i="16"/>
  <c r="K12" i="16"/>
  <c r="M12" i="16" s="1"/>
  <c r="G39" i="16"/>
  <c r="K39" i="16" s="1"/>
  <c r="M39" i="16" s="1"/>
  <c r="G21" i="16"/>
  <c r="K21" i="16" s="1"/>
  <c r="M21" i="16" s="1"/>
  <c r="F34" i="16"/>
  <c r="J34" i="16" s="1"/>
  <c r="L34" i="16" s="1"/>
  <c r="F20" i="16"/>
  <c r="J20" i="16" s="1"/>
  <c r="L20" i="16" s="1"/>
  <c r="G25" i="16"/>
  <c r="K25" i="16"/>
  <c r="M25" i="16"/>
  <c r="G8" i="16"/>
  <c r="K8" i="16" s="1"/>
  <c r="M8" i="16" s="1"/>
  <c r="G14" i="16"/>
  <c r="K14" i="16" s="1"/>
  <c r="M14" i="16" s="1"/>
  <c r="F21" i="16"/>
  <c r="J21" i="16" s="1"/>
  <c r="L21" i="16" s="1"/>
  <c r="G29" i="16"/>
  <c r="K29" i="16"/>
  <c r="M29" i="16" s="1"/>
  <c r="F37" i="16"/>
  <c r="J37" i="16" s="1"/>
  <c r="L37" i="16" s="1"/>
  <c r="G65" i="16"/>
  <c r="K65" i="16"/>
  <c r="M65" i="16" s="1"/>
  <c r="G60" i="16"/>
  <c r="K60" i="16"/>
  <c r="M60" i="16" s="1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 s="1"/>
  <c r="G59" i="16"/>
  <c r="K59" i="16" s="1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 s="1"/>
  <c r="F63" i="16"/>
  <c r="J63" i="16" s="1"/>
  <c r="L63" i="16" s="1"/>
  <c r="G58" i="16"/>
  <c r="K58" i="16" s="1"/>
  <c r="M58" i="16" s="1"/>
  <c r="G53" i="16"/>
  <c r="K53" i="16"/>
  <c r="M53" i="16"/>
  <c r="G63" i="16"/>
  <c r="K63" i="16"/>
  <c r="M63" i="16" s="1"/>
  <c r="F54" i="16"/>
  <c r="J54" i="16" s="1"/>
  <c r="L54" i="16" s="1"/>
  <c r="G62" i="16"/>
  <c r="K62" i="16" s="1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 s="1"/>
  <c r="M61" i="16" s="1"/>
  <c r="G56" i="16"/>
  <c r="K56" i="16"/>
  <c r="M56" i="16"/>
  <c r="G57" i="16"/>
  <c r="K57" i="16"/>
  <c r="M57" i="16"/>
  <c r="F49" i="16"/>
  <c r="J49" i="16" s="1"/>
  <c r="L49" i="16" s="1"/>
  <c r="G49" i="16"/>
  <c r="K49" i="16" s="1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 s="1"/>
  <c r="F43" i="16"/>
  <c r="J43" i="16" s="1"/>
  <c r="L43" i="16" s="1"/>
  <c r="G50" i="16"/>
  <c r="K50" i="16" s="1"/>
  <c r="M50" i="16" s="1"/>
  <c r="G48" i="16"/>
  <c r="K48" i="16"/>
  <c r="M48" i="16" s="1"/>
  <c r="F69" i="16"/>
  <c r="J69" i="16" s="1"/>
  <c r="L69" i="16" s="1"/>
  <c r="G69" i="16"/>
  <c r="K69" i="16"/>
  <c r="M69" i="16"/>
  <c r="G70" i="16"/>
  <c r="K70" i="16"/>
  <c r="M70" i="16" s="1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N619" i="33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 s="1"/>
  <c r="Q3" i="20"/>
  <c r="R3" i="20" s="1"/>
  <c r="Q13" i="20"/>
  <c r="Q24" i="20"/>
  <c r="R24" i="20" s="1"/>
  <c r="E56" i="33"/>
  <c r="E141" i="33"/>
  <c r="E185" i="33"/>
  <c r="E117" i="33"/>
  <c r="L177" i="33"/>
  <c r="M177" i="33" s="1"/>
  <c r="N177" i="33" s="1"/>
  <c r="E58" i="33"/>
  <c r="D8" i="21"/>
  <c r="O5" i="18"/>
  <c r="N438" i="33"/>
  <c r="L38" i="33"/>
  <c r="M38" i="33" s="1"/>
  <c r="N38" i="33" s="1"/>
  <c r="E144" i="33"/>
  <c r="N506" i="33"/>
  <c r="E34" i="33"/>
  <c r="E65" i="33"/>
  <c r="N512" i="33"/>
  <c r="N325" i="33"/>
  <c r="N482" i="33"/>
  <c r="N658" i="33"/>
  <c r="N672" i="33"/>
  <c r="N446" i="33"/>
  <c r="N666" i="33"/>
  <c r="N520" i="33"/>
  <c r="N606" i="33"/>
  <c r="O8" i="18"/>
  <c r="N596" i="33"/>
  <c r="N597" i="33"/>
  <c r="N469" i="33"/>
  <c r="N558" i="33"/>
  <c r="N639" i="33"/>
  <c r="N671" i="33"/>
  <c r="N678" i="33"/>
  <c r="N401" i="33"/>
  <c r="N611" i="33"/>
  <c r="N691" i="33"/>
  <c r="N648" i="33"/>
  <c r="N688" i="33"/>
  <c r="N694" i="33"/>
  <c r="N700" i="33"/>
  <c r="N456" i="33"/>
  <c r="N528" i="33"/>
  <c r="N550" i="33"/>
  <c r="N620" i="33"/>
  <c r="N668" i="33"/>
  <c r="N675" i="33"/>
  <c r="C5" i="9"/>
  <c r="N472" i="33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 s="1"/>
  <c r="R13" i="44" a="1"/>
  <c r="R13" i="44" s="1"/>
  <c r="L78" i="33"/>
  <c r="M78" i="33" s="1"/>
  <c r="N78" i="33" s="1"/>
  <c r="N7" i="21"/>
  <c r="N459" i="33"/>
  <c r="N479" i="33"/>
  <c r="N300" i="33"/>
  <c r="N327" i="33"/>
  <c r="N378" i="33"/>
  <c r="N429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E9" i="21"/>
  <c r="N471" i="33"/>
  <c r="N475" i="33"/>
  <c r="N516" i="33"/>
  <c r="N286" i="33"/>
  <c r="N313" i="33"/>
  <c r="N319" i="33"/>
  <c r="N373" i="33"/>
  <c r="N484" i="33"/>
  <c r="N395" i="33"/>
  <c r="N458" i="33"/>
  <c r="N657" i="33"/>
  <c r="N697" i="33"/>
  <c r="K22" i="22"/>
  <c r="L19" i="22"/>
  <c r="E8" i="21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B6" i="21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N354" i="33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87" i="33"/>
  <c r="N493" i="33"/>
  <c r="P38" i="20"/>
  <c r="R38" i="20"/>
  <c r="N342" i="33"/>
  <c r="N352" i="33"/>
  <c r="N402" i="33"/>
  <c r="N430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307" i="33"/>
  <c r="N543" i="33"/>
  <c r="N581" i="33"/>
  <c r="N635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C3" i="2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B8" i="21"/>
  <c r="L103" i="33"/>
  <c r="M103" i="33" s="1"/>
  <c r="N103" i="33" s="1"/>
  <c r="N276" i="33"/>
  <c r="N279" i="33"/>
  <c r="N291" i="33"/>
  <c r="N411" i="33"/>
  <c r="N473" i="33"/>
  <c r="N303" i="33"/>
  <c r="N324" i="33"/>
  <c r="N562" i="33"/>
  <c r="N570" i="33"/>
  <c r="N574" i="33"/>
  <c r="N578" i="33"/>
  <c r="N586" i="33"/>
  <c r="N610" i="33"/>
  <c r="N626" i="33"/>
  <c r="N638" i="33"/>
  <c r="N662" i="33"/>
  <c r="N414" i="33"/>
  <c r="N436" i="33"/>
  <c r="N448" i="33"/>
  <c r="N530" i="33"/>
  <c r="N567" i="33"/>
  <c r="N674" i="33"/>
  <c r="L171" i="33"/>
  <c r="M171" i="33" s="1"/>
  <c r="N171" i="33" s="1"/>
  <c r="B12" i="21"/>
  <c r="L173" i="33"/>
  <c r="M173" i="33" s="1"/>
  <c r="N173" i="33" s="1"/>
  <c r="N275" i="33"/>
  <c r="N427" i="33"/>
  <c r="N508" i="33"/>
  <c r="N532" i="33"/>
  <c r="N625" i="33"/>
  <c r="N629" i="33"/>
  <c r="Q9" i="20"/>
  <c r="R9" i="20" s="1"/>
  <c r="R8" i="20"/>
  <c r="L121" i="33"/>
  <c r="M121" i="33" s="1"/>
  <c r="N121" i="33" s="1"/>
  <c r="K14" i="22"/>
  <c r="L128" i="33"/>
  <c r="M128" i="33" s="1"/>
  <c r="N128" i="33" s="1"/>
  <c r="E7" i="21"/>
  <c r="D7" i="2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D11" i="21"/>
  <c r="E11" i="21"/>
  <c r="E6" i="2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B3" i="2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C4" i="21"/>
  <c r="E4" i="21"/>
  <c r="E217" i="33"/>
  <c r="W18" i="18"/>
  <c r="V18" i="18"/>
  <c r="K24" i="22"/>
  <c r="L5" i="22"/>
  <c r="L41" i="33"/>
  <c r="M41" i="33" s="1"/>
  <c r="N41" i="33" s="1"/>
  <c r="B11" i="21"/>
  <c r="C6" i="21"/>
  <c r="L35" i="33"/>
  <c r="M35" i="33" s="1"/>
  <c r="N35" i="33" s="1"/>
  <c r="E35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P35" i="20" s="1"/>
  <c r="R35" i="20" s="1"/>
  <c r="L32" i="33"/>
  <c r="M32" i="33" s="1"/>
  <c r="N32" i="33" s="1"/>
  <c r="E61" i="33"/>
  <c r="L195" i="33"/>
  <c r="M195" i="33" s="1"/>
  <c r="N195" i="33" s="1"/>
  <c r="N408" i="33"/>
  <c r="C6" i="22"/>
  <c r="B6" i="22" s="1"/>
  <c r="L104" i="33"/>
  <c r="M104" i="33" s="1"/>
  <c r="N104" i="33" s="1"/>
  <c r="E125" i="33"/>
  <c r="N538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 s="1"/>
  <c r="R51" i="20" s="1"/>
  <c r="L53" i="20"/>
  <c r="J49" i="20"/>
  <c r="P47" i="20" s="1"/>
  <c r="R47" i="20" s="1"/>
  <c r="H37" i="20"/>
  <c r="N435" i="33"/>
  <c r="N548" i="33"/>
  <c r="N588" i="33"/>
  <c r="N613" i="33"/>
  <c r="N630" i="33"/>
  <c r="N573" i="33"/>
  <c r="N591" i="33"/>
  <c r="N665" i="33"/>
  <c r="K48" i="20"/>
  <c r="N686" i="33"/>
  <c r="J48" i="20"/>
  <c r="N500" i="33"/>
  <c r="N563" i="33"/>
  <c r="N580" i="33"/>
  <c r="N614" i="33"/>
  <c r="N693" i="33"/>
  <c r="N284" i="33"/>
  <c r="N290" i="33"/>
  <c r="N468" i="33"/>
  <c r="N525" i="33"/>
  <c r="L52" i="20"/>
  <c r="P50" i="20" s="1"/>
  <c r="R50" i="20" s="1"/>
  <c r="C9" i="19"/>
  <c r="C10" i="19" s="1"/>
  <c r="G4" i="19" s="1"/>
  <c r="G5" i="19" s="1"/>
  <c r="G15" i="19"/>
  <c r="C21" i="19"/>
  <c r="C22" i="19" s="1"/>
  <c r="G16" i="19" s="1"/>
  <c r="G17" i="19" s="1"/>
  <c r="L3" i="22"/>
  <c r="K5" i="22"/>
  <c r="P43" i="20"/>
  <c r="R43" i="20" s="1"/>
  <c r="A8" i="37"/>
  <c r="G3" i="47" a="1"/>
  <c r="G3" i="47" s="1"/>
  <c r="H3" i="47" a="1"/>
  <c r="H3" i="47" s="1"/>
  <c r="F3" i="47" a="1"/>
  <c r="F3" i="47" s="1"/>
  <c r="H38" i="47"/>
  <c r="I38" i="47" s="1"/>
  <c r="H52" i="47"/>
  <c r="I52" i="47" s="1"/>
  <c r="H42" i="47"/>
  <c r="I42" i="47"/>
  <c r="H34" i="47"/>
  <c r="I34" i="47"/>
  <c r="H8" i="47"/>
  <c r="I8" i="47" s="1"/>
  <c r="H20" i="47"/>
  <c r="I20" i="47"/>
  <c r="H45" i="47"/>
  <c r="I45" i="47" s="1"/>
  <c r="H48" i="47"/>
  <c r="I48" i="47" s="1"/>
  <c r="H9" i="47"/>
  <c r="I9" i="47"/>
  <c r="H33" i="47"/>
  <c r="I33" i="47"/>
  <c r="H49" i="47"/>
  <c r="I49" i="47"/>
  <c r="H40" i="47"/>
  <c r="I40" i="47" s="1"/>
  <c r="H17" i="47"/>
  <c r="I17" i="47" s="1"/>
  <c r="H47" i="47"/>
  <c r="I47" i="47" s="1"/>
  <c r="H25" i="47"/>
  <c r="I25" i="47"/>
  <c r="H14" i="47"/>
  <c r="I14" i="47" s="1"/>
  <c r="H26" i="47"/>
  <c r="I26" i="47"/>
  <c r="H43" i="47"/>
  <c r="I43" i="47"/>
  <c r="H10" i="47"/>
  <c r="I10" i="47" s="1"/>
  <c r="H18" i="47"/>
  <c r="I18" i="47" s="1"/>
  <c r="H22" i="47"/>
  <c r="I22" i="47"/>
  <c r="H41" i="47"/>
  <c r="I41" i="47"/>
  <c r="H51" i="47"/>
  <c r="I51" i="47" s="1"/>
  <c r="H15" i="47"/>
  <c r="I15" i="47"/>
  <c r="E3" i="47" a="1"/>
  <c r="E3" i="47" s="1"/>
  <c r="H11" i="47"/>
  <c r="I11" i="47"/>
  <c r="H16" i="47"/>
  <c r="I16" i="47" s="1"/>
  <c r="H27" i="47"/>
  <c r="I27" i="47" s="1"/>
  <c r="H31" i="47"/>
  <c r="I31" i="47" s="1"/>
  <c r="H39" i="47"/>
  <c r="I39" i="47"/>
  <c r="H46" i="47"/>
  <c r="I46" i="47"/>
  <c r="H13" i="47"/>
  <c r="I13" i="47" s="1"/>
  <c r="H21" i="47"/>
  <c r="I21" i="47" s="1"/>
  <c r="H44" i="47"/>
  <c r="I44" i="47"/>
  <c r="H50" i="47"/>
  <c r="I50" i="47"/>
  <c r="H23" i="47"/>
  <c r="I23" i="47" s="1"/>
  <c r="H7" i="47"/>
  <c r="I7" i="47"/>
  <c r="H24" i="47"/>
  <c r="I24" i="47"/>
  <c r="H35" i="47"/>
  <c r="I35" i="47" s="1"/>
  <c r="H28" i="47"/>
  <c r="I28" i="47" s="1"/>
  <c r="H32" i="47"/>
  <c r="I32" i="47" s="1"/>
  <c r="H36" i="47"/>
  <c r="I36" i="47"/>
  <c r="H12" i="47"/>
  <c r="I12" i="47" s="1"/>
  <c r="H29" i="47"/>
  <c r="I29" i="47"/>
  <c r="H37" i="47"/>
  <c r="I37" i="47" s="1"/>
  <c r="H19" i="47"/>
  <c r="I19" i="47"/>
  <c r="H53" i="47"/>
  <c r="I53" i="47"/>
  <c r="H30" i="47"/>
  <c r="I30" i="47"/>
  <c r="F191" i="33"/>
  <c r="F134" i="33"/>
  <c r="I198" i="33"/>
  <c r="F6" i="33"/>
  <c r="I113" i="33"/>
  <c r="AU30" i="7"/>
  <c r="F24" i="33"/>
  <c r="I15" i="33"/>
  <c r="I50" i="33"/>
  <c r="I108" i="33"/>
  <c r="F75" i="33"/>
  <c r="I128" i="33"/>
  <c r="AO33" i="7"/>
  <c r="AR10" i="7"/>
  <c r="F100" i="33"/>
  <c r="F55" i="33"/>
  <c r="AU16" i="7"/>
  <c r="I32" i="33"/>
  <c r="F16" i="33"/>
  <c r="F26" i="33"/>
  <c r="I181" i="33"/>
  <c r="AQ25" i="7"/>
  <c r="AP20" i="7"/>
  <c r="AN22" i="7"/>
  <c r="AO6" i="7"/>
  <c r="I26" i="33"/>
  <c r="I161" i="33"/>
  <c r="G8" i="18"/>
  <c r="H7" i="16"/>
  <c r="I211" i="33"/>
  <c r="AU21" i="7"/>
  <c r="I117" i="33"/>
  <c r="AU7" i="7"/>
  <c r="I173" i="33"/>
  <c r="I182" i="33"/>
  <c r="AO27" i="7"/>
  <c r="AN32" i="7"/>
  <c r="I129" i="33"/>
  <c r="AQ12" i="7"/>
  <c r="AV23" i="7"/>
  <c r="F102" i="33"/>
  <c r="I145" i="33"/>
  <c r="I141" i="33"/>
  <c r="I4" i="33"/>
  <c r="F149" i="33"/>
  <c r="I196" i="33"/>
  <c r="AR17" i="7"/>
  <c r="F119" i="33"/>
  <c r="F99" i="33"/>
  <c r="G17" i="18"/>
  <c r="F78" i="33"/>
  <c r="AR18" i="7"/>
  <c r="I169" i="33"/>
  <c r="F42" i="33"/>
  <c r="I107" i="33"/>
  <c r="I23" i="33"/>
  <c r="G4" i="18"/>
  <c r="AQ28" i="7"/>
  <c r="AN35" i="7"/>
  <c r="F159" i="33"/>
  <c r="F163" i="33"/>
  <c r="I204" i="33"/>
  <c r="AV12" i="7"/>
  <c r="F115" i="33"/>
  <c r="F131" i="33"/>
  <c r="AR30" i="7"/>
  <c r="AO3" i="7"/>
  <c r="F197" i="33"/>
  <c r="F37" i="33"/>
  <c r="F129" i="33"/>
  <c r="F189" i="33"/>
  <c r="F52" i="33"/>
  <c r="F109" i="33"/>
  <c r="I122" i="33"/>
  <c r="F103" i="33"/>
  <c r="F50" i="33"/>
  <c r="I40" i="33"/>
  <c r="F182" i="33"/>
  <c r="AU17" i="7"/>
  <c r="F22" i="33"/>
  <c r="I218" i="33"/>
  <c r="I131" i="33"/>
  <c r="F146" i="33"/>
  <c r="F139" i="33"/>
  <c r="F205" i="33"/>
  <c r="I205" i="33"/>
  <c r="I43" i="33"/>
  <c r="AV14" i="7"/>
  <c r="F65" i="33"/>
  <c r="I138" i="33"/>
  <c r="I152" i="33"/>
  <c r="AV9" i="7"/>
  <c r="I170" i="33"/>
  <c r="AP33" i="7"/>
  <c r="I89" i="33"/>
  <c r="AN16" i="7"/>
  <c r="I103" i="33"/>
  <c r="I93" i="33"/>
  <c r="F72" i="33"/>
  <c r="AV15" i="7"/>
  <c r="AN3" i="7"/>
  <c r="AP8" i="7"/>
  <c r="I119" i="33"/>
  <c r="E7" i="16"/>
  <c r="E8" i="16"/>
  <c r="I10" i="33"/>
  <c r="I154" i="33"/>
  <c r="F165" i="33"/>
  <c r="AQ24" i="7"/>
  <c r="AO36" i="7"/>
  <c r="AQ33" i="7"/>
  <c r="AU26" i="7"/>
  <c r="F88" i="33"/>
  <c r="F133" i="33"/>
  <c r="F175" i="33"/>
  <c r="I188" i="33"/>
  <c r="AP15" i="7"/>
  <c r="I46" i="33"/>
  <c r="AQ17" i="7"/>
  <c r="G10" i="18"/>
  <c r="I51" i="33"/>
  <c r="AR26" i="7"/>
  <c r="I67" i="33"/>
  <c r="AV22" i="7"/>
  <c r="F49" i="33"/>
  <c r="AU9" i="7"/>
  <c r="F212" i="33"/>
  <c r="F46" i="33"/>
  <c r="I98" i="33"/>
  <c r="AP29" i="7"/>
  <c r="I92" i="33"/>
  <c r="I73" i="33"/>
  <c r="F71" i="33"/>
  <c r="F39" i="33"/>
  <c r="I153" i="33"/>
  <c r="I49" i="33"/>
  <c r="AP11" i="7"/>
  <c r="F69" i="33"/>
  <c r="AO31" i="7"/>
  <c r="AQ34" i="7"/>
  <c r="AQ9" i="7"/>
  <c r="I60" i="33"/>
  <c r="I168" i="33"/>
  <c r="F53" i="33"/>
  <c r="I102" i="33"/>
  <c r="AV16" i="7"/>
  <c r="AR3" i="7"/>
  <c r="G5" i="18"/>
  <c r="AR15" i="7"/>
  <c r="I200" i="33"/>
  <c r="AV7" i="7"/>
  <c r="F156" i="33"/>
  <c r="F121" i="33"/>
  <c r="I125" i="33"/>
  <c r="I91" i="33"/>
  <c r="AU3" i="7"/>
  <c r="F63" i="33"/>
  <c r="AR28" i="7"/>
  <c r="AN21" i="7"/>
  <c r="G6" i="18"/>
  <c r="I203" i="33"/>
  <c r="I157" i="33"/>
  <c r="F178" i="33"/>
  <c r="F110" i="33"/>
  <c r="F116" i="33"/>
  <c r="AR20" i="7"/>
  <c r="F195" i="33"/>
  <c r="AQ14" i="7"/>
  <c r="F32" i="33"/>
  <c r="I63" i="33"/>
  <c r="I160" i="33"/>
  <c r="AO34" i="7"/>
  <c r="I97" i="33"/>
  <c r="AV13" i="7"/>
  <c r="I207" i="33"/>
  <c r="I9" i="16"/>
  <c r="F126" i="33"/>
  <c r="I7" i="16"/>
  <c r="AQ13" i="7"/>
  <c r="I47" i="33"/>
  <c r="AP32" i="7"/>
  <c r="I197" i="33"/>
  <c r="F181" i="33"/>
  <c r="F106" i="33"/>
  <c r="I163" i="33"/>
  <c r="AU24" i="7"/>
  <c r="AN13" i="7"/>
  <c r="I62" i="33"/>
  <c r="F132" i="33"/>
  <c r="F183" i="33"/>
  <c r="F19" i="33"/>
  <c r="AO26" i="7"/>
  <c r="F174" i="33"/>
  <c r="I142" i="33"/>
  <c r="F122" i="33"/>
  <c r="F152" i="33"/>
  <c r="AO24" i="7"/>
  <c r="F114" i="33"/>
  <c r="AN4" i="7"/>
  <c r="F107" i="33"/>
  <c r="F27" i="33"/>
  <c r="F92" i="33"/>
  <c r="AN25" i="7"/>
  <c r="I12" i="33"/>
  <c r="AQ30" i="7"/>
  <c r="F112" i="33"/>
  <c r="F158" i="33"/>
  <c r="F73" i="33"/>
  <c r="I42" i="33"/>
  <c r="I202" i="33"/>
  <c r="I208" i="33"/>
  <c r="I180" i="33"/>
  <c r="I58" i="33"/>
  <c r="AV11" i="7"/>
  <c r="F51" i="33"/>
  <c r="I27" i="33"/>
  <c r="AN28" i="7"/>
  <c r="AU22" i="7"/>
  <c r="F144" i="33"/>
  <c r="F190" i="33"/>
  <c r="AP18" i="7"/>
  <c r="F136" i="33"/>
  <c r="AV5" i="7"/>
  <c r="AU25" i="7"/>
  <c r="F193" i="33"/>
  <c r="H8" i="16"/>
  <c r="F118" i="33"/>
  <c r="AR9" i="7"/>
  <c r="F45" i="33"/>
  <c r="I53" i="33"/>
  <c r="F48" i="33"/>
  <c r="AQ26" i="7"/>
  <c r="F209" i="33"/>
  <c r="AP14" i="7"/>
  <c r="AQ35" i="7"/>
  <c r="AO19" i="7"/>
  <c r="I20" i="33"/>
  <c r="I105" i="33"/>
  <c r="AO10" i="7"/>
  <c r="AP25" i="7"/>
  <c r="I189" i="33"/>
  <c r="AN6" i="7"/>
  <c r="AQ10" i="7"/>
  <c r="F147" i="33"/>
  <c r="I44" i="33"/>
  <c r="F135" i="33"/>
  <c r="F157" i="33"/>
  <c r="I149" i="33"/>
  <c r="I214" i="33"/>
  <c r="I104" i="33"/>
  <c r="G11" i="18"/>
  <c r="F179" i="33"/>
  <c r="AR19" i="7"/>
  <c r="I155" i="33"/>
  <c r="F213" i="33"/>
  <c r="AR31" i="7"/>
  <c r="AN34" i="7"/>
  <c r="AV25" i="7"/>
  <c r="F13" i="33"/>
  <c r="F29" i="33"/>
  <c r="AQ19" i="7"/>
  <c r="AV21" i="7"/>
  <c r="I222" i="33"/>
  <c r="I99" i="33"/>
  <c r="F176" i="33"/>
  <c r="AU27" i="7"/>
  <c r="AR6" i="7"/>
  <c r="F83" i="33"/>
  <c r="F9" i="33"/>
  <c r="AU5" i="7"/>
  <c r="I36" i="33"/>
  <c r="AP12" i="7"/>
  <c r="AR34" i="7"/>
  <c r="F76" i="33"/>
  <c r="AN19" i="7"/>
  <c r="I106" i="33"/>
  <c r="I109" i="33"/>
  <c r="I69" i="33"/>
  <c r="I29" i="33"/>
  <c r="AN23" i="7"/>
  <c r="AO15" i="7"/>
  <c r="I179" i="33"/>
  <c r="F67" i="33"/>
  <c r="F64" i="33"/>
  <c r="I171" i="33"/>
  <c r="I156" i="33"/>
  <c r="F66" i="33"/>
  <c r="F219" i="33"/>
  <c r="F153" i="33"/>
  <c r="I57" i="33"/>
  <c r="AQ16" i="7"/>
  <c r="I176" i="33"/>
  <c r="AU32" i="7"/>
  <c r="I74" i="33"/>
  <c r="F84" i="33"/>
  <c r="AP26" i="7"/>
  <c r="I213" i="33"/>
  <c r="AV28" i="7"/>
  <c r="I78" i="33"/>
  <c r="AQ11" i="7"/>
  <c r="AN36" i="7"/>
  <c r="F98" i="33"/>
  <c r="I8" i="16"/>
  <c r="F215" i="33"/>
  <c r="AO20" i="7"/>
  <c r="I185" i="33"/>
  <c r="I30" i="33"/>
  <c r="AP24" i="7"/>
  <c r="F89" i="33"/>
  <c r="I37" i="33"/>
  <c r="F124" i="33"/>
  <c r="F101" i="33"/>
  <c r="AV3" i="7"/>
  <c r="F184" i="33"/>
  <c r="I94" i="33"/>
  <c r="I18" i="33"/>
  <c r="I132" i="33"/>
  <c r="I216" i="33"/>
  <c r="F210" i="33"/>
  <c r="I19" i="33"/>
  <c r="AO16" i="7"/>
  <c r="AP27" i="7"/>
  <c r="AU31" i="7"/>
  <c r="I126" i="33"/>
  <c r="AR35" i="7"/>
  <c r="F40" i="33"/>
  <c r="I130" i="33"/>
  <c r="I175" i="33"/>
  <c r="G12" i="18"/>
  <c r="F141" i="33"/>
  <c r="AV19" i="7"/>
  <c r="I209" i="33"/>
  <c r="F12" i="33"/>
  <c r="I212" i="33"/>
  <c r="AO21" i="7"/>
  <c r="I115" i="33"/>
  <c r="AU8" i="7"/>
  <c r="F123" i="33"/>
  <c r="I195" i="33"/>
  <c r="AP36" i="7"/>
  <c r="F192" i="33"/>
  <c r="AU34" i="7"/>
  <c r="F31" i="33"/>
  <c r="I79" i="33"/>
  <c r="AV18" i="7"/>
  <c r="I206" i="33"/>
  <c r="AR27" i="7"/>
  <c r="AP4" i="7"/>
  <c r="I124" i="33"/>
  <c r="AP13" i="7"/>
  <c r="I177" i="33"/>
  <c r="I71" i="33"/>
  <c r="AV36" i="7"/>
  <c r="F140" i="33"/>
  <c r="AQ8" i="7"/>
  <c r="F128" i="33"/>
  <c r="F199" i="33"/>
  <c r="AO28" i="7"/>
  <c r="I39" i="33"/>
  <c r="I147" i="33"/>
  <c r="AU4" i="7"/>
  <c r="AV24" i="7"/>
  <c r="AU29" i="7"/>
  <c r="F5" i="33"/>
  <c r="AP17" i="7"/>
  <c r="AV31" i="7"/>
  <c r="AU28" i="7"/>
  <c r="F194" i="33"/>
  <c r="I120" i="33"/>
  <c r="F10" i="33"/>
  <c r="I194" i="33"/>
  <c r="F85" i="33"/>
  <c r="AN18" i="7"/>
  <c r="AO8" i="7"/>
  <c r="I70" i="33"/>
  <c r="F3" i="33"/>
  <c r="I7" i="33"/>
  <c r="F220" i="33"/>
  <c r="I16" i="33"/>
  <c r="AN5" i="7"/>
  <c r="AU23" i="7"/>
  <c r="AO5" i="7"/>
  <c r="F162" i="33"/>
  <c r="F108" i="33"/>
  <c r="I183" i="33"/>
  <c r="AP3" i="7"/>
  <c r="I87" i="33"/>
  <c r="AP9" i="7"/>
  <c r="F216" i="33"/>
  <c r="AN12" i="7"/>
  <c r="I72" i="33"/>
  <c r="F127" i="33"/>
  <c r="F155" i="33"/>
  <c r="F7" i="33"/>
  <c r="AP35" i="7"/>
  <c r="I190" i="33"/>
  <c r="AN8" i="7"/>
  <c r="F77" i="33"/>
  <c r="F28" i="33"/>
  <c r="AP6" i="7"/>
  <c r="AP21" i="7"/>
  <c r="F105" i="33"/>
  <c r="I81" i="33"/>
  <c r="I38" i="33"/>
  <c r="F47" i="33"/>
  <c r="I165" i="33"/>
  <c r="I3" i="33"/>
  <c r="F54" i="33"/>
  <c r="AR7" i="7"/>
  <c r="G9" i="18"/>
  <c r="AQ32" i="7"/>
  <c r="I151" i="33"/>
  <c r="I217" i="33"/>
  <c r="F145" i="33"/>
  <c r="I114" i="33"/>
  <c r="I64" i="33"/>
  <c r="AO29" i="7"/>
  <c r="F130" i="33"/>
  <c r="G16" i="18"/>
  <c r="I83" i="33"/>
  <c r="I24" i="33"/>
  <c r="AP34" i="7"/>
  <c r="I110" i="33"/>
  <c r="F20" i="33"/>
  <c r="F154" i="33"/>
  <c r="F151" i="33"/>
  <c r="F117" i="33"/>
  <c r="I11" i="33"/>
  <c r="AR36" i="7"/>
  <c r="I56" i="33"/>
  <c r="AU13" i="7"/>
  <c r="F187" i="33"/>
  <c r="F8" i="33"/>
  <c r="AU11" i="7"/>
  <c r="AN33" i="7"/>
  <c r="AV26" i="7"/>
  <c r="F87" i="33"/>
  <c r="AQ6" i="7"/>
  <c r="AU6" i="7"/>
  <c r="AP28" i="7"/>
  <c r="F35" i="33"/>
  <c r="F56" i="33"/>
  <c r="I52" i="33"/>
  <c r="I186" i="33"/>
  <c r="AV4" i="7"/>
  <c r="F11" i="33"/>
  <c r="I65" i="33"/>
  <c r="AP30" i="7"/>
  <c r="I134" i="33"/>
  <c r="I144" i="33"/>
  <c r="F79" i="33"/>
  <c r="I178" i="33"/>
  <c r="AN11" i="7"/>
  <c r="AV6" i="7"/>
  <c r="AV32" i="7"/>
  <c r="F80" i="33"/>
  <c r="F138" i="33"/>
  <c r="I118" i="33"/>
  <c r="F97" i="33"/>
  <c r="F168" i="33"/>
  <c r="AQ27" i="7"/>
  <c r="I45" i="33"/>
  <c r="G7" i="18"/>
  <c r="AN26" i="7"/>
  <c r="AO22" i="7"/>
  <c r="I201" i="33"/>
  <c r="F208" i="33"/>
  <c r="AV17" i="7"/>
  <c r="AR21" i="7"/>
  <c r="F196" i="33"/>
  <c r="F173" i="33"/>
  <c r="AR8" i="7"/>
  <c r="AR16" i="7"/>
  <c r="AQ20" i="7"/>
  <c r="F170" i="33"/>
  <c r="F207" i="33"/>
  <c r="AO18" i="7"/>
  <c r="I220" i="33"/>
  <c r="F81" i="33"/>
  <c r="AR32" i="7"/>
  <c r="AN9" i="7"/>
  <c r="AQ5" i="7"/>
  <c r="F95" i="33"/>
  <c r="AU35" i="7"/>
  <c r="I101" i="33"/>
  <c r="I13" i="33"/>
  <c r="I48" i="33"/>
  <c r="F171" i="33"/>
  <c r="F150" i="33"/>
  <c r="I136" i="33"/>
  <c r="AQ21" i="7"/>
  <c r="AQ7" i="7"/>
  <c r="AO4" i="7"/>
  <c r="AR25" i="7"/>
  <c r="AR14" i="7"/>
  <c r="F14" i="33"/>
  <c r="F82" i="33"/>
  <c r="AO7" i="7"/>
  <c r="I76" i="33"/>
  <c r="G18" i="18"/>
  <c r="AU15" i="7"/>
  <c r="AO12" i="7"/>
  <c r="I96" i="33"/>
  <c r="I162" i="33"/>
  <c r="I123" i="33"/>
  <c r="F221" i="33"/>
  <c r="D9" i="16"/>
  <c r="I59" i="33"/>
  <c r="AU10" i="7"/>
  <c r="F91" i="33"/>
  <c r="F25" i="33"/>
  <c r="AU12" i="7"/>
  <c r="F93" i="33"/>
  <c r="F60" i="33"/>
  <c r="I33" i="33"/>
  <c r="I219" i="33"/>
  <c r="F200" i="33"/>
  <c r="I191" i="33"/>
  <c r="F113" i="33"/>
  <c r="I127" i="33"/>
  <c r="I112" i="33"/>
  <c r="AU18" i="7"/>
  <c r="I41" i="33"/>
  <c r="G13" i="18"/>
  <c r="F143" i="33"/>
  <c r="AN31" i="7"/>
  <c r="AP10" i="7"/>
  <c r="AV27" i="7"/>
  <c r="AN20" i="7"/>
  <c r="I192" i="33"/>
  <c r="F180" i="33"/>
  <c r="F185" i="33"/>
  <c r="AR24" i="7"/>
  <c r="I121" i="33"/>
  <c r="I139" i="33"/>
  <c r="F214" i="33"/>
  <c r="AU36" i="7"/>
  <c r="I148" i="33"/>
  <c r="I17" i="33"/>
  <c r="AR4" i="7"/>
  <c r="I133" i="33"/>
  <c r="AO23" i="7"/>
  <c r="I164" i="33"/>
  <c r="F74" i="33"/>
  <c r="AV30" i="7"/>
  <c r="F166" i="33"/>
  <c r="I221" i="33"/>
  <c r="AV29" i="7"/>
  <c r="F160" i="33"/>
  <c r="F94" i="33"/>
  <c r="F198" i="33"/>
  <c r="AQ4" i="7"/>
  <c r="AU33" i="7"/>
  <c r="I82" i="33"/>
  <c r="AV8" i="7"/>
  <c r="F96" i="33"/>
  <c r="AU20" i="7"/>
  <c r="I167" i="33"/>
  <c r="F206" i="33"/>
  <c r="AO35" i="7"/>
  <c r="AQ3" i="7"/>
  <c r="F167" i="33"/>
  <c r="AV34" i="7"/>
  <c r="I14" i="33"/>
  <c r="I150" i="33"/>
  <c r="AP16" i="7"/>
  <c r="AP7" i="7"/>
  <c r="F18" i="33"/>
  <c r="F164" i="33"/>
  <c r="F86" i="33"/>
  <c r="AR11" i="7"/>
  <c r="I116" i="33"/>
  <c r="F172" i="33"/>
  <c r="AP19" i="7"/>
  <c r="I34" i="33"/>
  <c r="F201" i="33"/>
  <c r="F204" i="33"/>
  <c r="F23" i="33"/>
  <c r="I61" i="33"/>
  <c r="I143" i="33"/>
  <c r="AR12" i="7"/>
  <c r="I35" i="33"/>
  <c r="I8" i="33"/>
  <c r="AQ22" i="7"/>
  <c r="F217" i="33"/>
  <c r="I31" i="33"/>
  <c r="I88" i="33"/>
  <c r="I22" i="33"/>
  <c r="I84" i="33"/>
  <c r="F222" i="33"/>
  <c r="AN30" i="7"/>
  <c r="AQ15" i="7"/>
  <c r="AO32" i="7"/>
  <c r="I68" i="33"/>
  <c r="AN17" i="7"/>
  <c r="F33" i="33"/>
  <c r="AN24" i="7"/>
  <c r="AO9" i="7"/>
  <c r="I9" i="33"/>
  <c r="AR33" i="7"/>
  <c r="F90" i="33"/>
  <c r="AO30" i="7"/>
  <c r="F142" i="33"/>
  <c r="I75" i="33"/>
  <c r="I166" i="33"/>
  <c r="I55" i="33"/>
  <c r="AV10" i="7"/>
  <c r="AP31" i="7"/>
  <c r="D8" i="16"/>
  <c r="AP22" i="7"/>
  <c r="I187" i="33"/>
  <c r="AV33" i="7"/>
  <c r="I5" i="33"/>
  <c r="I210" i="33"/>
  <c r="AU19" i="7"/>
  <c r="F104" i="33"/>
  <c r="I174" i="33"/>
  <c r="AQ29" i="7"/>
  <c r="I184" i="33"/>
  <c r="F125" i="33"/>
  <c r="I66" i="33"/>
  <c r="F177" i="33"/>
  <c r="F15" i="33"/>
  <c r="I95" i="33"/>
  <c r="AR29" i="7"/>
  <c r="F203" i="33"/>
  <c r="AN10" i="7"/>
  <c r="AQ23" i="7"/>
  <c r="I86" i="33"/>
  <c r="F59" i="33"/>
  <c r="AQ18" i="7"/>
  <c r="I6" i="33"/>
  <c r="I140" i="33"/>
  <c r="F161" i="33"/>
  <c r="I215" i="33"/>
  <c r="AN15" i="7"/>
  <c r="F148" i="33"/>
  <c r="I25" i="33"/>
  <c r="AP23" i="7"/>
  <c r="F44" i="33"/>
  <c r="F218" i="33"/>
  <c r="F4" i="33"/>
  <c r="F137" i="33"/>
  <c r="I90" i="33"/>
  <c r="AO25" i="7"/>
  <c r="I199" i="33"/>
  <c r="I146" i="33"/>
  <c r="AP5" i="7"/>
  <c r="F188" i="33"/>
  <c r="I135" i="33"/>
  <c r="AO11" i="7"/>
  <c r="F120" i="33"/>
  <c r="F62" i="33"/>
  <c r="I100" i="33"/>
  <c r="I172" i="33"/>
  <c r="AN14" i="7"/>
  <c r="F36" i="33"/>
  <c r="I159" i="33"/>
  <c r="I21" i="33"/>
  <c r="F43" i="33"/>
  <c r="F58" i="33"/>
  <c r="AR22" i="7"/>
  <c r="F21" i="33"/>
  <c r="I193" i="33"/>
  <c r="F57" i="33"/>
  <c r="I54" i="33"/>
  <c r="AR13" i="7"/>
  <c r="AO14" i="7"/>
  <c r="AQ31" i="7"/>
  <c r="AV35" i="7"/>
  <c r="AO17" i="7"/>
  <c r="AN27" i="7"/>
  <c r="AR5" i="7"/>
  <c r="I77" i="33"/>
  <c r="F202" i="33"/>
  <c r="F68" i="33"/>
  <c r="F186" i="33"/>
  <c r="I80" i="33"/>
  <c r="AO13" i="7"/>
  <c r="AU14" i="7"/>
  <c r="F111" i="33"/>
  <c r="F38" i="33"/>
  <c r="F34" i="33"/>
  <c r="F70" i="33"/>
  <c r="F61" i="33"/>
  <c r="AQ36" i="7"/>
  <c r="F41" i="33"/>
  <c r="I158" i="33"/>
  <c r="AN7" i="7"/>
  <c r="I28" i="33"/>
  <c r="F17" i="33"/>
  <c r="AR23" i="7"/>
  <c r="F30" i="33"/>
  <c r="I85" i="33"/>
  <c r="AN29" i="7"/>
  <c r="I111" i="33"/>
  <c r="F169" i="33"/>
  <c r="F211" i="33"/>
  <c r="AV20" i="7"/>
  <c r="I137" i="33"/>
  <c r="K3" i="22" l="1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12" i="21"/>
  <c r="D12" i="21"/>
  <c r="C12" i="21"/>
  <c r="P46" i="20"/>
  <c r="R46" i="20" s="1"/>
  <c r="E83" i="33"/>
  <c r="L83" i="33"/>
  <c r="M83" i="33" s="1"/>
  <c r="N83" i="33" s="1"/>
  <c r="L209" i="33"/>
  <c r="M209" i="33" s="1"/>
  <c r="N209" i="33" s="1"/>
  <c r="E209" i="33"/>
  <c r="O17" i="18"/>
  <c r="L17" i="18" s="1"/>
  <c r="N17" i="18" s="1"/>
  <c r="F14" i="21"/>
  <c r="D3" i="21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M10" i="33"/>
  <c r="N10" i="33" s="1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48" i="33"/>
  <c r="N351" i="33"/>
  <c r="M4" i="33"/>
  <c r="N4" i="33" s="1"/>
  <c r="L185" i="33"/>
  <c r="M185" i="33" s="1"/>
  <c r="N185" i="33" s="1"/>
  <c r="N225" i="33"/>
  <c r="N228" i="33"/>
  <c r="N231" i="33"/>
  <c r="N234" i="33"/>
  <c r="N237" i="33"/>
  <c r="N240" i="33"/>
  <c r="N243" i="33"/>
  <c r="N246" i="33"/>
  <c r="N249" i="33"/>
  <c r="N252" i="33"/>
  <c r="N255" i="33"/>
  <c r="N258" i="33"/>
  <c r="N261" i="33"/>
  <c r="N264" i="33"/>
  <c r="N270" i="33"/>
  <c r="M24" i="33"/>
  <c r="N24" i="33" s="1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 s="1"/>
  <c r="J6" i="22" s="1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M13" i="33"/>
  <c r="N13" i="33" s="1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M9" i="33"/>
  <c r="N9" i="33" s="1"/>
  <c r="N631" i="33"/>
  <c r="N476" i="33"/>
  <c r="N539" i="33"/>
  <c r="N547" i="33"/>
  <c r="N329" i="33"/>
  <c r="N332" i="33"/>
  <c r="N372" i="33"/>
  <c r="N387" i="33"/>
  <c r="N338" i="33"/>
  <c r="N223" i="33"/>
  <c r="N226" i="33"/>
  <c r="N229" i="33"/>
  <c r="N232" i="33"/>
  <c r="N235" i="33"/>
  <c r="N238" i="33"/>
  <c r="N241" i="33"/>
  <c r="N244" i="33"/>
  <c r="N247" i="33"/>
  <c r="N250" i="33"/>
  <c r="N253" i="33"/>
  <c r="N256" i="33"/>
  <c r="N259" i="33"/>
  <c r="N262" i="33"/>
  <c r="N265" i="33"/>
  <c r="N268" i="33"/>
  <c r="N381" i="33"/>
  <c r="N422" i="33"/>
  <c r="N461" i="33"/>
  <c r="N486" i="33"/>
  <c r="S30" i="44" a="1"/>
  <c r="S30" i="44" s="1"/>
  <c r="N377" i="33"/>
  <c r="N380" i="33"/>
  <c r="M3" i="33"/>
  <c r="N3" i="33" s="1"/>
  <c r="M8" i="33"/>
  <c r="N8" i="33" s="1"/>
  <c r="M15" i="33"/>
  <c r="N15" i="33" s="1"/>
  <c r="M20" i="33"/>
  <c r="N20" i="33" s="1"/>
  <c r="N502" i="33"/>
  <c r="N545" i="33"/>
  <c r="N637" i="33"/>
  <c r="N343" i="33"/>
  <c r="N349" i="33"/>
  <c r="N355" i="33"/>
  <c r="N358" i="33"/>
  <c r="N361" i="33"/>
  <c r="N389" i="33"/>
  <c r="N392" i="33"/>
  <c r="M11" i="33"/>
  <c r="N11" i="33" s="1"/>
  <c r="N403" i="33"/>
  <c r="N407" i="33"/>
  <c r="N450" i="33"/>
  <c r="N557" i="33"/>
  <c r="N603" i="33"/>
  <c r="N624" i="33"/>
  <c r="N653" i="33"/>
  <c r="L13" i="18"/>
  <c r="S31" i="44" a="1"/>
  <c r="S31" i="44" s="1"/>
  <c r="N224" i="33"/>
  <c r="N227" i="33"/>
  <c r="N230" i="33"/>
  <c r="N233" i="33"/>
  <c r="N236" i="33"/>
  <c r="N239" i="33"/>
  <c r="N242" i="33"/>
  <c r="N245" i="33"/>
  <c r="N248" i="33"/>
  <c r="N251" i="33"/>
  <c r="N254" i="33"/>
  <c r="N257" i="33"/>
  <c r="N260" i="33"/>
  <c r="N263" i="33"/>
  <c r="N288" i="33"/>
  <c r="M12" i="33"/>
  <c r="N12" i="33" s="1"/>
  <c r="M17" i="33"/>
  <c r="N17" i="33" s="1"/>
  <c r="M22" i="33"/>
  <c r="N22" i="33" s="1"/>
  <c r="M26" i="33"/>
  <c r="N26" i="33" s="1"/>
  <c r="N432" i="33"/>
  <c r="N505" i="33"/>
  <c r="N590" i="33"/>
  <c r="N644" i="33"/>
  <c r="N680" i="33"/>
  <c r="N684" i="33"/>
  <c r="S25" i="44" a="1"/>
  <c r="S25" i="44" s="1"/>
  <c r="V25" i="44" s="1"/>
  <c r="S24" i="44" a="1"/>
  <c r="S24" i="44" s="1"/>
  <c r="U24" i="44" s="1"/>
  <c r="S19" i="44" a="1"/>
  <c r="S19" i="44" s="1"/>
  <c r="S18" i="44" a="1"/>
  <c r="S18" i="44" s="1"/>
  <c r="V18" i="44" s="1"/>
  <c r="V8" i="18"/>
  <c r="W8" i="18" s="1"/>
  <c r="R18" i="44" a="1"/>
  <c r="R18" i="44" s="1"/>
  <c r="E4" i="18"/>
  <c r="H4" i="18" s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R31" i="44" a="1"/>
  <c r="R31" i="44" s="1"/>
  <c r="R25" i="44" a="1"/>
  <c r="R25" i="44" s="1"/>
  <c r="R24" i="44" a="1"/>
  <c r="R24" i="44" s="1"/>
  <c r="X37" i="44"/>
  <c r="R19" i="44" a="1"/>
  <c r="R19" i="44" s="1"/>
  <c r="R30" i="44" a="1"/>
  <c r="R30" i="44" s="1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J131" i="33"/>
  <c r="K131" i="33" s="1"/>
  <c r="J8" i="33"/>
  <c r="K8" i="33" s="1"/>
  <c r="J100" i="33"/>
  <c r="K100" i="33" s="1"/>
  <c r="J195" i="33"/>
  <c r="K195" i="33" s="1"/>
  <c r="G160" i="33"/>
  <c r="H160" i="33" s="1"/>
  <c r="C8" i="37"/>
  <c r="A9" i="37"/>
  <c r="D7" i="16"/>
  <c r="E9" i="16"/>
  <c r="H9" i="16"/>
  <c r="N9" i="16" l="1"/>
  <c r="O15" i="18"/>
  <c r="L6" i="22"/>
  <c r="K6" i="22"/>
  <c r="U30" i="44"/>
  <c r="V30" i="44"/>
  <c r="E14" i="21"/>
  <c r="C14" i="21"/>
  <c r="D14" i="21"/>
  <c r="B14" i="21"/>
  <c r="C7" i="9"/>
  <c r="W31" i="44"/>
  <c r="V31" i="44"/>
  <c r="X25" i="44"/>
  <c r="W25" i="44"/>
  <c r="W26" i="44"/>
  <c r="V24" i="44"/>
  <c r="U18" i="44"/>
  <c r="W19" i="44"/>
  <c r="V19" i="44"/>
  <c r="J4" i="18"/>
  <c r="F4" i="18" s="1"/>
  <c r="K4" i="18" s="1"/>
  <c r="M12" i="18"/>
  <c r="N12" i="18" s="1"/>
  <c r="X18" i="44"/>
  <c r="X31" i="44"/>
  <c r="F6" i="18"/>
  <c r="X12" i="44"/>
  <c r="J10" i="18"/>
  <c r="M10" i="18" s="1"/>
  <c r="N10" i="18" s="1"/>
  <c r="F12" i="18"/>
  <c r="H12" i="18"/>
  <c r="H6" i="18"/>
  <c r="X24" i="44"/>
  <c r="E14" i="18"/>
  <c r="M6" i="18"/>
  <c r="N6" i="18" s="1"/>
  <c r="H7" i="18"/>
  <c r="K17" i="18"/>
  <c r="F18" i="18"/>
  <c r="K18" i="18" s="1"/>
  <c r="F5" i="18"/>
  <c r="X36" i="44"/>
  <c r="X19" i="44"/>
  <c r="X13" i="44"/>
  <c r="X30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C9" i="37"/>
  <c r="A10" i="37"/>
  <c r="L7" i="18"/>
  <c r="M7" i="18"/>
  <c r="N7" i="18" s="1"/>
  <c r="F7" i="18"/>
  <c r="G24" i="20" l="1"/>
  <c r="G26" i="20" s="1"/>
  <c r="Q26" i="20" s="1"/>
  <c r="R26" i="20" s="1"/>
  <c r="G9" i="20"/>
  <c r="G11" i="20" s="1"/>
  <c r="Q11" i="20" s="1"/>
  <c r="R11" i="20" s="1"/>
  <c r="G19" i="20"/>
  <c r="G21" i="20" s="1"/>
  <c r="G4" i="20"/>
  <c r="G6" i="20" s="1"/>
  <c r="Q6" i="20" s="1"/>
  <c r="R6" i="20" s="1"/>
  <c r="Q21" i="20"/>
  <c r="R21" i="20" s="1"/>
  <c r="Q22" i="20"/>
  <c r="G14" i="20"/>
  <c r="G16" i="20" s="1"/>
  <c r="Q16" i="20" s="1"/>
  <c r="R16" i="20" s="1"/>
  <c r="M4" i="18"/>
  <c r="N4" i="18" s="1"/>
  <c r="L4" i="18"/>
  <c r="L10" i="18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F15" i="18"/>
  <c r="R22" i="20" l="1"/>
  <c r="Q25" i="20"/>
  <c r="R25" i="20" s="1"/>
  <c r="Q12" i="20"/>
  <c r="Q17" i="20"/>
  <c r="Q2" i="20"/>
  <c r="Q7" i="20"/>
  <c r="L14" i="18"/>
  <c r="F14" i="18"/>
  <c r="K14" i="18" s="1"/>
  <c r="K15" i="18"/>
  <c r="N14" i="18"/>
  <c r="M14" i="18"/>
  <c r="C11" i="37"/>
  <c r="A12" i="37"/>
  <c r="R2" i="20" l="1"/>
  <c r="Q5" i="20"/>
  <c r="R5" i="20" s="1"/>
  <c r="R17" i="20"/>
  <c r="Q20" i="20"/>
  <c r="R20" i="20" s="1"/>
  <c r="R7" i="20"/>
  <c r="Q10" i="20"/>
  <c r="R10" i="20" s="1"/>
  <c r="R12" i="20"/>
  <c r="Q15" i="20"/>
  <c r="R15" i="20" s="1"/>
  <c r="A13" i="37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<sst xmlns="http://schemas.openxmlformats.org/spreadsheetml/2006/main" count="1408" uniqueCount="506">
  <si>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</si>
  <si>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</si>
  <si>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</si>
  <si>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</si>
  <si>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</si>
  <si>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</si>
  <si>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</si>
  <si>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</si>
  <si>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</si>
  <si>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</si>
  <si>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</si>
  <si>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</si>
  <si>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</si>
  <si>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</si>
  <si>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</si>
  <si>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</si>
  <si>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</si>
  <si>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</si>
  <si>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</si>
  <si>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</si>
  <si>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</si>
  <si>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</si>
  <si>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</si>
  <si>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</si>
  <si>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</si>
  <si>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</si>
  <si>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</si>
  <si>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</si>
  <si>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</si>
  <si>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</si>
  <si>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</si>
  <si>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</si>
  <si>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</si>
  <si>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</si>
  <si>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</si>
  <si>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</si>
  <si>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</si>
  <si>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</si>
  <si>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</si>
  <si>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</si>
  <si>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</si>
  <si>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</si>
  <si>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</si>
  <si>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</si>
  <si>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</si>
  <si>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</si>
  <si>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</si>
  <si>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</si>
  <si>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</si>
  <si>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</si>
  <si>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</si>
  <si>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</si>
  <si>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</si>
  <si>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</si>
  <si>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</si>
  <si>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</si>
  <si>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</si>
  <si>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</si>
  <si>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</si>
  <si>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</si>
  <si>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</si>
  <si>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</si>
  <si>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</si>
  <si>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</si>
  <si>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</si>
  <si>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</si>
  <si>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</si>
  <si>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</si>
  <si>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</si>
  <si>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</si>
  <si>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</si>
  <si>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</si>
  <si>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</si>
  <si>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</si>
  <si>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</si>
  <si>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</si>
  <si>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</si>
  <si>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</si>
  <si>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</si>
  <si>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</si>
  <si>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</si>
  <si>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</si>
  <si>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</si>
  <si>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</si>
  <si>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</si>
  <si>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</si>
  <si>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</si>
  <si>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</si>
  <si>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</si>
  <si>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</si>
  <si>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</si>
  <si>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</si>
  <si>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</si>
  <si>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</si>
  <si>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</si>
  <si>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</si>
  <si>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</si>
  <si>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</si>
  <si>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</si>
  <si>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</si>
  <si>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</si>
  <si>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</si>
  <si>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</si>
  <si>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</si>
  <si>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</si>
  <si>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</si>
  <si>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</si>
  <si>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</si>
  <si>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</si>
  <si>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</si>
  <si>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</si>
  <si>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</si>
  <si>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</si>
  <si>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</si>
  <si>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</si>
  <si>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</si>
  <si>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</si>
  <si>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</si>
  <si>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</si>
  <si>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</si>
  <si>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</si>
  <si>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</si>
  <si>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</si>
  <si>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</si>
  <si>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</si>
  <si>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</si>
  <si>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</si>
  <si>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</si>
  <si>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</si>
  <si>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</si>
  <si>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</si>
  <si>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</si>
  <si>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</si>
  <si>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</si>
  <si>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</si>
  <si>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</si>
  <si>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</si>
  <si>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</si>
  <si>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</si>
  <si>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</si>
  <si>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</si>
  <si>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</si>
  <si>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</si>
  <si>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</si>
  <si>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</si>
  <si>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</si>
  <si>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</si>
  <si>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</si>
  <si>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</si>
  <si>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</si>
  <si>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</si>
  <si>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</si>
  <si>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</si>
  <si>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</si>
  <si>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</si>
  <si>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</si>
  <si>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</si>
  <si>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</si>
  <si>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</si>
  <si>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</si>
  <si>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</si>
  <si>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</si>
  <si>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</si>
  <si>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</si>
  <si>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</si>
  <si>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</si>
  <si>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</si>
  <si>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</si>
  <si>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</si>
  <si>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</si>
  <si>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</si>
  <si>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</si>
  <si>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</si>
  <si>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</si>
  <si>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</si>
  <si>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</si>
  <si>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</si>
  <si>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</si>
  <si>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</si>
  <si>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</si>
  <si>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</si>
  <si>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</si>
  <si>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</si>
  <si>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</si>
  <si>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</si>
  <si>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</si>
  <si>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</si>
  <si>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</si>
  <si>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</si>
  <si>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</si>
  <si>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</si>
  <si>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</si>
  <si>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</si>
  <si>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</si>
  <si>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</si>
  <si>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</si>
  <si>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</si>
  <si>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</si>
  <si>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</si>
  <si>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</si>
  <si>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</si>
  <si>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</si>
  <si>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</si>
  <si>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</si>
  <si>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</si>
  <si>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</si>
  <si>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</si>
  <si>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</si>
  <si>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</si>
  <si>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</si>
  <si>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</si>
  <si>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</si>
  <si>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</si>
  <si>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</si>
  <si>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</si>
  <si>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</si>
  <si>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</si>
  <si>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</si>
  <si>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</si>
  <si>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</si>
  <si>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</si>
  <si>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</si>
  <si>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</si>
  <si>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</si>
  <si>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</si>
  <si>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</si>
  <si>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</si>
  <si>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</si>
  <si>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</si>
  <si>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</si>
  <si>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</si>
  <si>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</si>
  <si>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</si>
  <si>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</si>
  <si>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</si>
  <si>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</si>
  <si>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</si>
  <si>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</si>
  <si>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</si>
  <si>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</si>
  <si>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</si>
  <si>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</si>
  <si>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</si>
  <si>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</si>
  <si>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</si>
  <si>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</si>
  <si>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</si>
  <si>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</si>
  <si>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</si>
  <si>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</si>
  <si>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</si>
  <si>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</si>
  <si>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</si>
  <si>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</si>
  <si>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</si>
  <si>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</si>
  <si>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</si>
  <si>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</si>
  <si>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</si>
  <si>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</si>
  <si>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</si>
  <si>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</si>
  <si>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</si>
  <si>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</si>
  <si>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</si>
  <si>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</si>
  <si>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</si>
  <si>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</si>
  <si>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</si>
  <si>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</si>
  <si>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</si>
  <si>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</si>
  <si>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</si>
  <si>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</si>
  <si>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</si>
  <si>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</si>
  <si>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</si>
  <si>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</si>
  <si>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</si>
  <si>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</si>
  <si>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</si>
  <si>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</si>
  <si>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</si>
  <si>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</si>
  <si>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</si>
  <si>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</si>
  <si>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</si>
  <si>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</si>
  <si>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</si>
  <si>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</si>
  <si>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</si>
  <si>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</si>
  <si>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</si>
  <si>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</si>
  <si>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</si>
  <si>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</si>
  <si>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</si>
  <si>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</si>
  <si>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</si>
  <si>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</si>
  <si>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</si>
  <si>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</si>
  <si>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</si>
  <si>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</si>
  <si>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</si>
  <si>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</si>
  <si>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</si>
  <si>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</si>
  <si>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</si>
  <si>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</si>
  <si>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</si>
  <si>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</si>
  <si>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</si>
  <si>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</si>
  <si>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</si>
  <si>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</si>
  <si>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</si>
  <si>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</si>
  <si>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</si>
  <si>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</si>
  <si>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</si>
  <si>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</si>
  <si>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</si>
  <si>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</si>
  <si>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</si>
  <si>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</si>
  <si>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</si>
  <si>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</si>
  <si>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</si>
  <si>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</si>
  <si>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</si>
  <si>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</si>
  <si>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</si>
  <si>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</si>
  <si>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</si>
  <si>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</si>
  <si>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</si>
  <si>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</si>
  <si>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</si>
  <si>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</si>
  <si>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</si>
  <si>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</si>
  <si>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</si>
  <si>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</si>
  <si>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</si>
  <si>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</si>
  <si>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</si>
  <si>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</si>
  <si>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</si>
  <si>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</si>
  <si>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</si>
  <si>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</si>
  <si>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</si>
  <si>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</si>
  <si>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</si>
  <si>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</si>
  <si>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</si>
  <si>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</si>
  <si>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</si>
  <si>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</si>
  <si>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</si>
  <si>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</si>
  <si>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</si>
  <si>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</si>
  <si>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</si>
  <si>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</si>
  <si>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</si>
  <si>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</si>
  <si>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</si>
  <si>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</si>
  <si>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</si>
  <si>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</si>
  <si>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</si>
  <si>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</si>
  <si>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</si>
  <si>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</si>
  <si>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</si>
  <si>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</si>
  <si>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</si>
  <si>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</si>
  <si>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</si>
  <si>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</si>
  <si>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</si>
  <si>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</si>
  <si>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</si>
  <si>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</si>
  <si>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</si>
  <si>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</si>
  <si>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</si>
  <si>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</si>
  <si>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</si>
  <si>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</si>
  <si>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</si>
  <si>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</si>
  <si>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</si>
  <si>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</si>
  <si>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</si>
  <si>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</si>
  <si>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</si>
  <si>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</si>
  <si>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</si>
  <si>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</si>
  <si>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</si>
  <si>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</si>
  <si>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</si>
  <si>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</si>
  <si>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</si>
  <si>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</si>
  <si>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</si>
  <si>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</si>
  <si>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</si>
  <si>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</si>
  <si>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</si>
  <si>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</si>
  <si>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</si>
  <si>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</si>
  <si>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</si>
  <si>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</si>
  <si>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</si>
  <si>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</si>
  <si>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</si>
  <si>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</si>
  <si>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</si>
  <si>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</si>
  <si>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</si>
  <si>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</si>
  <si>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</si>
  <si>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</si>
  <si>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</si>
  <si>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</si>
  <si>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</si>
  <si>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</si>
  <si>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</si>
  <si>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</si>
  <si>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</si>
  <si>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</si>
  <si>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</si>
  <si>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</si>
  <si>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</si>
  <si>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</si>
  <si>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</si>
  <si>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</si>
  <si>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</si>
  <si>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</si>
  <si>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</si>
  <si>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</si>
  <si>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</si>
  <si>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</si>
  <si>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</si>
  <si>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</si>
  <si>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</si>
  <si>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</si>
  <si>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</si>
  <si>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</si>
  <si>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</si>
  <si>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</si>
  <si>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</si>
  <si>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</si>
  <si>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</si>
  <si>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</si>
  <si>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</si>
  <si>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</si>
  <si>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</si>
  <si>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</si>
  <si>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</si>
  <si>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</si>
  <si>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</si>
  <si>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</si>
  <si>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</si>
  <si>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</si>
  <si>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</si>
  <si>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</si>
  <si>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</si>
  <si>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</si>
  <si>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</si>
  <si>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</si>
  <si>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</si>
  <si>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</si>
  <si>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</si>
  <si>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</si>
  <si>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</si>
  <si>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</si>
  <si>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</si>
  <si>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</si>
  <si>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</si>
  <si>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</si>
  <si>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</si>
  <si>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</si>
  <si>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</si>
  <si>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</si>
  <si>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</si>
  <si>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</si>
  <si>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</si>
  <si>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</si>
  <si>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</si>
  <si>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</si>
  <si>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</si>
  <si>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</si>
  <si>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</si>
  <si>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</si>
  <si>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</si>
  <si>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</si>
  <si>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</si>
  <si>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</si>
  <si>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</si>
  <si>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黃纘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</si>
</sst>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29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15" borderId="6" xfId="0" applyNumberFormat="1" applyFont="1" applyFill="1" applyBorder="1" applyAlignment="1">
      <alignment horizontal="center" vertical="center"/>
    </xf>
    <xf numFmtId="0" fontId="6" fillId="15" borderId="11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54" fillId="15" borderId="1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EFA1"/>
      <color rgb="FFFBA5A7"/>
      <color rgb="FFF8696B"/>
      <color rgb="FFD0B9FF"/>
      <color rgb="FFFFBDBD"/>
      <color rgb="FFFF0DFF"/>
      <color rgb="FFFF7DFF"/>
      <color rgb="FF481F67"/>
      <color rgb="FFF3A671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4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  <c:pt idx="68">
                  <c:v>16520</c:v>
                </c:pt>
                <c:pt idx="69">
                  <c:v>17070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  <c:pt idx="68">
                  <c:v>3659</c:v>
                </c:pt>
                <c:pt idx="69">
                  <c:v>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  <c:pt idx="68">
                  <c:v>20179</c:v>
                </c:pt>
                <c:pt idx="69">
                  <c:v>20299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5" t="s">
        <v>197</v>
      </c>
      <c r="B10" s="439" t="s">
        <v>198</v>
      </c>
    </row>
    <row r="11" spans="1:3" s="426" customFormat="1" ht="35.25" customHeight="1" x14ac:dyDescent="0.25">
      <c r="A11" s="826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27" t="s">
        <v>194</v>
      </c>
      <c r="B17" s="822" t="s">
        <v>194</v>
      </c>
      <c r="C17" s="442" t="s">
        <v>202</v>
      </c>
    </row>
    <row r="18" spans="1:3" s="425" customFormat="1" ht="22.5" customHeight="1" x14ac:dyDescent="0.25">
      <c r="A18" s="828"/>
      <c r="B18" s="823"/>
      <c r="C18" s="442" t="s">
        <v>232</v>
      </c>
    </row>
    <row r="19" spans="1:3" s="425" customFormat="1" ht="22.5" customHeight="1" x14ac:dyDescent="0.25">
      <c r="A19" s="828"/>
      <c r="B19" s="823"/>
      <c r="C19" s="447" t="s">
        <v>229</v>
      </c>
    </row>
    <row r="20" spans="1:3" s="425" customFormat="1" ht="22.5" customHeight="1" x14ac:dyDescent="0.25">
      <c r="A20" s="828"/>
      <c r="B20" s="823"/>
      <c r="C20" s="447" t="s">
        <v>228</v>
      </c>
    </row>
    <row r="21" spans="1:3" s="438" customFormat="1" ht="22.5" customHeight="1" thickBot="1" x14ac:dyDescent="0.3">
      <c r="A21" s="829"/>
      <c r="B21" s="824"/>
      <c r="C21" s="443" t="s">
        <v>233</v>
      </c>
    </row>
    <row r="22" spans="1:3" s="435" customFormat="1" ht="22.5" customHeight="1" x14ac:dyDescent="0.25">
      <c r="A22" s="827" t="s">
        <v>207</v>
      </c>
      <c r="B22" s="822" t="s">
        <v>208</v>
      </c>
      <c r="C22" s="441" t="s">
        <v>209</v>
      </c>
    </row>
    <row r="23" spans="1:3" s="425" customFormat="1" ht="22.5" customHeight="1" x14ac:dyDescent="0.25">
      <c r="A23" s="828"/>
      <c r="B23" s="823"/>
      <c r="C23" s="442" t="s">
        <v>210</v>
      </c>
    </row>
    <row r="24" spans="1:3" s="425" customFormat="1" ht="22.5" customHeight="1" x14ac:dyDescent="0.25">
      <c r="A24" s="828"/>
      <c r="B24" s="823"/>
      <c r="C24" s="425" t="s">
        <v>213</v>
      </c>
    </row>
    <row r="25" spans="1:3" s="425" customFormat="1" ht="22.5" customHeight="1" x14ac:dyDescent="0.25">
      <c r="A25" s="828"/>
      <c r="B25" s="823"/>
      <c r="C25" s="442" t="s">
        <v>211</v>
      </c>
    </row>
    <row r="26" spans="1:3" s="438" customFormat="1" ht="22.5" customHeight="1" thickBot="1" x14ac:dyDescent="0.3">
      <c r="A26" s="829"/>
      <c r="B26" s="824"/>
      <c r="C26" s="438" t="s">
        <v>212</v>
      </c>
    </row>
    <row r="27" spans="1:3" s="435" customFormat="1" ht="22.5" customHeight="1" x14ac:dyDescent="0.25">
      <c r="A27" s="827" t="s">
        <v>215</v>
      </c>
      <c r="B27" s="822" t="s">
        <v>215</v>
      </c>
      <c r="C27" s="441" t="s">
        <v>216</v>
      </c>
    </row>
    <row r="28" spans="1:3" s="425" customFormat="1" ht="22.5" customHeight="1" x14ac:dyDescent="0.25">
      <c r="A28" s="828"/>
      <c r="B28" s="823"/>
      <c r="C28" s="447" t="s">
        <v>268</v>
      </c>
    </row>
    <row r="29" spans="1:3" s="425" customFormat="1" ht="22.5" customHeight="1" x14ac:dyDescent="0.25">
      <c r="A29" s="828"/>
      <c r="B29" s="823"/>
      <c r="C29" s="447" t="s">
        <v>270</v>
      </c>
    </row>
    <row r="30" spans="1:3" s="425" customFormat="1" ht="22.5" customHeight="1" x14ac:dyDescent="0.25">
      <c r="A30" s="828"/>
      <c r="B30" s="823"/>
      <c r="C30" s="425" t="s">
        <v>269</v>
      </c>
    </row>
    <row r="31" spans="1:3" s="437" customFormat="1" ht="22.5" customHeight="1" thickBot="1" x14ac:dyDescent="0.3">
      <c r="A31" s="829"/>
      <c r="B31" s="436" t="s">
        <v>217</v>
      </c>
      <c r="C31" s="437" t="s">
        <v>341</v>
      </c>
    </row>
    <row r="32" spans="1:3" s="435" customFormat="1" ht="22.5" customHeight="1" x14ac:dyDescent="0.25">
      <c r="A32" s="819" t="s">
        <v>221</v>
      </c>
      <c r="B32" s="816" t="s">
        <v>221</v>
      </c>
      <c r="C32" s="441" t="s">
        <v>222</v>
      </c>
    </row>
    <row r="33" spans="1:3" s="425" customFormat="1" ht="22.5" customHeight="1" x14ac:dyDescent="0.25">
      <c r="A33" s="820"/>
      <c r="B33" s="817"/>
      <c r="C33" s="442" t="s">
        <v>223</v>
      </c>
    </row>
    <row r="34" spans="1:3" s="425" customFormat="1" ht="22.5" customHeight="1" x14ac:dyDescent="0.25">
      <c r="A34" s="820"/>
      <c r="B34" s="817"/>
      <c r="C34" s="442" t="s">
        <v>224</v>
      </c>
    </row>
    <row r="35" spans="1:3" s="438" customFormat="1" ht="22.5" customHeight="1" thickBot="1" x14ac:dyDescent="0.3">
      <c r="A35" s="821"/>
      <c r="B35" s="818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37" t="s">
        <v>441</v>
      </c>
      <c r="B1" s="837"/>
      <c r="C1" s="837"/>
      <c r="D1" s="837"/>
      <c r="E1" s="837"/>
      <c r="F1" s="837"/>
      <c r="G1" s="837"/>
      <c r="H1" s="837"/>
      <c r="I1" s="837"/>
      <c r="J1" s="837"/>
      <c r="K1" s="837"/>
      <c r="L1" s="837"/>
      <c r="M1" s="837"/>
    </row>
    <row r="2" spans="1:21" s="11" customFormat="1" ht="18.75" customHeight="1" x14ac:dyDescent="0.25">
      <c r="A2" s="838" t="s">
        <v>342</v>
      </c>
      <c r="B2" s="838"/>
      <c r="C2" s="838"/>
      <c r="D2" s="838"/>
      <c r="E2" s="838"/>
      <c r="F2" s="838"/>
      <c r="G2" s="838"/>
      <c r="H2" s="838"/>
      <c r="I2" s="838"/>
      <c r="J2" s="838"/>
      <c r="K2" s="838"/>
      <c r="L2" s="838"/>
      <c r="M2" s="838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64" t="s">
        <v>275</v>
      </c>
      <c r="B3" s="862" t="s">
        <v>336</v>
      </c>
      <c r="C3" s="863"/>
      <c r="D3" s="862" t="s">
        <v>322</v>
      </c>
      <c r="E3" s="863"/>
      <c r="F3" s="862" t="s">
        <v>326</v>
      </c>
      <c r="G3" s="863"/>
      <c r="H3" s="862" t="s">
        <v>326</v>
      </c>
      <c r="I3" s="863"/>
      <c r="J3" s="862" t="s">
        <v>363</v>
      </c>
      <c r="K3" s="863"/>
      <c r="L3" s="862"/>
      <c r="M3" s="863"/>
      <c r="N3" s="862"/>
      <c r="O3" s="863"/>
      <c r="P3" s="862"/>
      <c r="Q3" s="863"/>
      <c r="R3" s="862"/>
      <c r="S3" s="863"/>
      <c r="T3" s="862"/>
      <c r="U3" s="863"/>
    </row>
    <row r="4" spans="1:21" s="612" customFormat="1" ht="21" customHeight="1" x14ac:dyDescent="0.25">
      <c r="A4" s="865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66"/>
      <c r="B5" s="860" t="s">
        <v>337</v>
      </c>
      <c r="C5" s="861"/>
      <c r="D5" s="860" t="s">
        <v>325</v>
      </c>
      <c r="E5" s="861"/>
      <c r="F5" s="860" t="s">
        <v>330</v>
      </c>
      <c r="G5" s="867"/>
      <c r="H5" s="867"/>
      <c r="I5" s="861"/>
      <c r="J5" s="860" t="s">
        <v>366</v>
      </c>
      <c r="K5" s="861"/>
      <c r="L5" s="860"/>
      <c r="M5" s="861"/>
      <c r="N5" s="860"/>
      <c r="O5" s="861"/>
      <c r="P5" s="860"/>
      <c r="Q5" s="861"/>
      <c r="R5" s="860"/>
      <c r="S5" s="861"/>
      <c r="T5" s="860"/>
      <c r="U5" s="861"/>
    </row>
    <row r="6" spans="1:21" s="609" customFormat="1" ht="21" customHeight="1" x14ac:dyDescent="0.25">
      <c r="A6" s="834" t="s">
        <v>277</v>
      </c>
      <c r="B6" s="830" t="s">
        <v>271</v>
      </c>
      <c r="C6" s="831"/>
      <c r="D6" s="830" t="s">
        <v>296</v>
      </c>
      <c r="E6" s="831"/>
      <c r="F6" s="830" t="s">
        <v>304</v>
      </c>
      <c r="G6" s="831"/>
      <c r="H6" s="830" t="s">
        <v>411</v>
      </c>
      <c r="I6" s="831"/>
      <c r="J6" s="830"/>
      <c r="K6" s="831"/>
      <c r="L6" s="830"/>
      <c r="M6" s="831"/>
      <c r="N6" s="830"/>
      <c r="O6" s="831"/>
      <c r="P6" s="830"/>
      <c r="Q6" s="831"/>
      <c r="R6" s="830"/>
      <c r="S6" s="831"/>
      <c r="T6" s="830"/>
      <c r="U6" s="831"/>
    </row>
    <row r="7" spans="1:21" s="613" customFormat="1" ht="21" customHeight="1" x14ac:dyDescent="0.25">
      <c r="A7" s="835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35"/>
      <c r="B8" s="832" t="s">
        <v>409</v>
      </c>
      <c r="C8" s="833"/>
      <c r="D8" s="832"/>
      <c r="E8" s="833"/>
      <c r="F8" s="832" t="s">
        <v>328</v>
      </c>
      <c r="G8" s="833"/>
      <c r="H8" s="832"/>
      <c r="I8" s="833"/>
      <c r="J8" s="832"/>
      <c r="K8" s="833"/>
      <c r="L8" s="832"/>
      <c r="M8" s="833"/>
      <c r="N8" s="832"/>
      <c r="O8" s="833"/>
      <c r="P8" s="832"/>
      <c r="Q8" s="833"/>
      <c r="R8" s="832"/>
      <c r="S8" s="833"/>
      <c r="T8" s="832"/>
      <c r="U8" s="833"/>
    </row>
    <row r="9" spans="1:21" s="720" customFormat="1" ht="21" customHeight="1" x14ac:dyDescent="0.25">
      <c r="A9" s="835"/>
      <c r="B9" s="830" t="s">
        <v>435</v>
      </c>
      <c r="C9" s="831"/>
      <c r="D9" s="830" t="s">
        <v>296</v>
      </c>
      <c r="E9" s="831"/>
      <c r="F9" s="830" t="s">
        <v>439</v>
      </c>
      <c r="G9" s="831"/>
      <c r="H9" s="830"/>
      <c r="I9" s="831"/>
      <c r="J9" s="830"/>
      <c r="K9" s="831"/>
      <c r="L9" s="830"/>
      <c r="M9" s="831"/>
      <c r="N9" s="830"/>
      <c r="O9" s="831"/>
      <c r="P9" s="830"/>
      <c r="Q9" s="831"/>
      <c r="R9" s="830"/>
      <c r="S9" s="831"/>
      <c r="T9" s="830"/>
      <c r="U9" s="831"/>
    </row>
    <row r="10" spans="1:21" s="613" customFormat="1" ht="21" customHeight="1" x14ac:dyDescent="0.25">
      <c r="A10" s="835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36"/>
      <c r="B11" s="832" t="s">
        <v>438</v>
      </c>
      <c r="C11" s="833"/>
      <c r="D11" s="832" t="s">
        <v>437</v>
      </c>
      <c r="E11" s="833"/>
      <c r="F11" s="832" t="s">
        <v>437</v>
      </c>
      <c r="G11" s="833"/>
      <c r="H11" s="832"/>
      <c r="I11" s="833"/>
      <c r="J11" s="832"/>
      <c r="K11" s="833"/>
      <c r="L11" s="832"/>
      <c r="M11" s="833"/>
      <c r="N11" s="832"/>
      <c r="O11" s="833"/>
      <c r="P11" s="832"/>
      <c r="Q11" s="833"/>
      <c r="R11" s="832"/>
      <c r="S11" s="833"/>
      <c r="T11" s="832"/>
      <c r="U11" s="833"/>
    </row>
    <row r="12" spans="1:21" s="153" customFormat="1" ht="21" customHeight="1" x14ac:dyDescent="0.25">
      <c r="A12" s="857" t="s">
        <v>278</v>
      </c>
      <c r="B12" s="855" t="s">
        <v>303</v>
      </c>
      <c r="C12" s="856"/>
      <c r="D12" s="855" t="s">
        <v>310</v>
      </c>
      <c r="E12" s="856"/>
      <c r="F12" s="855"/>
      <c r="G12" s="856"/>
      <c r="H12" s="855"/>
      <c r="I12" s="856"/>
      <c r="J12" s="855"/>
      <c r="K12" s="856"/>
      <c r="L12" s="855"/>
      <c r="M12" s="856"/>
      <c r="N12" s="855"/>
      <c r="O12" s="856"/>
      <c r="P12" s="855"/>
      <c r="Q12" s="856"/>
      <c r="R12" s="855"/>
      <c r="S12" s="856"/>
      <c r="T12" s="855"/>
      <c r="U12" s="856"/>
    </row>
    <row r="13" spans="1:21" s="612" customFormat="1" ht="21" customHeight="1" x14ac:dyDescent="0.25">
      <c r="A13" s="858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59"/>
      <c r="B14" s="853" t="s">
        <v>307</v>
      </c>
      <c r="C14" s="854"/>
      <c r="D14" s="853" t="s">
        <v>315</v>
      </c>
      <c r="E14" s="854"/>
      <c r="F14" s="853"/>
      <c r="G14" s="854"/>
      <c r="H14" s="853"/>
      <c r="I14" s="854"/>
      <c r="J14" s="853"/>
      <c r="K14" s="854"/>
      <c r="L14" s="853"/>
      <c r="M14" s="854"/>
      <c r="N14" s="853"/>
      <c r="O14" s="854"/>
      <c r="P14" s="853"/>
      <c r="Q14" s="854"/>
      <c r="R14" s="853"/>
      <c r="S14" s="854"/>
      <c r="T14" s="853"/>
      <c r="U14" s="854"/>
    </row>
    <row r="15" spans="1:21" s="161" customFormat="1" ht="21" customHeight="1" x14ac:dyDescent="0.25">
      <c r="A15" s="850" t="s">
        <v>280</v>
      </c>
      <c r="B15" s="848" t="s">
        <v>285</v>
      </c>
      <c r="C15" s="849"/>
      <c r="D15" s="848" t="s">
        <v>285</v>
      </c>
      <c r="E15" s="849"/>
      <c r="F15" s="848"/>
      <c r="G15" s="849"/>
      <c r="H15" s="848"/>
      <c r="I15" s="849"/>
      <c r="J15" s="848"/>
      <c r="K15" s="849"/>
      <c r="L15" s="848"/>
      <c r="M15" s="849"/>
      <c r="N15" s="848"/>
      <c r="O15" s="849"/>
      <c r="P15" s="848"/>
      <c r="Q15" s="849"/>
      <c r="R15" s="848"/>
      <c r="S15" s="849"/>
      <c r="T15" s="848"/>
      <c r="U15" s="849"/>
    </row>
    <row r="16" spans="1:21" s="612" customFormat="1" ht="21" customHeight="1" x14ac:dyDescent="0.25">
      <c r="A16" s="851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2"/>
      <c r="B17" s="846" t="s">
        <v>339</v>
      </c>
      <c r="C17" s="847"/>
      <c r="D17" s="846" t="s">
        <v>298</v>
      </c>
      <c r="E17" s="847"/>
      <c r="F17" s="846"/>
      <c r="G17" s="847"/>
      <c r="H17" s="846"/>
      <c r="I17" s="847"/>
      <c r="J17" s="846"/>
      <c r="K17" s="847"/>
      <c r="L17" s="846"/>
      <c r="M17" s="847"/>
      <c r="N17" s="846"/>
      <c r="O17" s="847"/>
      <c r="P17" s="846"/>
      <c r="Q17" s="847"/>
      <c r="R17" s="846"/>
      <c r="S17" s="847"/>
      <c r="T17" s="846"/>
      <c r="U17" s="847"/>
    </row>
    <row r="18" spans="1:21" s="168" customFormat="1" ht="21" customHeight="1" x14ac:dyDescent="0.25">
      <c r="A18" s="843" t="s">
        <v>282</v>
      </c>
      <c r="B18" s="841" t="s">
        <v>288</v>
      </c>
      <c r="C18" s="842"/>
      <c r="D18" s="841" t="s">
        <v>359</v>
      </c>
      <c r="E18" s="842"/>
      <c r="F18" s="841" t="s">
        <v>290</v>
      </c>
      <c r="G18" s="842"/>
      <c r="H18" s="841" t="s">
        <v>340</v>
      </c>
      <c r="I18" s="842"/>
      <c r="J18" s="841"/>
      <c r="K18" s="842"/>
      <c r="L18" s="841"/>
      <c r="M18" s="842"/>
      <c r="N18" s="841"/>
      <c r="O18" s="842"/>
      <c r="P18" s="841"/>
      <c r="Q18" s="842"/>
      <c r="R18" s="841"/>
      <c r="S18" s="842"/>
      <c r="T18" s="841"/>
      <c r="U18" s="842"/>
    </row>
    <row r="19" spans="1:21" s="612" customFormat="1" ht="21" customHeight="1" x14ac:dyDescent="0.25">
      <c r="A19" s="844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45"/>
      <c r="B20" s="839"/>
      <c r="C20" s="840"/>
      <c r="D20" s="839"/>
      <c r="E20" s="840"/>
      <c r="F20" s="839" t="s">
        <v>291</v>
      </c>
      <c r="G20" s="840"/>
      <c r="H20" s="839"/>
      <c r="I20" s="840"/>
      <c r="J20" s="839"/>
      <c r="K20" s="840"/>
      <c r="L20" s="839"/>
      <c r="M20" s="840"/>
      <c r="N20" s="839"/>
      <c r="O20" s="840"/>
      <c r="P20" s="839"/>
      <c r="Q20" s="840"/>
      <c r="R20" s="839"/>
      <c r="S20" s="840"/>
      <c r="T20" s="839"/>
      <c r="U20" s="840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68" t="s">
        <v>449</v>
      </c>
      <c r="B1" s="868"/>
      <c r="C1" s="868"/>
      <c r="D1" s="868"/>
      <c r="E1" s="868"/>
      <c r="F1" s="868"/>
      <c r="G1" s="868"/>
      <c r="H1" s="868"/>
      <c r="I1" s="868"/>
      <c r="J1" s="868"/>
      <c r="K1" s="868"/>
      <c r="L1" s="868"/>
      <c r="M1" s="868"/>
    </row>
    <row r="2" spans="1:21" s="141" customFormat="1" ht="21" customHeight="1" x14ac:dyDescent="0.25">
      <c r="A2" s="869" t="s">
        <v>276</v>
      </c>
      <c r="B2" s="862" t="s">
        <v>336</v>
      </c>
      <c r="C2" s="863"/>
      <c r="D2" s="862" t="s">
        <v>322</v>
      </c>
      <c r="E2" s="863"/>
      <c r="F2" s="862" t="s">
        <v>326</v>
      </c>
      <c r="G2" s="863"/>
      <c r="H2" s="862" t="s">
        <v>326</v>
      </c>
      <c r="I2" s="863"/>
      <c r="J2" s="862" t="s">
        <v>412</v>
      </c>
      <c r="K2" s="863"/>
      <c r="L2" s="862"/>
      <c r="M2" s="863"/>
      <c r="N2" s="862"/>
      <c r="O2" s="863"/>
      <c r="P2" s="862"/>
      <c r="Q2" s="863"/>
      <c r="R2" s="862"/>
      <c r="S2" s="863"/>
      <c r="T2" s="862"/>
      <c r="U2" s="863"/>
    </row>
    <row r="3" spans="1:21" s="612" customFormat="1" ht="21" customHeight="1" x14ac:dyDescent="0.25">
      <c r="A3" s="870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0"/>
      <c r="B4" s="860" t="s">
        <v>337</v>
      </c>
      <c r="C4" s="861"/>
      <c r="D4" s="860" t="s">
        <v>325</v>
      </c>
      <c r="E4" s="861"/>
      <c r="F4" s="860" t="s">
        <v>330</v>
      </c>
      <c r="G4" s="867"/>
      <c r="H4" s="867"/>
      <c r="I4" s="861"/>
      <c r="J4" s="860" t="s">
        <v>420</v>
      </c>
      <c r="K4" s="861"/>
      <c r="L4" s="860"/>
      <c r="M4" s="861"/>
      <c r="N4" s="860"/>
      <c r="O4" s="861"/>
      <c r="P4" s="860"/>
      <c r="Q4" s="861"/>
      <c r="R4" s="860"/>
      <c r="S4" s="861"/>
      <c r="T4" s="860"/>
      <c r="U4" s="861"/>
    </row>
    <row r="5" spans="1:21" s="720" customFormat="1" ht="21" customHeight="1" x14ac:dyDescent="0.25">
      <c r="A5" s="835"/>
      <c r="B5" s="830" t="s">
        <v>435</v>
      </c>
      <c r="C5" s="831"/>
      <c r="D5" s="830" t="s">
        <v>434</v>
      </c>
      <c r="E5" s="831"/>
      <c r="F5" s="830" t="s">
        <v>296</v>
      </c>
      <c r="G5" s="831"/>
      <c r="H5" s="830"/>
      <c r="I5" s="831"/>
      <c r="J5" s="830"/>
      <c r="K5" s="831"/>
      <c r="L5" s="830"/>
      <c r="M5" s="831"/>
      <c r="N5" s="830"/>
      <c r="O5" s="831"/>
      <c r="P5" s="830"/>
      <c r="Q5" s="831"/>
      <c r="R5" s="830"/>
      <c r="S5" s="831"/>
      <c r="T5" s="830"/>
      <c r="U5" s="831"/>
    </row>
    <row r="6" spans="1:21" s="613" customFormat="1" ht="21" customHeight="1" x14ac:dyDescent="0.25">
      <c r="A6" s="835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36"/>
      <c r="B7" s="832" t="s">
        <v>437</v>
      </c>
      <c r="C7" s="833"/>
      <c r="D7" s="832" t="s">
        <v>437</v>
      </c>
      <c r="E7" s="833"/>
      <c r="F7" s="832" t="s">
        <v>437</v>
      </c>
      <c r="G7" s="833"/>
      <c r="H7" s="832"/>
      <c r="I7" s="833"/>
      <c r="J7" s="832"/>
      <c r="K7" s="833"/>
      <c r="L7" s="832"/>
      <c r="M7" s="833"/>
      <c r="N7" s="832"/>
      <c r="O7" s="833"/>
      <c r="P7" s="832"/>
      <c r="Q7" s="833"/>
      <c r="R7" s="832"/>
      <c r="S7" s="833"/>
      <c r="T7" s="832"/>
      <c r="U7" s="833"/>
    </row>
    <row r="8" spans="1:21" s="153" customFormat="1" ht="21" customHeight="1" x14ac:dyDescent="0.25">
      <c r="A8" s="879" t="s">
        <v>279</v>
      </c>
      <c r="B8" s="877" t="s">
        <v>293</v>
      </c>
      <c r="C8" s="856"/>
      <c r="D8" s="855" t="s">
        <v>303</v>
      </c>
      <c r="E8" s="856"/>
      <c r="F8" s="855" t="s">
        <v>300</v>
      </c>
      <c r="G8" s="856"/>
      <c r="H8" s="855" t="s">
        <v>310</v>
      </c>
      <c r="I8" s="856"/>
      <c r="J8" s="855" t="s">
        <v>310</v>
      </c>
      <c r="K8" s="856"/>
      <c r="L8" s="855" t="s">
        <v>345</v>
      </c>
      <c r="M8" s="856"/>
      <c r="N8" s="855"/>
      <c r="O8" s="856"/>
      <c r="P8" s="855"/>
      <c r="Q8" s="856"/>
      <c r="R8" s="855"/>
      <c r="S8" s="856"/>
      <c r="T8" s="855"/>
      <c r="U8" s="856"/>
    </row>
    <row r="9" spans="1:21" s="612" customFormat="1" ht="21" customHeight="1" x14ac:dyDescent="0.25">
      <c r="A9" s="880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0"/>
      <c r="B10" s="878" t="s">
        <v>295</v>
      </c>
      <c r="C10" s="854"/>
      <c r="D10" s="853" t="s">
        <v>307</v>
      </c>
      <c r="E10" s="854"/>
      <c r="F10" s="853" t="s">
        <v>302</v>
      </c>
      <c r="G10" s="854"/>
      <c r="H10" s="853"/>
      <c r="I10" s="854"/>
      <c r="J10" s="853" t="s">
        <v>332</v>
      </c>
      <c r="K10" s="854"/>
      <c r="L10" s="853"/>
      <c r="M10" s="854"/>
      <c r="N10" s="853"/>
      <c r="O10" s="854"/>
      <c r="P10" s="853"/>
      <c r="Q10" s="854"/>
      <c r="R10" s="853"/>
      <c r="S10" s="854"/>
      <c r="T10" s="853"/>
      <c r="U10" s="854"/>
    </row>
    <row r="11" spans="1:21" s="153" customFormat="1" ht="21" customHeight="1" x14ac:dyDescent="0.25">
      <c r="A11" s="880"/>
      <c r="B11" s="877" t="s">
        <v>312</v>
      </c>
      <c r="C11" s="856"/>
      <c r="D11" s="855" t="s">
        <v>316</v>
      </c>
      <c r="E11" s="856"/>
      <c r="F11" s="855" t="s">
        <v>319</v>
      </c>
      <c r="G11" s="856"/>
      <c r="H11" s="855" t="s">
        <v>333</v>
      </c>
      <c r="I11" s="856"/>
      <c r="J11" s="855" t="s">
        <v>333</v>
      </c>
      <c r="K11" s="856"/>
      <c r="L11" s="855" t="s">
        <v>290</v>
      </c>
      <c r="M11" s="856"/>
      <c r="N11" s="855"/>
      <c r="O11" s="856"/>
      <c r="P11" s="855"/>
      <c r="Q11" s="856"/>
      <c r="R11" s="855"/>
      <c r="S11" s="856"/>
      <c r="T11" s="855"/>
      <c r="U11" s="856"/>
    </row>
    <row r="12" spans="1:21" s="612" customFormat="1" ht="21" customHeight="1" x14ac:dyDescent="0.25">
      <c r="A12" s="880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1"/>
      <c r="B13" s="878" t="s">
        <v>313</v>
      </c>
      <c r="C13" s="854"/>
      <c r="D13" s="853" t="s">
        <v>318</v>
      </c>
      <c r="E13" s="854"/>
      <c r="F13" s="853" t="s">
        <v>321</v>
      </c>
      <c r="G13" s="854"/>
      <c r="H13" s="853" t="s">
        <v>334</v>
      </c>
      <c r="I13" s="854"/>
      <c r="J13" s="853"/>
      <c r="K13" s="854"/>
      <c r="L13" s="853" t="s">
        <v>414</v>
      </c>
      <c r="M13" s="854"/>
      <c r="N13" s="853"/>
      <c r="O13" s="854"/>
      <c r="P13" s="853"/>
      <c r="Q13" s="854"/>
      <c r="R13" s="853"/>
      <c r="S13" s="854"/>
      <c r="T13" s="853"/>
      <c r="U13" s="854"/>
    </row>
    <row r="14" spans="1:21" s="161" customFormat="1" ht="21" customHeight="1" x14ac:dyDescent="0.25">
      <c r="A14" s="874" t="s">
        <v>281</v>
      </c>
      <c r="B14" s="882" t="s">
        <v>285</v>
      </c>
      <c r="C14" s="849"/>
      <c r="D14" s="848" t="s">
        <v>273</v>
      </c>
      <c r="E14" s="849"/>
      <c r="F14" s="848" t="s">
        <v>381</v>
      </c>
      <c r="G14" s="849"/>
      <c r="H14" s="848" t="s">
        <v>285</v>
      </c>
      <c r="I14" s="849"/>
      <c r="J14" s="848"/>
      <c r="K14" s="849"/>
      <c r="L14" s="848"/>
      <c r="M14" s="849"/>
      <c r="N14" s="848"/>
      <c r="O14" s="849"/>
      <c r="P14" s="848"/>
      <c r="Q14" s="849"/>
      <c r="R14" s="848"/>
      <c r="S14" s="849"/>
      <c r="T14" s="848"/>
      <c r="U14" s="849"/>
    </row>
    <row r="15" spans="1:21" s="612" customFormat="1" ht="21" customHeight="1" x14ac:dyDescent="0.25">
      <c r="A15" s="875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6"/>
      <c r="B16" s="883" t="s">
        <v>380</v>
      </c>
      <c r="C16" s="847"/>
      <c r="D16" s="883" t="s">
        <v>380</v>
      </c>
      <c r="E16" s="847"/>
      <c r="F16" s="846" t="s">
        <v>379</v>
      </c>
      <c r="G16" s="847"/>
      <c r="H16" s="846" t="s">
        <v>379</v>
      </c>
      <c r="I16" s="847"/>
      <c r="J16" s="846"/>
      <c r="K16" s="847"/>
      <c r="L16" s="846"/>
      <c r="M16" s="847"/>
      <c r="N16" s="846"/>
      <c r="O16" s="847"/>
      <c r="P16" s="846"/>
      <c r="Q16" s="847"/>
      <c r="R16" s="846"/>
      <c r="S16" s="847"/>
      <c r="T16" s="846"/>
      <c r="U16" s="847"/>
    </row>
    <row r="17" spans="1:21" s="168" customFormat="1" ht="21" customHeight="1" x14ac:dyDescent="0.25">
      <c r="A17" s="871" t="s">
        <v>283</v>
      </c>
      <c r="B17" s="841" t="s">
        <v>288</v>
      </c>
      <c r="C17" s="842"/>
      <c r="D17" s="841" t="s">
        <v>359</v>
      </c>
      <c r="E17" s="842"/>
      <c r="F17" s="841" t="s">
        <v>290</v>
      </c>
      <c r="G17" s="842"/>
      <c r="H17" s="841" t="s">
        <v>340</v>
      </c>
      <c r="I17" s="842"/>
      <c r="J17" s="841" t="s">
        <v>407</v>
      </c>
      <c r="K17" s="842"/>
      <c r="L17" s="841"/>
      <c r="M17" s="842"/>
      <c r="N17" s="841"/>
      <c r="O17" s="842"/>
      <c r="P17" s="841"/>
      <c r="Q17" s="842"/>
      <c r="R17" s="841"/>
      <c r="S17" s="842"/>
      <c r="T17" s="841"/>
      <c r="U17" s="842"/>
    </row>
    <row r="18" spans="1:21" s="612" customFormat="1" ht="21" customHeight="1" x14ac:dyDescent="0.25">
      <c r="A18" s="872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3"/>
      <c r="B19" s="839"/>
      <c r="C19" s="840"/>
      <c r="D19" s="839"/>
      <c r="E19" s="840"/>
      <c r="F19" s="839" t="s">
        <v>291</v>
      </c>
      <c r="G19" s="840"/>
      <c r="H19" s="839"/>
      <c r="I19" s="840"/>
      <c r="J19" s="839"/>
      <c r="K19" s="840"/>
      <c r="L19" s="839"/>
      <c r="M19" s="840"/>
      <c r="N19" s="839"/>
      <c r="O19" s="840"/>
      <c r="P19" s="839"/>
      <c r="Q19" s="840"/>
      <c r="R19" s="839"/>
      <c r="S19" s="840"/>
      <c r="T19" s="839"/>
      <c r="U19" s="840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84" t="s">
        <v>367</v>
      </c>
      <c r="I1" s="884"/>
      <c r="J1" s="884"/>
      <c r="K1" s="884"/>
      <c r="L1" s="884"/>
      <c r="M1" s="884"/>
      <c r="N1" s="884"/>
      <c r="O1" s="884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51" t="s">
        <v>263</v>
      </c>
      <c r="B2" s="952"/>
      <c r="C2" s="952"/>
      <c r="D2" s="953"/>
      <c r="F2" s="928" t="s">
        <v>30</v>
      </c>
      <c r="G2" s="929"/>
      <c r="H2" s="936" t="s">
        <v>244</v>
      </c>
      <c r="I2" s="937"/>
      <c r="J2" s="937"/>
      <c r="K2" s="937"/>
      <c r="L2" s="937"/>
      <c r="M2" s="937"/>
      <c r="N2" s="937"/>
      <c r="O2" s="938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21" t="s">
        <v>220</v>
      </c>
      <c r="B3" s="922"/>
      <c r="C3" s="922"/>
      <c r="D3" s="923"/>
      <c r="F3" s="930"/>
      <c r="G3" s="931"/>
      <c r="H3" s="517" t="str">
        <f>"中級 (" &amp; HDRAG_GAMES_HBRUN_MED &amp; "場)"</f>
        <v>中級 (299場)</v>
      </c>
      <c r="I3" s="944" t="str">
        <f>"高級 (" &amp; HDRAG_GAMES_HBRUN_EXP &amp; "場)"</f>
        <v>高級 (225場)</v>
      </c>
      <c r="J3" s="945"/>
      <c r="K3" s="946"/>
      <c r="L3" s="944" t="str">
        <f>"超級 (" &amp; HDRAG_GAMES_HBRUN_MST &amp; "場)"</f>
        <v>超級 (232場)</v>
      </c>
      <c r="M3" s="945"/>
      <c r="N3" s="945"/>
      <c r="O3" s="954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40">
        <f>HDRAG_AVG_HBRUN_MED_ORB</f>
        <v>2.4381270903010033</v>
      </c>
      <c r="I5" s="939">
        <f>HDRAG_AVG_HBRUN_EXP_ORB</f>
        <v>4.4133333333333331</v>
      </c>
      <c r="J5" s="939">
        <f>HDRAG_AVG_HBRUN_EXP_TAIL</f>
        <v>2</v>
      </c>
      <c r="K5" s="941">
        <f>HDRAG_AVG_HBRUN_EXP_ORIHAL</f>
        <v>0.31555555555555553</v>
      </c>
      <c r="L5" s="939">
        <f>HDRAG_AVG_HBRUN_MST_ORB</f>
        <v>6.3965517241379306</v>
      </c>
      <c r="M5" s="939">
        <f>HDRAG_AVG_HBRUN_MST_TAIL</f>
        <v>2.0517241379310347</v>
      </c>
      <c r="N5" s="939">
        <f>HDRAG_AVG_HBRUN_MST_HORN</f>
        <v>1.9827586206896552</v>
      </c>
      <c r="O5" s="924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40"/>
      <c r="I6" s="939"/>
      <c r="J6" s="939"/>
      <c r="K6" s="941"/>
      <c r="L6" s="939"/>
      <c r="M6" s="978"/>
      <c r="N6" s="978"/>
      <c r="O6" s="925"/>
      <c r="P6" s="488" t="s">
        <v>42</v>
      </c>
      <c r="Q6" s="511">
        <f>IF(HDRAG_HAS_REC_HBRUN,MAX(HDRAG_MAX_ALL - G6,0),"")</f>
        <v>0</v>
      </c>
      <c r="R6" s="512">
        <f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32" t="s">
        <v>35</v>
      </c>
      <c r="G7" s="933"/>
      <c r="H7" s="916" t="s">
        <v>244</v>
      </c>
      <c r="I7" s="917"/>
      <c r="J7" s="917"/>
      <c r="K7" s="917"/>
      <c r="L7" s="917"/>
      <c r="M7" s="917"/>
      <c r="N7" s="917"/>
      <c r="O7" s="918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34"/>
      <c r="G8" s="935"/>
      <c r="H8" s="518" t="str">
        <f>"中級 (" &amp; HDRAG_GAMES_HMERC_MED &amp; "場)"</f>
        <v>中級 (246場)</v>
      </c>
      <c r="I8" s="981" t="str">
        <f>"高級 (" &amp; HDRAG_GAMES_HMERC_EXP &amp; "場)"</f>
        <v>高級 (524場)</v>
      </c>
      <c r="J8" s="982"/>
      <c r="K8" s="995"/>
      <c r="L8" s="981" t="str">
        <f>"超級 (" &amp; HDRAG_GAMES_HMERC_MST &amp; "場)"</f>
        <v>超級 (356場)</v>
      </c>
      <c r="M8" s="982"/>
      <c r="N8" s="982"/>
      <c r="O8" s="983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19">
        <f>HDRAG_AVG_HMERC_MED_ORB</f>
        <v>2.3861788617886179</v>
      </c>
      <c r="I10" s="926">
        <f>HDRAG_AVG_HMERC_EXP_ORB</f>
        <v>4.4217557251908399</v>
      </c>
      <c r="J10" s="947">
        <f>HDRAG_AVG_HMERC_EXP_TAIL</f>
        <v>2.0152671755725189</v>
      </c>
      <c r="K10" s="942">
        <f>HDRAG_AVG_HMERC_EXP_ORIHAL</f>
        <v>0.35496183206106868</v>
      </c>
      <c r="L10" s="947">
        <f>HDRAG_AVG_HMERC_MST_ORB</f>
        <v>6.4241573033707864</v>
      </c>
      <c r="M10" s="947">
        <f>HDRAG_AVG_HMERC_MST_TAIL</f>
        <v>1.9213483146067416</v>
      </c>
      <c r="N10" s="947">
        <f>HDRAG_AVG_HMERC_MST_HORN</f>
        <v>2.1151685393258428</v>
      </c>
      <c r="O10" s="949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51" t="s">
        <v>264</v>
      </c>
      <c r="B11" s="952"/>
      <c r="C11" s="952"/>
      <c r="D11" s="953"/>
      <c r="F11" s="490" t="s">
        <v>237</v>
      </c>
      <c r="G11" s="491">
        <f>IF(HDRAG_HAS_REC_HMERC,HDRAG_HMERC_ITEMS + G9 + G10,0)</f>
        <v>3116</v>
      </c>
      <c r="H11" s="920"/>
      <c r="I11" s="927"/>
      <c r="J11" s="948"/>
      <c r="K11" s="943"/>
      <c r="L11" s="948"/>
      <c r="M11" s="948"/>
      <c r="N11" s="948"/>
      <c r="O11" s="950"/>
      <c r="P11" s="490" t="s">
        <v>42</v>
      </c>
      <c r="Q11" s="493">
        <f>IF(HDRAG_HAS_REC_HMERC,MAX(HDRAG_MAX_ALL - G11,0),"")</f>
        <v>0</v>
      </c>
      <c r="R11" s="512">
        <f>IFERROR(IF(Q11=0,100%,(HDRAG_MAX_ALL - Q11)/HDRAG_MAX_ALL),"")</f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85" t="s">
        <v>31</v>
      </c>
      <c r="G12" s="886"/>
      <c r="H12" s="909" t="s">
        <v>244</v>
      </c>
      <c r="I12" s="910"/>
      <c r="J12" s="910"/>
      <c r="K12" s="910"/>
      <c r="L12" s="910"/>
      <c r="M12" s="910"/>
      <c r="N12" s="910"/>
      <c r="O12" s="911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87"/>
      <c r="G13" s="888"/>
      <c r="H13" s="519" t="str">
        <f>"中級 (" &amp; HDRAG_GAMES_HMID_MED &amp; "場)"</f>
        <v>中級 (803場)</v>
      </c>
      <c r="I13" s="992" t="str">
        <f>"高級 (" &amp; HDRAG_GAMES_HMID_EXP &amp; "場)"</f>
        <v>高級 (471場)</v>
      </c>
      <c r="J13" s="993"/>
      <c r="K13" s="994"/>
      <c r="L13" s="992" t="str">
        <f>"超級 (" &amp; HDRAG_GAMES_HMID_MST &amp; "場)"</f>
        <v>超級 (131場)</v>
      </c>
      <c r="M13" s="993"/>
      <c r="N13" s="993"/>
      <c r="O13" s="1026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12">
        <f>HDRAG_AVG_HMID_MED_ORB</f>
        <v>2.5504358655043586</v>
      </c>
      <c r="I15" s="913">
        <f>HDRAG_AVG_HMID_EXP_ORB</f>
        <v>4.3949044585987265</v>
      </c>
      <c r="J15" s="913">
        <f>HDRAG_AVG_HMID_EXP_TAIL</f>
        <v>1.9660297239915074</v>
      </c>
      <c r="K15" s="907">
        <f>HDRAG_AVG_HMID_EXP_ORIHAL</f>
        <v>0.32484076433121017</v>
      </c>
      <c r="L15" s="913">
        <f>HDRAG_AVG_HMID_MST_ORB</f>
        <v>6.5038167938931295</v>
      </c>
      <c r="M15" s="913">
        <f>HDRAG_AVG_HMID_MST_TAIL</f>
        <v>1.9541984732824427</v>
      </c>
      <c r="N15" s="913">
        <f>HDRAG_AVG_HMID_MST_HORN</f>
        <v>2.0839694656488548</v>
      </c>
      <c r="O15" s="914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12"/>
      <c r="I16" s="913"/>
      <c r="J16" s="913"/>
      <c r="K16" s="907"/>
      <c r="L16" s="913"/>
      <c r="M16" s="980"/>
      <c r="N16" s="980"/>
      <c r="O16" s="915"/>
      <c r="P16" s="498" t="s">
        <v>42</v>
      </c>
      <c r="Q16" s="496">
        <f>IF(HDRAG_HAS_REC_HMID,MAX(HDRAG_MAX_ALL - G16,0),"")</f>
        <v>0</v>
      </c>
      <c r="R16" s="512">
        <f>IFERROR(IF(Q16=0,100%,(HDRAG_MAX_ALL - Q16)/HDRAG_MAX_ALL),"")</f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89" t="s">
        <v>36</v>
      </c>
      <c r="G17" s="890"/>
      <c r="H17" s="897" t="s">
        <v>244</v>
      </c>
      <c r="I17" s="898"/>
      <c r="J17" s="898"/>
      <c r="K17" s="898"/>
      <c r="L17" s="898"/>
      <c r="M17" s="898"/>
      <c r="N17" s="898"/>
      <c r="O17" s="899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91"/>
      <c r="G18" s="892"/>
      <c r="H18" s="522" t="str">
        <f>"中級 (" &amp; HDRAG_GAMES_HJUP_MED &amp; "場)"</f>
        <v>中級 (443場)</v>
      </c>
      <c r="I18" s="989" t="str">
        <f>"高級 (" &amp; HDRAG_GAMES_HJUP_EXP &amp; "場)"</f>
        <v>高級 (435場)</v>
      </c>
      <c r="J18" s="990"/>
      <c r="K18" s="991"/>
      <c r="L18" s="989" t="str">
        <f>"超級 (" &amp; HDRAG_GAMES_HJUP_MST &amp; "場)"</f>
        <v>超級 (254場)</v>
      </c>
      <c r="M18" s="990"/>
      <c r="N18" s="990"/>
      <c r="O18" s="1025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900">
        <f>HDRAG_AVG_HJUP_MED_ORB</f>
        <v>2.4582392776523703</v>
      </c>
      <c r="I20" s="901">
        <f>HDRAG_AVG_HJUP_EXP_ORB</f>
        <v>4.4206896551724135</v>
      </c>
      <c r="J20" s="901">
        <f>HDRAG_AVG_HJUP_EXP_TAIL</f>
        <v>2.0045977011494251</v>
      </c>
      <c r="K20" s="908">
        <f>HDRAG_AVG_HJUP_EXP_ORIHAL</f>
        <v>0.30804597701149428</v>
      </c>
      <c r="L20" s="901">
        <f>HDRAG_AVG_HJUP_MST_ORB</f>
        <v>6.4763779527559056</v>
      </c>
      <c r="M20" s="901">
        <f>HDRAG_AVG_HJUP_MST_TAIL</f>
        <v>2.106299212598425</v>
      </c>
      <c r="N20" s="901">
        <f>HDRAG_AVG_HJUP_MST_HORN</f>
        <v>2.0393700787401574</v>
      </c>
      <c r="O20" s="902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900"/>
      <c r="I21" s="901"/>
      <c r="J21" s="901"/>
      <c r="K21" s="908"/>
      <c r="L21" s="901"/>
      <c r="M21" s="979"/>
      <c r="N21" s="979"/>
      <c r="O21" s="903"/>
      <c r="P21" s="500" t="s">
        <v>42</v>
      </c>
      <c r="Q21" s="506">
        <f>IF(HDRAG_HAS_REC_HJUP,MAX(HDRAG_MAX_ALL - G21,0),"")</f>
        <v>0</v>
      </c>
      <c r="R21" s="512">
        <f>IFERROR(IF(Q21=0,100%,(HDRAG_MAX_ALL - Q21)/HDRAG_MAX_ALL),"")</f>
        <v>1</v>
      </c>
    </row>
    <row r="22" spans="1:18" ht="15.75" customHeight="1" x14ac:dyDescent="0.25">
      <c r="F22" s="893" t="s">
        <v>37</v>
      </c>
      <c r="G22" s="894"/>
      <c r="H22" s="904" t="s">
        <v>244</v>
      </c>
      <c r="I22" s="905"/>
      <c r="J22" s="905"/>
      <c r="K22" s="905"/>
      <c r="L22" s="905"/>
      <c r="M22" s="905"/>
      <c r="N22" s="905"/>
      <c r="O22" s="906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95"/>
      <c r="G23" s="896"/>
      <c r="H23" s="525" t="str">
        <f>"中級 (" &amp; HDRAG_GAMES_HZOD_MED &amp; "場)"</f>
        <v>中級 (241場)</v>
      </c>
      <c r="I23" s="986" t="str">
        <f>"高級 (" &amp; HDRAG_GAMES_HZOD_EXP &amp; "場)"</f>
        <v>高級 (331場)</v>
      </c>
      <c r="J23" s="987"/>
      <c r="K23" s="988"/>
      <c r="L23" s="986" t="str">
        <f>"超級 (" &amp; HDRAG_GAMES_HZOD_MST &amp; "場)"</f>
        <v>超級 (397場)</v>
      </c>
      <c r="M23" s="987"/>
      <c r="N23" s="987"/>
      <c r="O23" s="1024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59">
        <f>HDRAG_AVG_HZOD_MED_ORB</f>
        <v>2.3692946058091287</v>
      </c>
      <c r="I25" s="961">
        <f>HDRAG_AVG_HZOD_EXP_ORB</f>
        <v>4.4410876132930515</v>
      </c>
      <c r="J25" s="961">
        <f>HDRAG_AVG_HZOD_EXP_TAIL</f>
        <v>1.9607250755287009</v>
      </c>
      <c r="K25" s="966">
        <f>HDRAG_AVG_HZOD_EXP_ORIHAL</f>
        <v>0.35649546827794559</v>
      </c>
      <c r="L25" s="961">
        <f>HDRAG_AVG_HZOD_MST_ORB</f>
        <v>6.3576826196473553</v>
      </c>
      <c r="M25" s="961">
        <f>HDRAG_AVG_HZOD_MST_TAIL</f>
        <v>2.005037783375315</v>
      </c>
      <c r="N25" s="961">
        <f>HDRAG_AVG_HZOD_MST_HORN</f>
        <v>1.9899244332493702</v>
      </c>
      <c r="O25" s="957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60"/>
      <c r="I26" s="962"/>
      <c r="J26" s="962"/>
      <c r="K26" s="967"/>
      <c r="L26" s="962"/>
      <c r="M26" s="962"/>
      <c r="N26" s="962"/>
      <c r="O26" s="958"/>
      <c r="P26" s="171" t="s">
        <v>42</v>
      </c>
      <c r="Q26" s="504">
        <f>IF(HDRAG_HAS_REC_HZOD,MAX(HDRAG_MAX_ALL - G26,0),"")</f>
        <v>0</v>
      </c>
      <c r="R26" s="512">
        <f>IFERROR(IF(Q26=0,100%,(HDRAG_MAX_ALL - Q26)/HDRAG_MAX_ALL),"")</f>
        <v>1</v>
      </c>
    </row>
    <row r="27" spans="1:18" ht="15" x14ac:dyDescent="0.25">
      <c r="H27" s="963"/>
      <c r="I27" s="964"/>
      <c r="J27" s="964"/>
      <c r="K27" s="964"/>
      <c r="L27" s="964"/>
      <c r="M27" s="964"/>
      <c r="N27" s="964"/>
      <c r="O27" s="965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20" t="str">
        <f>"高級 (" &amp; HDRAG_GAMES_HBRUN_EXP + HDRAG_GAMES_HMERC_EXP + HDRAG_GAMES_HMID_EXP + HDRAG_GAMES_HJUP_EXP + HDRAG_GAMES_HZOD_EXP &amp; "場)"</f>
        <v>高級 (1986場)</v>
      </c>
      <c r="J28" s="1021"/>
      <c r="K28" s="1022"/>
      <c r="L28" s="1020" t="str">
        <f>"超級 (" &amp; HDRAG_GAMES_HBRUN_MST + HDRAG_GAMES_HMERC_MST + HDRAG_GAMES_HMID_MST + HDRAG_GAMES_HJUP_MST + HDRAG_GAMES_HZOD_MST &amp; "場)"</f>
        <v>超級 (1370場)</v>
      </c>
      <c r="M28" s="1021"/>
      <c r="N28" s="1021"/>
      <c r="O28" s="1023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27">
        <f>AVERAGE(DATA_HDRAG_HBRUN_MED_ORB,HDRAG_AVG_HMERC_MED_ORB,HDRAG_AVG_HMID_MED_ORB,HDRAG_AVG_HJUP_MED_ORB,HDRAG_AVG_HZOD_MED_ORB)</f>
        <v>2.4381655069661865</v>
      </c>
      <c r="I30" s="968">
        <f>AVERAGE(DATA_HDRAG_HBRUN_EXP_ORB,HDRAG_AVG_HMERC_EXP_ORB,HDRAG_AVG_HMID_EXP_ORB,HDRAG_AVG_HJUP_EXP_ORB,HDRAG_AVG_HZOD_EXP_ORB)</f>
        <v>4.4134429583067902</v>
      </c>
      <c r="J30" s="968">
        <f>AVERAGE(DATA_HDRAG_HBRUN_EXP_TAIL,HDRAG_AVG_HMERC_EXP_TAIL,HDRAG_AVG_HMID_EXP_TAIL,HDRAG_AVG_HJUP_EXP_TAIL,HDRAG_AVG_HZOD_EXP_TAIL)</f>
        <v>1.9997668981495291</v>
      </c>
      <c r="K30" s="984">
        <f>AVERAGE(DATA_HDRAG_HBRUN_EXP_ORIHAL,HDRAG_AVG_HMERC_EXP_ORIHAL,HDRAG_AVG_HMID_EXP_ORIHAL,HDRAG_AVG_HJUP_EXP_ORIHAL,HDRAG_AVG_HZOD_EXP_ORIHAL)</f>
        <v>0.3159141661208808</v>
      </c>
      <c r="L30" s="968">
        <f>AVERAGE(DATA_HDRAG_HBRUN_MST_ORB,HDRAG_AVG_HMERC_MST_ORB,HDRAG_AVG_HMID_MST_ORB,HDRAG_AVG_HJUP_MST_ORB,HDRAG_AVG_HZOD_MST_ORB)</f>
        <v>6.3972967570748613</v>
      </c>
      <c r="M30" s="968">
        <f>AVERAGE(DATA_HDRAG_HBRUN_MST_TAIL,HDRAG_AVG_HMERC_MST_TAIL,HDRAG_AVG_HMID_MST_TAIL,HDRAG_AVG_HJUP_MST_TAIL,HDRAG_AVG_HZOD_MST_TAIL)</f>
        <v>2.0507918804400971</v>
      </c>
      <c r="N30" s="968">
        <f>AVERAGE(DATA_HDRAG_HBRUN_MST_HORN,HDRAG_AVG_HMERC_MST_HORN,HDRAG_AVG_HMID_MST_HORN,HDRAG_AVG_HJUP_MST_HORN,HDRAG_AVG_HZOD_MST_HORN)</f>
        <v>1.9840187818515433</v>
      </c>
      <c r="O30" s="95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28"/>
      <c r="I31" s="969"/>
      <c r="J31" s="969"/>
      <c r="K31" s="985"/>
      <c r="L31" s="969"/>
      <c r="M31" s="969"/>
      <c r="N31" s="969"/>
      <c r="O31" s="956"/>
    </row>
    <row r="32" spans="1:18" ht="15.75" customHeight="1" x14ac:dyDescent="0.25">
      <c r="G32" s="334"/>
      <c r="R32" s="262"/>
    </row>
    <row r="33" spans="3:18" ht="28.5" customHeight="1" x14ac:dyDescent="0.25">
      <c r="F33" s="996"/>
      <c r="G33" s="997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1000" t="s">
        <v>24</v>
      </c>
      <c r="Q33" s="1001"/>
      <c r="R33" s="604" t="s">
        <v>323</v>
      </c>
    </row>
    <row r="34" spans="3:18" ht="16.5" customHeight="1" x14ac:dyDescent="0.25">
      <c r="F34" s="974" t="s">
        <v>30</v>
      </c>
      <c r="G34" s="975"/>
      <c r="H34" s="1041" t="s">
        <v>253</v>
      </c>
      <c r="I34" s="998" t="s">
        <v>250</v>
      </c>
      <c r="J34" s="998" t="s">
        <v>250</v>
      </c>
      <c r="K34" s="998" t="s">
        <v>253</v>
      </c>
      <c r="L34" s="998" t="s">
        <v>250</v>
      </c>
      <c r="M34" s="998" t="s">
        <v>250</v>
      </c>
      <c r="N34" s="998" t="s">
        <v>253</v>
      </c>
      <c r="O34" s="1047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76"/>
      <c r="G35" s="977"/>
      <c r="H35" s="1042"/>
      <c r="I35" s="999"/>
      <c r="J35" s="999"/>
      <c r="K35" s="999"/>
      <c r="L35" s="999"/>
      <c r="M35" s="999"/>
      <c r="N35" s="999"/>
      <c r="O35" s="1048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0">_xlfn.IFNA(VLOOKUP(H34,DATA_HDRAG_WEAPON,2,FALSE), 0)</f>
        <v>30</v>
      </c>
      <c r="I36" s="571">
        <f t="shared" si="0"/>
        <v>30</v>
      </c>
      <c r="J36" s="571">
        <f t="shared" si="0"/>
        <v>30</v>
      </c>
      <c r="K36" s="571">
        <f t="shared" si="0"/>
        <v>30</v>
      </c>
      <c r="L36" s="571">
        <f t="shared" si="0"/>
        <v>30</v>
      </c>
      <c r="M36" s="571">
        <f t="shared" si="0"/>
        <v>30</v>
      </c>
      <c r="N36" s="571">
        <f t="shared" si="0"/>
        <v>30</v>
      </c>
      <c r="O36" s="576">
        <f t="shared" si="0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1">_xlfn.IFNA(VLOOKUP(H34,DATA_HDRAG_WEAPON,3,FALSE), 0)</f>
        <v>130</v>
      </c>
      <c r="I37" s="587">
        <f t="shared" si="1"/>
        <v>130</v>
      </c>
      <c r="J37" s="587">
        <f t="shared" si="1"/>
        <v>130</v>
      </c>
      <c r="K37" s="587">
        <f t="shared" si="1"/>
        <v>130</v>
      </c>
      <c r="L37" s="587">
        <f t="shared" si="1"/>
        <v>130</v>
      </c>
      <c r="M37" s="587">
        <f t="shared" si="1"/>
        <v>130</v>
      </c>
      <c r="N37" s="587">
        <f t="shared" si="1"/>
        <v>130</v>
      </c>
      <c r="O37" s="588">
        <f t="shared" si="1"/>
        <v>130</v>
      </c>
      <c r="P37" s="617"/>
      <c r="Q37" s="603"/>
      <c r="R37" s="606"/>
    </row>
    <row r="38" spans="3:18" ht="16.5" customHeight="1" x14ac:dyDescent="0.25">
      <c r="F38" s="970" t="s">
        <v>35</v>
      </c>
      <c r="G38" s="971"/>
      <c r="H38" s="1049" t="s">
        <v>253</v>
      </c>
      <c r="I38" s="1043" t="s">
        <v>250</v>
      </c>
      <c r="J38" s="1043" t="s">
        <v>250</v>
      </c>
      <c r="K38" s="1043" t="s">
        <v>253</v>
      </c>
      <c r="L38" s="1043" t="s">
        <v>250</v>
      </c>
      <c r="M38" s="1043" t="s">
        <v>253</v>
      </c>
      <c r="N38" s="1043" t="s">
        <v>253</v>
      </c>
      <c r="O38" s="1045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72"/>
      <c r="G39" s="973"/>
      <c r="H39" s="1050"/>
      <c r="I39" s="1044"/>
      <c r="J39" s="1044"/>
      <c r="K39" s="1044"/>
      <c r="L39" s="1044"/>
      <c r="M39" s="1044"/>
      <c r="N39" s="1044"/>
      <c r="O39" s="1046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2">_xlfn.IFNA(VLOOKUP(H38,DATA_HDRAG_WEAPON,2,FALSE), 0)</f>
        <v>30</v>
      </c>
      <c r="I40" s="572">
        <f t="shared" si="2"/>
        <v>30</v>
      </c>
      <c r="J40" s="572">
        <f t="shared" si="2"/>
        <v>30</v>
      </c>
      <c r="K40" s="572">
        <f t="shared" si="2"/>
        <v>30</v>
      </c>
      <c r="L40" s="572">
        <f t="shared" si="2"/>
        <v>30</v>
      </c>
      <c r="M40" s="572">
        <f t="shared" si="2"/>
        <v>30</v>
      </c>
      <c r="N40" s="572">
        <f t="shared" si="2"/>
        <v>30</v>
      </c>
      <c r="O40" s="578">
        <f t="shared" si="2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3">_xlfn.IFNA(VLOOKUP(H38,DATA_HDRAG_WEAPON,3,FALSE), 0)</f>
        <v>130</v>
      </c>
      <c r="I41" s="590">
        <f t="shared" si="3"/>
        <v>130</v>
      </c>
      <c r="J41" s="590">
        <f t="shared" si="3"/>
        <v>130</v>
      </c>
      <c r="K41" s="590">
        <f t="shared" si="3"/>
        <v>130</v>
      </c>
      <c r="L41" s="590">
        <f t="shared" si="3"/>
        <v>130</v>
      </c>
      <c r="M41" s="590">
        <f t="shared" si="3"/>
        <v>130</v>
      </c>
      <c r="N41" s="590">
        <f t="shared" si="3"/>
        <v>130</v>
      </c>
      <c r="O41" s="591">
        <f t="shared" si="3"/>
        <v>130</v>
      </c>
      <c r="P41" s="617"/>
      <c r="Q41" s="603"/>
      <c r="R41" s="606"/>
    </row>
    <row r="42" spans="3:18" ht="16.5" customHeight="1" x14ac:dyDescent="0.25">
      <c r="F42" s="1033" t="s">
        <v>31</v>
      </c>
      <c r="G42" s="1034"/>
      <c r="H42" s="1031" t="s">
        <v>253</v>
      </c>
      <c r="I42" s="1029" t="s">
        <v>253</v>
      </c>
      <c r="J42" s="1029" t="s">
        <v>250</v>
      </c>
      <c r="K42" s="1029" t="s">
        <v>253</v>
      </c>
      <c r="L42" s="1029" t="s">
        <v>253</v>
      </c>
      <c r="M42" s="1029" t="s">
        <v>253</v>
      </c>
      <c r="N42" s="1029" t="s">
        <v>250</v>
      </c>
      <c r="O42" s="1039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35"/>
      <c r="G43" s="1036"/>
      <c r="H43" s="1032"/>
      <c r="I43" s="1030"/>
      <c r="J43" s="1030"/>
      <c r="K43" s="1030"/>
      <c r="L43" s="1030"/>
      <c r="M43" s="1030"/>
      <c r="N43" s="1030"/>
      <c r="O43" s="1040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4">_xlfn.IFNA(VLOOKUP(H42,DATA_HDRAG_WEAPON,2,FALSE), 0)</f>
        <v>30</v>
      </c>
      <c r="I44" s="573">
        <f t="shared" si="4"/>
        <v>30</v>
      </c>
      <c r="J44" s="573">
        <f t="shared" si="4"/>
        <v>30</v>
      </c>
      <c r="K44" s="573">
        <f t="shared" si="4"/>
        <v>30</v>
      </c>
      <c r="L44" s="573">
        <f t="shared" si="4"/>
        <v>30</v>
      </c>
      <c r="M44" s="573">
        <f t="shared" si="4"/>
        <v>30</v>
      </c>
      <c r="N44" s="573">
        <f t="shared" si="4"/>
        <v>30</v>
      </c>
      <c r="O44" s="580">
        <f t="shared" si="4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5">_xlfn.IFNA(VLOOKUP(H42,DATA_HDRAG_WEAPON,3,FALSE), 0)</f>
        <v>130</v>
      </c>
      <c r="I45" s="594">
        <f t="shared" si="5"/>
        <v>130</v>
      </c>
      <c r="J45" s="594">
        <f t="shared" si="5"/>
        <v>130</v>
      </c>
      <c r="K45" s="594">
        <f t="shared" si="5"/>
        <v>130</v>
      </c>
      <c r="L45" s="594">
        <f t="shared" si="5"/>
        <v>130</v>
      </c>
      <c r="M45" s="594">
        <f t="shared" si="5"/>
        <v>130</v>
      </c>
      <c r="N45" s="594">
        <f t="shared" si="5"/>
        <v>130</v>
      </c>
      <c r="O45" s="595">
        <f t="shared" si="5"/>
        <v>130</v>
      </c>
      <c r="P45" s="617"/>
      <c r="Q45" s="603"/>
      <c r="R45" s="606"/>
    </row>
    <row r="46" spans="3:18" ht="16.5" customHeight="1" x14ac:dyDescent="0.25">
      <c r="F46" s="1012" t="s">
        <v>36</v>
      </c>
      <c r="G46" s="1013"/>
      <c r="H46" s="1016" t="s">
        <v>250</v>
      </c>
      <c r="I46" s="1018" t="s">
        <v>253</v>
      </c>
      <c r="J46" s="1018" t="s">
        <v>253</v>
      </c>
      <c r="K46" s="1018" t="s">
        <v>253</v>
      </c>
      <c r="L46" s="1018" t="s">
        <v>250</v>
      </c>
      <c r="M46" s="1018" t="s">
        <v>250</v>
      </c>
      <c r="N46" s="1018" t="s">
        <v>250</v>
      </c>
      <c r="O46" s="1037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14"/>
      <c r="G47" s="1015"/>
      <c r="H47" s="1017"/>
      <c r="I47" s="1019"/>
      <c r="J47" s="1019"/>
      <c r="K47" s="1019"/>
      <c r="L47" s="1019"/>
      <c r="M47" s="1019"/>
      <c r="N47" s="1019"/>
      <c r="O47" s="1038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6">_xlfn.IFNA(VLOOKUP(H46,DATA_HDRAG_WEAPON,2,FALSE), 0)</f>
        <v>30</v>
      </c>
      <c r="I48" s="574">
        <f t="shared" si="6"/>
        <v>30</v>
      </c>
      <c r="J48" s="574">
        <f t="shared" si="6"/>
        <v>30</v>
      </c>
      <c r="K48" s="574">
        <f t="shared" si="6"/>
        <v>30</v>
      </c>
      <c r="L48" s="574">
        <f t="shared" si="6"/>
        <v>30</v>
      </c>
      <c r="M48" s="574">
        <f t="shared" si="6"/>
        <v>30</v>
      </c>
      <c r="N48" s="574">
        <f t="shared" si="6"/>
        <v>30</v>
      </c>
      <c r="O48" s="582">
        <f t="shared" si="6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7">_xlfn.IFNA(VLOOKUP(H46,DATA_HDRAG_WEAPON,3,FALSE), 0)</f>
        <v>130</v>
      </c>
      <c r="I49" s="597">
        <f t="shared" si="7"/>
        <v>130</v>
      </c>
      <c r="J49" s="597">
        <f t="shared" si="7"/>
        <v>130</v>
      </c>
      <c r="K49" s="597">
        <f t="shared" si="7"/>
        <v>130</v>
      </c>
      <c r="L49" s="597">
        <f t="shared" si="7"/>
        <v>130</v>
      </c>
      <c r="M49" s="597">
        <f t="shared" si="7"/>
        <v>130</v>
      </c>
      <c r="N49" s="597">
        <f t="shared" si="7"/>
        <v>130</v>
      </c>
      <c r="O49" s="598">
        <f t="shared" si="7"/>
        <v>130</v>
      </c>
      <c r="P49" s="617"/>
      <c r="Q49" s="603"/>
      <c r="R49" s="606"/>
    </row>
    <row r="50" spans="1:18" ht="16.5" customHeight="1" x14ac:dyDescent="0.25">
      <c r="F50" s="1008" t="s">
        <v>37</v>
      </c>
      <c r="G50" s="1009"/>
      <c r="H50" s="1006" t="s">
        <v>253</v>
      </c>
      <c r="I50" s="1004" t="s">
        <v>253</v>
      </c>
      <c r="J50" s="1004" t="s">
        <v>250</v>
      </c>
      <c r="K50" s="1004" t="s">
        <v>250</v>
      </c>
      <c r="L50" s="1004" t="s">
        <v>253</v>
      </c>
      <c r="M50" s="1004" t="s">
        <v>250</v>
      </c>
      <c r="N50" s="1004" t="s">
        <v>253</v>
      </c>
      <c r="O50" s="1002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10"/>
      <c r="G51" s="1011"/>
      <c r="H51" s="1007"/>
      <c r="I51" s="1005"/>
      <c r="J51" s="1005"/>
      <c r="K51" s="1005"/>
      <c r="L51" s="1005"/>
      <c r="M51" s="1005"/>
      <c r="N51" s="1005"/>
      <c r="O51" s="1003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8">_xlfn.IFNA(VLOOKUP(H50,DATA_HDRAG_WEAPON,2,FALSE), 0)</f>
        <v>30</v>
      </c>
      <c r="I52" s="558">
        <f t="shared" si="8"/>
        <v>30</v>
      </c>
      <c r="J52" s="558">
        <f t="shared" si="8"/>
        <v>30</v>
      </c>
      <c r="K52" s="558">
        <f t="shared" si="8"/>
        <v>30</v>
      </c>
      <c r="L52" s="558">
        <f t="shared" si="8"/>
        <v>30</v>
      </c>
      <c r="M52" s="558">
        <f t="shared" si="8"/>
        <v>30</v>
      </c>
      <c r="N52" s="558">
        <f t="shared" si="8"/>
        <v>30</v>
      </c>
      <c r="O52" s="600">
        <f t="shared" si="8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9">_xlfn.IFNA(VLOOKUP(H50,DATA_HDRAG_WEAPON,3,FALSE), 0)</f>
        <v>130</v>
      </c>
      <c r="I53" s="551">
        <f t="shared" si="9"/>
        <v>130</v>
      </c>
      <c r="J53" s="551">
        <f t="shared" si="9"/>
        <v>130</v>
      </c>
      <c r="K53" s="551">
        <f t="shared" si="9"/>
        <v>130</v>
      </c>
      <c r="L53" s="551">
        <f t="shared" si="9"/>
        <v>130</v>
      </c>
      <c r="M53" s="551">
        <f t="shared" si="9"/>
        <v>130</v>
      </c>
      <c r="N53" s="551">
        <f t="shared" si="9"/>
        <v>130</v>
      </c>
      <c r="O53" s="552">
        <f t="shared" si="9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37" t="s">
        <v>241</v>
      </c>
      <c r="C1" s="837"/>
      <c r="D1" s="837"/>
      <c r="E1" s="837" t="s">
        <v>246</v>
      </c>
      <c r="F1" s="837"/>
      <c r="G1" s="837"/>
      <c r="H1" s="83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37" t="s">
        <v>241</v>
      </c>
      <c r="C1" s="837"/>
      <c r="D1" s="837"/>
      <c r="E1" s="837" t="s">
        <v>246</v>
      </c>
      <c r="F1" s="837"/>
      <c r="G1" s="837"/>
      <c r="H1" s="83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37" t="s">
        <v>241</v>
      </c>
      <c r="C1" s="837"/>
      <c r="D1" s="837"/>
      <c r="E1" s="837" t="s">
        <v>246</v>
      </c>
      <c r="F1" s="837"/>
      <c r="G1" s="837"/>
      <c r="H1" s="837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37" t="s">
        <v>241</v>
      </c>
      <c r="C1" s="837"/>
      <c r="D1" s="837"/>
      <c r="E1" s="837" t="s">
        <v>246</v>
      </c>
      <c r="F1" s="837"/>
      <c r="G1" s="837"/>
      <c r="H1" s="837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37" t="s">
        <v>241</v>
      </c>
      <c r="C1" s="837"/>
      <c r="D1" s="837"/>
      <c r="E1" s="837" t="s">
        <v>246</v>
      </c>
      <c r="F1" s="837"/>
      <c r="G1" s="837"/>
      <c r="H1" s="83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68" t="s">
        <v>456</v>
      </c>
      <c r="B1" s="868"/>
      <c r="C1" s="868"/>
      <c r="D1" s="868"/>
      <c r="E1" s="868"/>
      <c r="F1" s="868"/>
      <c r="G1" s="868"/>
      <c r="H1" s="868"/>
      <c r="I1" s="868"/>
      <c r="J1" s="868"/>
      <c r="K1" s="868"/>
      <c r="L1" s="693"/>
      <c r="M1" s="693"/>
    </row>
    <row r="2" spans="1:21" s="690" customFormat="1" ht="21" customHeight="1" x14ac:dyDescent="0.25">
      <c r="A2" s="869" t="s">
        <v>346</v>
      </c>
      <c r="B2" s="862"/>
      <c r="C2" s="863"/>
      <c r="D2" s="862"/>
      <c r="E2" s="863"/>
      <c r="F2" s="862"/>
      <c r="G2" s="863"/>
      <c r="H2" s="862"/>
      <c r="I2" s="863"/>
      <c r="J2" s="862"/>
      <c r="K2" s="863"/>
      <c r="L2" s="862"/>
      <c r="M2" s="863"/>
      <c r="N2" s="862"/>
      <c r="O2" s="863"/>
      <c r="P2" s="862"/>
      <c r="Q2" s="863"/>
      <c r="R2" s="862"/>
      <c r="S2" s="863"/>
      <c r="T2" s="862"/>
      <c r="U2" s="863"/>
    </row>
    <row r="3" spans="1:21" s="612" customFormat="1" ht="21" customHeight="1" x14ac:dyDescent="0.25">
      <c r="A3" s="870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0"/>
      <c r="B4" s="860"/>
      <c r="C4" s="861"/>
      <c r="D4" s="860"/>
      <c r="E4" s="861"/>
      <c r="F4" s="860"/>
      <c r="G4" s="867"/>
      <c r="H4" s="867"/>
      <c r="I4" s="861"/>
      <c r="J4" s="860"/>
      <c r="K4" s="861"/>
      <c r="L4" s="860"/>
      <c r="M4" s="861"/>
      <c r="N4" s="860"/>
      <c r="O4" s="861"/>
      <c r="P4" s="860"/>
      <c r="Q4" s="861"/>
      <c r="R4" s="860"/>
      <c r="S4" s="861"/>
      <c r="T4" s="860"/>
      <c r="U4" s="861"/>
    </row>
    <row r="5" spans="1:21" s="687" customFormat="1" ht="21" customHeight="1" x14ac:dyDescent="0.25">
      <c r="A5" s="834" t="s">
        <v>347</v>
      </c>
      <c r="B5" s="1061" t="s">
        <v>453</v>
      </c>
      <c r="C5" s="831"/>
      <c r="D5" s="1061" t="s">
        <v>453</v>
      </c>
      <c r="E5" s="831"/>
      <c r="F5" s="830" t="s">
        <v>458</v>
      </c>
      <c r="G5" s="831"/>
      <c r="H5" s="830" t="s">
        <v>460</v>
      </c>
      <c r="I5" s="831"/>
      <c r="J5" s="830" t="s">
        <v>439</v>
      </c>
      <c r="K5" s="831"/>
      <c r="L5" s="830"/>
      <c r="M5" s="831"/>
      <c r="N5" s="830"/>
      <c r="O5" s="831"/>
      <c r="P5" s="830"/>
      <c r="Q5" s="831"/>
      <c r="R5" s="830"/>
      <c r="S5" s="831"/>
      <c r="T5" s="830"/>
      <c r="U5" s="831"/>
    </row>
    <row r="6" spans="1:21" s="613" customFormat="1" ht="21" customHeight="1" x14ac:dyDescent="0.25">
      <c r="A6" s="835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36"/>
      <c r="B7" s="1060" t="s">
        <v>454</v>
      </c>
      <c r="C7" s="833"/>
      <c r="D7" s="832" t="s">
        <v>455</v>
      </c>
      <c r="E7" s="833"/>
      <c r="F7" s="832" t="s">
        <v>459</v>
      </c>
      <c r="G7" s="833"/>
      <c r="H7" s="832" t="s">
        <v>463</v>
      </c>
      <c r="I7" s="833"/>
      <c r="J7" s="832" t="s">
        <v>462</v>
      </c>
      <c r="K7" s="833"/>
      <c r="L7" s="832"/>
      <c r="M7" s="833"/>
      <c r="N7" s="832"/>
      <c r="O7" s="833"/>
      <c r="P7" s="832"/>
      <c r="Q7" s="833"/>
      <c r="R7" s="832"/>
      <c r="S7" s="833"/>
      <c r="T7" s="832"/>
      <c r="U7" s="833"/>
    </row>
    <row r="8" spans="1:21" s="691" customFormat="1" ht="21" customHeight="1" x14ac:dyDescent="0.25">
      <c r="A8" s="879" t="s">
        <v>348</v>
      </c>
      <c r="B8" s="877" t="s">
        <v>320</v>
      </c>
      <c r="C8" s="856"/>
      <c r="D8" s="855" t="s">
        <v>369</v>
      </c>
      <c r="E8" s="856"/>
      <c r="F8" s="855" t="s">
        <v>372</v>
      </c>
      <c r="G8" s="856"/>
      <c r="H8" s="855" t="s">
        <v>374</v>
      </c>
      <c r="I8" s="856"/>
      <c r="J8" s="855" t="s">
        <v>345</v>
      </c>
      <c r="K8" s="856"/>
      <c r="L8" s="855"/>
      <c r="M8" s="856"/>
      <c r="N8" s="855"/>
      <c r="O8" s="856"/>
      <c r="P8" s="855"/>
      <c r="Q8" s="856"/>
      <c r="R8" s="855"/>
      <c r="S8" s="856"/>
      <c r="T8" s="855"/>
      <c r="U8" s="856"/>
    </row>
    <row r="9" spans="1:21" s="612" customFormat="1" ht="21" customHeight="1" x14ac:dyDescent="0.25">
      <c r="A9" s="880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80"/>
      <c r="B10" s="1051" t="s">
        <v>368</v>
      </c>
      <c r="C10" s="1052"/>
      <c r="D10" s="1053" t="s">
        <v>371</v>
      </c>
      <c r="E10" s="1052"/>
      <c r="F10" s="1053" t="s">
        <v>373</v>
      </c>
      <c r="G10" s="1052"/>
      <c r="H10" s="1053" t="s">
        <v>376</v>
      </c>
      <c r="I10" s="1052"/>
      <c r="J10" s="1053" t="s">
        <v>377</v>
      </c>
      <c r="K10" s="1052"/>
      <c r="L10" s="853"/>
      <c r="M10" s="854"/>
      <c r="N10" s="853"/>
      <c r="O10" s="854"/>
      <c r="P10" s="853"/>
      <c r="Q10" s="854"/>
      <c r="R10" s="853"/>
      <c r="S10" s="854"/>
      <c r="T10" s="853"/>
      <c r="U10" s="854"/>
    </row>
    <row r="11" spans="1:21" s="691" customFormat="1" ht="21" customHeight="1" x14ac:dyDescent="0.25">
      <c r="A11" s="880"/>
      <c r="B11" s="877" t="s">
        <v>360</v>
      </c>
      <c r="C11" s="856"/>
      <c r="D11" s="855" t="s">
        <v>447</v>
      </c>
      <c r="E11" s="856"/>
      <c r="F11" s="855" t="s">
        <v>451</v>
      </c>
      <c r="G11" s="856"/>
      <c r="H11" s="855"/>
      <c r="I11" s="856"/>
      <c r="J11" s="855"/>
      <c r="K11" s="856"/>
      <c r="L11" s="855"/>
      <c r="M11" s="856"/>
      <c r="N11" s="855"/>
      <c r="O11" s="856"/>
      <c r="P11" s="855"/>
      <c r="Q11" s="856"/>
      <c r="R11" s="855"/>
      <c r="S11" s="856"/>
      <c r="T11" s="855"/>
      <c r="U11" s="856"/>
    </row>
    <row r="12" spans="1:21" s="612" customFormat="1" ht="21" customHeight="1" x14ac:dyDescent="0.25">
      <c r="A12" s="880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81"/>
      <c r="B13" s="1051" t="s">
        <v>413</v>
      </c>
      <c r="C13" s="1052"/>
      <c r="D13" s="1053"/>
      <c r="E13" s="1052"/>
      <c r="F13" s="1053" t="s">
        <v>413</v>
      </c>
      <c r="G13" s="1052"/>
      <c r="H13" s="1053"/>
      <c r="I13" s="1052"/>
      <c r="J13" s="1053"/>
      <c r="K13" s="1052"/>
      <c r="L13" s="853"/>
      <c r="M13" s="854"/>
      <c r="N13" s="853"/>
      <c r="O13" s="854"/>
      <c r="P13" s="853"/>
      <c r="Q13" s="854"/>
      <c r="R13" s="853"/>
      <c r="S13" s="854"/>
      <c r="T13" s="853"/>
      <c r="U13" s="854"/>
    </row>
    <row r="14" spans="1:21" s="161" customFormat="1" ht="21" customHeight="1" x14ac:dyDescent="0.25">
      <c r="A14" s="850" t="s">
        <v>349</v>
      </c>
      <c r="B14" s="848" t="s">
        <v>382</v>
      </c>
      <c r="C14" s="849"/>
      <c r="D14" s="848" t="s">
        <v>391</v>
      </c>
      <c r="E14" s="849"/>
      <c r="F14" s="848" t="s">
        <v>390</v>
      </c>
      <c r="G14" s="849"/>
      <c r="H14" s="848" t="s">
        <v>388</v>
      </c>
      <c r="I14" s="849"/>
      <c r="J14" s="848" t="s">
        <v>397</v>
      </c>
      <c r="K14" s="849"/>
      <c r="L14" s="882"/>
      <c r="M14" s="849"/>
      <c r="N14" s="848"/>
      <c r="O14" s="849"/>
      <c r="P14" s="848"/>
      <c r="Q14" s="849"/>
      <c r="R14" s="848"/>
      <c r="S14" s="849"/>
      <c r="T14" s="848"/>
      <c r="U14" s="849"/>
    </row>
    <row r="15" spans="1:21" s="612" customFormat="1" ht="21" customHeight="1" x14ac:dyDescent="0.25">
      <c r="A15" s="851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1"/>
      <c r="B16" s="846" t="s">
        <v>387</v>
      </c>
      <c r="C16" s="847"/>
      <c r="D16" s="1054" t="s">
        <v>394</v>
      </c>
      <c r="E16" s="1055"/>
      <c r="F16" s="846" t="s">
        <v>396</v>
      </c>
      <c r="G16" s="847"/>
      <c r="H16" s="846" t="s">
        <v>392</v>
      </c>
      <c r="I16" s="847"/>
      <c r="J16" s="846" t="s">
        <v>392</v>
      </c>
      <c r="K16" s="847"/>
      <c r="L16" s="883"/>
      <c r="M16" s="847"/>
      <c r="N16" s="846"/>
      <c r="O16" s="847"/>
      <c r="P16" s="846"/>
      <c r="Q16" s="847"/>
      <c r="R16" s="846"/>
      <c r="S16" s="847"/>
      <c r="T16" s="846"/>
      <c r="U16" s="847"/>
    </row>
    <row r="17" spans="1:21" s="161" customFormat="1" ht="21" customHeight="1" x14ac:dyDescent="0.25">
      <c r="A17" s="851"/>
      <c r="B17" s="848" t="s">
        <v>382</v>
      </c>
      <c r="C17" s="849"/>
      <c r="D17" s="848" t="s">
        <v>386</v>
      </c>
      <c r="E17" s="849"/>
      <c r="F17" s="848" t="s">
        <v>391</v>
      </c>
      <c r="G17" s="849"/>
      <c r="H17" s="1058" t="s">
        <v>444</v>
      </c>
      <c r="I17" s="1059"/>
      <c r="J17" s="1058"/>
      <c r="K17" s="1059"/>
      <c r="L17" s="848"/>
      <c r="M17" s="849"/>
      <c r="N17" s="848"/>
      <c r="O17" s="849"/>
      <c r="P17" s="848"/>
      <c r="Q17" s="849"/>
      <c r="R17" s="848"/>
      <c r="S17" s="849"/>
      <c r="T17" s="848"/>
      <c r="U17" s="849"/>
    </row>
    <row r="18" spans="1:21" s="612" customFormat="1" ht="21" customHeight="1" x14ac:dyDescent="0.25">
      <c r="A18" s="851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1"/>
      <c r="B19" s="846" t="s">
        <v>385</v>
      </c>
      <c r="C19" s="847"/>
      <c r="D19" s="846" t="s">
        <v>403</v>
      </c>
      <c r="E19" s="847"/>
      <c r="F19" s="846" t="s">
        <v>393</v>
      </c>
      <c r="G19" s="847"/>
      <c r="H19" s="846"/>
      <c r="I19" s="847"/>
      <c r="J19" s="846"/>
      <c r="K19" s="847"/>
      <c r="L19" s="846"/>
      <c r="M19" s="847"/>
      <c r="N19" s="846"/>
      <c r="O19" s="847"/>
      <c r="P19" s="846"/>
      <c r="Q19" s="847"/>
      <c r="R19" s="846"/>
      <c r="S19" s="847"/>
      <c r="T19" s="846"/>
      <c r="U19" s="847"/>
    </row>
    <row r="20" spans="1:21" s="161" customFormat="1" ht="21" customHeight="1" x14ac:dyDescent="0.25">
      <c r="A20" s="851"/>
      <c r="B20" s="1058" t="s">
        <v>397</v>
      </c>
      <c r="C20" s="1059"/>
      <c r="D20" s="1058" t="s">
        <v>285</v>
      </c>
      <c r="E20" s="1059"/>
      <c r="F20" s="848" t="s">
        <v>382</v>
      </c>
      <c r="G20" s="849"/>
      <c r="H20" s="1058" t="s">
        <v>406</v>
      </c>
      <c r="I20" s="1059"/>
      <c r="J20" s="1058"/>
      <c r="K20" s="1059"/>
      <c r="L20" s="848"/>
      <c r="M20" s="849"/>
      <c r="N20" s="848"/>
      <c r="O20" s="849"/>
      <c r="P20" s="848"/>
      <c r="Q20" s="849"/>
      <c r="R20" s="848"/>
      <c r="S20" s="849"/>
      <c r="T20" s="848"/>
      <c r="U20" s="849"/>
    </row>
    <row r="21" spans="1:21" s="612" customFormat="1" ht="21" customHeight="1" x14ac:dyDescent="0.25">
      <c r="A21" s="851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2"/>
      <c r="B22" s="846" t="s">
        <v>405</v>
      </c>
      <c r="C22" s="847"/>
      <c r="D22" s="846" t="s">
        <v>405</v>
      </c>
      <c r="E22" s="847"/>
      <c r="F22" s="846" t="s">
        <v>405</v>
      </c>
      <c r="G22" s="847"/>
      <c r="H22" s="846" t="s">
        <v>405</v>
      </c>
      <c r="I22" s="847"/>
      <c r="J22" s="846"/>
      <c r="K22" s="847"/>
      <c r="L22" s="846"/>
      <c r="M22" s="847"/>
      <c r="N22" s="846"/>
      <c r="O22" s="847"/>
      <c r="P22" s="846"/>
      <c r="Q22" s="847"/>
      <c r="R22" s="846"/>
      <c r="S22" s="847"/>
      <c r="T22" s="846"/>
      <c r="U22" s="847"/>
    </row>
    <row r="23" spans="1:21" s="692" customFormat="1" ht="21" customHeight="1" x14ac:dyDescent="0.25">
      <c r="A23" s="871" t="s">
        <v>350</v>
      </c>
      <c r="B23" s="1056"/>
      <c r="C23" s="1057"/>
      <c r="D23" s="1056"/>
      <c r="E23" s="1057"/>
      <c r="F23" s="841"/>
      <c r="G23" s="842"/>
      <c r="H23" s="841"/>
      <c r="I23" s="842"/>
      <c r="J23" s="841"/>
      <c r="K23" s="842"/>
      <c r="L23" s="841"/>
      <c r="M23" s="842"/>
      <c r="N23" s="841"/>
      <c r="O23" s="842"/>
      <c r="P23" s="841"/>
      <c r="Q23" s="842"/>
      <c r="R23" s="841"/>
      <c r="S23" s="842"/>
      <c r="T23" s="841"/>
      <c r="U23" s="842"/>
    </row>
    <row r="24" spans="1:21" s="612" customFormat="1" ht="21" customHeight="1" x14ac:dyDescent="0.25">
      <c r="A24" s="872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3"/>
      <c r="B25" s="839"/>
      <c r="C25" s="840"/>
      <c r="D25" s="839"/>
      <c r="E25" s="840"/>
      <c r="F25" s="839"/>
      <c r="G25" s="840"/>
      <c r="H25" s="839"/>
      <c r="I25" s="840"/>
      <c r="J25" s="839"/>
      <c r="K25" s="840"/>
      <c r="L25" s="839"/>
      <c r="M25" s="840"/>
      <c r="N25" s="839"/>
      <c r="O25" s="840"/>
      <c r="P25" s="839"/>
      <c r="Q25" s="840"/>
      <c r="R25" s="839"/>
      <c r="S25" s="840"/>
      <c r="T25" s="839"/>
      <c r="U25" s="840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L12" sqref="L12:L14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87" t="s">
        <v>344</v>
      </c>
      <c r="D2" s="1088"/>
      <c r="E2" s="1089"/>
      <c r="F2" s="1092" t="s">
        <v>354</v>
      </c>
      <c r="G2" s="1092" t="s">
        <v>355</v>
      </c>
      <c r="I2" s="1094" t="s">
        <v>402</v>
      </c>
      <c r="J2" s="1104" t="s">
        <v>66</v>
      </c>
      <c r="K2" s="1087" t="s">
        <v>483</v>
      </c>
      <c r="L2" s="1089"/>
      <c r="M2" s="1087" t="s">
        <v>241</v>
      </c>
      <c r="N2" s="1088"/>
      <c r="O2" s="1089"/>
      <c r="P2" s="1087" t="s">
        <v>246</v>
      </c>
      <c r="Q2" s="1088"/>
      <c r="R2" s="1088"/>
      <c r="S2" s="1089"/>
      <c r="T2" s="240"/>
      <c r="U2" s="1062" t="s">
        <v>480</v>
      </c>
      <c r="V2" s="1063"/>
      <c r="W2" s="1064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93"/>
      <c r="G3" s="1093"/>
      <c r="I3" s="1095"/>
      <c r="J3" s="1105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95"/>
      <c r="J4" s="635" t="s">
        <v>346</v>
      </c>
      <c r="K4" s="695">
        <f>IFERROR(COUNT(AGITO_FLAME_STD_SILVER),"")</f>
        <v>0</v>
      </c>
      <c r="L4" s="658" t="str">
        <f>IFERROR(AVERAGE(AGITO_FLAME_STD_SILVER) + 2,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IFERROR(_xlfn.CEILING.MATH((AGITO_WEAPON_MUB_SILVER - V4*N4) / L4),"")</f>
        <v/>
      </c>
      <c r="V4" s="779" t="str" cm="1">
        <f t="array" ref="V4">IFERROR(_xlfn.CEILING.MATH((AGITO_WEAPON_MUB_GOLD - W4*Q4) / O4),"")</f>
        <v/>
      </c>
      <c r="W4" s="780" t="str" cm="1">
        <f t="array" ref="W4">IFERROR(_xlfn.CEILING.MATH(AGITO_WEAPON_MUB_POT / R4),"")</f>
        <v/>
      </c>
    </row>
    <row r="5" spans="1:26" s="307" customFormat="1" ht="21.95" customHeight="1" x14ac:dyDescent="0.25">
      <c r="B5" s="636" t="s">
        <v>347</v>
      </c>
      <c r="C5" s="644">
        <v>2397</v>
      </c>
      <c r="D5" s="645">
        <v>2919</v>
      </c>
      <c r="E5" s="645"/>
      <c r="F5" s="645">
        <v>8</v>
      </c>
      <c r="G5" s="646">
        <v>25</v>
      </c>
      <c r="I5" s="1095"/>
      <c r="J5" s="636" t="s">
        <v>347</v>
      </c>
      <c r="K5" s="632">
        <f>IFERROR(COUNT(AGITO_WATER_STD_SILVER),"")</f>
        <v>70</v>
      </c>
      <c r="L5" s="660">
        <f>IFERROR(AVERAGE(AGITO_WATER_STD_SILVER) + 2, "")</f>
        <v>7.128571428571429</v>
      </c>
      <c r="M5" s="632">
        <f>IFERROR(COUNT(AGITO_WATER_EXP_SILVER),"")</f>
        <v>389</v>
      </c>
      <c r="N5" s="660">
        <f>IFERROR(AVERAGE(AGITO_WATER_EXP_SILVER),"")</f>
        <v>2.5861182519280206</v>
      </c>
      <c r="O5" s="661">
        <f>IFERROR(AVERAGE(AGITO_WATER_EXP_GOLD),"")</f>
        <v>3.480719794344473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IFERROR(_xlfn.CEILING.MATH((AGITO_WEAPON_MUB_SILVER - V5*N5) / L5),"")</f>
        <v/>
      </c>
      <c r="V5" s="782" t="str" cm="1">
        <f t="array" ref="V5">IFERROR(_xlfn.CEILING.MATH((AGITO_WEAPON_MUB_GOLD - W5*Q5) / O5),"")</f>
        <v/>
      </c>
      <c r="W5" s="783" t="str" cm="1">
        <f t="array" ref="W5">IFERROR(_xlfn.CEILING.MATH(AGITO_WEAPON_MUB_POT / R5),"")</f>
        <v/>
      </c>
    </row>
    <row r="6" spans="1:26" ht="21.95" customHeight="1" x14ac:dyDescent="0.25">
      <c r="B6" s="637" t="s">
        <v>348</v>
      </c>
      <c r="C6" s="647">
        <v>2656</v>
      </c>
      <c r="D6" s="648">
        <v>3078</v>
      </c>
      <c r="E6" s="648">
        <v>325</v>
      </c>
      <c r="F6" s="648">
        <v>8</v>
      </c>
      <c r="G6" s="649">
        <v>25</v>
      </c>
      <c r="I6" s="1095"/>
      <c r="J6" s="637" t="s">
        <v>348</v>
      </c>
      <c r="K6" s="633">
        <f>IFERROR(COUNT(AGITO_WIND_STD_SILVER),"")</f>
        <v>367</v>
      </c>
      <c r="L6" s="662">
        <f>IFERROR(AVERAGE(AGITO_WIND_STD_SILVER) + 2, "")</f>
        <v>7.1907356948228882</v>
      </c>
      <c r="M6" s="633">
        <f>IFERROR(COUNT(AGITO_WIND_EXP_SILVER),"")</f>
        <v>1069</v>
      </c>
      <c r="N6" s="662">
        <f>IFERROR(AVERAGE(AGITO_WIND_EXP_SILVER),"")</f>
        <v>2.6454630495790457</v>
      </c>
      <c r="O6" s="663">
        <f>IFERROR(AVERAGE(AGITO_WIND_EXP_GOLD),"")</f>
        <v>3.4387277829747429</v>
      </c>
      <c r="P6" s="633">
        <f>IFERROR(COUNT(AGITO_WIND_MST_GOLD),"")</f>
        <v>182</v>
      </c>
      <c r="Q6" s="662">
        <f>IFERROR(AVERAGE(AGITO_WIND_MST_GOLD),"")</f>
        <v>2.0384615384615383</v>
      </c>
      <c r="R6" s="662">
        <f>IFERROR(AVERAGE(AGITO_WIND_MST_POT),"")</f>
        <v>3.0549450549450547</v>
      </c>
      <c r="S6" s="663">
        <f>IFERROR(AVERAGE(AGITO_WIND_MST_ORIHAL),"")</f>
        <v>1.0714285714285714</v>
      </c>
      <c r="T6" s="667"/>
      <c r="U6" s="784" cm="1">
        <f t="array" ref="U6">IFERROR(_xlfn.CEILING.MATH((AGITO_WEAPON_MUB_SILVER - V6*N6) / L6),"")</f>
        <v>20</v>
      </c>
      <c r="V6" s="785" cm="1">
        <f t="array" ref="V6">IFERROR(_xlfn.CEILING.MATH((AGITO_WEAPON_MUB_GOLD - W6*Q6) / O6),"")</f>
        <v>52</v>
      </c>
      <c r="W6" s="786" cm="1">
        <f t="array" ref="W6">IFERROR(_xlfn.CEILING.MATH(AGITO_WEAPON_MUB_POT / R6),"")</f>
        <v>12</v>
      </c>
    </row>
    <row r="7" spans="1:26" ht="21.95" customHeight="1" x14ac:dyDescent="0.25">
      <c r="B7" s="638" t="s">
        <v>349</v>
      </c>
      <c r="C7" s="650">
        <v>2293</v>
      </c>
      <c r="D7" s="651">
        <v>1893</v>
      </c>
      <c r="E7" s="651"/>
      <c r="F7" s="651">
        <v>8</v>
      </c>
      <c r="G7" s="652">
        <v>25</v>
      </c>
      <c r="I7" s="1095"/>
      <c r="J7" s="638" t="s">
        <v>349</v>
      </c>
      <c r="K7" s="699">
        <f>IFERROR(COUNT(AGITO_LIGHT_STD_SILVER),"")</f>
        <v>92</v>
      </c>
      <c r="L7" s="664">
        <f>IFERROR(AVERAGE(AGITO_LIGHT_STD_SILVER) + 2, "")</f>
        <v>7.2065217391304346</v>
      </c>
      <c r="M7" s="699">
        <f>IFERROR(COUNT(AGITO_LIGHT_EXP_SILVER),"")</f>
        <v>844</v>
      </c>
      <c r="N7" s="664">
        <f>IFERROR(AVERAGE(AGITO_LIGHT_EXP_SILVER),"")</f>
        <v>2.5687203791469195</v>
      </c>
      <c r="O7" s="665">
        <f>IFERROR(AVERAGE(AGITO_LIGHT_EXP_GOLD),"")</f>
        <v>3.5094786729857819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IFERROR(_xlfn.CEILING.MATH((AGITO_WEAPON_MUB_SILVER - V7*N7) / L7),"")</f>
        <v/>
      </c>
      <c r="V7" s="788" t="str" cm="1">
        <f t="array" ref="V7">IFERROR(_xlfn.CEILING.MATH((AGITO_WEAPON_MUB_GOLD - W7*Q7) / O7),"")</f>
        <v/>
      </c>
      <c r="W7" s="789" t="str" cm="1">
        <f t="array" ref="W7">IFERROR(_xlfn.CEILING.MATH(AGITO_WEAPON_MUB_POT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95"/>
      <c r="J8" s="703" t="s">
        <v>350</v>
      </c>
      <c r="K8" s="700">
        <f>IFERROR(COUNT(AGITO_SHADOW_STD_SILVER),"")</f>
        <v>0</v>
      </c>
      <c r="L8" s="701" t="str">
        <f>IFERROR(AVERAGE(AGITO_SHADOW_STD_SILVER) + 2,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IFERROR(_xlfn.CEILING.MATH((AGITO_WEAPON_MUB_SILVER - V8*N8) / L8),"")</f>
        <v/>
      </c>
      <c r="V8" s="791" t="str" cm="1">
        <f t="array" ref="V8">IFERROR(_xlfn.CEILING.MATH((AGITO_WEAPON_MUB_GOLD - W8*Q8) / O8),"")</f>
        <v/>
      </c>
      <c r="W8" s="792" t="str" cm="1">
        <f t="array" ref="W8">IFERROR(_xlfn.CEILING.MATH(AGITO_WEAPON_MUB_POT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096"/>
      <c r="J9" s="704" t="s">
        <v>238</v>
      </c>
      <c r="K9" s="705">
        <f>IFERROR(COUNT(AGITO_FLAME_STD_SILVER,AGITO_WATER_STD_SILVER,AGITO_WIND_STD_SILVER,AGITO_LIGHT_STD_SILVER,AGITO_SHADOW_STD_SILVER),"")</f>
        <v>529</v>
      </c>
      <c r="L9" s="708">
        <f>IFERROR(AVERAGE(AGITO_FLAME_STD_SILVER,AGITO_WATER_STD_SILVER,AGITO_WIND_STD_SILVER,AGITO_LIGHT_STD_SILVER,AGITO_SHADOW_STD_SILVER) + 2,"")</f>
        <v>7.1852551984877131</v>
      </c>
      <c r="M9" s="705">
        <f>IFERROR(COUNT(AGITO_FLAME_EXP_SILVER,AGITO_WATER_EXP_SILVER,AGITO_WIND_EXP_SILVER,AGITO_LIGHT_EXP_SILVER,AGITO_SHADOW_EXP_SILVER),"")</f>
        <v>2302</v>
      </c>
      <c r="N9" s="708">
        <f>IFERROR(AVERAGE(AGITO_FLAME_EXP_SILVER,AGITO_WATER_EXP_SILVER,AGITO_WIND_EXP_SILVER,AGITO_LIGHT_EXP_SILVER,AGITO_SHADOW_EXP_SILVER),"")</f>
        <v>2.6072980017376195</v>
      </c>
      <c r="O9" s="706">
        <f>IFERROR(AVERAGE(AGITO_FLAME_EXP_GOLD,AGITO_WATER_EXP_GOLD,AGITO_WIND_EXP_GOLD,AGITO_LIGHT_EXP_GOLD,AGITO_SHADOW_EXP_GOLD),"")</f>
        <v>3.4717636837532582</v>
      </c>
      <c r="P9" s="705">
        <f>IFERROR(COUNT(AGITO_FLAME_MST_GOLD,AGITO_WATER_MST_GOLD,AGITO_WIND_MST_GOLD,AGITO_LIGHT_MST_GOLD,AGITO_SHADOW_MST_GOLD),"")</f>
        <v>182</v>
      </c>
      <c r="Q9" s="708">
        <f>IFERROR(AVERAGE(AGITO_FLAME_MST_GOLD,AGITO_WATER_MST_GOLD,AGITO_WIND_MST_GOLD,AGITO_LIGHT_MST_GOLD,AGITO_SHADOW_MST_GOLD),"")</f>
        <v>2.0384615384615383</v>
      </c>
      <c r="R9" s="708">
        <f>IFERROR(AVERAGE(AGITO_FLAME_MST_POT,AGITO_WATER_MST_POT,AGITO_WIND_MST_POT,AGITO_LIGHT_MST_POT,AGITO_SHADOW_MST_POT),"")</f>
        <v>3.0549450549450547</v>
      </c>
      <c r="S9" s="706">
        <f>IFERROR(AVERAGE(AGITO_FLAME_MST_ORIHAL,AGITO_WATER_MST_ORIHAL,AGITO_WIND_MST_ORIHAL,AGITO_LIGHT_MST_ORIHAL,AGITO_SHADOW_MST_ORIHAL),"")</f>
        <v>1.0714285714285714</v>
      </c>
      <c r="T9" s="672"/>
      <c r="U9" s="808" cm="1">
        <f t="array" ref="U9">IFERROR(_xlfn.CEILING.MATH((AGITO_WEAPON_MUB_SILVER - V9*N9) / L9),"")</f>
        <v>21</v>
      </c>
      <c r="V9" s="793" cm="1">
        <f t="array" ref="V9">IFERROR(_xlfn.CEILING.MATH((AGITO_WEAPON_MUB_GOLD - W9*Q9) / O9),"")</f>
        <v>51</v>
      </c>
      <c r="W9" s="794" cm="1">
        <f t="array" ref="W9">IFERROR(_xlfn.CEILING.MATH(AGITO_WEAPON_MUB_POT / R9),"")</f>
        <v>12</v>
      </c>
      <c r="X9" s="667"/>
      <c r="Y9" s="240"/>
      <c r="Z9" s="240"/>
    </row>
    <row r="10" spans="1:26" ht="15" customHeight="1" x14ac:dyDescent="0.25">
      <c r="B10" s="763"/>
      <c r="C10" s="1109" t="s">
        <v>38</v>
      </c>
      <c r="D10" s="1110"/>
      <c r="E10" s="1110"/>
      <c r="F10" s="1111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108" t="s">
        <v>65</v>
      </c>
      <c r="D11" s="1106"/>
      <c r="E11" s="1106" t="s">
        <v>64</v>
      </c>
      <c r="F11" s="1107"/>
      <c r="G11" s="765"/>
      <c r="I11" s="1099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097" t="s">
        <v>24</v>
      </c>
      <c r="T11" s="1098"/>
      <c r="U11" s="795" t="s">
        <v>351</v>
      </c>
      <c r="V11" s="796" t="s">
        <v>352</v>
      </c>
      <c r="W11" s="796" t="s">
        <v>479</v>
      </c>
      <c r="X11" s="666" t="s">
        <v>323</v>
      </c>
    </row>
    <row r="12" spans="1:26" s="307" customFormat="1" ht="18.95" customHeight="1" x14ac:dyDescent="0.25">
      <c r="B12" s="974" t="s">
        <v>346</v>
      </c>
      <c r="C12" s="1072" t="str">
        <f>IF(ISBLANK(G4),"",INDEX(DATA_AGITO_BUILDING,G4+ 1, 1))</f>
        <v/>
      </c>
      <c r="D12" s="1072"/>
      <c r="E12" s="1072" t="str">
        <f>IF(ISBLANK(G4),"",INDEX(DATA_AGITO_BUILDING,G4+ 1, 2))</f>
        <v/>
      </c>
      <c r="F12" s="1112"/>
      <c r="G12" s="764"/>
      <c r="I12" s="1100"/>
      <c r="J12" s="1084"/>
      <c r="K12" s="1090"/>
      <c r="L12" s="1090"/>
      <c r="M12" s="1090"/>
      <c r="N12" s="1090"/>
      <c r="O12" s="1090"/>
      <c r="P12" s="1090"/>
      <c r="Q12" s="1090"/>
      <c r="R12" s="771" t="str" cm="1">
        <f t="array" ref="R12">IF(ISBLANK(C4),"",(SUM(J15:Q15) + C4) / AGITO_WEAPON_MUB_SILVER)</f>
        <v/>
      </c>
      <c r="S12" s="615" t="str" cm="1">
        <f t="array" ref="S12">IF(ISBLANK(C4),"",-(F4 * AGITO_WEAPON_MUB_SILVER - SUM(J15:Q15) - C4))</f>
        <v/>
      </c>
      <c r="T12" s="760" t="s">
        <v>65</v>
      </c>
      <c r="U12" s="797" t="str">
        <f>IF(AND(K4&gt;0,S12&lt;0), _xlfn.CEILING.MATH(-S12/L4),"")</f>
        <v/>
      </c>
      <c r="V12" s="798" t="str">
        <f>IF(AND(M4&gt;0,S12&lt;0), _xlfn.CEILING.MATH(-S12/N4),"")</f>
        <v/>
      </c>
      <c r="W12" s="799" t="s">
        <v>157</v>
      </c>
      <c r="X12" s="668" t="str">
        <f>IFERROR((-F4 * AGITO_WEAPON_MUB_SILVER - S12)/(-F4 * AGITO_WEAPON_MUB_SILVER),"")</f>
        <v/>
      </c>
    </row>
    <row r="13" spans="1:26" s="307" customFormat="1" ht="18.95" customHeight="1" x14ac:dyDescent="0.25">
      <c r="B13" s="976"/>
      <c r="C13" s="1073"/>
      <c r="D13" s="1073"/>
      <c r="E13" s="1073"/>
      <c r="F13" s="1113"/>
      <c r="G13" s="764"/>
      <c r="I13" s="1100"/>
      <c r="J13" s="1085"/>
      <c r="K13" s="1091"/>
      <c r="L13" s="1091"/>
      <c r="M13" s="1091"/>
      <c r="N13" s="1091"/>
      <c r="O13" s="1091"/>
      <c r="P13" s="1091"/>
      <c r="Q13" s="1091"/>
      <c r="R13" s="772" t="str" cm="1">
        <f t="array" ref="R13">IF(ISBLANK(D4),"",(SUM(J16:Q16) + D4) / AGITO_WEAPON_MUB_GOLD)</f>
        <v/>
      </c>
      <c r="S13" s="616" t="str" cm="1">
        <f t="array" ref="S13">IF(ISBLANK(D4),"",-(F4 * AGITO_WEAPON_MUB_GOLD - SUM(J16:Q16) - D4))</f>
        <v/>
      </c>
      <c r="T13" s="758" t="s">
        <v>64</v>
      </c>
      <c r="U13" s="800" t="s">
        <v>157</v>
      </c>
      <c r="V13" s="801" t="str">
        <f>IF(AND(M4&gt;0,S13&lt;0), _xlfn.CEILING.MATH(-S13/O4),"")</f>
        <v/>
      </c>
      <c r="W13" s="802" t="str">
        <f>IF(AND(P4&gt;0,S13&lt;0), _xlfn.CEILING.MATH(-S13/Q4),"")</f>
        <v/>
      </c>
      <c r="X13" s="669" t="str">
        <f>IFERROR((-F4 * AGITO_WEAPON_MUB_GOLD - S13)/(-F4 * AGITO_WEAPON_MUB_GOLD),"")</f>
        <v/>
      </c>
    </row>
    <row r="14" spans="1:26" s="307" customFormat="1" ht="18.95" customHeight="1" x14ac:dyDescent="0.25">
      <c r="B14" s="976"/>
      <c r="C14" s="1073"/>
      <c r="D14" s="1073"/>
      <c r="E14" s="1073"/>
      <c r="F14" s="1113"/>
      <c r="G14" s="764"/>
      <c r="I14" s="1100"/>
      <c r="J14" s="1085"/>
      <c r="K14" s="1091"/>
      <c r="L14" s="1091"/>
      <c r="M14" s="1091"/>
      <c r="N14" s="1091"/>
      <c r="O14" s="1091"/>
      <c r="P14" s="1091"/>
      <c r="Q14" s="1091"/>
      <c r="R14" s="772" t="str" cm="1">
        <f t="array" ref="R14">IF(ISBLANK(E5),"",(SUM(J17:Q17) + E5) / AGITO_WEAPON_MUB_POT)</f>
        <v/>
      </c>
      <c r="S14" s="616" t="str" cm="1">
        <f t="array" ref="S14">IF(ISBLANK(E4),"",-(F4 * AGITO_WEAPON_MUB_POT - SUM(J17:Q17) - E4))</f>
        <v/>
      </c>
      <c r="T14" s="758" t="s">
        <v>475</v>
      </c>
      <c r="U14" s="800" t="s">
        <v>157</v>
      </c>
      <c r="V14" s="801" t="s">
        <v>157</v>
      </c>
      <c r="W14" s="802" t="str">
        <f>IF(AND(P4&gt;0,S14&lt;0), _xlfn.CEILING.MATH(-S14/R4),"")</f>
        <v/>
      </c>
      <c r="X14" s="669" t="str">
        <f>IFERROR((-F4 * AGITO_WEAPON_MUB_POT - S14)/(-F4 * AGITO_WEAPON_MUB_POT),"")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100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800"/>
      <c r="V15" s="801"/>
      <c r="W15" s="802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100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800"/>
      <c r="V16" s="801"/>
      <c r="W16" s="802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100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800"/>
      <c r="V17" s="801"/>
      <c r="W17" s="802"/>
      <c r="X17" s="669"/>
    </row>
    <row r="18" spans="2:24" s="307" customFormat="1" ht="18.95" customHeight="1" x14ac:dyDescent="0.25">
      <c r="B18" s="972" t="s">
        <v>347</v>
      </c>
      <c r="C18" s="1074">
        <f>IF(ISBLANK(G5),"",INDEX(DATA_AGITO_BUILDING,G5+ 1, 1))</f>
        <v>0</v>
      </c>
      <c r="D18" s="1074"/>
      <c r="E18" s="1074">
        <f>IF(ISBLANK(G5),"",INDEX(DATA_AGITO_BUILDING,G5+ 1, 2))</f>
        <v>0</v>
      </c>
      <c r="F18" s="1075"/>
      <c r="G18" s="764"/>
      <c r="I18" s="1100"/>
      <c r="J18" s="1083">
        <v>614</v>
      </c>
      <c r="K18" s="1079">
        <v>614</v>
      </c>
      <c r="L18" s="1079">
        <v>614</v>
      </c>
      <c r="M18" s="1079">
        <v>614</v>
      </c>
      <c r="N18" s="1079">
        <v>614</v>
      </c>
      <c r="O18" s="1079">
        <v>614</v>
      </c>
      <c r="P18" s="1079">
        <v>614</v>
      </c>
      <c r="Q18" s="1079">
        <v>614</v>
      </c>
      <c r="R18" s="772" cm="1">
        <f t="array" ref="R18">IF(ISBLANK(C5),"",(SUM(J21:Q21) + C5) / AGITO_WEAPON_MUB_SILVER)</f>
        <v>14.275</v>
      </c>
      <c r="S18" s="616" cm="1">
        <f t="array" ref="S18">IF(ISBLANK(C5),"",-(F5 * AGITO_WEAPON_MUB_SILVER - SUM(J21:Q21) - C5))</f>
        <v>1757</v>
      </c>
      <c r="T18" s="758" t="s">
        <v>65</v>
      </c>
      <c r="U18" s="800" t="str">
        <f>IF(AND(K5&gt;0,S18&lt;0), _xlfn.CEILING.MATH(-S18/L5),"")</f>
        <v/>
      </c>
      <c r="V18" s="801" t="str">
        <f>IF(AND(M5&gt;0,S18&lt;0), _xlfn.CEILING.MATH(-S18/N5),"")</f>
        <v/>
      </c>
      <c r="W18" s="802" t="s">
        <v>157</v>
      </c>
      <c r="X18" s="669">
        <f>IFERROR((-F5 * AGITO_WEAPON_MUB_SILVER - S18)/(-F5 * AGITO_WEAPON_MUB_SILVER),"")</f>
        <v>1.784375</v>
      </c>
    </row>
    <row r="19" spans="2:24" s="307" customFormat="1" ht="18.95" customHeight="1" x14ac:dyDescent="0.25">
      <c r="B19" s="972"/>
      <c r="C19" s="1074"/>
      <c r="D19" s="1074"/>
      <c r="E19" s="1074"/>
      <c r="F19" s="1075"/>
      <c r="G19" s="764"/>
      <c r="I19" s="1100"/>
      <c r="J19" s="1083"/>
      <c r="K19" s="1079"/>
      <c r="L19" s="1079"/>
      <c r="M19" s="1079"/>
      <c r="N19" s="1079"/>
      <c r="O19" s="1079"/>
      <c r="P19" s="1079"/>
      <c r="Q19" s="1079"/>
      <c r="R19" s="772" cm="1">
        <f t="array" ref="R19">IF(ISBLANK(D5),"",(SUM(J22:Q22) + D5) / AGITO_WEAPON_MUB_GOLD)</f>
        <v>20.594999999999999</v>
      </c>
      <c r="S19" s="616" cm="1">
        <f t="array" ref="S19">IF(ISBLANK(D5),"",-(F5 * AGITO_WEAPON_MUB_GOLD - SUM(J22:Q22) - D5))</f>
        <v>2519</v>
      </c>
      <c r="T19" s="758" t="s">
        <v>64</v>
      </c>
      <c r="U19" s="800" t="s">
        <v>157</v>
      </c>
      <c r="V19" s="801" t="str">
        <f>IF(AND(M5&gt;0,S19&lt;0), _xlfn.CEILING.MATH(-S19/O5),"")</f>
        <v/>
      </c>
      <c r="W19" s="802" t="str">
        <f>IF(AND(P5&gt;0,S19&lt;0), _xlfn.CEILING.MATH(-S19/Q5),"")</f>
        <v/>
      </c>
      <c r="X19" s="669">
        <f>IFERROR((-F5 * AGITO_WEAPON_MUB_GOLD - S19)/(-F5 * AGITO_WEAPON_MUB_GOLD),"")</f>
        <v>2.5743749999999999</v>
      </c>
    </row>
    <row r="20" spans="2:24" s="307" customFormat="1" ht="18.95" customHeight="1" x14ac:dyDescent="0.25">
      <c r="B20" s="972"/>
      <c r="C20" s="1074"/>
      <c r="D20" s="1074"/>
      <c r="E20" s="1074"/>
      <c r="F20" s="1075"/>
      <c r="G20" s="764"/>
      <c r="I20" s="1100"/>
      <c r="J20" s="1083"/>
      <c r="K20" s="1079"/>
      <c r="L20" s="1079"/>
      <c r="M20" s="1079"/>
      <c r="N20" s="1079"/>
      <c r="O20" s="1079"/>
      <c r="P20" s="1079"/>
      <c r="Q20" s="1079"/>
      <c r="R20" s="772" t="str" cm="1">
        <f t="array" ref="R20">IF(ISBLANK(E5),"",(SUM(J23:Q23) + E5) / AGITO_WEAPON_MUB_POT)</f>
        <v/>
      </c>
      <c r="S20" s="616" t="str" cm="1">
        <f t="array" ref="S20">IF(ISBLANK(E5),"",-(F5 * AGITO_WEAPON_MUB_POT - SUM(J23:Q23) - E5))</f>
        <v/>
      </c>
      <c r="T20" s="758" t="s">
        <v>475</v>
      </c>
      <c r="U20" s="800" t="s">
        <v>157</v>
      </c>
      <c r="V20" s="801" t="s">
        <v>157</v>
      </c>
      <c r="W20" s="802" t="str">
        <f>IF(AND(P5&gt;0,S20&lt;0), _xlfn.CEILING.MATH(-S20/R5),"")</f>
        <v/>
      </c>
      <c r="X20" s="669" t="str">
        <f>IFERROR((-F5 * AGITO_WEAPON_MUB_POT - S20)/(-F5 * AGITO_WEAPON_MUB_POT),"")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100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800"/>
      <c r="V21" s="801"/>
      <c r="W21" s="802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100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800"/>
      <c r="V22" s="801"/>
      <c r="W22" s="802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100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800"/>
      <c r="V23" s="801"/>
      <c r="W23" s="802"/>
      <c r="X23" s="669"/>
    </row>
    <row r="24" spans="2:24" s="307" customFormat="1" ht="18.95" customHeight="1" x14ac:dyDescent="0.25">
      <c r="B24" s="1035" t="s">
        <v>348</v>
      </c>
      <c r="C24" s="1076">
        <f>IF(ISBLANK(G6),"",INDEX(DATA_AGITO_BUILDING,G6+ 1, 1))</f>
        <v>0</v>
      </c>
      <c r="D24" s="1076"/>
      <c r="E24" s="1076">
        <f>IF(ISBLANK(G6),"",INDEX(DATA_AGITO_BUILDING,G6+ 1, 2))</f>
        <v>0</v>
      </c>
      <c r="F24" s="1077"/>
      <c r="G24" s="764"/>
      <c r="I24" s="1100"/>
      <c r="J24" s="1114">
        <v>624</v>
      </c>
      <c r="K24" s="1078">
        <v>624</v>
      </c>
      <c r="L24" s="1078">
        <v>624</v>
      </c>
      <c r="M24" s="1078">
        <v>624</v>
      </c>
      <c r="N24" s="1078">
        <v>624</v>
      </c>
      <c r="O24" s="1078">
        <v>624</v>
      </c>
      <c r="P24" s="1078">
        <v>624</v>
      </c>
      <c r="Q24" s="1078">
        <v>624</v>
      </c>
      <c r="R24" s="772" cm="1">
        <f t="array" ref="R24">IF(ISBLANK(C6),"",(SUM(J27:Q27) + C6) / AGITO_WEAPON_MUB_SILVER)</f>
        <v>17.485714285714284</v>
      </c>
      <c r="S24" s="616" cm="1">
        <f t="array" ref="S24">IF(ISBLANK(C6),"",-(F6*AGITO_WEAPON_MUB_SILVER-SUM(J27:Q27)-C6))</f>
        <v>2656</v>
      </c>
      <c r="T24" s="758" t="s">
        <v>65</v>
      </c>
      <c r="U24" s="800" t="str">
        <f>IF(AND(S24&lt;0,K6&gt;0), _xlfn.CEILING.MATH(-S24/L6),"")</f>
        <v/>
      </c>
      <c r="V24" s="801" t="str">
        <f>IF(AND(S24&lt;0,M6&gt;0), _xlfn.CEILING.MATH(-S24/N6),"")</f>
        <v/>
      </c>
      <c r="W24" s="802" t="s">
        <v>157</v>
      </c>
      <c r="X24" s="669">
        <f>IFERROR((-F6 * AGITO_WEAPON_MUB_SILVER - S24)/(-F6 * AGITO_WEAPON_MUB_SILVER),"")</f>
        <v>2.1857142857142855</v>
      </c>
    </row>
    <row r="25" spans="2:24" s="307" customFormat="1" ht="18.95" customHeight="1" x14ac:dyDescent="0.25">
      <c r="B25" s="1035"/>
      <c r="C25" s="1076"/>
      <c r="D25" s="1076"/>
      <c r="E25" s="1076"/>
      <c r="F25" s="1077"/>
      <c r="G25" s="764"/>
      <c r="I25" s="1100"/>
      <c r="J25" s="1114"/>
      <c r="K25" s="1078"/>
      <c r="L25" s="1078"/>
      <c r="M25" s="1078"/>
      <c r="N25" s="1078"/>
      <c r="O25" s="1078"/>
      <c r="P25" s="1078"/>
      <c r="Q25" s="1078"/>
      <c r="R25" s="772" cm="1">
        <f t="array" ref="R25">IF(ISBLANK(D6),"",(SUM(J28:Q28) + D6) / AGITO_WEAPON_MUB_GOLD)</f>
        <v>23.39</v>
      </c>
      <c r="S25" s="616" cm="1">
        <f t="array" ref="S25">IF(ISBLANK(D6),"",-(F6 * AGITO_WEAPON_MUB_GOLD - SUM(J28:Q28) - D6))</f>
        <v>3078</v>
      </c>
      <c r="T25" s="758" t="s">
        <v>64</v>
      </c>
      <c r="U25" s="800" t="s">
        <v>157</v>
      </c>
      <c r="V25" s="801" t="str">
        <f>IF(AND(M6&gt;0,S25&lt;0), _xlfn.CEILING.MATH(-S25/O6),"")</f>
        <v/>
      </c>
      <c r="W25" s="802" t="str">
        <f>IF(AND(P6&gt;0,S25&lt;0), _xlfn.CEILING.MATH(-S25/Q6),"")</f>
        <v/>
      </c>
      <c r="X25" s="669">
        <f>IFERROR((-F6 * AGITO_WEAPON_MUB_GOLD - S25)/(-F6 * AGITO_WEAPON_MUB_GOLD),"")</f>
        <v>2.9237500000000001</v>
      </c>
    </row>
    <row r="26" spans="2:24" s="307" customFormat="1" ht="18.95" customHeight="1" x14ac:dyDescent="0.25">
      <c r="B26" s="1035"/>
      <c r="C26" s="1076"/>
      <c r="D26" s="1076"/>
      <c r="E26" s="1076"/>
      <c r="F26" s="1077"/>
      <c r="G26" s="764"/>
      <c r="I26" s="1100"/>
      <c r="J26" s="1114"/>
      <c r="K26" s="1078"/>
      <c r="L26" s="1078"/>
      <c r="M26" s="1078"/>
      <c r="N26" s="1078"/>
      <c r="O26" s="1078"/>
      <c r="P26" s="1078"/>
      <c r="Q26" s="1078"/>
      <c r="R26" s="772" cm="1">
        <f t="array" ref="R26">IF(ISBLANK(E6),"",(SUM(J29:Q29) + E6) / AGITO_WEAPON_MUB_POT)</f>
        <v>17.285714285714285</v>
      </c>
      <c r="S26" s="616" cm="1">
        <f t="array" ref="S26">IF(ISBLANK(E6),"",-(F6 * AGITO_WEAPON_MUB_POT - SUM(J29:Q29) - E6))</f>
        <v>325</v>
      </c>
      <c r="T26" s="758" t="s">
        <v>475</v>
      </c>
      <c r="U26" s="800" t="s">
        <v>157</v>
      </c>
      <c r="V26" s="801" t="s">
        <v>157</v>
      </c>
      <c r="W26" s="802" t="str">
        <f>IF(AND(P6&gt;0,S25&lt;0), _xlfn.CEILING.MATH(-S25/R6),"")</f>
        <v/>
      </c>
      <c r="X26" s="669">
        <f>IFERROR((-F6 * AGITO_WEAPON_MUB_POT - S26)/(-F6 * AGITO_WEAPON_MUB_POT),"")</f>
        <v>2.1607142857142856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100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800"/>
      <c r="V27" s="801"/>
      <c r="W27" s="802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100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800"/>
      <c r="V28" s="801"/>
      <c r="W28" s="802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100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800"/>
      <c r="V29" s="801"/>
      <c r="W29" s="802"/>
      <c r="X29" s="669"/>
    </row>
    <row r="30" spans="2:24" ht="18.95" customHeight="1" x14ac:dyDescent="0.25">
      <c r="B30" s="1014" t="s">
        <v>349</v>
      </c>
      <c r="C30" s="1069">
        <f>IF(ISBLANK(G7),"",INDEX(DATA_AGITO_BUILDING,G7+ 1, 1))</f>
        <v>0</v>
      </c>
      <c r="D30" s="1069"/>
      <c r="E30" s="1069">
        <f>IF(ISBLANK(G7),"",INDEX(DATA_AGITO_BUILDING,G7+ 1, 2))</f>
        <v>0</v>
      </c>
      <c r="F30" s="1070"/>
      <c r="G30" s="764"/>
      <c r="I30" s="1100"/>
      <c r="J30" s="1086">
        <v>614</v>
      </c>
      <c r="K30" s="1082">
        <v>614</v>
      </c>
      <c r="L30" s="1082">
        <v>614</v>
      </c>
      <c r="M30" s="1082">
        <v>614</v>
      </c>
      <c r="N30" s="1082">
        <v>614</v>
      </c>
      <c r="O30" s="1082">
        <v>614</v>
      </c>
      <c r="P30" s="1082">
        <v>614</v>
      </c>
      <c r="Q30" s="1082">
        <v>614</v>
      </c>
      <c r="R30" s="772" cm="1">
        <f t="array" ref="R30">IF(ISBLANK(C7),"",(SUM(J33:Q33) + C7) / AGITO_WEAPON_MUB_SILVER)</f>
        <v>13.903571428571428</v>
      </c>
      <c r="S30" s="616" cm="1">
        <f t="array" ref="S30">IF(ISBLANK(C7),"",-(F7 * AGITO_WEAPON_MUB_SILVER - SUM(J33:Q33) - C7))</f>
        <v>1653</v>
      </c>
      <c r="T30" s="758" t="s">
        <v>65</v>
      </c>
      <c r="U30" s="800" t="str">
        <f>IF(AND(S30&lt;0,K7&gt;0), _xlfn.CEILING.MATH(-S30/L7),"")</f>
        <v/>
      </c>
      <c r="V30" s="801" t="str">
        <f>IF(AND(S30&lt;0,M7&gt;0), _xlfn.CEILING.MATH(-S30/N7),"")</f>
        <v/>
      </c>
      <c r="W30" s="802" t="s">
        <v>157</v>
      </c>
      <c r="X30" s="669">
        <f>IFERROR((-F7 * AGITO_WEAPON_MUB_SILVER - S30)/(-F7 * AGITO_WEAPON_MUB_SILVER),"")</f>
        <v>1.7379464285714286</v>
      </c>
    </row>
    <row r="31" spans="2:24" ht="18.95" customHeight="1" x14ac:dyDescent="0.25">
      <c r="B31" s="1014"/>
      <c r="C31" s="1069"/>
      <c r="D31" s="1069"/>
      <c r="E31" s="1069"/>
      <c r="F31" s="1070"/>
      <c r="G31" s="764"/>
      <c r="I31" s="1100"/>
      <c r="J31" s="1086"/>
      <c r="K31" s="1082"/>
      <c r="L31" s="1082"/>
      <c r="M31" s="1082"/>
      <c r="N31" s="1082"/>
      <c r="O31" s="1082"/>
      <c r="P31" s="1082"/>
      <c r="Q31" s="1082"/>
      <c r="R31" s="772" cm="1">
        <f t="array" ref="R31">IF(ISBLANK(D7),"",(SUM(J34:Q34) + D7) / AGITO_WEAPON_MUB_GOLD)</f>
        <v>15.465</v>
      </c>
      <c r="S31" s="616" cm="1">
        <f t="array" ref="S31">IF(ISBLANK(D7),"",-(F7 * AGITO_WEAPON_MUB_GOLD - SUM(J34:Q34) - D7))</f>
        <v>1493</v>
      </c>
      <c r="T31" s="758" t="s">
        <v>64</v>
      </c>
      <c r="U31" s="800" t="s">
        <v>157</v>
      </c>
      <c r="V31" s="801" t="str">
        <f>IF(AND(S31&lt;0,M7&gt;0), _xlfn.CEILING.MATH(-S31/O7),"")</f>
        <v/>
      </c>
      <c r="W31" s="802" t="str">
        <f>IF(AND(S31&lt;0,P7&gt;0), _xlfn.CEILING.MATH(-S31/Q7),"")</f>
        <v/>
      </c>
      <c r="X31" s="669">
        <f>IFERROR((-F7 * AGITO_WEAPON_MUB_GOLD - S31)/(-F7 * AGITO_WEAPON_MUB_GOLD),"")</f>
        <v>1.933125</v>
      </c>
    </row>
    <row r="32" spans="2:24" s="740" customFormat="1" ht="18.95" customHeight="1" x14ac:dyDescent="0.25">
      <c r="B32" s="1014"/>
      <c r="C32" s="1069"/>
      <c r="D32" s="1069"/>
      <c r="E32" s="1069"/>
      <c r="F32" s="1070"/>
      <c r="G32" s="764"/>
      <c r="I32" s="1100"/>
      <c r="J32" s="1086"/>
      <c r="K32" s="1082"/>
      <c r="L32" s="1082"/>
      <c r="M32" s="1082"/>
      <c r="N32" s="1082"/>
      <c r="O32" s="1082"/>
      <c r="P32" s="1082"/>
      <c r="Q32" s="1082"/>
      <c r="R32" s="772" t="str" cm="1">
        <f t="array" ref="R32">IF(ISBLANK(E7),"",(SUM(J35:Q35) + E7) / AGITO_WEAPON_MUB_POT)</f>
        <v/>
      </c>
      <c r="S32" s="616" t="str" cm="1">
        <f t="array" ref="S32">IF(ISBLANK(E7),"",-(F7 * AGITO_WEAPON_MUB_POT - SUM(J35:Q35) - E7))</f>
        <v/>
      </c>
      <c r="T32" s="758" t="s">
        <v>475</v>
      </c>
      <c r="U32" s="800" t="s">
        <v>157</v>
      </c>
      <c r="V32" s="801" t="s">
        <v>157</v>
      </c>
      <c r="W32" s="802" t="str">
        <f>IF(AND(S32&lt;0,P7&gt;0), _xlfn.CEILING.MATH(-S32/R7),"")</f>
        <v/>
      </c>
      <c r="X32" s="669" t="str">
        <f>IFERROR((-F7 * AGITO_WEAPON_MUB_POT - S32)/(-F7 * AGITO_WEAPON_MUB_POT),"")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100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800"/>
      <c r="V33" s="801"/>
      <c r="W33" s="802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100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800"/>
      <c r="V34" s="801"/>
      <c r="W34" s="802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100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800"/>
      <c r="V35" s="801"/>
      <c r="W35" s="802"/>
      <c r="X35" s="669"/>
    </row>
    <row r="36" spans="2:24" ht="18.95" customHeight="1" x14ac:dyDescent="0.25">
      <c r="B36" s="1071" t="s">
        <v>350</v>
      </c>
      <c r="C36" s="1065" t="str">
        <f>IF(ISBLANK(G8),"",INDEX(DATA_AGITO_BUILDING,G8+ 1, 1))</f>
        <v/>
      </c>
      <c r="D36" s="1065"/>
      <c r="E36" s="1065" t="str">
        <f>IF(ISBLANK(G8),"",INDEX(DATA_AGITO_BUILDING,G8+ 1, 2))</f>
        <v/>
      </c>
      <c r="F36" s="1066"/>
      <c r="G36" s="764"/>
      <c r="I36" s="1100"/>
      <c r="J36" s="1102"/>
      <c r="K36" s="1080"/>
      <c r="L36" s="1080"/>
      <c r="M36" s="1080"/>
      <c r="N36" s="1080"/>
      <c r="O36" s="1080"/>
      <c r="P36" s="1080"/>
      <c r="Q36" s="1080"/>
      <c r="R36" s="772" t="str" cm="1">
        <f t="array" ref="R36">IF(ISBLANK(C8),"",(SUM(J39:Q39) + C8) / AGITO_WEAPON_MUB_SILVER)</f>
        <v/>
      </c>
      <c r="S36" s="616" t="str" cm="1">
        <f t="array" ref="S36">IF(ISBLANK(C8),"",-(F8*AGITO_WEAPON_MUB_SILVER-SUM(J39:Q39)-C8))</f>
        <v/>
      </c>
      <c r="T36" s="758" t="s">
        <v>65</v>
      </c>
      <c r="U36" s="800" t="str">
        <f>IF(AND(S36&lt;0,K8&gt;0), _xlfn.CEILING.MATH(-S36/L8),"")</f>
        <v/>
      </c>
      <c r="V36" s="801" t="str">
        <f>IF(AND(S36&lt;0,M8&gt;0), _xlfn.CEILING.MATH(-S36/N8),"")</f>
        <v/>
      </c>
      <c r="W36" s="802" t="s">
        <v>157</v>
      </c>
      <c r="X36" s="669" t="str">
        <f>IFERROR((-F8 * AGITO_WEAPON_MUB_SILVER - S36)/(-F8 * AGITO_WEAPON_MUB_SILVER),"")</f>
        <v/>
      </c>
    </row>
    <row r="37" spans="2:24" ht="18.95" customHeight="1" x14ac:dyDescent="0.25">
      <c r="B37" s="1071"/>
      <c r="C37" s="1065"/>
      <c r="D37" s="1065"/>
      <c r="E37" s="1065"/>
      <c r="F37" s="1066"/>
      <c r="G37" s="764"/>
      <c r="I37" s="1100"/>
      <c r="J37" s="1102"/>
      <c r="K37" s="1080"/>
      <c r="L37" s="1080"/>
      <c r="M37" s="1080"/>
      <c r="N37" s="1080"/>
      <c r="O37" s="1080"/>
      <c r="P37" s="1080"/>
      <c r="Q37" s="1080"/>
      <c r="R37" s="772" t="str" cm="1">
        <f t="array" ref="R37">IF(ISBLANK(D8),"",(SUM(J40:Q40) + D8) / AGITO_WEAPON_MUB_GOLD)</f>
        <v/>
      </c>
      <c r="S37" s="616" t="str" cm="1">
        <f t="array" ref="S37">IF(ISBLANK(D8),"",-(F8 * AGITO_WEAPON_MUB_GOLD - SUM(J40:Q40) - D8))</f>
        <v/>
      </c>
      <c r="T37" s="758" t="s">
        <v>64</v>
      </c>
      <c r="U37" s="800" t="s">
        <v>157</v>
      </c>
      <c r="V37" s="801" t="str">
        <f>IF(AND(S37&lt;0,M8&gt;0), _xlfn.CEILING.MATH(-S37/O8),"")</f>
        <v/>
      </c>
      <c r="W37" s="802" t="str">
        <f>IF(AND(S37&lt;0,P8&gt;0), _xlfn.CEILING.MATH(-S37/Q8),"")</f>
        <v/>
      </c>
      <c r="X37" s="669" t="str">
        <f>IFERROR((-F8 * AGITO_WEAPON_MUB_GOLD - S37)/(-F8 * AGITO_WEAPON_MUB_GOLD),"")</f>
        <v/>
      </c>
    </row>
    <row r="38" spans="2:24" s="740" customFormat="1" ht="18.95" customHeight="1" x14ac:dyDescent="0.25">
      <c r="B38" s="1010"/>
      <c r="C38" s="1067"/>
      <c r="D38" s="1067"/>
      <c r="E38" s="1067"/>
      <c r="F38" s="1068"/>
      <c r="G38" s="764"/>
      <c r="I38" s="1100"/>
      <c r="J38" s="1103"/>
      <c r="K38" s="1081"/>
      <c r="L38" s="1081"/>
      <c r="M38" s="1081"/>
      <c r="N38" s="1081"/>
      <c r="O38" s="1081"/>
      <c r="P38" s="1081"/>
      <c r="Q38" s="1081"/>
      <c r="R38" s="773" t="str" cm="1">
        <f t="array" ref="R38">IF(ISBLANK(E8),"",(SUM(J41:Q41) + E8) / AGITO_WEAPON_MUB_POT)</f>
        <v/>
      </c>
      <c r="S38" s="617" t="str" cm="1">
        <f t="array" ref="S38">IF(ISBLANK(E8),"",-(F8 * AGITO_WEAPON_MUB_GOLD - SUM(J41:Q41) - E8))</f>
        <v/>
      </c>
      <c r="T38" s="759" t="s">
        <v>475</v>
      </c>
      <c r="U38" s="803" t="s">
        <v>157</v>
      </c>
      <c r="V38" s="804" t="s">
        <v>157</v>
      </c>
      <c r="W38" s="805" t="str">
        <f>IF(AND(S38&lt;0,P8&gt;0), _xlfn.CEILING.MATH(-S38/R8),"")</f>
        <v/>
      </c>
      <c r="X38" s="670" t="str">
        <f>IFERROR((-F8 * AGITO_WEAPON_MUB_POT - S38)/(-F8 * AGITO_WEAPON_MUB_POT),"")</f>
        <v/>
      </c>
    </row>
    <row r="39" spans="2:24" ht="36" hidden="1" customHeight="1" x14ac:dyDescent="0.25">
      <c r="C39" s="307"/>
      <c r="D39" s="307"/>
      <c r="E39" s="307"/>
      <c r="I39" s="1100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6"/>
      <c r="V39" s="806"/>
      <c r="W39" s="806"/>
      <c r="X39" s="510"/>
    </row>
    <row r="40" spans="2:24" ht="20.25" hidden="1" customHeight="1" x14ac:dyDescent="0.25">
      <c r="I40" s="1100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6"/>
      <c r="V40" s="806"/>
      <c r="W40" s="806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101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7"/>
      <c r="V41" s="807"/>
      <c r="W41" s="807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71"/>
  <sheetViews>
    <sheetView topLeftCell="C181" zoomScaleNormal="100" workbookViewId="0">
      <selection activeCell="S195" sqref="S195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18" t="s">
        <v>241</v>
      </c>
      <c r="C1" s="1118"/>
      <c r="D1" s="1118" t="s">
        <v>246</v>
      </c>
      <c r="E1" s="1118"/>
      <c r="F1" s="1121"/>
      <c r="G1" s="629" t="s">
        <v>239</v>
      </c>
      <c r="H1" s="1119" t="s">
        <v>241</v>
      </c>
      <c r="I1" s="1119"/>
      <c r="J1" s="1119" t="s">
        <v>246</v>
      </c>
      <c r="K1" s="1119"/>
      <c r="L1" s="1122"/>
      <c r="M1" s="656" t="s">
        <v>239</v>
      </c>
      <c r="N1" s="1051" t="s">
        <v>241</v>
      </c>
      <c r="O1" s="1051"/>
      <c r="P1" s="1051" t="s">
        <v>246</v>
      </c>
      <c r="Q1" s="1051"/>
      <c r="R1" s="1052"/>
      <c r="S1" s="628" t="s">
        <v>239</v>
      </c>
      <c r="T1" s="1120" t="s">
        <v>241</v>
      </c>
      <c r="U1" s="1120"/>
      <c r="V1" s="1120" t="s">
        <v>246</v>
      </c>
      <c r="W1" s="1120"/>
      <c r="X1" s="1055"/>
      <c r="Y1" s="757" t="s">
        <v>239</v>
      </c>
      <c r="Z1" s="1115" t="s">
        <v>241</v>
      </c>
      <c r="AA1" s="1115"/>
      <c r="AB1" s="1115" t="s">
        <v>246</v>
      </c>
      <c r="AC1" s="1115"/>
      <c r="AD1" s="1116"/>
      <c r="AF1" s="1117" t="s">
        <v>353</v>
      </c>
      <c r="AG1" s="1117" t="s">
        <v>476</v>
      </c>
      <c r="AH1" s="1117"/>
      <c r="AI1" s="1117" t="s">
        <v>477</v>
      </c>
      <c r="AJ1" s="1117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17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8:21" x14ac:dyDescent="0.25"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8:21" x14ac:dyDescent="0.25"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8:21" x14ac:dyDescent="0.25"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8:21" x14ac:dyDescent="0.25"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8:21" x14ac:dyDescent="0.25"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8:21" x14ac:dyDescent="0.25"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8:21" x14ac:dyDescent="0.25"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8:21" x14ac:dyDescent="0.25"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8:21" x14ac:dyDescent="0.25"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8:21" x14ac:dyDescent="0.25"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8:21" x14ac:dyDescent="0.25"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8:21" x14ac:dyDescent="0.25"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8:21" x14ac:dyDescent="0.25"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8:21" x14ac:dyDescent="0.25"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8:21" x14ac:dyDescent="0.25"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T95" s="318">
        <v>3</v>
      </c>
      <c r="U95" s="318">
        <v>3</v>
      </c>
    </row>
    <row r="96" spans="8:21" x14ac:dyDescent="0.25"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8:21" x14ac:dyDescent="0.25"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8:21" x14ac:dyDescent="0.25"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8:21" x14ac:dyDescent="0.25"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8:21" x14ac:dyDescent="0.25"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P100" s="51">
        <v>2</v>
      </c>
      <c r="Q100" s="51">
        <v>3</v>
      </c>
      <c r="R100" s="51">
        <v>1</v>
      </c>
      <c r="T100" s="318">
        <v>2</v>
      </c>
      <c r="U100" s="318">
        <v>3</v>
      </c>
    </row>
    <row r="101" spans="8:21" x14ac:dyDescent="0.25"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P101" s="51">
        <v>3</v>
      </c>
      <c r="Q101" s="51">
        <v>3</v>
      </c>
      <c r="R101" s="51">
        <v>1</v>
      </c>
      <c r="T101" s="318">
        <v>2</v>
      </c>
      <c r="U101" s="318">
        <v>3</v>
      </c>
    </row>
    <row r="102" spans="8:21" x14ac:dyDescent="0.25"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P102" s="51">
        <v>3</v>
      </c>
      <c r="Q102" s="51">
        <v>4</v>
      </c>
      <c r="R102" s="51">
        <v>1</v>
      </c>
      <c r="T102" s="318">
        <v>4</v>
      </c>
      <c r="U102" s="318">
        <v>3</v>
      </c>
    </row>
    <row r="103" spans="8:21" x14ac:dyDescent="0.25"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P103" s="51">
        <v>1</v>
      </c>
      <c r="Q103" s="51">
        <v>4</v>
      </c>
      <c r="R103" s="51">
        <v>1</v>
      </c>
      <c r="T103" s="318">
        <v>3</v>
      </c>
      <c r="U103" s="318">
        <v>4</v>
      </c>
    </row>
    <row r="104" spans="8:21" x14ac:dyDescent="0.25"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P104" s="51">
        <v>2</v>
      </c>
      <c r="Q104" s="51">
        <v>4</v>
      </c>
      <c r="R104" s="51">
        <v>2</v>
      </c>
      <c r="T104" s="318">
        <v>2</v>
      </c>
      <c r="U104" s="318">
        <v>3</v>
      </c>
    </row>
    <row r="105" spans="8:21" x14ac:dyDescent="0.25"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P105" s="51">
        <v>3</v>
      </c>
      <c r="Q105" s="51">
        <v>2</v>
      </c>
      <c r="R105" s="51">
        <v>1</v>
      </c>
      <c r="T105" s="318">
        <v>2</v>
      </c>
      <c r="U105" s="318">
        <v>4</v>
      </c>
    </row>
    <row r="106" spans="8:21" x14ac:dyDescent="0.25"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P106" s="51">
        <v>2</v>
      </c>
      <c r="Q106" s="51">
        <v>4</v>
      </c>
      <c r="R106" s="51">
        <v>1</v>
      </c>
      <c r="T106" s="318">
        <v>2</v>
      </c>
      <c r="U106" s="318">
        <v>4</v>
      </c>
    </row>
    <row r="107" spans="8:21" x14ac:dyDescent="0.25"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P107" s="51">
        <v>1</v>
      </c>
      <c r="Q107" s="51">
        <v>3</v>
      </c>
      <c r="R107" s="51">
        <v>1</v>
      </c>
      <c r="T107" s="318">
        <v>2</v>
      </c>
      <c r="U107" s="318">
        <v>4</v>
      </c>
    </row>
    <row r="108" spans="8:21" x14ac:dyDescent="0.25"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P108" s="51">
        <v>3</v>
      </c>
      <c r="Q108" s="51">
        <v>4</v>
      </c>
      <c r="R108" s="51">
        <v>1</v>
      </c>
      <c r="T108" s="318">
        <v>2</v>
      </c>
      <c r="U108" s="318">
        <v>4</v>
      </c>
    </row>
    <row r="109" spans="8:21" x14ac:dyDescent="0.25"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P109" s="51">
        <v>1</v>
      </c>
      <c r="Q109" s="51">
        <v>2</v>
      </c>
      <c r="R109" s="51">
        <v>1</v>
      </c>
      <c r="T109" s="318">
        <v>3</v>
      </c>
      <c r="U109" s="318">
        <v>3</v>
      </c>
    </row>
    <row r="110" spans="8:21" x14ac:dyDescent="0.25"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P110" s="51">
        <v>2</v>
      </c>
      <c r="Q110" s="51">
        <v>3</v>
      </c>
      <c r="R110" s="51">
        <v>1</v>
      </c>
      <c r="T110" s="318">
        <v>2</v>
      </c>
      <c r="U110" s="318">
        <v>3</v>
      </c>
    </row>
    <row r="111" spans="8:21" x14ac:dyDescent="0.25"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P111" s="51">
        <v>1</v>
      </c>
      <c r="Q111" s="51">
        <v>3</v>
      </c>
      <c r="R111" s="51">
        <v>1</v>
      </c>
      <c r="T111" s="318">
        <v>3</v>
      </c>
      <c r="U111" s="318">
        <v>3</v>
      </c>
    </row>
    <row r="112" spans="8:21" x14ac:dyDescent="0.25"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P112" s="51">
        <v>2</v>
      </c>
      <c r="Q112" s="51">
        <v>3</v>
      </c>
      <c r="R112" s="51">
        <v>1</v>
      </c>
      <c r="T112" s="318">
        <v>2</v>
      </c>
      <c r="U112" s="318">
        <v>4</v>
      </c>
    </row>
    <row r="113" spans="8:21" x14ac:dyDescent="0.25"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P113" s="51">
        <v>3</v>
      </c>
      <c r="Q113" s="51">
        <v>3</v>
      </c>
      <c r="R113" s="51">
        <v>1</v>
      </c>
      <c r="T113" s="318">
        <v>3</v>
      </c>
      <c r="U113" s="318">
        <v>3</v>
      </c>
    </row>
    <row r="114" spans="8:21" x14ac:dyDescent="0.25"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P114" s="51">
        <v>3</v>
      </c>
      <c r="Q114" s="51">
        <v>3</v>
      </c>
      <c r="R114" s="51">
        <v>1</v>
      </c>
      <c r="T114" s="318">
        <v>2</v>
      </c>
      <c r="U114" s="318">
        <v>3</v>
      </c>
    </row>
    <row r="115" spans="8:21" x14ac:dyDescent="0.25"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P115" s="51">
        <v>3</v>
      </c>
      <c r="Q115" s="51">
        <v>3</v>
      </c>
      <c r="R115" s="51">
        <v>1</v>
      </c>
      <c r="T115" s="318">
        <v>2</v>
      </c>
      <c r="U115" s="318">
        <v>3</v>
      </c>
    </row>
    <row r="116" spans="8:21" x14ac:dyDescent="0.25"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P116" s="51">
        <v>2</v>
      </c>
      <c r="Q116" s="51">
        <v>3</v>
      </c>
      <c r="R116" s="51">
        <v>1</v>
      </c>
      <c r="T116" s="318">
        <v>3</v>
      </c>
      <c r="U116" s="318">
        <v>3</v>
      </c>
    </row>
    <row r="117" spans="8:21" x14ac:dyDescent="0.25"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P117" s="51">
        <v>1</v>
      </c>
      <c r="Q117" s="51">
        <v>4</v>
      </c>
      <c r="R117" s="51">
        <v>1</v>
      </c>
      <c r="T117" s="318">
        <v>2</v>
      </c>
      <c r="U117" s="318">
        <v>4</v>
      </c>
    </row>
    <row r="118" spans="8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P118" s="51">
        <v>2</v>
      </c>
      <c r="Q118" s="51">
        <v>2</v>
      </c>
      <c r="R118" s="51">
        <v>1</v>
      </c>
      <c r="T118" s="318">
        <v>2</v>
      </c>
      <c r="U118" s="318">
        <v>3</v>
      </c>
    </row>
    <row r="119" spans="8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P119" s="51">
        <v>3</v>
      </c>
      <c r="Q119" s="51">
        <v>4</v>
      </c>
      <c r="R119" s="51">
        <v>1</v>
      </c>
      <c r="T119" s="318">
        <v>3</v>
      </c>
      <c r="U119" s="318">
        <v>3</v>
      </c>
    </row>
    <row r="120" spans="8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P120" s="51">
        <v>1</v>
      </c>
      <c r="Q120" s="51">
        <v>2</v>
      </c>
      <c r="R120" s="51">
        <v>1</v>
      </c>
      <c r="T120" s="318">
        <v>2</v>
      </c>
      <c r="U120" s="318">
        <v>4</v>
      </c>
    </row>
    <row r="121" spans="8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P121" s="51">
        <v>1</v>
      </c>
      <c r="Q121" s="51">
        <v>2</v>
      </c>
      <c r="R121" s="51">
        <v>1</v>
      </c>
      <c r="T121" s="318">
        <v>2</v>
      </c>
      <c r="U121" s="318">
        <v>3</v>
      </c>
    </row>
    <row r="122" spans="8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P122" s="51">
        <v>2</v>
      </c>
      <c r="Q122" s="51">
        <v>3</v>
      </c>
      <c r="R122" s="51">
        <v>1</v>
      </c>
      <c r="T122" s="318">
        <v>2</v>
      </c>
      <c r="U122" s="318">
        <v>3</v>
      </c>
    </row>
    <row r="123" spans="8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P123" s="51">
        <v>3</v>
      </c>
      <c r="Q123" s="51">
        <v>3</v>
      </c>
      <c r="R123" s="51">
        <v>1</v>
      </c>
      <c r="T123" s="318">
        <v>3</v>
      </c>
      <c r="U123" s="318">
        <v>4</v>
      </c>
    </row>
    <row r="124" spans="8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P124" s="51">
        <v>2</v>
      </c>
      <c r="Q124" s="51">
        <v>3</v>
      </c>
      <c r="R124" s="51">
        <v>1</v>
      </c>
      <c r="T124" s="318">
        <v>2</v>
      </c>
      <c r="U124" s="318">
        <v>3</v>
      </c>
    </row>
    <row r="125" spans="8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P125" s="51">
        <v>3</v>
      </c>
      <c r="Q125" s="51">
        <v>3</v>
      </c>
      <c r="R125" s="51">
        <v>2</v>
      </c>
      <c r="T125" s="318">
        <v>3</v>
      </c>
      <c r="U125" s="318">
        <v>3</v>
      </c>
    </row>
    <row r="126" spans="8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P126" s="51">
        <v>2</v>
      </c>
      <c r="Q126" s="51">
        <v>3</v>
      </c>
      <c r="R126" s="51">
        <v>1</v>
      </c>
      <c r="T126" s="318">
        <v>3</v>
      </c>
      <c r="U126" s="318">
        <v>5</v>
      </c>
    </row>
    <row r="127" spans="8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P127" s="51">
        <v>2</v>
      </c>
      <c r="Q127" s="51">
        <v>2</v>
      </c>
      <c r="R127" s="51">
        <v>1</v>
      </c>
      <c r="T127" s="318">
        <v>3</v>
      </c>
      <c r="U127" s="318">
        <v>4</v>
      </c>
    </row>
    <row r="128" spans="8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P128" s="51">
        <v>2</v>
      </c>
      <c r="Q128" s="51">
        <v>4</v>
      </c>
      <c r="R128" s="51">
        <v>1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P129" s="51">
        <v>3</v>
      </c>
      <c r="Q129" s="51">
        <v>4</v>
      </c>
      <c r="R129" s="51">
        <v>1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P130" s="51">
        <v>2</v>
      </c>
      <c r="Q130" s="51">
        <v>2</v>
      </c>
      <c r="R130" s="51">
        <v>1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P131" s="51">
        <v>3</v>
      </c>
      <c r="Q131" s="51">
        <v>3</v>
      </c>
      <c r="R131" s="51">
        <v>1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P132" s="51">
        <v>2</v>
      </c>
      <c r="Q132" s="51">
        <v>3</v>
      </c>
      <c r="R132" s="51">
        <v>1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P133" s="51">
        <v>1</v>
      </c>
      <c r="Q133" s="51">
        <v>2</v>
      </c>
      <c r="R133" s="51">
        <v>1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P134" s="51">
        <v>1</v>
      </c>
      <c r="Q134" s="51">
        <v>2</v>
      </c>
      <c r="R134" s="51">
        <v>1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P135" s="51">
        <v>3</v>
      </c>
      <c r="Q135" s="51">
        <v>2</v>
      </c>
      <c r="R135" s="51">
        <v>1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P136" s="51">
        <v>1</v>
      </c>
      <c r="Q136" s="51">
        <v>4</v>
      </c>
      <c r="R136" s="51">
        <v>1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P137" s="51">
        <v>1</v>
      </c>
      <c r="Q137" s="51">
        <v>3</v>
      </c>
      <c r="R137" s="51">
        <v>1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P138" s="51">
        <v>1</v>
      </c>
      <c r="Q138" s="51">
        <v>2</v>
      </c>
      <c r="R138" s="51">
        <v>1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P139" s="51">
        <v>2</v>
      </c>
      <c r="Q139" s="51">
        <v>2</v>
      </c>
      <c r="R139" s="51">
        <v>1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P140" s="51">
        <v>1</v>
      </c>
      <c r="Q140" s="51">
        <v>3</v>
      </c>
      <c r="R140" s="51">
        <v>1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P141" s="51">
        <v>3</v>
      </c>
      <c r="Q141" s="51">
        <v>3</v>
      </c>
      <c r="R141" s="51">
        <v>1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P142" s="51">
        <v>3</v>
      </c>
      <c r="Q142" s="51">
        <v>3</v>
      </c>
      <c r="R142" s="51">
        <v>1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P143" s="51">
        <v>1</v>
      </c>
      <c r="Q143" s="51">
        <v>4</v>
      </c>
      <c r="R143" s="51">
        <v>1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P144" s="51">
        <v>1</v>
      </c>
      <c r="Q144" s="51">
        <v>3</v>
      </c>
      <c r="R144" s="51">
        <v>1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P145" s="51">
        <v>3</v>
      </c>
      <c r="Q145" s="51">
        <v>4</v>
      </c>
      <c r="R145" s="51">
        <v>1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P146" s="51">
        <v>2</v>
      </c>
      <c r="Q146" s="51">
        <v>3</v>
      </c>
      <c r="R146" s="51">
        <v>1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P147" s="51">
        <v>2</v>
      </c>
      <c r="Q147" s="51">
        <v>4</v>
      </c>
      <c r="R147" s="51">
        <v>2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P148" s="51">
        <v>1</v>
      </c>
      <c r="Q148" s="51">
        <v>4</v>
      </c>
      <c r="R148" s="51">
        <v>1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P149" s="51">
        <v>1</v>
      </c>
      <c r="Q149" s="51">
        <v>4</v>
      </c>
      <c r="R149" s="51">
        <v>1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P150" s="51">
        <v>3</v>
      </c>
      <c r="Q150" s="51">
        <v>3</v>
      </c>
      <c r="R150" s="51">
        <v>1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P151" s="51">
        <v>3</v>
      </c>
      <c r="Q151" s="51">
        <v>3</v>
      </c>
      <c r="R151" s="51">
        <v>1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P152" s="51">
        <v>1</v>
      </c>
      <c r="Q152" s="51">
        <v>3</v>
      </c>
      <c r="R152" s="51">
        <v>2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P153" s="51">
        <v>1</v>
      </c>
      <c r="Q153" s="51">
        <v>2</v>
      </c>
      <c r="R153" s="51">
        <v>1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P154" s="51">
        <v>2</v>
      </c>
      <c r="Q154" s="51">
        <v>3</v>
      </c>
      <c r="R154" s="51">
        <v>1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P155" s="51">
        <v>3</v>
      </c>
      <c r="Q155" s="51">
        <v>4</v>
      </c>
      <c r="R155" s="51">
        <v>1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P156" s="51">
        <v>2</v>
      </c>
      <c r="Q156" s="51">
        <v>2</v>
      </c>
      <c r="R156" s="51">
        <v>1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P157" s="51">
        <v>3</v>
      </c>
      <c r="Q157" s="51">
        <v>3</v>
      </c>
      <c r="R157" s="51">
        <v>1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P158" s="51">
        <v>1</v>
      </c>
      <c r="Q158" s="51">
        <v>2</v>
      </c>
      <c r="R158" s="51">
        <v>1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P159" s="51">
        <v>1</v>
      </c>
      <c r="Q159" s="51">
        <v>2</v>
      </c>
      <c r="R159" s="51">
        <v>1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P160" s="51">
        <v>3</v>
      </c>
      <c r="Q160" s="51">
        <v>2</v>
      </c>
      <c r="R160" s="51">
        <v>1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P161" s="51">
        <v>2</v>
      </c>
      <c r="Q161" s="51">
        <v>2</v>
      </c>
      <c r="R161" s="51">
        <v>1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P162" s="51">
        <v>2</v>
      </c>
      <c r="Q162" s="51">
        <v>2</v>
      </c>
      <c r="R162" s="51">
        <v>1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P163" s="51">
        <v>2</v>
      </c>
      <c r="Q163" s="51">
        <v>4</v>
      </c>
      <c r="R163" s="51">
        <v>1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P164" s="51">
        <v>3</v>
      </c>
      <c r="Q164" s="51">
        <v>4</v>
      </c>
      <c r="R164" s="51">
        <v>1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P165" s="51">
        <v>3</v>
      </c>
      <c r="Q165" s="51">
        <v>3</v>
      </c>
      <c r="R165" s="51">
        <v>1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P166" s="51">
        <v>3</v>
      </c>
      <c r="Q166" s="51">
        <v>2</v>
      </c>
      <c r="R166" s="51">
        <v>1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P167" s="51">
        <v>1</v>
      </c>
      <c r="Q167" s="51">
        <v>3</v>
      </c>
      <c r="R167" s="51">
        <v>1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P168" s="51">
        <v>2</v>
      </c>
      <c r="Q168" s="51">
        <v>3</v>
      </c>
      <c r="R168" s="51">
        <v>1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P169" s="51">
        <v>3</v>
      </c>
      <c r="Q169" s="51">
        <v>2</v>
      </c>
      <c r="R169" s="51">
        <v>1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P170" s="51">
        <v>2</v>
      </c>
      <c r="Q170" s="51">
        <v>3</v>
      </c>
      <c r="R170" s="51">
        <v>1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P171" s="51">
        <v>3</v>
      </c>
      <c r="Q171" s="51">
        <v>2</v>
      </c>
      <c r="R171" s="51">
        <v>1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P172" s="51">
        <v>3</v>
      </c>
      <c r="Q172" s="51">
        <v>3</v>
      </c>
      <c r="R172" s="51">
        <v>1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P173" s="51">
        <v>1</v>
      </c>
      <c r="Q173" s="51">
        <v>3</v>
      </c>
      <c r="R173" s="51">
        <v>1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P174" s="51">
        <v>2</v>
      </c>
      <c r="Q174" s="51">
        <v>3</v>
      </c>
      <c r="R174" s="51">
        <v>1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P175" s="51">
        <v>3</v>
      </c>
      <c r="Q175" s="51">
        <v>2</v>
      </c>
      <c r="R175" s="51">
        <v>1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P176" s="51">
        <v>2</v>
      </c>
      <c r="Q176" s="51">
        <v>3</v>
      </c>
      <c r="R176" s="51">
        <v>1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P177" s="51">
        <v>1</v>
      </c>
      <c r="Q177" s="51">
        <v>4</v>
      </c>
      <c r="R177" s="51">
        <v>1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P178" s="51">
        <v>3</v>
      </c>
      <c r="Q178" s="51">
        <v>3</v>
      </c>
      <c r="R178" s="51">
        <v>1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P179" s="51">
        <v>3</v>
      </c>
      <c r="Q179" s="51">
        <v>4</v>
      </c>
      <c r="R179" s="51">
        <v>1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P180" s="51">
        <v>3</v>
      </c>
      <c r="Q180" s="51">
        <v>3</v>
      </c>
      <c r="R180" s="51">
        <v>2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P181" s="51">
        <v>1</v>
      </c>
      <c r="Q181" s="51">
        <v>3</v>
      </c>
      <c r="R181" s="51">
        <v>1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P182" s="51">
        <v>1</v>
      </c>
      <c r="Q182" s="51">
        <v>3</v>
      </c>
      <c r="R182" s="51">
        <v>1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P183" s="51">
        <v>3</v>
      </c>
      <c r="Q183" s="51">
        <v>3</v>
      </c>
      <c r="R183" s="51">
        <v>1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P184" s="51">
        <v>2</v>
      </c>
      <c r="Q184" s="51">
        <v>4</v>
      </c>
      <c r="R184" s="51">
        <v>1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H389" s="261">
        <v>3</v>
      </c>
      <c r="I389" s="261">
        <v>3</v>
      </c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H390" s="261">
        <v>3</v>
      </c>
      <c r="I390" s="261">
        <v>4</v>
      </c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H391" s="261">
        <v>2</v>
      </c>
      <c r="I391" s="261">
        <v>4</v>
      </c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  <c r="T832" s="318">
        <v>2</v>
      </c>
      <c r="U832" s="318">
        <v>4</v>
      </c>
    </row>
    <row r="833" spans="14:21" x14ac:dyDescent="0.25">
      <c r="N833" s="51">
        <v>4</v>
      </c>
      <c r="O833" s="51">
        <v>3</v>
      </c>
      <c r="T833" s="318">
        <v>3</v>
      </c>
      <c r="U833" s="318">
        <v>3</v>
      </c>
    </row>
    <row r="834" spans="14:21" x14ac:dyDescent="0.25">
      <c r="N834" s="51">
        <v>3</v>
      </c>
      <c r="O834" s="51">
        <v>3</v>
      </c>
      <c r="T834" s="318">
        <v>2</v>
      </c>
      <c r="U834" s="318">
        <v>3</v>
      </c>
    </row>
    <row r="835" spans="14:21" x14ac:dyDescent="0.25">
      <c r="N835" s="51">
        <v>3</v>
      </c>
      <c r="O835" s="51">
        <v>4</v>
      </c>
      <c r="T835" s="318">
        <v>3</v>
      </c>
      <c r="U835" s="318">
        <v>3</v>
      </c>
    </row>
    <row r="836" spans="14:21" x14ac:dyDescent="0.25">
      <c r="N836" s="51">
        <v>2</v>
      </c>
      <c r="O836" s="51">
        <v>3</v>
      </c>
      <c r="T836" s="318">
        <v>3</v>
      </c>
      <c r="U836" s="318">
        <v>4</v>
      </c>
    </row>
    <row r="837" spans="14:21" x14ac:dyDescent="0.25">
      <c r="N837" s="51">
        <v>3</v>
      </c>
      <c r="O837" s="51">
        <v>3</v>
      </c>
      <c r="T837" s="318">
        <v>2</v>
      </c>
      <c r="U837" s="318">
        <v>4</v>
      </c>
    </row>
    <row r="838" spans="14:21" x14ac:dyDescent="0.25">
      <c r="N838" s="51">
        <v>3</v>
      </c>
      <c r="O838" s="51">
        <v>3</v>
      </c>
      <c r="T838" s="318">
        <v>3</v>
      </c>
      <c r="U838" s="318">
        <v>3</v>
      </c>
    </row>
    <row r="839" spans="14:21" x14ac:dyDescent="0.25">
      <c r="N839" s="51">
        <v>3</v>
      </c>
      <c r="O839" s="51">
        <v>4</v>
      </c>
      <c r="T839" s="318">
        <v>2</v>
      </c>
      <c r="U839" s="318">
        <v>3</v>
      </c>
    </row>
    <row r="840" spans="14:21" x14ac:dyDescent="0.25">
      <c r="N840" s="51">
        <v>3</v>
      </c>
      <c r="O840" s="51">
        <v>3</v>
      </c>
      <c r="T840" s="318">
        <v>3</v>
      </c>
      <c r="U840" s="318">
        <v>4</v>
      </c>
    </row>
    <row r="841" spans="14:21" x14ac:dyDescent="0.25">
      <c r="N841" s="51">
        <v>3</v>
      </c>
      <c r="O841" s="51">
        <v>3</v>
      </c>
      <c r="T841" s="318">
        <v>2</v>
      </c>
      <c r="U841" s="318">
        <v>4</v>
      </c>
    </row>
    <row r="842" spans="14:21" x14ac:dyDescent="0.25">
      <c r="N842" s="51">
        <v>3</v>
      </c>
      <c r="O842" s="51">
        <v>3</v>
      </c>
      <c r="T842" s="318">
        <v>2</v>
      </c>
      <c r="U842" s="318">
        <v>3</v>
      </c>
    </row>
    <row r="843" spans="14:21" x14ac:dyDescent="0.25">
      <c r="N843" s="51">
        <v>2</v>
      </c>
      <c r="O843" s="51">
        <v>4</v>
      </c>
      <c r="T843" s="318">
        <v>3</v>
      </c>
      <c r="U843" s="318">
        <v>3</v>
      </c>
    </row>
    <row r="844" spans="14:21" x14ac:dyDescent="0.25">
      <c r="N844" s="51">
        <v>3</v>
      </c>
      <c r="O844" s="51">
        <v>4</v>
      </c>
      <c r="T844" s="318">
        <v>3</v>
      </c>
      <c r="U844" s="318">
        <v>3</v>
      </c>
    </row>
    <row r="845" spans="14:21" x14ac:dyDescent="0.25">
      <c r="N845" s="51">
        <v>3</v>
      </c>
      <c r="O845" s="51">
        <v>5</v>
      </c>
      <c r="T845" s="318">
        <v>3</v>
      </c>
      <c r="U845" s="318">
        <v>3</v>
      </c>
    </row>
    <row r="846" spans="14:21" x14ac:dyDescent="0.25">
      <c r="N846" s="51">
        <v>2</v>
      </c>
      <c r="O846" s="51">
        <v>3</v>
      </c>
      <c r="T846" s="318">
        <v>2</v>
      </c>
      <c r="U846" s="318">
        <v>3</v>
      </c>
    </row>
    <row r="847" spans="14:21" x14ac:dyDescent="0.25">
      <c r="N847" s="51">
        <v>3</v>
      </c>
      <c r="O847" s="51">
        <v>4</v>
      </c>
    </row>
    <row r="848" spans="14:21" x14ac:dyDescent="0.25">
      <c r="N848" s="51">
        <v>3</v>
      </c>
      <c r="O848" s="51">
        <v>3</v>
      </c>
    </row>
    <row r="849" spans="14:15" x14ac:dyDescent="0.25">
      <c r="N849" s="51">
        <v>3</v>
      </c>
      <c r="O849" s="51">
        <v>5</v>
      </c>
    </row>
    <row r="850" spans="14:15" x14ac:dyDescent="0.25">
      <c r="N850" s="51">
        <v>3</v>
      </c>
      <c r="O850" s="51">
        <v>3</v>
      </c>
    </row>
    <row r="851" spans="14:15" x14ac:dyDescent="0.25">
      <c r="N851" s="51">
        <v>2</v>
      </c>
      <c r="O851" s="51">
        <v>3</v>
      </c>
    </row>
    <row r="852" spans="14:15" x14ac:dyDescent="0.25">
      <c r="N852" s="51">
        <v>2</v>
      </c>
      <c r="O852" s="51">
        <v>4</v>
      </c>
    </row>
    <row r="853" spans="14:15" x14ac:dyDescent="0.25">
      <c r="N853" s="51">
        <v>3</v>
      </c>
      <c r="O853" s="51">
        <v>3</v>
      </c>
    </row>
    <row r="854" spans="14:15" x14ac:dyDescent="0.25">
      <c r="N854" s="51">
        <v>3</v>
      </c>
      <c r="O854" s="51">
        <v>3</v>
      </c>
    </row>
    <row r="855" spans="14:15" x14ac:dyDescent="0.25">
      <c r="N855" s="51">
        <v>2</v>
      </c>
      <c r="O855" s="51">
        <v>3</v>
      </c>
    </row>
    <row r="856" spans="14:15" x14ac:dyDescent="0.25">
      <c r="N856" s="51">
        <v>3</v>
      </c>
      <c r="O856" s="51">
        <v>5</v>
      </c>
    </row>
    <row r="857" spans="14:15" x14ac:dyDescent="0.25">
      <c r="N857" s="51">
        <v>3</v>
      </c>
      <c r="O857" s="51">
        <v>4</v>
      </c>
    </row>
    <row r="858" spans="14:15" x14ac:dyDescent="0.25">
      <c r="N858" s="51">
        <v>4</v>
      </c>
      <c r="O858" s="51">
        <v>3</v>
      </c>
    </row>
    <row r="859" spans="14:15" x14ac:dyDescent="0.25">
      <c r="N859" s="51">
        <v>2</v>
      </c>
      <c r="O859" s="51">
        <v>3</v>
      </c>
    </row>
    <row r="860" spans="14:15" x14ac:dyDescent="0.25">
      <c r="N860" s="51">
        <v>2</v>
      </c>
      <c r="O860" s="51">
        <v>4</v>
      </c>
    </row>
    <row r="861" spans="14:15" x14ac:dyDescent="0.25">
      <c r="N861" s="51">
        <v>3</v>
      </c>
      <c r="O861" s="51">
        <v>3</v>
      </c>
    </row>
    <row r="862" spans="14:15" x14ac:dyDescent="0.25">
      <c r="N862" s="51">
        <v>3</v>
      </c>
      <c r="O862" s="51">
        <v>3</v>
      </c>
    </row>
    <row r="863" spans="14:15" x14ac:dyDescent="0.25">
      <c r="N863" s="51">
        <v>3</v>
      </c>
      <c r="O863" s="51">
        <v>5</v>
      </c>
    </row>
    <row r="864" spans="14:15" x14ac:dyDescent="0.25">
      <c r="N864" s="51">
        <v>4</v>
      </c>
      <c r="O864" s="51">
        <v>4</v>
      </c>
    </row>
    <row r="865" spans="14:15" x14ac:dyDescent="0.25">
      <c r="N865" s="51">
        <v>3</v>
      </c>
      <c r="O865" s="51">
        <v>3</v>
      </c>
    </row>
    <row r="866" spans="14:15" x14ac:dyDescent="0.25">
      <c r="N866" s="51">
        <v>2</v>
      </c>
      <c r="O866" s="51">
        <v>4</v>
      </c>
    </row>
    <row r="867" spans="14:15" x14ac:dyDescent="0.25">
      <c r="N867" s="51">
        <v>2</v>
      </c>
      <c r="O867" s="51">
        <v>3</v>
      </c>
    </row>
    <row r="868" spans="14:15" x14ac:dyDescent="0.25">
      <c r="N868" s="51">
        <v>3</v>
      </c>
      <c r="O868" s="51">
        <v>4</v>
      </c>
    </row>
    <row r="869" spans="14:15" x14ac:dyDescent="0.25">
      <c r="N869" s="51">
        <v>2</v>
      </c>
      <c r="O869" s="51">
        <v>5</v>
      </c>
    </row>
    <row r="870" spans="14:15" x14ac:dyDescent="0.25">
      <c r="N870" s="51">
        <v>4</v>
      </c>
      <c r="O870" s="51">
        <v>3</v>
      </c>
    </row>
    <row r="871" spans="14:15" x14ac:dyDescent="0.25">
      <c r="N871" s="51">
        <v>2</v>
      </c>
      <c r="O871" s="51">
        <v>3</v>
      </c>
    </row>
    <row r="872" spans="14:15" x14ac:dyDescent="0.25">
      <c r="N872" s="51">
        <v>3</v>
      </c>
      <c r="O872" s="51">
        <v>5</v>
      </c>
    </row>
    <row r="873" spans="14:15" x14ac:dyDescent="0.25">
      <c r="N873" s="51">
        <v>2</v>
      </c>
      <c r="O873" s="51">
        <v>4</v>
      </c>
    </row>
    <row r="874" spans="14:15" x14ac:dyDescent="0.25">
      <c r="N874" s="51">
        <v>3</v>
      </c>
      <c r="O874" s="51">
        <v>4</v>
      </c>
    </row>
    <row r="875" spans="14:15" x14ac:dyDescent="0.25">
      <c r="N875" s="51">
        <v>2</v>
      </c>
      <c r="O875" s="51">
        <v>4</v>
      </c>
    </row>
    <row r="876" spans="14:15" x14ac:dyDescent="0.25">
      <c r="N876" s="51">
        <v>2</v>
      </c>
      <c r="O876" s="51">
        <v>4</v>
      </c>
    </row>
    <row r="877" spans="14:15" x14ac:dyDescent="0.25">
      <c r="N877" s="51">
        <v>3</v>
      </c>
      <c r="O877" s="51">
        <v>3</v>
      </c>
    </row>
    <row r="878" spans="14:15" x14ac:dyDescent="0.25">
      <c r="N878" s="51">
        <v>3</v>
      </c>
      <c r="O878" s="51">
        <v>4</v>
      </c>
    </row>
    <row r="879" spans="14:15" x14ac:dyDescent="0.25">
      <c r="N879" s="51">
        <v>3</v>
      </c>
      <c r="O879" s="51">
        <v>3</v>
      </c>
    </row>
    <row r="880" spans="14:15" x14ac:dyDescent="0.25">
      <c r="N880" s="51">
        <v>2</v>
      </c>
      <c r="O880" s="51">
        <v>3</v>
      </c>
    </row>
    <row r="881" spans="14:15" x14ac:dyDescent="0.25">
      <c r="N881" s="51">
        <v>2</v>
      </c>
      <c r="O881" s="51">
        <v>4</v>
      </c>
    </row>
    <row r="882" spans="14:15" x14ac:dyDescent="0.25">
      <c r="N882" s="51">
        <v>3</v>
      </c>
      <c r="O882" s="51">
        <v>4</v>
      </c>
    </row>
    <row r="883" spans="14:15" x14ac:dyDescent="0.25">
      <c r="N883" s="51">
        <v>3</v>
      </c>
      <c r="O883" s="51">
        <v>4</v>
      </c>
    </row>
    <row r="884" spans="14:15" x14ac:dyDescent="0.25">
      <c r="N884" s="51">
        <v>2</v>
      </c>
      <c r="O884" s="51">
        <v>3</v>
      </c>
    </row>
    <row r="885" spans="14:15" x14ac:dyDescent="0.25">
      <c r="N885" s="51">
        <v>2</v>
      </c>
      <c r="O885" s="51">
        <v>4</v>
      </c>
    </row>
    <row r="886" spans="14:15" x14ac:dyDescent="0.25">
      <c r="N886" s="51">
        <v>2</v>
      </c>
      <c r="O886" s="51">
        <v>4</v>
      </c>
    </row>
    <row r="887" spans="14:15" x14ac:dyDescent="0.25">
      <c r="N887" s="51">
        <v>2</v>
      </c>
      <c r="O887" s="51">
        <v>3</v>
      </c>
    </row>
    <row r="888" spans="14:15" x14ac:dyDescent="0.25">
      <c r="N888" s="51">
        <v>2</v>
      </c>
      <c r="O888" s="51">
        <v>3</v>
      </c>
    </row>
    <row r="889" spans="14:15" x14ac:dyDescent="0.25">
      <c r="N889" s="51">
        <v>3</v>
      </c>
      <c r="O889" s="51">
        <v>3</v>
      </c>
    </row>
    <row r="890" spans="14:15" x14ac:dyDescent="0.25">
      <c r="N890" s="51">
        <v>2</v>
      </c>
      <c r="O890" s="51">
        <v>4</v>
      </c>
    </row>
    <row r="891" spans="14:15" x14ac:dyDescent="0.25">
      <c r="N891" s="51">
        <v>2</v>
      </c>
      <c r="O891" s="51">
        <v>4</v>
      </c>
    </row>
    <row r="892" spans="14:15" x14ac:dyDescent="0.25">
      <c r="N892" s="51">
        <v>2</v>
      </c>
      <c r="O892" s="51">
        <v>3</v>
      </c>
    </row>
    <row r="893" spans="14:15" x14ac:dyDescent="0.25">
      <c r="N893" s="51">
        <v>3</v>
      </c>
      <c r="O893" s="51">
        <v>4</v>
      </c>
    </row>
    <row r="894" spans="14:15" x14ac:dyDescent="0.25">
      <c r="N894" s="51">
        <v>3</v>
      </c>
      <c r="O894" s="51">
        <v>4</v>
      </c>
    </row>
    <row r="895" spans="14:15" x14ac:dyDescent="0.25">
      <c r="N895" s="51">
        <v>3</v>
      </c>
      <c r="O895" s="51">
        <v>3</v>
      </c>
    </row>
    <row r="896" spans="14:15" x14ac:dyDescent="0.25">
      <c r="N896" s="51">
        <v>2</v>
      </c>
      <c r="O896" s="51">
        <v>4</v>
      </c>
    </row>
    <row r="897" spans="14:15" x14ac:dyDescent="0.25">
      <c r="N897" s="51">
        <v>2</v>
      </c>
      <c r="O897" s="51">
        <v>4</v>
      </c>
    </row>
    <row r="898" spans="14:15" x14ac:dyDescent="0.25">
      <c r="N898" s="51">
        <v>3</v>
      </c>
      <c r="O898" s="51">
        <v>4</v>
      </c>
    </row>
    <row r="899" spans="14:15" x14ac:dyDescent="0.25">
      <c r="N899" s="51">
        <v>3</v>
      </c>
      <c r="O899" s="51">
        <v>3</v>
      </c>
    </row>
    <row r="900" spans="14:15" x14ac:dyDescent="0.25">
      <c r="N900" s="51">
        <v>2</v>
      </c>
      <c r="O900" s="51">
        <v>4</v>
      </c>
    </row>
    <row r="901" spans="14:15" x14ac:dyDescent="0.25">
      <c r="N901" s="51">
        <v>2</v>
      </c>
      <c r="O901" s="51">
        <v>3</v>
      </c>
    </row>
    <row r="902" spans="14:15" x14ac:dyDescent="0.25">
      <c r="N902" s="51">
        <v>2</v>
      </c>
      <c r="O902" s="51">
        <v>3</v>
      </c>
    </row>
    <row r="903" spans="14:15" x14ac:dyDescent="0.25">
      <c r="N903" s="51">
        <v>2</v>
      </c>
      <c r="O903" s="51">
        <v>3</v>
      </c>
    </row>
    <row r="904" spans="14:15" x14ac:dyDescent="0.25">
      <c r="N904" s="51">
        <v>4</v>
      </c>
      <c r="O904" s="51">
        <v>3</v>
      </c>
    </row>
    <row r="905" spans="14:15" x14ac:dyDescent="0.25">
      <c r="N905" s="51">
        <v>2</v>
      </c>
      <c r="O905" s="51">
        <v>3</v>
      </c>
    </row>
    <row r="906" spans="14:15" x14ac:dyDescent="0.25">
      <c r="N906" s="51">
        <v>4</v>
      </c>
      <c r="O906" s="51">
        <v>3</v>
      </c>
    </row>
    <row r="907" spans="14:15" x14ac:dyDescent="0.25">
      <c r="N907" s="51">
        <v>2</v>
      </c>
      <c r="O907" s="51">
        <v>4</v>
      </c>
    </row>
    <row r="908" spans="14:15" x14ac:dyDescent="0.25">
      <c r="N908" s="51">
        <v>3</v>
      </c>
      <c r="O908" s="51">
        <v>3</v>
      </c>
    </row>
    <row r="909" spans="14:15" x14ac:dyDescent="0.25">
      <c r="N909" s="51">
        <v>2</v>
      </c>
      <c r="O909" s="51">
        <v>4</v>
      </c>
    </row>
    <row r="910" spans="14:15" x14ac:dyDescent="0.25">
      <c r="N910" s="51">
        <v>2</v>
      </c>
      <c r="O910" s="51">
        <v>4</v>
      </c>
    </row>
    <row r="911" spans="14:15" x14ac:dyDescent="0.25">
      <c r="N911" s="51">
        <v>3</v>
      </c>
      <c r="O911" s="51">
        <v>4</v>
      </c>
    </row>
    <row r="912" spans="14:15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  <row r="1067" spans="14:15" x14ac:dyDescent="0.25">
      <c r="N1067" s="51">
        <v>2</v>
      </c>
      <c r="O1067" s="51">
        <v>3</v>
      </c>
    </row>
    <row r="1068" spans="14:15" x14ac:dyDescent="0.25">
      <c r="N1068" s="51">
        <v>3</v>
      </c>
      <c r="O1068" s="51">
        <v>3</v>
      </c>
    </row>
    <row r="1069" spans="14:15" x14ac:dyDescent="0.25">
      <c r="N1069" s="51">
        <v>2</v>
      </c>
      <c r="O1069" s="51">
        <v>4</v>
      </c>
    </row>
    <row r="1070" spans="14:15" x14ac:dyDescent="0.25">
      <c r="N1070" s="51">
        <v>3</v>
      </c>
      <c r="O1070" s="51">
        <v>3</v>
      </c>
    </row>
    <row r="1071" spans="14:15" x14ac:dyDescent="0.25">
      <c r="N1071" s="51">
        <v>2</v>
      </c>
      <c r="O1071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5"/>
  <sheetViews>
    <sheetView tabSelected="1" workbookViewId="0">
      <selection activeCell="G77" sqref="G77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23" t="s">
        <v>470</v>
      </c>
      <c r="F1" s="1123"/>
      <c r="G1" s="1123"/>
      <c r="H1" s="1123"/>
      <c r="I1" s="1123"/>
      <c r="J1" s="1117" t="s">
        <v>471</v>
      </c>
      <c r="K1" s="1117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24498.512432787618</v>
      </c>
      <c r="F3" s="731" cm="1">
        <f t="array" ref="F3">SUMIF($G6:$G100000,"&gt;0") / SCOUT_DAYS_FROM_EARLIEST * 30</f>
        <v>24408.112017906482</v>
      </c>
      <c r="G3" s="731" cm="1">
        <f t="array" ref="G3">SUMIF($F6:$G100000,"&gt;0") / SCOUT_DAYS_FROM_EARLIEST * 30</f>
        <v>48906.624450694093</v>
      </c>
      <c r="H3" s="731" cm="1">
        <f t="array" ref="H3">SUMIF($F6:$G100000,"&lt;0") / SCOUT_DAYS_FROM_EARLIEST * 30</f>
        <v>-90549.772088330035</v>
      </c>
      <c r="I3" s="731">
        <f>G3+H3</f>
        <v>-41643.147637635942</v>
      </c>
      <c r="J3" s="99" cm="1">
        <f t="array" ref="J3">SUM(J6:J100000) / SCOUT_DAYS_FROM_EARLIEST * 30</f>
        <v>35657.067991376425</v>
      </c>
      <c r="K3" s="734" cm="1">
        <f t="array" ref="K3">SUM(K6:K100000) / SCOUT_DAYS_FROM_EARLIEST * 30</f>
        <v>636.34031170677292</v>
      </c>
    </row>
    <row r="4" spans="1:11" s="719" customFormat="1" ht="15" customHeight="1" x14ac:dyDescent="0.25">
      <c r="A4" s="1124" t="s">
        <v>415</v>
      </c>
      <c r="B4" s="1088" t="s">
        <v>422</v>
      </c>
      <c r="C4" s="1088" t="s">
        <v>92</v>
      </c>
      <c r="D4" s="1088"/>
      <c r="E4" s="1088"/>
      <c r="F4" s="1088" t="s">
        <v>104</v>
      </c>
      <c r="G4" s="1088"/>
      <c r="H4" s="1088"/>
      <c r="I4" s="1088"/>
      <c r="J4" s="1088" t="s">
        <v>432</v>
      </c>
      <c r="K4" s="1088"/>
    </row>
    <row r="5" spans="1:11" s="710" customFormat="1" ht="15" customHeight="1" x14ac:dyDescent="0.25">
      <c r="A5" s="1125"/>
      <c r="B5" s="922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5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:F73" si="10">C65-C64</f>
        <v>1680</v>
      </c>
      <c r="G65" s="713">
        <f t="shared" ref="G65:G73" si="11">D65-D64</f>
        <v>70</v>
      </c>
      <c r="H65" s="713">
        <f t="shared" ref="H65:H73" si="12">SUM(F65:G65)</f>
        <v>1750</v>
      </c>
      <c r="I65" s="724">
        <f t="shared" ref="I65:I73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si="10"/>
        <v>175</v>
      </c>
      <c r="G66" s="713">
        <f t="shared" si="11"/>
        <v>50</v>
      </c>
      <c r="H66" s="713">
        <f t="shared" si="12"/>
        <v>225</v>
      </c>
      <c r="I66" s="724">
        <f t="shared" si="13"/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si="10"/>
        <v>825</v>
      </c>
      <c r="G67" s="713">
        <f t="shared" si="11"/>
        <v>130</v>
      </c>
      <c r="H67" s="713">
        <f t="shared" si="12"/>
        <v>955</v>
      </c>
      <c r="I67" s="724">
        <f t="shared" si="13"/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si="10"/>
        <v>75</v>
      </c>
      <c r="G68" s="713">
        <f t="shared" si="11"/>
        <v>50</v>
      </c>
      <c r="H68" s="713">
        <f t="shared" si="12"/>
        <v>125</v>
      </c>
      <c r="I68" s="724">
        <f t="shared" si="13"/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si="10"/>
        <v>1400</v>
      </c>
      <c r="G69" s="713">
        <f t="shared" si="11"/>
        <v>-505</v>
      </c>
      <c r="H69" s="713">
        <f t="shared" si="12"/>
        <v>895</v>
      </c>
      <c r="I69" s="724">
        <f t="shared" si="13"/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si="10"/>
        <v>4140</v>
      </c>
      <c r="G70" s="713">
        <f t="shared" si="11"/>
        <v>600</v>
      </c>
      <c r="H70" s="713">
        <f t="shared" si="12"/>
        <v>4740</v>
      </c>
      <c r="I70" s="724">
        <f t="shared" si="13"/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si="10"/>
        <v>125</v>
      </c>
      <c r="G71" s="713">
        <f t="shared" si="11"/>
        <v>40</v>
      </c>
      <c r="H71" s="713">
        <f t="shared" si="12"/>
        <v>165</v>
      </c>
      <c r="I71" s="724">
        <f t="shared" si="13"/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si="10"/>
        <v>150</v>
      </c>
      <c r="G72" s="713">
        <f t="shared" si="11"/>
        <v>-10255</v>
      </c>
      <c r="H72" s="713">
        <f t="shared" si="12"/>
        <v>-10105</v>
      </c>
      <c r="I72" s="724">
        <f t="shared" si="13"/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si="10"/>
        <v>1200</v>
      </c>
      <c r="G73" s="713">
        <f t="shared" si="11"/>
        <v>-40</v>
      </c>
      <c r="H73" s="713">
        <f t="shared" si="12"/>
        <v>1160</v>
      </c>
      <c r="I73" s="724">
        <f t="shared" si="13"/>
        <v>22.095238095238095</v>
      </c>
    </row>
    <row r="74" spans="1:11" x14ac:dyDescent="0.25">
      <c r="A74" s="714">
        <v>43981.043055555558</v>
      </c>
      <c r="C74" s="711">
        <v>16520</v>
      </c>
      <c r="D74" s="711">
        <v>3659</v>
      </c>
      <c r="E74" s="711">
        <f t="shared" si="5"/>
        <v>20179</v>
      </c>
      <c r="F74" s="713">
        <f t="shared" ref="F74" si="14">C74-C73</f>
        <v>6340</v>
      </c>
      <c r="G74" s="713">
        <f t="shared" ref="G74" si="15">D74-D73</f>
        <v>590</v>
      </c>
      <c r="H74" s="713">
        <f t="shared" ref="H74" si="16">SUM(F74:G74)</f>
        <v>6930</v>
      </c>
      <c r="I74" s="724">
        <f t="shared" ref="I74" si="17">H74/4200*80</f>
        <v>132</v>
      </c>
    </row>
    <row r="75" spans="1:11" x14ac:dyDescent="0.25">
      <c r="A75" s="714">
        <v>43982.99722222222</v>
      </c>
      <c r="C75" s="711">
        <v>17070</v>
      </c>
      <c r="D75" s="711">
        <v>3229</v>
      </c>
      <c r="E75" s="711">
        <f t="shared" si="5"/>
        <v>20299</v>
      </c>
      <c r="F75" s="713">
        <f t="shared" ref="F75" si="18">C75-C74</f>
        <v>550</v>
      </c>
      <c r="G75" s="713">
        <f t="shared" ref="G75" si="19">D75-D74</f>
        <v>-430</v>
      </c>
      <c r="H75" s="713">
        <f t="shared" ref="H75" si="20">SUM(F75:G75)</f>
        <v>120</v>
      </c>
      <c r="I75" s="724">
        <f t="shared" ref="I75" si="21">H75/4200*80</f>
        <v>2.2857142857142856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K18"/>
  <sheetViews>
    <sheetView workbookViewId="0">
      <selection activeCell="H11" sqref="H11"/>
    </sheetView>
  </sheetViews>
  <sheetFormatPr defaultRowHeight="15" x14ac:dyDescent="0.25"/>
  <cols>
    <col min="1" max="2" width="11.5703125" style="811" customWidth="1"/>
    <col min="3" max="3" width="25.85546875" style="809" customWidth="1"/>
    <col min="4" max="4" width="8.42578125" style="809" customWidth="1"/>
    <col min="5" max="5" width="9.140625" style="622"/>
    <col min="6" max="16384" width="9.140625" style="809"/>
  </cols>
  <sheetData>
    <row r="1" spans="1:11" s="813" customFormat="1" x14ac:dyDescent="0.25">
      <c r="A1" s="811"/>
      <c r="B1" s="811"/>
      <c r="D1" s="815" t="s">
        <v>503</v>
      </c>
      <c r="E1" s="812" t="s">
        <v>502</v>
      </c>
      <c r="G1" s="837" t="s">
        <v>44</v>
      </c>
      <c r="H1" s="815" t="s">
        <v>159</v>
      </c>
      <c r="I1" s="815" t="s">
        <v>504</v>
      </c>
      <c r="J1" s="815" t="s">
        <v>416</v>
      </c>
      <c r="K1" s="815" t="s">
        <v>505</v>
      </c>
    </row>
    <row r="2" spans="1:11" s="813" customFormat="1" x14ac:dyDescent="0.25">
      <c r="A2" s="811"/>
      <c r="B2" s="811"/>
      <c r="D2" s="813">
        <f>SUM(D4:D1048576)</f>
        <v>4563</v>
      </c>
      <c r="E2" s="622">
        <f ca="1">D2/(NOW()-$A$4)</f>
        <v>35.041014666347515</v>
      </c>
      <c r="G2" s="837"/>
    </row>
    <row r="3" spans="1:11" s="810" customFormat="1" ht="15" customHeight="1" x14ac:dyDescent="0.25">
      <c r="A3" s="1227" t="s">
        <v>485</v>
      </c>
      <c r="B3" s="1227" t="s">
        <v>487</v>
      </c>
      <c r="C3" s="814" t="s">
        <v>484</v>
      </c>
      <c r="D3" s="814" t="s">
        <v>486</v>
      </c>
      <c r="E3" s="1228" t="s">
        <v>502</v>
      </c>
      <c r="G3" s="1117" t="s">
        <v>45</v>
      </c>
      <c r="H3" s="815" t="s">
        <v>159</v>
      </c>
      <c r="I3" s="815" t="s">
        <v>504</v>
      </c>
      <c r="J3" s="815" t="s">
        <v>416</v>
      </c>
      <c r="K3" s="815" t="s">
        <v>505</v>
      </c>
    </row>
    <row r="4" spans="1:11" x14ac:dyDescent="0.25">
      <c r="A4" s="811">
        <v>43853</v>
      </c>
      <c r="B4" s="811">
        <v>43859</v>
      </c>
      <c r="C4" s="809" t="s">
        <v>488</v>
      </c>
      <c r="D4" s="809">
        <v>762</v>
      </c>
      <c r="E4" s="622">
        <f>D4/(B4-A4)</f>
        <v>127</v>
      </c>
      <c r="G4" s="1117"/>
    </row>
    <row r="5" spans="1:11" x14ac:dyDescent="0.25">
      <c r="A5" s="811">
        <v>43859</v>
      </c>
      <c r="B5" s="811">
        <v>43878</v>
      </c>
      <c r="C5" s="809" t="s">
        <v>489</v>
      </c>
      <c r="D5" s="809">
        <v>217</v>
      </c>
      <c r="E5" s="622">
        <f t="shared" ref="E5:E18" si="0">D5/(B5-A5)</f>
        <v>11.421052631578947</v>
      </c>
      <c r="J5" s="809" t="s">
        <v>503</v>
      </c>
      <c r="K5" s="809">
        <f>(H4-H2) + (I4-I2) * 10 + (J4-J2) / 120 + (K4-K2) / 120</f>
        <v>0</v>
      </c>
    </row>
    <row r="6" spans="1:11" x14ac:dyDescent="0.25">
      <c r="A6" s="811">
        <v>43865</v>
      </c>
      <c r="B6" s="811">
        <v>43878</v>
      </c>
      <c r="C6" s="809" t="s">
        <v>490</v>
      </c>
      <c r="D6" s="809">
        <v>224</v>
      </c>
      <c r="E6" s="622">
        <f t="shared" si="0"/>
        <v>17.23076923076923</v>
      </c>
    </row>
    <row r="7" spans="1:11" x14ac:dyDescent="0.25">
      <c r="A7" s="811">
        <v>43875</v>
      </c>
      <c r="B7" s="811">
        <v>43889</v>
      </c>
      <c r="C7" s="809" t="s">
        <v>491</v>
      </c>
      <c r="D7" s="809">
        <v>250</v>
      </c>
      <c r="E7" s="622">
        <f t="shared" si="0"/>
        <v>17.857142857142858</v>
      </c>
    </row>
    <row r="8" spans="1:11" x14ac:dyDescent="0.25">
      <c r="A8" s="811">
        <v>43889</v>
      </c>
      <c r="B8" s="811">
        <v>43902</v>
      </c>
      <c r="C8" s="809" t="s">
        <v>492</v>
      </c>
      <c r="D8" s="809">
        <v>785</v>
      </c>
      <c r="E8" s="622">
        <f t="shared" si="0"/>
        <v>60.384615384615387</v>
      </c>
    </row>
    <row r="9" spans="1:11" x14ac:dyDescent="0.25">
      <c r="A9" s="811">
        <v>43893</v>
      </c>
      <c r="B9" s="811">
        <v>43902</v>
      </c>
      <c r="C9" s="809" t="s">
        <v>493</v>
      </c>
      <c r="D9" s="809">
        <v>6</v>
      </c>
      <c r="E9" s="622">
        <f t="shared" si="0"/>
        <v>0.66666666666666663</v>
      </c>
    </row>
    <row r="10" spans="1:11" x14ac:dyDescent="0.25">
      <c r="A10" s="811">
        <v>43902</v>
      </c>
      <c r="B10" s="811">
        <v>43917</v>
      </c>
      <c r="C10" s="809" t="s">
        <v>435</v>
      </c>
      <c r="D10" s="809">
        <v>334</v>
      </c>
      <c r="E10" s="622">
        <f t="shared" si="0"/>
        <v>22.266666666666666</v>
      </c>
    </row>
    <row r="11" spans="1:11" x14ac:dyDescent="0.25">
      <c r="A11" s="811">
        <v>43917</v>
      </c>
      <c r="B11" s="811">
        <v>43923</v>
      </c>
      <c r="C11" s="809" t="s">
        <v>494</v>
      </c>
      <c r="D11" s="809">
        <v>359</v>
      </c>
      <c r="E11" s="622">
        <f t="shared" si="0"/>
        <v>59.833333333333336</v>
      </c>
    </row>
    <row r="12" spans="1:11" x14ac:dyDescent="0.25">
      <c r="A12" s="811">
        <v>43923</v>
      </c>
      <c r="B12" s="811">
        <v>43934</v>
      </c>
      <c r="C12" s="809" t="s">
        <v>495</v>
      </c>
      <c r="D12" s="809">
        <v>20</v>
      </c>
      <c r="E12" s="622">
        <f t="shared" si="0"/>
        <v>1.8181818181818181</v>
      </c>
    </row>
    <row r="13" spans="1:11" x14ac:dyDescent="0.25">
      <c r="A13" s="811">
        <v>43927</v>
      </c>
      <c r="B13" s="811">
        <v>43934</v>
      </c>
      <c r="C13" s="809" t="s">
        <v>496</v>
      </c>
      <c r="D13" s="809">
        <v>429</v>
      </c>
      <c r="E13" s="622">
        <f t="shared" si="0"/>
        <v>61.285714285714285</v>
      </c>
    </row>
    <row r="14" spans="1:11" x14ac:dyDescent="0.25">
      <c r="A14" s="811">
        <v>43934</v>
      </c>
      <c r="B14" s="811">
        <v>43941</v>
      </c>
      <c r="C14" s="809" t="s">
        <v>497</v>
      </c>
      <c r="D14" s="809">
        <v>60</v>
      </c>
      <c r="E14" s="622">
        <f t="shared" si="0"/>
        <v>8.5714285714285712</v>
      </c>
    </row>
    <row r="15" spans="1:11" x14ac:dyDescent="0.25">
      <c r="A15" s="811">
        <v>43945</v>
      </c>
      <c r="B15" s="811">
        <v>43951</v>
      </c>
      <c r="C15" s="809" t="s">
        <v>498</v>
      </c>
      <c r="D15" s="809">
        <v>226</v>
      </c>
      <c r="E15" s="622">
        <f t="shared" si="0"/>
        <v>37.666666666666664</v>
      </c>
    </row>
    <row r="16" spans="1:11" x14ac:dyDescent="0.25">
      <c r="A16" s="811">
        <v>43951</v>
      </c>
      <c r="B16" s="811">
        <v>43963</v>
      </c>
      <c r="C16" s="809" t="s">
        <v>501</v>
      </c>
      <c r="D16" s="809">
        <v>292</v>
      </c>
      <c r="E16" s="622">
        <f t="shared" si="0"/>
        <v>24.333333333333332</v>
      </c>
    </row>
    <row r="17" spans="1:5" x14ac:dyDescent="0.25">
      <c r="A17" s="811">
        <v>43963</v>
      </c>
      <c r="B17" s="811">
        <v>43980</v>
      </c>
      <c r="C17" s="809" t="s">
        <v>499</v>
      </c>
      <c r="D17" s="809">
        <v>595</v>
      </c>
      <c r="E17" s="622">
        <f t="shared" si="0"/>
        <v>35</v>
      </c>
    </row>
    <row r="18" spans="1:5" x14ac:dyDescent="0.25">
      <c r="A18" s="811">
        <v>43980</v>
      </c>
      <c r="B18" s="811">
        <v>43985</v>
      </c>
      <c r="C18" s="809" t="s">
        <v>500</v>
      </c>
      <c r="D18" s="809">
        <v>4</v>
      </c>
      <c r="E18" s="622">
        <f t="shared" si="0"/>
        <v>0.8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0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26" t="str">
        <f>B1&amp; "日"</f>
        <v>1日</v>
      </c>
      <c r="G1" s="1127"/>
      <c r="H1" s="1127"/>
      <c r="I1" s="1126" t="str">
        <f>C1 &amp; "日"</f>
        <v>7日</v>
      </c>
      <c r="J1" s="1127"/>
      <c r="K1" s="1127"/>
      <c r="L1" s="1126" t="s">
        <v>174</v>
      </c>
      <c r="M1" s="1127"/>
      <c r="N1" s="1127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-234 D 00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-236 D 16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-245 D 10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-250 D 22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-237 D 11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-031 D 20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-129 D 20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-182 D 14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-198 D 21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-218 D 09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-230 D 10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-255 D 00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-234 D 02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-239 D 18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-244 D 03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-250 D 23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-252 D 20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-247 D 15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-221 D 21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-210 D 20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-227 D 02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-226 D 03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-237 D 00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-228 D 17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-232 D 16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-233 D 02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-228 D 12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-229 D 19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-241 D 10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-229 D 01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-230 D 09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-240 D 18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-231 D 06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-230 D 13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-240 D 08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-231 D 09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-230 D 19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-220 D 19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-231 D 16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-231 D 09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-219 D 15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-232 D 10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-228 D 17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-226 D 12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-232 D 18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-231 D 06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-233 D 16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-233 D 02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-232 D 02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-240 D 06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-233 D 09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-232 D 11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-245 D 05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-233 D 20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-233 D 12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-236 D 02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-232 D 18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-230 D 14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-236 D 18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-231 D 16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-231 D 07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-222 D 13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-231 D 10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-232 D 13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-221 D 14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-230 D 17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-229 D 20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-218 D 17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-229 D 16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-230 D 01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-207 D 03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-229 D 14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-230 D 07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-210 D 13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-229 D 05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-230 D 12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-216 D 10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-229 D 09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-231 D 01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-222 D 15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-229 D 12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-231 D 14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-215 D 00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-230 D 21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-229 D 17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-231 D 12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-230 D 22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-230 D 15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-231 D 14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-231 D 00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-231 D 00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-216 D 06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-230 D 09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-229 D 16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-224 D 16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-230 D 22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-230 D 21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-242 D 04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-232 D 02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-233 D 00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-241 D 14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-232 D 07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-232 D 03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-245 D 16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-233 D 02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-232 D 23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-250 D 17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-233 D 19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-234 D 11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-253 D 09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-235 D 03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-235 D 09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-254 D 16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-236 D 03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-235 D 14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-261 D 21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-237 D 15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-236 D 02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-262 D 00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-238 D 15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-236 D 15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-262 D 06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-239 D 15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-236 D 21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-263 D 01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-240 D 10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-237 D 10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-263 D 10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-241 D 11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-237 D 17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-262 D 01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-242 D 00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-237 D 19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-262 D 04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-242 D 23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-238 D 02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-262 D 09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-243 D 11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-238 D 08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-257 D 08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-243 D 13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-237 D 14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-254 D 23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-243 D 20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-237 D 20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-254 D 06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-244 D 04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-238 D 04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-248 D 17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-245 D 01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-238 D 17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-251 D 12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-245 D 12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-239 D 06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-253 D 14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-246 D 03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-239 D 21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-256 D 14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-247 D 00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-240 D 08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-262 D 17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-248 D 16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-240 D 21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-266 D 05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-250 D 07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-242 D 04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-265 D 20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-251 D 10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-242 D 14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-264 D 12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-251 D 22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-242 D 20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-264 D 09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-252 D 09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-243 D 02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-264 D 07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-253 D 09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-243 D 05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-264 D 07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-253 D 18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-243 D 09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-261 D 00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-253 D 23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-243 D 11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-254 D 14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-255 D 23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-243 D 22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-254 D 09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-256 D 17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-244 D 03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-253 D 23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-256 D 20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-244 D 03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-254 D 09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-257 D 14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-244 D 08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-252 D 04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-259 D 02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-244 D 08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-252 D 07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-259 D 01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-244 D 23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-253 D 19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-258 D 21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-245 D 06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-254 D 21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-259 D 07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-245 D 15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-259 D 14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-259 D 08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-246 D 06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-259 D 19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-259 D 07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-246 D 09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-250 D 03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-258 D 19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-245 D 12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-248 D 02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-258 D 13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-245 D 16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-246 D 11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-258 D 11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-246 D 08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-258 D 10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-258 D 10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-247 D 10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-260 D 20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-258 D 10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-247 D 14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-264 D 06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-258 D 07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-248 D 04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-263 D 15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-258 D 07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-248 D 08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-263 D 10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-258 D 09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-248 D 11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-263 D 14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-258 D 12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-248 D 17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-263 D 17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-258 D 14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-248 D 19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-250 D 07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-257 D 15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-247 D 16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-227 D 00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-256 D 22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-247 D 18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-230 D 13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-256 D 17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-248 D 01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-235 D 11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-256 D 15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-248 D 04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-244 D 13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-256 D 09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-248 D 08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-258 D 14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-256 D 06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-248 D 14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-259 D 03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-256 D 06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-248 D 17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-259 D 12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-256 D 05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-248 D 19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-260 D 21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-256 D 08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-249 D 03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-261 D 10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-256 D 12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-249 D 08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-257 D 12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-256 D 04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-248 D 19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-251 D 00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-256 D 03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-248 D 20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-247 D 19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-255 D 23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-248 D 20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-247 D 20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-255 D 22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-248 D 21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-211 D 06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-254 D 15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-247 D 13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-232 D 19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-254 D 10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-248 D 10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-264 D 20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-254 D 10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-250 D 01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-196 D 18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-249 D 16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-248 D 01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-205 D 11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-247 D 20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-247 D 13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-210 D 23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-247 D 03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-247 D 15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-243 D 17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-246 D 16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-247 D 16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-253 D 12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-246 D 02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-248 D 04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-248 D 23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-245 D 00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-247 D 19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-247 D 03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-245 D 18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-248 D 05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-249 D 15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-246 D 10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-248 D 07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-252 D 06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-246 D 20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-248 D 03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-251 D 19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-247 D 22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-248 D 13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-252 D 06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-247 D 09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-248 D 09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-253 D 02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-248 D 01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-248 D 16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-249 D 05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-248 D 08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-248 D 12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-251 D 22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-248 D 20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-248 D 18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-253 D 01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-251 D 20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-249 D 07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-252 D 16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-251 D 21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-249 D 07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-251 D 19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-251 D 19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-249 D 05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-250 D 09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-251 D 12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-249 D 09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-249 D 13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-250 D 21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-249 D 05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-249 D 17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-250 D 19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-249 D 08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-250 D 10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-250 D 18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-249 D 11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-251 D 05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-250 D 18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-249 D 12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-244 D 16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-250 D 05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-249 D 03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-244 D 12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-249 D 18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-249 D 04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-244 D 15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-249 D 13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-249 D 02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-246 D 03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-249 D 12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-249 D 04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-249 D 20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-249 D 12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-249 D 05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-250 D 08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-249 D 13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-249 D 07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-251 D 01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-249 D 15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-249 D 08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-248 D 15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-249 D 07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-249 D 01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-253 D 16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-249 D 08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-249 D 11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-253 D 03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-249 D 10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-249 D 10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-251 D 03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-249 D 07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-249 D 06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-250 D 22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-249 D 09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-249 D 08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-249 D 12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-249 D 16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-249 D 13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-252 D 17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-249 D 23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-249 D 17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-253 D 11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-250 D 03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-249 D 18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-252 D 09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-250 D 02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-249 D 14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-253 D 01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-250 D 04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-249 D 16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-251 D 18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-250 D 06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-249 D 17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-250 D 20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-250 D 09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-249 D 19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-251 D 10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-250 D 16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-249 D 22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-253 D 04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-250 D 20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-249 D 23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-250 D 04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-250 D 20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-249 D 20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-250 D 07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-250 D 22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-249 D 22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-251 D 02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-251 D 05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-250 D 03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-251 D 09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-251 D 08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-250 D 02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-252 D 13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-251 D 10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-250 D 04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-251 D 23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-251 D 15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-250 D 04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-251 D 05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-251 D 17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-250 D 05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-249 D 20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-251 D 18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-250 D 05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-250 D 06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-251 D 18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-250 D 06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-250 D 12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-251 D 20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-250 D 07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-250 D 12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-251 D 19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-250 D 06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-250 D 21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-251 D 20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-250 D 09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-251 D 01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-251 D 20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-250 D 09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-251 D 02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-251 D 19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-250 D 08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-249 D 22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-251 D 15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-250 D 06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-251 D 03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-251 D 18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-250 D 12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-252 D 17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-251 D 21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-250 D 16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-252 D 11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-251 D 19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-250 D 14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-252 D 12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-251 D 20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-250 D 15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-253 D 13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-251 D 22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-250 D 18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-253 D 18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-251 D 23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-250 D 20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-253 D 19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-252 D 03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-251 D 00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-254 D 07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-252 D 06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-251 D 01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-251 D 05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-251 D 22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-250 D 17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-248 D 00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-251 D 21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-250 D 18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-247 D 20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-251 D 22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-250 D 20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-248 D 14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-251 D 22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-250 D 20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-249 D 06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-251 D 23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-250 D 21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-248 D 10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-251 D 17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-250 D 15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-249 D 21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-251 D 16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-250 D 16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-247 D 06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-251 D 12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-250 D 14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-248 D 00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-251 D 11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-250 D 15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-248 D 18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-251 D 11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-250 D 16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-249 D 10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-251 D 11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-250 D 17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-249 D 20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-251 D 11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-250 D 18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-250 D 14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-251 D 12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-250 D 20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-252 D 09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-251 D 13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-250 D 21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-251 D 03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-251 D 06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-250 D 14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-250 D 20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-251 D 06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-250 D 16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-251 D 16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-251 D 12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-251 D 00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-252 D 03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-251 D 11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-250 D 23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-252 D 07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-251 D 12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-251 D 00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-253 D 05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-251 D 14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-251 D 02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-253 D 05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-251 D 16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-251 D 04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-253 D 09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-251 D 18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-251 D 06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-253 D 16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-251 D 22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-251 D 09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-253 D 20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-252 D 01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-251 D 12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-254 D 08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-252 D 05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-251 D 16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-254 D 09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-252 D 07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-251 D 18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-254 D 10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-252 D 09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-251 D 19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-254 D 21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-252 D 17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-252 D 02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-254 D 19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-252 D 19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-252 D 03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-255 D 11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-253 D 12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-252 D 23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-255 D 14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-253 D 18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-253 D 03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-255 D 15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-253 D 22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-253 D 06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-255 D 16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-254 D 01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-253 D 09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-255 D 16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-254 D 07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-253 D 15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-255 D 16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-254 D 09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-253 D 16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-255 D 04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-254 D 14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-254 D 00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2">
        <v>43677.583333333336</v>
      </c>
      <c r="C1" s="1132"/>
      <c r="D1" s="255" t="s">
        <v>149</v>
      </c>
      <c r="E1" s="253" t="s">
        <v>82</v>
      </c>
      <c r="F1" s="253" t="s">
        <v>74</v>
      </c>
      <c r="G1" s="1117" t="s">
        <v>75</v>
      </c>
      <c r="H1" s="1117"/>
      <c r="I1" s="1117"/>
      <c r="J1" s="1117"/>
      <c r="K1" s="28"/>
      <c r="L1" s="252" t="s">
        <v>77</v>
      </c>
      <c r="M1" s="252"/>
      <c r="N1" s="837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2">
        <v>43688.583333333336</v>
      </c>
      <c r="C2" s="1132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1" t="str">
        <f ca="1">IF(NOW() &gt; $B$2,"",(NOW()-$B$1)/($B$2-$B$1))</f>
        <v/>
      </c>
      <c r="H2" s="1131"/>
      <c r="I2" s="1131"/>
      <c r="J2" s="1131"/>
      <c r="K2" s="28" t="s">
        <v>79</v>
      </c>
      <c r="L2" s="127">
        <v>100000</v>
      </c>
      <c r="N2" s="837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37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37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28" t="s">
        <v>76</v>
      </c>
      <c r="C5" s="1128"/>
      <c r="D5" s="1129" t="s">
        <v>153</v>
      </c>
      <c r="E5" s="1129"/>
      <c r="F5" s="1129" t="s">
        <v>78</v>
      </c>
      <c r="G5" s="1129"/>
      <c r="H5" s="1129" t="s">
        <v>81</v>
      </c>
      <c r="I5" s="1129"/>
      <c r="J5" s="1117" t="s">
        <v>151</v>
      </c>
      <c r="K5" s="1117"/>
      <c r="L5" s="1130" t="s">
        <v>152</v>
      </c>
      <c r="M5" s="1130"/>
      <c r="N5" s="1117" t="s">
        <v>150</v>
      </c>
      <c r="O5" s="1117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52" t="s">
        <v>231</v>
      </c>
      <c r="C2" s="1152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53" t="s">
        <v>17</v>
      </c>
      <c r="U3" s="1153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58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72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33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59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72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33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64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71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54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65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71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54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60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70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55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61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70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55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66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69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68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67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69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68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62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63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43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46">
        <f ca="1">SUM(MAX(L4,L5),MAX(L6,L7),MAX(L8,L9),MAX(L10,L11),MAX(L12,L13))</f>
        <v>0</v>
      </c>
      <c r="M14" s="1146">
        <f ca="1">SUM(MAX(M4,M5),MAX(M6,M7),MAX(M8,M9),MAX(M10,M11),MAX(M12,M13))</f>
        <v>0</v>
      </c>
      <c r="N14" s="1156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44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47"/>
      <c r="M15" s="1147"/>
      <c r="N15" s="1157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44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ca="1">(F16+H16)/G16</f>
        <v>1.9432723799126637</v>
      </c>
      <c r="L16" s="1134">
        <f ca="1">IFERROR(ROUND(J16/(O16*INPUT_IO_DROP_RATE),0),NA())</f>
        <v>0</v>
      </c>
      <c r="M16" s="1134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45">
        <f>SUM(D迎擊!AK:AK)</f>
        <v>1045</v>
      </c>
      <c r="AD16" s="53"/>
    </row>
    <row r="17" spans="2:27" x14ac:dyDescent="0.25">
      <c r="B17" s="1144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34">
        <f ca="1">IFERROR(ROUND(J17/O17,0),NA())</f>
        <v>0</v>
      </c>
      <c r="M17" s="1134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45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44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ca="1">(F18+H18)/G18</f>
        <v>4.4487500000000004</v>
      </c>
      <c r="L18" s="1134">
        <f ca="1">IFERROR(ROUND(J18/O18,0),NA())</f>
        <v>0</v>
      </c>
      <c r="M18" s="1134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45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48" t="s">
        <v>158</v>
      </c>
      <c r="C20" s="1149"/>
      <c r="D20" s="1149"/>
      <c r="E20" s="1149"/>
      <c r="F20" s="1149"/>
      <c r="G20" s="1149"/>
      <c r="H20" s="1149"/>
      <c r="I20" s="1135">
        <v>2</v>
      </c>
      <c r="J20" s="1139" t="s">
        <v>191</v>
      </c>
      <c r="K20" s="1140"/>
      <c r="L20" s="1135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35"/>
      <c r="N20" s="1135"/>
      <c r="O20" s="1135"/>
      <c r="P20" s="1136"/>
    </row>
    <row r="21" spans="2:27" ht="22.5" customHeight="1" thickBot="1" x14ac:dyDescent="0.3">
      <c r="B21" s="1150"/>
      <c r="C21" s="1151"/>
      <c r="D21" s="1151"/>
      <c r="E21" s="1151"/>
      <c r="F21" s="1151"/>
      <c r="G21" s="1151"/>
      <c r="H21" s="1151"/>
      <c r="I21" s="1137"/>
      <c r="J21" s="1141"/>
      <c r="K21" s="1142"/>
      <c r="L21" s="1137"/>
      <c r="M21" s="1137"/>
      <c r="N21" s="1137"/>
      <c r="O21" s="1137"/>
      <c r="P21" s="1138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80" t="s">
        <v>90</v>
      </c>
      <c r="B1" s="1180"/>
      <c r="C1" s="1175" t="s">
        <v>26</v>
      </c>
      <c r="D1" s="1175" t="s">
        <v>89</v>
      </c>
      <c r="E1" s="1175"/>
      <c r="F1" s="1175" t="s">
        <v>26</v>
      </c>
      <c r="G1" s="1187" t="s">
        <v>90</v>
      </c>
      <c r="H1" s="1187"/>
      <c r="I1" s="1174" t="s">
        <v>26</v>
      </c>
      <c r="J1" s="1174" t="s">
        <v>89</v>
      </c>
      <c r="K1" s="1174"/>
      <c r="L1" s="1174" t="s">
        <v>26</v>
      </c>
      <c r="M1" s="1186" t="s">
        <v>90</v>
      </c>
      <c r="N1" s="1186"/>
      <c r="O1" s="1185" t="s">
        <v>26</v>
      </c>
      <c r="P1" s="1185" t="s">
        <v>89</v>
      </c>
      <c r="Q1" s="1185"/>
      <c r="R1" s="1185" t="s">
        <v>26</v>
      </c>
      <c r="S1" s="1179" t="s">
        <v>90</v>
      </c>
      <c r="T1" s="1179"/>
      <c r="U1" s="1178" t="s">
        <v>26</v>
      </c>
      <c r="V1" s="1178" t="s">
        <v>89</v>
      </c>
      <c r="W1" s="1178"/>
      <c r="X1" s="1178" t="s">
        <v>26</v>
      </c>
      <c r="Y1" s="1177" t="s">
        <v>90</v>
      </c>
      <c r="Z1" s="1177"/>
      <c r="AA1" s="1176" t="s">
        <v>26</v>
      </c>
      <c r="AB1" s="1176" t="s">
        <v>89</v>
      </c>
      <c r="AC1" s="1176"/>
      <c r="AD1" s="1176" t="s">
        <v>26</v>
      </c>
      <c r="AE1" s="1183" t="s">
        <v>98</v>
      </c>
      <c r="AF1" s="1183"/>
      <c r="AG1" s="1184" t="s">
        <v>99</v>
      </c>
      <c r="AH1" s="1184"/>
      <c r="AI1" s="1181" t="s">
        <v>100</v>
      </c>
      <c r="AJ1" s="1181"/>
      <c r="AK1" s="1182" t="s">
        <v>26</v>
      </c>
      <c r="AM1" s="1000" t="s">
        <v>155</v>
      </c>
      <c r="AN1" s="1173"/>
      <c r="AO1" s="1173"/>
      <c r="AP1" s="1173"/>
      <c r="AQ1" s="1173"/>
      <c r="AR1" s="1173"/>
      <c r="AS1" s="1173"/>
      <c r="AT1" s="1173"/>
      <c r="AU1" s="1001"/>
      <c r="AV1" s="262"/>
      <c r="AW1" s="1000" t="s">
        <v>58</v>
      </c>
      <c r="AX1" s="1173"/>
      <c r="AY1" s="1173"/>
      <c r="AZ1" s="1173"/>
      <c r="BA1" s="1173"/>
      <c r="BB1" s="1173"/>
      <c r="BC1" s="1173"/>
      <c r="BD1" s="1173"/>
      <c r="BE1" s="1001"/>
    </row>
    <row r="2" spans="1:57" x14ac:dyDescent="0.25">
      <c r="A2" s="283" t="s">
        <v>28</v>
      </c>
      <c r="B2" s="110" t="s">
        <v>97</v>
      </c>
      <c r="C2" s="1175"/>
      <c r="D2" s="108" t="s">
        <v>28</v>
      </c>
      <c r="E2" s="110" t="s">
        <v>97</v>
      </c>
      <c r="F2" s="1175"/>
      <c r="G2" s="279" t="s">
        <v>28</v>
      </c>
      <c r="H2" s="111" t="s">
        <v>97</v>
      </c>
      <c r="I2" s="1174"/>
      <c r="J2" s="281" t="s">
        <v>28</v>
      </c>
      <c r="K2" s="106" t="s">
        <v>97</v>
      </c>
      <c r="L2" s="1174"/>
      <c r="M2" s="277" t="s">
        <v>28</v>
      </c>
      <c r="N2" s="104" t="s">
        <v>97</v>
      </c>
      <c r="O2" s="1185"/>
      <c r="P2" s="277" t="s">
        <v>28</v>
      </c>
      <c r="Q2" s="104" t="s">
        <v>97</v>
      </c>
      <c r="R2" s="1185"/>
      <c r="S2" s="272" t="s">
        <v>28</v>
      </c>
      <c r="T2" s="102" t="s">
        <v>97</v>
      </c>
      <c r="U2" s="1178"/>
      <c r="V2" s="272" t="s">
        <v>28</v>
      </c>
      <c r="W2" s="102" t="s">
        <v>97</v>
      </c>
      <c r="X2" s="1178"/>
      <c r="Y2" s="274" t="s">
        <v>28</v>
      </c>
      <c r="Z2" s="113" t="s">
        <v>97</v>
      </c>
      <c r="AA2" s="1176"/>
      <c r="AB2" s="274" t="s">
        <v>28</v>
      </c>
      <c r="AC2" s="113" t="s">
        <v>97</v>
      </c>
      <c r="AD2" s="1176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82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>B3/C3</f>
        <v>10.379310344827585</v>
      </c>
      <c r="B3" s="107">
        <v>301</v>
      </c>
      <c r="C3" s="60">
        <v>29</v>
      </c>
      <c r="D3" s="284">
        <f>E3/F3</f>
        <v>4.4827586206896548</v>
      </c>
      <c r="E3" s="4">
        <v>130</v>
      </c>
      <c r="F3" s="60">
        <v>29</v>
      </c>
      <c r="G3" s="280">
        <f>H3/I3</f>
        <v>10.555555555555555</v>
      </c>
      <c r="H3" s="112">
        <v>190</v>
      </c>
      <c r="I3" s="61">
        <v>18</v>
      </c>
      <c r="J3" s="280">
        <f>K3/L3</f>
        <v>4.5555555555555554</v>
      </c>
      <c r="K3" s="3">
        <v>82</v>
      </c>
      <c r="L3" s="61">
        <v>18</v>
      </c>
      <c r="M3" s="278">
        <f>N3/O3</f>
        <v>10.810810810810811</v>
      </c>
      <c r="N3" s="105">
        <v>2000</v>
      </c>
      <c r="O3" s="62">
        <v>185</v>
      </c>
      <c r="P3" s="278">
        <f>Q3/R3</f>
        <v>4.9081081081081077</v>
      </c>
      <c r="Q3" s="105">
        <v>908</v>
      </c>
      <c r="R3" s="62">
        <v>185</v>
      </c>
      <c r="S3" s="273">
        <f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0">AF3/AK3</f>
        <v>3.5365853658536586</v>
      </c>
      <c r="AF3" s="116">
        <v>145</v>
      </c>
      <c r="AG3" s="98">
        <f t="shared" ref="AG3:AG13" si="1">AH3/AK3</f>
        <v>1.9512195121951219</v>
      </c>
      <c r="AH3" s="118">
        <v>80</v>
      </c>
      <c r="AI3" s="101">
        <f t="shared" ref="AI3:AI13" si="2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3">IF($AM3=INPUT_IO_GOAL_LV,0, IF($AM3&lt;INPUT_IO_GOAL_LV,SUM(INDIRECT("AX" &amp; ROW() + 1 &amp; ":AX" &amp; INPUT_IO_GOAL_LV + 2)),0))</f>
        <v>4580</v>
      </c>
      <c r="AO3" s="161">
        <f t="shared" ref="AO3:AO37" ca="1" si="4">IF($AM3=INPUT_IO_GOAL_LV,0, IF($AM3&lt;INPUT_IO_GOAL_LV,SUM(INDIRECT("AY" &amp; ROW() + 1 &amp; ":AY" &amp; INPUT_IO_GOAL_LV + 2)),0))</f>
        <v>1255</v>
      </c>
      <c r="AP3" s="161">
        <f t="shared" ref="AP3:AP37" ca="1" si="5">IF($AM3=INPUT_IO_GOAL_LV,0, IF($AM3&lt;INPUT_IO_GOAL_LV,SUM(INDIRECT("AZ" &amp; ROW() + 1 &amp; ":AZ" &amp; INPUT_IO_GOAL_LV + 2)),0))</f>
        <v>1350</v>
      </c>
      <c r="AQ3" s="153">
        <f t="shared" ref="AQ3:AQ37" ca="1" si="6">IF($AM3=INPUT_IO_GOAL_LV,0, IF($AM3&lt;INPUT_IO_GOAL_LV,SUM(INDIRECT("BA" &amp; ROW() + 1 &amp; ":BA" &amp; INPUT_IO_GOAL_LV + 2)),0))</f>
        <v>2510</v>
      </c>
      <c r="AR3" s="153">
        <f t="shared" ref="AR3:AR37" ca="1" si="7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9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>N4/O4</f>
        <v>10.612121212121211</v>
      </c>
      <c r="N4" s="105">
        <v>3502</v>
      </c>
      <c r="O4" s="62">
        <v>330</v>
      </c>
      <c r="P4" s="278">
        <f>Q4/R4</f>
        <v>4.5303030303030303</v>
      </c>
      <c r="Q4" s="105">
        <v>1495</v>
      </c>
      <c r="R4" s="62">
        <v>330</v>
      </c>
      <c r="S4" s="273">
        <f>T4/U4</f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0"/>
        <v>3.5227272727272729</v>
      </c>
      <c r="AF4" s="116">
        <v>155</v>
      </c>
      <c r="AG4" s="98">
        <f t="shared" si="1"/>
        <v>1.9090909090909092</v>
      </c>
      <c r="AH4" s="118">
        <v>84</v>
      </c>
      <c r="AI4" s="101">
        <f t="shared" si="2"/>
        <v>12.5</v>
      </c>
      <c r="AJ4" s="120">
        <v>550</v>
      </c>
      <c r="AK4" s="130">
        <v>44</v>
      </c>
      <c r="AM4" s="263">
        <v>2</v>
      </c>
      <c r="AN4" s="285">
        <f t="shared" ca="1" si="3"/>
        <v>4570</v>
      </c>
      <c r="AO4" s="285">
        <f t="shared" ca="1" si="4"/>
        <v>1255</v>
      </c>
      <c r="AP4" s="285">
        <f t="shared" ca="1" si="5"/>
        <v>1350</v>
      </c>
      <c r="AQ4" s="51">
        <f t="shared" ca="1" si="6"/>
        <v>2510</v>
      </c>
      <c r="AR4" s="51">
        <f t="shared" ca="1" si="7"/>
        <v>640</v>
      </c>
      <c r="AS4" s="288">
        <v>3.5</v>
      </c>
      <c r="AT4" s="288">
        <v>3</v>
      </c>
      <c r="AU4" s="291" t="str">
        <f t="shared" ca="1" si="8"/>
        <v>38 D 4 H</v>
      </c>
      <c r="AV4" s="267">
        <f t="shared" ca="1" si="9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>N5/O5</f>
        <v>10.357894736842105</v>
      </c>
      <c r="N5" s="105">
        <v>984</v>
      </c>
      <c r="O5" s="62">
        <v>95</v>
      </c>
      <c r="P5" s="278">
        <f>Q5/R5</f>
        <v>4.3789473684210529</v>
      </c>
      <c r="Q5" s="105">
        <v>416</v>
      </c>
      <c r="R5" s="62">
        <v>95</v>
      </c>
      <c r="S5" s="273">
        <f>T5/U5</f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0"/>
        <v>3.5151515151515151</v>
      </c>
      <c r="AF5" s="116">
        <v>348</v>
      </c>
      <c r="AG5" s="98">
        <f t="shared" si="1"/>
        <v>1.898989898989899</v>
      </c>
      <c r="AH5" s="118">
        <v>188</v>
      </c>
      <c r="AI5" s="101">
        <f t="shared" si="2"/>
        <v>12.464646464646465</v>
      </c>
      <c r="AJ5" s="120">
        <v>1234</v>
      </c>
      <c r="AK5" s="130">
        <v>99</v>
      </c>
      <c r="AM5" s="263">
        <v>3</v>
      </c>
      <c r="AN5" s="285">
        <f t="shared" ca="1" si="3"/>
        <v>4560</v>
      </c>
      <c r="AO5" s="285">
        <f t="shared" ca="1" si="4"/>
        <v>1255</v>
      </c>
      <c r="AP5" s="285">
        <f t="shared" ca="1" si="5"/>
        <v>1350</v>
      </c>
      <c r="AQ5" s="51">
        <f t="shared" ca="1" si="6"/>
        <v>2510</v>
      </c>
      <c r="AR5" s="51">
        <f t="shared" ca="1" si="7"/>
        <v>640</v>
      </c>
      <c r="AS5" s="288">
        <v>3.5</v>
      </c>
      <c r="AT5" s="288">
        <v>3.5</v>
      </c>
      <c r="AU5" s="291" t="str">
        <f t="shared" ca="1" si="8"/>
        <v>38 D 3 H</v>
      </c>
      <c r="AV5" s="267">
        <f t="shared" ca="1" si="9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>N6/O6</f>
        <v>10.469230769230769</v>
      </c>
      <c r="N6" s="105">
        <v>1361</v>
      </c>
      <c r="O6" s="62">
        <v>130</v>
      </c>
      <c r="P6" s="278">
        <f>Q6/R6</f>
        <v>4.3076923076923075</v>
      </c>
      <c r="Q6" s="105">
        <v>560</v>
      </c>
      <c r="R6" s="62">
        <v>130</v>
      </c>
      <c r="S6" s="273">
        <f>T6/U6</f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0"/>
        <v>3.5</v>
      </c>
      <c r="AF6" s="116">
        <v>70</v>
      </c>
      <c r="AG6" s="98">
        <f t="shared" si="1"/>
        <v>1.9</v>
      </c>
      <c r="AH6" s="118">
        <v>38</v>
      </c>
      <c r="AI6" s="101">
        <f t="shared" si="2"/>
        <v>12.65</v>
      </c>
      <c r="AJ6" s="120">
        <v>253</v>
      </c>
      <c r="AK6" s="130">
        <v>20</v>
      </c>
      <c r="AM6" s="263">
        <v>4</v>
      </c>
      <c r="AN6" s="285">
        <f t="shared" ca="1" si="3"/>
        <v>4550</v>
      </c>
      <c r="AO6" s="285">
        <f t="shared" ca="1" si="4"/>
        <v>1255</v>
      </c>
      <c r="AP6" s="285">
        <f t="shared" ca="1" si="5"/>
        <v>1350</v>
      </c>
      <c r="AQ6" s="51">
        <f t="shared" ca="1" si="6"/>
        <v>2510</v>
      </c>
      <c r="AR6" s="51">
        <f t="shared" ca="1" si="7"/>
        <v>640</v>
      </c>
      <c r="AS6" s="288">
        <v>4</v>
      </c>
      <c r="AT6" s="288">
        <v>3.5</v>
      </c>
      <c r="AU6" s="291" t="str">
        <f t="shared" ca="1" si="8"/>
        <v>38 D 1 H</v>
      </c>
      <c r="AV6" s="267">
        <f t="shared" ca="1" si="9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>N7/O7</f>
        <v>10.481481481481481</v>
      </c>
      <c r="N7" s="105">
        <v>566</v>
      </c>
      <c r="O7" s="62">
        <v>54</v>
      </c>
      <c r="P7" s="278">
        <f>Q7/R7</f>
        <v>4.5</v>
      </c>
      <c r="Q7" s="105">
        <v>243</v>
      </c>
      <c r="R7" s="62">
        <v>54</v>
      </c>
      <c r="AB7" s="276"/>
      <c r="AE7" s="109">
        <f t="shared" si="0"/>
        <v>3.8378378378378377</v>
      </c>
      <c r="AF7" s="116">
        <v>710</v>
      </c>
      <c r="AG7" s="98">
        <f t="shared" si="1"/>
        <v>1.9297297297297298</v>
      </c>
      <c r="AH7" s="118">
        <v>357</v>
      </c>
      <c r="AI7" s="101">
        <f t="shared" si="2"/>
        <v>12.891891891891891</v>
      </c>
      <c r="AJ7" s="120">
        <v>2385</v>
      </c>
      <c r="AK7" s="130">
        <v>185</v>
      </c>
      <c r="AM7" s="270">
        <v>5</v>
      </c>
      <c r="AN7" s="165">
        <f t="shared" ca="1" si="3"/>
        <v>4540</v>
      </c>
      <c r="AO7" s="165">
        <f t="shared" ca="1" si="4"/>
        <v>1255</v>
      </c>
      <c r="AP7" s="165">
        <f t="shared" ca="1" si="5"/>
        <v>1350</v>
      </c>
      <c r="AQ7" s="157">
        <f t="shared" ca="1" si="6"/>
        <v>2510</v>
      </c>
      <c r="AR7" s="157">
        <f t="shared" ca="1" si="7"/>
        <v>640</v>
      </c>
      <c r="AS7" s="286">
        <v>4</v>
      </c>
      <c r="AT7" s="286">
        <v>4</v>
      </c>
      <c r="AU7" s="292" t="str">
        <f t="shared" ca="1" si="8"/>
        <v>37 D 22 H</v>
      </c>
      <c r="AV7" s="271">
        <f t="shared" ca="1" si="9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0"/>
        <v>3.5333333333333332</v>
      </c>
      <c r="AF8" s="116">
        <v>1166</v>
      </c>
      <c r="AG8" s="98">
        <f t="shared" si="1"/>
        <v>1.8787878787878789</v>
      </c>
      <c r="AH8" s="118">
        <v>620</v>
      </c>
      <c r="AI8" s="101">
        <f t="shared" si="2"/>
        <v>12.609090909090909</v>
      </c>
      <c r="AJ8" s="120">
        <v>4161</v>
      </c>
      <c r="AK8" s="130">
        <v>330</v>
      </c>
      <c r="AM8" s="268">
        <v>6</v>
      </c>
      <c r="AN8" s="161">
        <f t="shared" ca="1" si="3"/>
        <v>4520</v>
      </c>
      <c r="AO8" s="161">
        <f t="shared" ca="1" si="4"/>
        <v>1255</v>
      </c>
      <c r="AP8" s="161">
        <f t="shared" ca="1" si="5"/>
        <v>1350</v>
      </c>
      <c r="AQ8" s="153">
        <f t="shared" ca="1" si="6"/>
        <v>2510</v>
      </c>
      <c r="AR8" s="153">
        <f t="shared" ca="1" si="7"/>
        <v>640</v>
      </c>
      <c r="AS8" s="287">
        <v>4.5</v>
      </c>
      <c r="AT8" s="287">
        <v>4</v>
      </c>
      <c r="AU8" s="290" t="str">
        <f t="shared" ca="1" si="8"/>
        <v>37 D 18 H</v>
      </c>
      <c r="AV8" s="269">
        <f t="shared" ca="1" si="9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0"/>
        <v>3.3333333333333335</v>
      </c>
      <c r="AF9" s="116">
        <v>60</v>
      </c>
      <c r="AG9" s="98">
        <f t="shared" si="1"/>
        <v>1.9444444444444444</v>
      </c>
      <c r="AH9" s="118">
        <v>35</v>
      </c>
      <c r="AI9" s="101">
        <f t="shared" si="2"/>
        <v>12.444444444444445</v>
      </c>
      <c r="AJ9" s="120">
        <v>224</v>
      </c>
      <c r="AK9" s="130">
        <v>18</v>
      </c>
      <c r="AM9" s="263">
        <v>7</v>
      </c>
      <c r="AN9" s="285">
        <f t="shared" ca="1" si="3"/>
        <v>4500</v>
      </c>
      <c r="AO9" s="285">
        <f t="shared" ca="1" si="4"/>
        <v>1255</v>
      </c>
      <c r="AP9" s="285">
        <f t="shared" ca="1" si="5"/>
        <v>1350</v>
      </c>
      <c r="AQ9" s="51">
        <f t="shared" ca="1" si="6"/>
        <v>2510</v>
      </c>
      <c r="AR9" s="51">
        <f t="shared" ca="1" si="7"/>
        <v>640</v>
      </c>
      <c r="AS9" s="288">
        <v>4.5</v>
      </c>
      <c r="AT9" s="288">
        <v>4.5</v>
      </c>
      <c r="AU9" s="291" t="str">
        <f t="shared" ca="1" si="8"/>
        <v>37 D 13 H</v>
      </c>
      <c r="AV9" s="267">
        <f t="shared" ca="1" si="9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0"/>
        <v>3.5172413793103448</v>
      </c>
      <c r="AF10" s="116">
        <v>102</v>
      </c>
      <c r="AG10" s="98">
        <f t="shared" si="1"/>
        <v>1.9310344827586208</v>
      </c>
      <c r="AH10" s="118">
        <v>56</v>
      </c>
      <c r="AI10" s="101">
        <f t="shared" si="2"/>
        <v>12.517241379310345</v>
      </c>
      <c r="AJ10" s="120">
        <v>363</v>
      </c>
      <c r="AK10" s="130">
        <v>29</v>
      </c>
      <c r="AM10" s="263">
        <v>8</v>
      </c>
      <c r="AN10" s="285">
        <f t="shared" ca="1" si="3"/>
        <v>4480</v>
      </c>
      <c r="AO10" s="285">
        <f t="shared" ca="1" si="4"/>
        <v>1255</v>
      </c>
      <c r="AP10" s="285">
        <f t="shared" ca="1" si="5"/>
        <v>1350</v>
      </c>
      <c r="AQ10" s="51">
        <f t="shared" ca="1" si="6"/>
        <v>2510</v>
      </c>
      <c r="AR10" s="51">
        <f t="shared" ca="1" si="7"/>
        <v>640</v>
      </c>
      <c r="AS10" s="288">
        <v>5</v>
      </c>
      <c r="AT10" s="288">
        <v>4.5</v>
      </c>
      <c r="AU10" s="291" t="str">
        <f t="shared" ca="1" si="8"/>
        <v>37 D 7 H</v>
      </c>
      <c r="AV10" s="267">
        <f t="shared" ca="1" si="9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0"/>
        <v>3.5157894736842104</v>
      </c>
      <c r="AF11" s="116">
        <v>334</v>
      </c>
      <c r="AG11" s="98">
        <f t="shared" si="1"/>
        <v>1.7789473684210526</v>
      </c>
      <c r="AH11" s="118">
        <v>169</v>
      </c>
      <c r="AI11" s="101">
        <f t="shared" si="2"/>
        <v>12.410526315789474</v>
      </c>
      <c r="AJ11" s="120">
        <v>1179</v>
      </c>
      <c r="AK11" s="130">
        <v>95</v>
      </c>
      <c r="AM11" s="263">
        <v>9</v>
      </c>
      <c r="AN11" s="285">
        <f t="shared" ca="1" si="3"/>
        <v>4460</v>
      </c>
      <c r="AO11" s="285">
        <f t="shared" ca="1" si="4"/>
        <v>1255</v>
      </c>
      <c r="AP11" s="285">
        <f t="shared" ca="1" si="5"/>
        <v>1350</v>
      </c>
      <c r="AQ11" s="51">
        <f t="shared" ca="1" si="6"/>
        <v>2510</v>
      </c>
      <c r="AR11" s="51">
        <f t="shared" ca="1" si="7"/>
        <v>640</v>
      </c>
      <c r="AS11" s="288">
        <v>5</v>
      </c>
      <c r="AT11" s="288">
        <v>5</v>
      </c>
      <c r="AU11" s="291" t="str">
        <f t="shared" ca="1" si="8"/>
        <v>37 D 0 H</v>
      </c>
      <c r="AV11" s="267">
        <f t="shared" ca="1" si="9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0"/>
        <v>3.3692307692307693</v>
      </c>
      <c r="AF12" s="116">
        <v>438</v>
      </c>
      <c r="AG12" s="98">
        <f t="shared" si="1"/>
        <v>1.9</v>
      </c>
      <c r="AH12" s="118">
        <v>247</v>
      </c>
      <c r="AI12" s="101">
        <f t="shared" si="2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3"/>
        <v>4440</v>
      </c>
      <c r="AO12" s="165">
        <f t="shared" ca="1" si="4"/>
        <v>1255</v>
      </c>
      <c r="AP12" s="165">
        <f t="shared" ca="1" si="5"/>
        <v>1350</v>
      </c>
      <c r="AQ12" s="157">
        <f t="shared" ca="1" si="6"/>
        <v>2510</v>
      </c>
      <c r="AR12" s="157">
        <f t="shared" ca="1" si="7"/>
        <v>640</v>
      </c>
      <c r="AS12" s="286">
        <v>5.5</v>
      </c>
      <c r="AT12" s="286">
        <v>5</v>
      </c>
      <c r="AU12" s="292" t="str">
        <f t="shared" ca="1" si="8"/>
        <v>36 D 16 H</v>
      </c>
      <c r="AV12" s="271">
        <f t="shared" ca="1" si="9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0"/>
        <v>3.5185185185185186</v>
      </c>
      <c r="AF13" s="116">
        <v>190</v>
      </c>
      <c r="AG13" s="98">
        <f t="shared" si="1"/>
        <v>1.8518518518518519</v>
      </c>
      <c r="AH13" s="118">
        <v>100</v>
      </c>
      <c r="AI13" s="101">
        <f t="shared" si="2"/>
        <v>12.518518518518519</v>
      </c>
      <c r="AJ13" s="120">
        <v>676</v>
      </c>
      <c r="AK13" s="130">
        <v>54</v>
      </c>
      <c r="AM13" s="268">
        <v>11</v>
      </c>
      <c r="AN13" s="161">
        <f t="shared" ca="1" si="3"/>
        <v>4410</v>
      </c>
      <c r="AO13" s="161">
        <f t="shared" ca="1" si="4"/>
        <v>1250</v>
      </c>
      <c r="AP13" s="161">
        <f t="shared" ca="1" si="5"/>
        <v>1350</v>
      </c>
      <c r="AQ13" s="153">
        <f t="shared" ca="1" si="6"/>
        <v>2500</v>
      </c>
      <c r="AR13" s="153">
        <f t="shared" ca="1" si="7"/>
        <v>640</v>
      </c>
      <c r="AS13" s="287">
        <v>5.5</v>
      </c>
      <c r="AT13" s="287">
        <v>5.5</v>
      </c>
      <c r="AU13" s="290" t="str">
        <f t="shared" ca="1" si="8"/>
        <v>36 D 6 H</v>
      </c>
      <c r="AV13" s="269">
        <f t="shared" ca="1" si="9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3"/>
        <v>4380</v>
      </c>
      <c r="AO14" s="285">
        <f t="shared" ca="1" si="4"/>
        <v>1245</v>
      </c>
      <c r="AP14" s="285">
        <f t="shared" ca="1" si="5"/>
        <v>1350</v>
      </c>
      <c r="AQ14" s="51">
        <f t="shared" ca="1" si="6"/>
        <v>2490</v>
      </c>
      <c r="AR14" s="51">
        <f t="shared" ca="1" si="7"/>
        <v>640</v>
      </c>
      <c r="AS14" s="288">
        <v>6</v>
      </c>
      <c r="AT14" s="288">
        <v>5.5</v>
      </c>
      <c r="AU14" s="291" t="str">
        <f t="shared" ca="1" si="8"/>
        <v>35 D 18 H</v>
      </c>
      <c r="AV14" s="267">
        <f t="shared" ca="1" si="9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3"/>
        <v>4350</v>
      </c>
      <c r="AO15" s="285">
        <f t="shared" ca="1" si="4"/>
        <v>1240</v>
      </c>
      <c r="AP15" s="285">
        <f t="shared" ca="1" si="5"/>
        <v>1350</v>
      </c>
      <c r="AQ15" s="51">
        <f t="shared" ca="1" si="6"/>
        <v>2480</v>
      </c>
      <c r="AR15" s="51">
        <f t="shared" ca="1" si="7"/>
        <v>640</v>
      </c>
      <c r="AS15" s="288">
        <v>6</v>
      </c>
      <c r="AT15" s="288">
        <v>6</v>
      </c>
      <c r="AU15" s="291" t="str">
        <f t="shared" ca="1" si="8"/>
        <v>35 D 4 H</v>
      </c>
      <c r="AV15" s="267">
        <f t="shared" ca="1" si="9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3"/>
        <v>4320</v>
      </c>
      <c r="AO16" s="285">
        <f t="shared" ca="1" si="4"/>
        <v>1230</v>
      </c>
      <c r="AP16" s="285">
        <f t="shared" ca="1" si="5"/>
        <v>1350</v>
      </c>
      <c r="AQ16" s="51">
        <f t="shared" ca="1" si="6"/>
        <v>2460</v>
      </c>
      <c r="AR16" s="51">
        <f t="shared" ca="1" si="7"/>
        <v>640</v>
      </c>
      <c r="AS16" s="288">
        <v>6.5</v>
      </c>
      <c r="AT16" s="288">
        <v>6</v>
      </c>
      <c r="AU16" s="291" t="str">
        <f t="shared" ca="1" si="8"/>
        <v>34 D 12 H</v>
      </c>
      <c r="AV16" s="267">
        <f t="shared" ca="1" si="9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3"/>
        <v>4290</v>
      </c>
      <c r="AO17" s="165">
        <f t="shared" ca="1" si="4"/>
        <v>1220</v>
      </c>
      <c r="AP17" s="165">
        <f t="shared" ca="1" si="5"/>
        <v>1350</v>
      </c>
      <c r="AQ17" s="157">
        <f t="shared" ca="1" si="6"/>
        <v>2440</v>
      </c>
      <c r="AR17" s="157">
        <f t="shared" ca="1" si="7"/>
        <v>640</v>
      </c>
      <c r="AS17" s="286">
        <v>6.5</v>
      </c>
      <c r="AT17" s="286">
        <v>6.5</v>
      </c>
      <c r="AU17" s="292" t="str">
        <f t="shared" ca="1" si="8"/>
        <v>33 D 18 H</v>
      </c>
      <c r="AV17" s="271">
        <f t="shared" ca="1" si="9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3"/>
        <v>4240</v>
      </c>
      <c r="AO18" s="297">
        <f t="shared" ca="1" si="4"/>
        <v>1200</v>
      </c>
      <c r="AP18" s="297">
        <f t="shared" ca="1" si="5"/>
        <v>1350</v>
      </c>
      <c r="AQ18" s="298">
        <f t="shared" ca="1" si="6"/>
        <v>2400</v>
      </c>
      <c r="AR18" s="298">
        <f t="shared" ca="1" si="7"/>
        <v>640</v>
      </c>
      <c r="AS18" s="299">
        <v>8</v>
      </c>
      <c r="AT18" s="299">
        <v>8</v>
      </c>
      <c r="AU18" s="300" t="str">
        <f t="shared" ca="1" si="8"/>
        <v>32 D 22 H</v>
      </c>
      <c r="AV18" s="269">
        <f t="shared" ca="1" si="9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3"/>
        <v>4190</v>
      </c>
      <c r="AO19" s="285">
        <f t="shared" ca="1" si="4"/>
        <v>1180</v>
      </c>
      <c r="AP19" s="285">
        <f t="shared" ca="1" si="5"/>
        <v>1350</v>
      </c>
      <c r="AQ19" s="51">
        <f t="shared" ca="1" si="6"/>
        <v>2360</v>
      </c>
      <c r="AR19" s="51">
        <f t="shared" ca="1" si="7"/>
        <v>640</v>
      </c>
      <c r="AS19" s="288">
        <v>8</v>
      </c>
      <c r="AT19" s="288">
        <v>8.5</v>
      </c>
      <c r="AU19" s="291" t="str">
        <f t="shared" ca="1" si="8"/>
        <v>32 D 0 H</v>
      </c>
      <c r="AV19" s="267">
        <f t="shared" ca="1" si="9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3"/>
        <v>4140</v>
      </c>
      <c r="AO20" s="285">
        <f t="shared" ca="1" si="4"/>
        <v>1160</v>
      </c>
      <c r="AP20" s="285">
        <f t="shared" ca="1" si="5"/>
        <v>1350</v>
      </c>
      <c r="AQ20" s="51">
        <f t="shared" ca="1" si="6"/>
        <v>2320</v>
      </c>
      <c r="AR20" s="51">
        <f t="shared" ca="1" si="7"/>
        <v>640</v>
      </c>
      <c r="AS20" s="288">
        <v>8.5</v>
      </c>
      <c r="AT20" s="288">
        <v>8.5</v>
      </c>
      <c r="AU20" s="291" t="str">
        <f t="shared" ca="1" si="8"/>
        <v>31 D 0 H</v>
      </c>
      <c r="AV20" s="267">
        <f t="shared" ca="1" si="9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3"/>
        <v>4070</v>
      </c>
      <c r="AO21" s="285">
        <f t="shared" ca="1" si="4"/>
        <v>1130</v>
      </c>
      <c r="AP21" s="285">
        <f t="shared" ca="1" si="5"/>
        <v>1350</v>
      </c>
      <c r="AQ21" s="51">
        <f t="shared" ca="1" si="6"/>
        <v>2260</v>
      </c>
      <c r="AR21" s="51">
        <f t="shared" ca="1" si="7"/>
        <v>640</v>
      </c>
      <c r="AS21" s="288">
        <v>8.5</v>
      </c>
      <c r="AT21" s="288">
        <v>9</v>
      </c>
      <c r="AU21" s="291" t="str">
        <f t="shared" ca="1" si="8"/>
        <v>29 D 22 H</v>
      </c>
      <c r="AV21" s="267">
        <f t="shared" ca="1" si="9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3"/>
        <v>4000</v>
      </c>
      <c r="AO22" s="165">
        <f t="shared" ca="1" si="4"/>
        <v>1100</v>
      </c>
      <c r="AP22" s="165">
        <f t="shared" ca="1" si="5"/>
        <v>1350</v>
      </c>
      <c r="AQ22" s="157">
        <f t="shared" ca="1" si="6"/>
        <v>2200</v>
      </c>
      <c r="AR22" s="157">
        <f t="shared" ca="1" si="7"/>
        <v>640</v>
      </c>
      <c r="AS22" s="286">
        <v>9</v>
      </c>
      <c r="AT22" s="286">
        <v>9</v>
      </c>
      <c r="AU22" s="292" t="str">
        <f t="shared" ca="1" si="8"/>
        <v>28 D 18 H</v>
      </c>
      <c r="AV22" s="271">
        <f t="shared" ca="1" si="9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3"/>
        <v>3900</v>
      </c>
      <c r="AO23" s="161">
        <f t="shared" ca="1" si="4"/>
        <v>1060</v>
      </c>
      <c r="AP23" s="161">
        <f t="shared" ca="1" si="5"/>
        <v>1330</v>
      </c>
      <c r="AQ23" s="153">
        <f t="shared" ca="1" si="6"/>
        <v>2120</v>
      </c>
      <c r="AR23" s="153">
        <f t="shared" ca="1" si="7"/>
        <v>640</v>
      </c>
      <c r="AS23" s="287">
        <v>9</v>
      </c>
      <c r="AT23" s="287">
        <v>9.5</v>
      </c>
      <c r="AU23" s="290" t="str">
        <f t="shared" ca="1" si="8"/>
        <v>27 D 12 H</v>
      </c>
      <c r="AV23" s="269">
        <f t="shared" ca="1" si="9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3"/>
        <v>3800</v>
      </c>
      <c r="AO24" s="285">
        <f t="shared" ca="1" si="4"/>
        <v>1020</v>
      </c>
      <c r="AP24" s="285">
        <f t="shared" ca="1" si="5"/>
        <v>1300</v>
      </c>
      <c r="AQ24" s="51">
        <f t="shared" ca="1" si="6"/>
        <v>2040</v>
      </c>
      <c r="AR24" s="51">
        <f t="shared" ca="1" si="7"/>
        <v>640</v>
      </c>
      <c r="AS24" s="288">
        <v>9.5</v>
      </c>
      <c r="AT24" s="288">
        <v>9.5</v>
      </c>
      <c r="AU24" s="291" t="str">
        <f t="shared" ca="1" si="8"/>
        <v>26 D 4 H</v>
      </c>
      <c r="AV24" s="267">
        <f t="shared" ca="1" si="9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3"/>
        <v>3700</v>
      </c>
      <c r="AO25" s="285">
        <f t="shared" ca="1" si="4"/>
        <v>980</v>
      </c>
      <c r="AP25" s="285">
        <f t="shared" ca="1" si="5"/>
        <v>1260</v>
      </c>
      <c r="AQ25" s="51">
        <f t="shared" ca="1" si="6"/>
        <v>1960</v>
      </c>
      <c r="AR25" s="51">
        <f t="shared" ca="1" si="7"/>
        <v>640</v>
      </c>
      <c r="AS25" s="288">
        <v>9.5</v>
      </c>
      <c r="AT25" s="288">
        <v>10</v>
      </c>
      <c r="AU25" s="291" t="str">
        <f t="shared" ca="1" si="8"/>
        <v>24 D 18 H</v>
      </c>
      <c r="AV25" s="267">
        <f t="shared" ca="1" si="9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3"/>
        <v>3550</v>
      </c>
      <c r="AO26" s="285">
        <f t="shared" ca="1" si="4"/>
        <v>930</v>
      </c>
      <c r="AP26" s="285">
        <f t="shared" ca="1" si="5"/>
        <v>1210</v>
      </c>
      <c r="AQ26" s="51">
        <f t="shared" ca="1" si="6"/>
        <v>1860</v>
      </c>
      <c r="AR26" s="51">
        <f t="shared" ca="1" si="7"/>
        <v>640</v>
      </c>
      <c r="AS26" s="288">
        <v>10</v>
      </c>
      <c r="AT26" s="288">
        <v>10</v>
      </c>
      <c r="AU26" s="291" t="str">
        <f t="shared" ca="1" si="8"/>
        <v>23 D 6 H</v>
      </c>
      <c r="AV26" s="267">
        <f t="shared" ca="1" si="9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3"/>
        <v>3400</v>
      </c>
      <c r="AO27" s="165">
        <f t="shared" ca="1" si="4"/>
        <v>880</v>
      </c>
      <c r="AP27" s="165">
        <f t="shared" ca="1" si="5"/>
        <v>1150</v>
      </c>
      <c r="AQ27" s="157">
        <f t="shared" ca="1" si="6"/>
        <v>1760</v>
      </c>
      <c r="AR27" s="157">
        <f t="shared" ca="1" si="7"/>
        <v>640</v>
      </c>
      <c r="AS27" s="286">
        <v>10</v>
      </c>
      <c r="AT27" s="286">
        <v>10.5</v>
      </c>
      <c r="AU27" s="292" t="str">
        <f t="shared" ca="1" si="8"/>
        <v>21 D 16 H</v>
      </c>
      <c r="AV27" s="271">
        <f t="shared" ca="1" si="9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3"/>
        <v>3200</v>
      </c>
      <c r="AO28" s="161">
        <f t="shared" ca="1" si="4"/>
        <v>820</v>
      </c>
      <c r="AP28" s="161">
        <f t="shared" ca="1" si="5"/>
        <v>1080</v>
      </c>
      <c r="AQ28" s="153">
        <f t="shared" ca="1" si="6"/>
        <v>1640</v>
      </c>
      <c r="AR28" s="153">
        <f t="shared" ca="1" si="7"/>
        <v>620</v>
      </c>
      <c r="AS28" s="287">
        <v>10.5</v>
      </c>
      <c r="AT28" s="287">
        <v>10.5</v>
      </c>
      <c r="AU28" s="290" t="str">
        <f t="shared" ca="1" si="8"/>
        <v>20 D 0 H</v>
      </c>
      <c r="AV28" s="269">
        <f t="shared" ca="1" si="9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3"/>
        <v>3000</v>
      </c>
      <c r="AO29" s="285">
        <f t="shared" ca="1" si="4"/>
        <v>760</v>
      </c>
      <c r="AP29" s="285">
        <f t="shared" ca="1" si="5"/>
        <v>1000</v>
      </c>
      <c r="AQ29" s="51">
        <f t="shared" ca="1" si="6"/>
        <v>1520</v>
      </c>
      <c r="AR29" s="51">
        <f t="shared" ca="1" si="7"/>
        <v>590</v>
      </c>
      <c r="AS29" s="288">
        <v>10.5</v>
      </c>
      <c r="AT29" s="288">
        <v>11</v>
      </c>
      <c r="AU29" s="291" t="str">
        <f t="shared" ca="1" si="8"/>
        <v>18 D 6 H</v>
      </c>
      <c r="AV29" s="267">
        <f t="shared" ca="1" si="9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3"/>
        <v>2800</v>
      </c>
      <c r="AO30" s="285">
        <f t="shared" ca="1" si="4"/>
        <v>700</v>
      </c>
      <c r="AP30" s="285">
        <f t="shared" ca="1" si="5"/>
        <v>910</v>
      </c>
      <c r="AQ30" s="51">
        <f t="shared" ca="1" si="6"/>
        <v>1400</v>
      </c>
      <c r="AR30" s="51">
        <f t="shared" ca="1" si="7"/>
        <v>550</v>
      </c>
      <c r="AS30" s="288">
        <v>11</v>
      </c>
      <c r="AT30" s="288">
        <v>11</v>
      </c>
      <c r="AU30" s="291" t="str">
        <f t="shared" ca="1" si="8"/>
        <v>16 D 10 H</v>
      </c>
      <c r="AV30" s="267">
        <f t="shared" ca="1" si="9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3"/>
        <v>2500</v>
      </c>
      <c r="AO31" s="285">
        <f t="shared" ca="1" si="4"/>
        <v>620</v>
      </c>
      <c r="AP31" s="285">
        <f t="shared" ca="1" si="5"/>
        <v>810</v>
      </c>
      <c r="AQ31" s="51">
        <f t="shared" ca="1" si="6"/>
        <v>1240</v>
      </c>
      <c r="AR31" s="51">
        <f t="shared" ca="1" si="7"/>
        <v>500</v>
      </c>
      <c r="AS31" s="288">
        <v>11</v>
      </c>
      <c r="AT31" s="288">
        <v>11.5</v>
      </c>
      <c r="AU31" s="291" t="str">
        <f t="shared" ca="1" si="8"/>
        <v>14 D 12 H</v>
      </c>
      <c r="AV31" s="267">
        <f t="shared" ca="1" si="9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3"/>
        <v>2200</v>
      </c>
      <c r="AO32" s="165">
        <f t="shared" ca="1" si="4"/>
        <v>540</v>
      </c>
      <c r="AP32" s="165">
        <f t="shared" ca="1" si="5"/>
        <v>700</v>
      </c>
      <c r="AQ32" s="157">
        <f t="shared" ca="1" si="6"/>
        <v>1080</v>
      </c>
      <c r="AR32" s="157">
        <f t="shared" ca="1" si="7"/>
        <v>440</v>
      </c>
      <c r="AS32" s="286">
        <v>11.5</v>
      </c>
      <c r="AT32" s="286">
        <v>11.5</v>
      </c>
      <c r="AU32" s="292" t="str">
        <f t="shared" ca="1" si="8"/>
        <v>12 D 12 H</v>
      </c>
      <c r="AV32" s="271">
        <f t="shared" ca="1" si="9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3"/>
        <v>1800</v>
      </c>
      <c r="AO33" s="297">
        <f t="shared" ca="1" si="4"/>
        <v>440</v>
      </c>
      <c r="AP33" s="297">
        <f t="shared" ca="1" si="5"/>
        <v>580</v>
      </c>
      <c r="AQ33" s="298">
        <f t="shared" ca="1" si="6"/>
        <v>880</v>
      </c>
      <c r="AR33" s="298">
        <f t="shared" ca="1" si="7"/>
        <v>360</v>
      </c>
      <c r="AS33" s="299">
        <v>14</v>
      </c>
      <c r="AT33" s="299">
        <v>14</v>
      </c>
      <c r="AU33" s="300" t="str">
        <f t="shared" ca="1" si="8"/>
        <v>10 D 8 H</v>
      </c>
      <c r="AV33" s="301">
        <f t="shared" ca="1" si="9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3"/>
        <v>1400</v>
      </c>
      <c r="AO34" s="285">
        <f t="shared" ca="1" si="4"/>
        <v>340</v>
      </c>
      <c r="AP34" s="285">
        <f t="shared" ca="1" si="5"/>
        <v>450</v>
      </c>
      <c r="AQ34" s="51">
        <f t="shared" ca="1" si="6"/>
        <v>680</v>
      </c>
      <c r="AR34" s="51">
        <f t="shared" ca="1" si="7"/>
        <v>280</v>
      </c>
      <c r="AS34" s="288">
        <v>14.5</v>
      </c>
      <c r="AT34" s="288">
        <v>14</v>
      </c>
      <c r="AU34" s="291" t="str">
        <f t="shared" ca="1" si="8"/>
        <v>8 D 0 H</v>
      </c>
      <c r="AV34" s="267">
        <f t="shared" ca="1" si="9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3"/>
        <v>1000</v>
      </c>
      <c r="AO35" s="285">
        <f t="shared" ca="1" si="4"/>
        <v>240</v>
      </c>
      <c r="AP35" s="285">
        <f t="shared" ca="1" si="5"/>
        <v>310</v>
      </c>
      <c r="AQ35" s="51">
        <f t="shared" ca="1" si="6"/>
        <v>480</v>
      </c>
      <c r="AR35" s="51">
        <f t="shared" ca="1" si="7"/>
        <v>200</v>
      </c>
      <c r="AS35" s="288">
        <v>14.5</v>
      </c>
      <c r="AT35" s="288">
        <v>14.5</v>
      </c>
      <c r="AU35" s="291" t="str">
        <f t="shared" ca="1" si="8"/>
        <v>5 D 12 H</v>
      </c>
      <c r="AV35" s="267">
        <f t="shared" ca="1" si="9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3"/>
        <v>500</v>
      </c>
      <c r="AO36" s="285">
        <f t="shared" ca="1" si="4"/>
        <v>120</v>
      </c>
      <c r="AP36" s="285">
        <f t="shared" ca="1" si="5"/>
        <v>160</v>
      </c>
      <c r="AQ36" s="51">
        <f t="shared" ca="1" si="6"/>
        <v>240</v>
      </c>
      <c r="AR36" s="51">
        <f t="shared" ca="1" si="7"/>
        <v>100</v>
      </c>
      <c r="AS36" s="288">
        <v>15</v>
      </c>
      <c r="AT36" s="288">
        <v>14.5</v>
      </c>
      <c r="AU36" s="291" t="str">
        <f t="shared" ca="1" si="8"/>
        <v>2 D 20 H</v>
      </c>
      <c r="AV36" s="267">
        <f t="shared" ca="1" si="9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3"/>
        <v>0</v>
      </c>
      <c r="AO37" s="165">
        <f t="shared" ca="1" si="4"/>
        <v>0</v>
      </c>
      <c r="AP37" s="165">
        <f t="shared" ca="1" si="5"/>
        <v>0</v>
      </c>
      <c r="AQ37" s="157">
        <f t="shared" ca="1" si="6"/>
        <v>0</v>
      </c>
      <c r="AR37" s="157">
        <f t="shared" ca="1" si="7"/>
        <v>0</v>
      </c>
      <c r="AS37" s="286">
        <v>15</v>
      </c>
      <c r="AT37" s="286">
        <v>15</v>
      </c>
      <c r="AU37" s="292">
        <f t="shared" ca="1" si="8"/>
        <v>0</v>
      </c>
      <c r="AV37" s="271">
        <f t="shared" ca="1" si="9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4" t="s">
        <v>185</v>
      </c>
      <c r="B1" s="1196" t="s">
        <v>188</v>
      </c>
      <c r="C1" s="1196"/>
      <c r="D1" s="1196"/>
      <c r="E1" s="1196"/>
      <c r="F1" s="1196"/>
      <c r="G1" s="1196"/>
      <c r="H1" s="1196"/>
      <c r="I1" s="351"/>
      <c r="J1" s="1196" t="s">
        <v>186</v>
      </c>
      <c r="K1" s="1196"/>
      <c r="L1" s="1196"/>
      <c r="M1" s="1196"/>
      <c r="N1" s="1196"/>
      <c r="O1" s="446" t="s">
        <v>227</v>
      </c>
      <c r="P1" s="351"/>
      <c r="Q1" s="1197" t="s">
        <v>187</v>
      </c>
      <c r="R1" s="1197"/>
      <c r="S1" s="1197"/>
      <c r="T1" s="1197"/>
      <c r="U1" s="1197"/>
      <c r="V1" s="1197"/>
      <c r="W1" s="1197"/>
    </row>
    <row r="2" spans="1:23" ht="25.5" customHeight="1" x14ac:dyDescent="0.25">
      <c r="A2" s="1194"/>
      <c r="B2" s="1189" t="s">
        <v>51</v>
      </c>
      <c r="C2" s="1189"/>
      <c r="D2" s="1190" t="s">
        <v>53</v>
      </c>
      <c r="E2" s="1190"/>
      <c r="F2" s="1200" t="s">
        <v>55</v>
      </c>
      <c r="G2" s="1200"/>
      <c r="H2" s="1200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4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88">
        <f>FLOOR(C7/MAX(DATA_DRAG_ACCU_EXP),1)</f>
        <v>60</v>
      </c>
      <c r="H3" s="1188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4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88">
        <f>MATCH(C10,DATA_DRAG_ACCU_EXP,0)</f>
        <v>97</v>
      </c>
      <c r="H4" s="1188"/>
      <c r="J4" s="213" t="s">
        <v>12</v>
      </c>
      <c r="K4" s="430">
        <v>417</v>
      </c>
      <c r="L4" s="430">
        <v>1208</v>
      </c>
      <c r="M4" s="350">
        <f>K4+L4*DRAG_1L_TO_S</f>
        <v>2833</v>
      </c>
      <c r="N4" s="350">
        <f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4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88">
        <f>INDEX(DATA_DRAG_LV_EXP,G4)-(C9-C10)</f>
        <v>23760</v>
      </c>
      <c r="H5" s="1188"/>
      <c r="J5" s="214" t="s">
        <v>11</v>
      </c>
      <c r="K5" s="431">
        <v>463</v>
      </c>
      <c r="L5" s="431">
        <v>1215</v>
      </c>
      <c r="M5" s="350">
        <f>K5+L5*DRAG_1L_TO_S</f>
        <v>2893</v>
      </c>
      <c r="N5" s="350">
        <f>L5+K5*DRAG_1S_TO_L</f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4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>K6+L6*DRAG_1L_TO_S</f>
        <v>2367</v>
      </c>
      <c r="N6" s="350">
        <f>L6+K6*DRAG_1S_TO_L</f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98" t="str">
        <f>IF(R7&gt;0,R6/R7,"")</f>
        <v/>
      </c>
      <c r="V6" s="1198"/>
      <c r="W6" s="1198"/>
    </row>
    <row r="7" spans="1:23" ht="25.5" customHeight="1" x14ac:dyDescent="0.25">
      <c r="A7" s="1194"/>
      <c r="B7" s="122" t="s">
        <v>95</v>
      </c>
      <c r="C7" s="123">
        <f>C6-C8</f>
        <v>75540600</v>
      </c>
      <c r="D7" s="86" t="s">
        <v>54</v>
      </c>
      <c r="E7" s="87"/>
      <c r="F7" s="1117" t="s">
        <v>66</v>
      </c>
      <c r="G7" s="1117"/>
      <c r="H7" s="1117"/>
      <c r="J7" s="216" t="s">
        <v>8</v>
      </c>
      <c r="K7" s="433">
        <v>5274</v>
      </c>
      <c r="L7" s="433">
        <v>1989</v>
      </c>
      <c r="M7" s="350">
        <f>K7+L7*DRAG_1L_TO_S</f>
        <v>9252</v>
      </c>
      <c r="N7" s="350">
        <f>L7+K7*DRAG_1S_TO_L</f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4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17" t="s">
        <v>50</v>
      </c>
      <c r="G8" s="1199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4"/>
      <c r="B9" s="94" t="s">
        <v>92</v>
      </c>
      <c r="C9" s="94">
        <f>MOD(C7,DRAG_EXP_100)</f>
        <v>1139400</v>
      </c>
      <c r="F9" s="1117"/>
      <c r="G9" s="1199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4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4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4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3" t="s">
        <v>189</v>
      </c>
      <c r="B13" s="1195" t="s">
        <v>190</v>
      </c>
      <c r="C13" s="1195"/>
      <c r="D13" s="1195"/>
      <c r="E13" s="1195"/>
      <c r="F13" s="1195"/>
      <c r="G13" s="1195"/>
      <c r="H13" s="1195"/>
      <c r="O13" s="445"/>
    </row>
    <row r="14" spans="1:23" s="262" customFormat="1" ht="25.5" customHeight="1" x14ac:dyDescent="0.25">
      <c r="A14" s="1194"/>
      <c r="B14" s="1189" t="s">
        <v>51</v>
      </c>
      <c r="C14" s="1189"/>
      <c r="D14" s="1190" t="s">
        <v>53</v>
      </c>
      <c r="E14" s="1190"/>
      <c r="F14" s="1191" t="s">
        <v>55</v>
      </c>
      <c r="G14" s="1191"/>
      <c r="H14" s="1191"/>
    </row>
    <row r="15" spans="1:23" ht="25.5" customHeight="1" x14ac:dyDescent="0.25">
      <c r="A15" s="1194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92">
        <f>FLOOR(C19/MAX(DATA_WYRM_ACCU_EXP),1)</f>
        <v>133</v>
      </c>
      <c r="H15" s="1192"/>
    </row>
    <row r="16" spans="1:23" ht="25.5" customHeight="1" x14ac:dyDescent="0.25">
      <c r="A16" s="1194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88">
        <f>MATCH(C22,DATA_WYRM_ACCU_EXP,0)</f>
        <v>48</v>
      </c>
      <c r="H16" s="1188"/>
    </row>
    <row r="17" spans="1:8" ht="25.5" customHeight="1" x14ac:dyDescent="0.25">
      <c r="A17" s="1194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88">
        <f>INDEX(DATA_WYRM_LV_EXP,G16)-(C21-C22)</f>
        <v>530</v>
      </c>
      <c r="H17" s="1188"/>
    </row>
    <row r="18" spans="1:8" ht="25.5" customHeight="1" x14ac:dyDescent="0.25">
      <c r="A18" s="1194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4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22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22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02" t="s">
        <v>83</v>
      </c>
      <c r="B1" s="1203"/>
      <c r="C1" s="1203"/>
      <c r="D1" s="1203"/>
      <c r="E1" s="1204"/>
      <c r="F1" s="1202" t="s">
        <v>105</v>
      </c>
      <c r="G1" s="1203"/>
      <c r="H1" s="1203"/>
      <c r="I1" s="1203"/>
      <c r="J1" s="1204"/>
      <c r="K1" s="1202" t="s">
        <v>107</v>
      </c>
      <c r="L1" s="1203"/>
      <c r="M1" s="1203"/>
      <c r="N1" s="1203"/>
      <c r="O1" s="1204"/>
      <c r="P1" s="1211" t="s">
        <v>106</v>
      </c>
      <c r="Q1" s="1212"/>
      <c r="R1" s="1212"/>
      <c r="S1" s="1212"/>
      <c r="T1" s="1213"/>
      <c r="U1" s="1211" t="s">
        <v>154</v>
      </c>
      <c r="V1" s="1212"/>
      <c r="W1" s="1212"/>
      <c r="X1" s="1212"/>
      <c r="Y1" s="1213"/>
      <c r="Z1" s="1208" t="s">
        <v>85</v>
      </c>
      <c r="AA1" s="1209"/>
      <c r="AB1" s="1209"/>
      <c r="AC1" s="1209"/>
      <c r="AD1" s="1210"/>
      <c r="AE1" s="1205" t="s">
        <v>84</v>
      </c>
      <c r="AF1" s="1206"/>
      <c r="AG1" s="1206"/>
      <c r="AH1" s="1206"/>
      <c r="AI1" s="1207"/>
      <c r="AJ1" s="1205" t="s">
        <v>173</v>
      </c>
      <c r="AK1" s="1206"/>
      <c r="AL1" s="1206"/>
      <c r="AM1" s="1206"/>
      <c r="AN1" s="1207"/>
      <c r="AO1" s="1201" t="s">
        <v>86</v>
      </c>
      <c r="AP1" s="1115"/>
      <c r="AQ1" s="1115"/>
      <c r="AR1" s="1115"/>
      <c r="AS1" s="1116"/>
      <c r="AT1" s="1201" t="s">
        <v>87</v>
      </c>
      <c r="AU1" s="1115"/>
      <c r="AV1" s="1115"/>
      <c r="AW1" s="1115"/>
      <c r="AX1" s="1116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5" t="s">
        <v>117</v>
      </c>
      <c r="B1" s="1185"/>
      <c r="C1" s="1185"/>
      <c r="D1" s="230"/>
      <c r="E1" s="1215" t="s">
        <v>118</v>
      </c>
      <c r="F1" s="1215"/>
      <c r="G1" s="1215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4">
        <v>67</v>
      </c>
      <c r="C8" s="1214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17" t="s">
        <v>41</v>
      </c>
      <c r="J24" s="1217"/>
      <c r="K24" s="1216">
        <f>K14+K22</f>
        <v>0</v>
      </c>
      <c r="L24" s="1216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37" t="s">
        <v>117</v>
      </c>
      <c r="B1" s="837"/>
      <c r="C1" s="837"/>
      <c r="D1" s="837"/>
      <c r="E1" s="837"/>
      <c r="F1" s="837"/>
      <c r="G1" s="837" t="s">
        <v>118</v>
      </c>
      <c r="H1" s="837"/>
      <c r="I1" s="837"/>
      <c r="J1" s="837"/>
      <c r="K1" s="837"/>
      <c r="L1" s="837"/>
      <c r="N1" s="837" t="s">
        <v>125</v>
      </c>
      <c r="O1" s="837"/>
    </row>
    <row r="2" spans="1:15" x14ac:dyDescent="0.25">
      <c r="A2" s="1218" t="s">
        <v>123</v>
      </c>
      <c r="B2" s="1218"/>
      <c r="C2" s="1220" t="s">
        <v>116</v>
      </c>
      <c r="D2" s="1220"/>
      <c r="E2" s="1219" t="s">
        <v>124</v>
      </c>
      <c r="F2" s="1219"/>
      <c r="G2" s="1222" t="s">
        <v>120</v>
      </c>
      <c r="H2" s="1222"/>
      <c r="I2" s="1219" t="s">
        <v>121</v>
      </c>
      <c r="J2" s="1219"/>
      <c r="K2" s="1221" t="s">
        <v>122</v>
      </c>
      <c r="L2" s="1221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5" t="s">
        <v>182</v>
      </c>
      <c r="D1" s="1224">
        <f>INDEX(DATA_EVTBLD,B1,3)-B3</f>
        <v>2428</v>
      </c>
      <c r="E1" s="1223" t="s">
        <v>24</v>
      </c>
      <c r="F1" s="1226">
        <f>1-(INDEX(DATA_EVTBLD,B1,3)-B3)/DATA_EVTBLD_MAX</f>
        <v>0.68935516888433979</v>
      </c>
      <c r="G1" s="1226"/>
      <c r="H1" s="1226"/>
      <c r="I1" s="1226"/>
      <c r="J1" s="1226"/>
      <c r="K1" s="1226"/>
      <c r="L1" s="1226"/>
    </row>
    <row r="2" spans="1:12" ht="14.65" customHeight="1" x14ac:dyDescent="0.25">
      <c r="A2" s="335" t="s">
        <v>401</v>
      </c>
      <c r="B2" s="341">
        <v>30</v>
      </c>
      <c r="C2" s="1225"/>
      <c r="D2" s="1224"/>
      <c r="E2" s="1223"/>
      <c r="F2" s="1226"/>
      <c r="G2" s="1226"/>
      <c r="H2" s="1226"/>
      <c r="I2" s="1226"/>
      <c r="J2" s="1226"/>
      <c r="K2" s="1226"/>
      <c r="L2" s="1226"/>
    </row>
    <row r="3" spans="1:12" ht="14.65" customHeight="1" x14ac:dyDescent="0.25">
      <c r="A3" s="335" t="s">
        <v>181</v>
      </c>
      <c r="B3" s="341">
        <v>2122</v>
      </c>
      <c r="C3" s="1225"/>
      <c r="D3" s="1224"/>
      <c r="E3" s="1223"/>
      <c r="F3" s="1226"/>
      <c r="G3" s="1226"/>
      <c r="H3" s="1226"/>
      <c r="I3" s="1226"/>
      <c r="J3" s="1226"/>
      <c r="K3" s="1226"/>
      <c r="L3" s="1226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2020-06-01T10:15:07Z</dcterms:modified>
</cp:coreProperties>
</file>