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Objects="none"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665020F1-3D85-421D-B7FB-081250D33E87}" xr6:coauthVersionLast="45" xr6:coauthVersionMax="45" xr10:uidLastSave="{00000000-0000-0000-0000-000000000000}"/>
  <bookViews>
    <workbookView xWindow="1980" yWindow="1695" windowWidth="21600" windowHeight="11385" activeTab="14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r:id="rId18"/>
    <sheet name="D虛空" sheetId="53" r:id="rId19"/>
    <sheet name="傷害估算" sheetId="55" r:id="rId20"/>
    <sheet name="Sheet1" sheetId="56" r:id="rId21"/>
    <sheet name="玩家EXP" sheetId="33" state="hidden" r:id="rId22"/>
    <sheet name="D玩家EXP" sheetId="32" state="hidden" r:id="rId23"/>
    <sheet name="E速度" sheetId="36" state="hidden" r:id="rId24"/>
    <sheet name="Raid" sheetId="16" state="hidden" r:id="rId25"/>
    <sheet name="R速度" sheetId="30" state="hidden" r:id="rId26"/>
    <sheet name="R預估差" sheetId="31" state="hidden" r:id="rId27"/>
    <sheet name="迎擊" sheetId="18" state="hidden" r:id="rId28"/>
    <sheet name="D迎擊" sheetId="7" state="hidden" r:id="rId29"/>
    <sheet name="龍煉-護符" sheetId="19" state="hidden" r:id="rId30"/>
    <sheet name="D龍煉-護符" sheetId="4" state="hidden" r:id="rId31"/>
    <sheet name="爪草" sheetId="22" state="hidden" r:id="rId32"/>
    <sheet name="D爪草" sheetId="23" state="hidden" r:id="rId33"/>
    <sheet name="活動建築" sheetId="37" state="hidden" r:id="rId34"/>
  </sheets>
  <definedNames>
    <definedName name="_xlnm._FilterDatabase" localSheetId="21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15">D咢牙!$AG$3:$AJ$18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5" i="47" l="1"/>
  <c r="J135" i="47" s="1"/>
  <c r="H135" i="47"/>
  <c r="G135" i="47"/>
  <c r="K135" i="47" s="1"/>
  <c r="F135" i="47"/>
  <c r="E135" i="47"/>
  <c r="H134" i="47"/>
  <c r="G134" i="47"/>
  <c r="K134" i="47" s="1"/>
  <c r="F134" i="47"/>
  <c r="I134" i="47" s="1"/>
  <c r="J134" i="47" s="1"/>
  <c r="E134" i="47"/>
  <c r="F23" i="50" l="1"/>
  <c r="G23" i="50"/>
  <c r="H23" i="50" s="1"/>
  <c r="H133" i="47" l="1"/>
  <c r="G133" i="47"/>
  <c r="K133" i="47" s="1"/>
  <c r="F133" i="47"/>
  <c r="I133" i="47" s="1"/>
  <c r="J133" i="47" s="1"/>
  <c r="E133" i="47"/>
  <c r="B10" i="56" l="1"/>
  <c r="B11" i="56" s="1"/>
  <c r="B12" i="56" s="1"/>
  <c r="B13" i="56" s="1"/>
  <c r="C39" i="56" l="1"/>
  <c r="B39" i="56"/>
  <c r="C38" i="56"/>
  <c r="B37" i="56"/>
  <c r="C37" i="56"/>
  <c r="K36" i="56" l="1"/>
  <c r="K34" i="56"/>
  <c r="C36" i="56"/>
  <c r="C35" i="56"/>
  <c r="B35" i="56"/>
  <c r="C34" i="56"/>
  <c r="B31" i="56"/>
  <c r="B33" i="56"/>
  <c r="C33" i="56"/>
  <c r="C32" i="56"/>
  <c r="B29" i="56"/>
  <c r="C31" i="56"/>
  <c r="C30" i="56"/>
  <c r="M37" i="56"/>
  <c r="N37" i="56" s="1"/>
  <c r="L37" i="56"/>
  <c r="L36" i="56"/>
  <c r="M35" i="56"/>
  <c r="L35" i="56"/>
  <c r="L34" i="56"/>
  <c r="K29" i="56"/>
  <c r="K28" i="56"/>
  <c r="L25" i="56"/>
  <c r="L26" i="56"/>
  <c r="L27" i="56"/>
  <c r="L28" i="56"/>
  <c r="L29" i="56"/>
  <c r="M33" i="56"/>
  <c r="L33" i="56"/>
  <c r="K32" i="56"/>
  <c r="L32" i="56"/>
  <c r="M31" i="56"/>
  <c r="L31" i="56"/>
  <c r="K26" i="56"/>
  <c r="L30" i="56"/>
  <c r="L24" i="56"/>
  <c r="L23" i="56"/>
  <c r="L22" i="56"/>
  <c r="L21" i="56"/>
  <c r="L20" i="56"/>
  <c r="L19" i="56"/>
  <c r="C29" i="56"/>
  <c r="C28" i="56"/>
  <c r="C27" i="56"/>
  <c r="C26" i="56"/>
  <c r="C25" i="56"/>
  <c r="C24" i="56"/>
  <c r="C23" i="56"/>
  <c r="C22" i="56"/>
  <c r="C21" i="56"/>
  <c r="C20" i="56"/>
  <c r="C19" i="56"/>
  <c r="M30" i="56"/>
  <c r="M27" i="56"/>
  <c r="M22" i="56"/>
  <c r="N22" i="56" s="1"/>
  <c r="M28" i="56"/>
  <c r="M25" i="56"/>
  <c r="K24" i="56"/>
  <c r="M23" i="56"/>
  <c r="K22" i="56"/>
  <c r="M20" i="56"/>
  <c r="N20" i="56" s="1"/>
  <c r="K20" i="56"/>
  <c r="M19" i="56"/>
  <c r="K10" i="56"/>
  <c r="K11" i="56" s="1"/>
  <c r="K12" i="56" s="1"/>
  <c r="K5" i="56"/>
  <c r="K6" i="56" s="1"/>
  <c r="K7" i="56" s="1"/>
  <c r="K8" i="56" s="1"/>
  <c r="K21" i="56" s="1"/>
  <c r="B27" i="56"/>
  <c r="B24" i="56"/>
  <c r="B22" i="56"/>
  <c r="D23" i="56"/>
  <c r="D21" i="56"/>
  <c r="D20" i="56"/>
  <c r="F20" i="56" s="1"/>
  <c r="D19" i="56"/>
  <c r="C10" i="56"/>
  <c r="C11" i="56" s="1"/>
  <c r="B26" i="56"/>
  <c r="B5" i="56"/>
  <c r="B6" i="56" s="1"/>
  <c r="B7" i="56" s="1"/>
  <c r="F21" i="56" l="1"/>
  <c r="C16" i="56"/>
  <c r="K19" i="56"/>
  <c r="L16" i="56"/>
  <c r="K33" i="56"/>
  <c r="K25" i="56"/>
  <c r="K37" i="56"/>
  <c r="K35" i="56"/>
  <c r="P22" i="56"/>
  <c r="P21" i="56"/>
  <c r="P20" i="56"/>
  <c r="P19" i="56"/>
  <c r="K30" i="56"/>
  <c r="P32" i="56" s="1"/>
  <c r="M16" i="56"/>
  <c r="K31" i="56"/>
  <c r="K27" i="56"/>
  <c r="O35" i="56"/>
  <c r="O36" i="56" s="1"/>
  <c r="O37" i="56" s="1"/>
  <c r="N33" i="56"/>
  <c r="N34" i="56" s="1"/>
  <c r="N35" i="56" s="1"/>
  <c r="N23" i="56"/>
  <c r="N30" i="56"/>
  <c r="N31" i="56" s="1"/>
  <c r="N28" i="56"/>
  <c r="B23" i="56"/>
  <c r="B8" i="56"/>
  <c r="B19" i="56" s="1"/>
  <c r="K13" i="56"/>
  <c r="C12" i="56"/>
  <c r="C13" i="56" s="1"/>
  <c r="D26" i="56"/>
  <c r="E20" i="56"/>
  <c r="E21" i="56" s="1"/>
  <c r="K23" i="56"/>
  <c r="N25" i="56"/>
  <c r="N26" i="56" s="1"/>
  <c r="N27" i="56" s="1"/>
  <c r="O20" i="56"/>
  <c r="E23" i="56"/>
  <c r="E24" i="56" s="1"/>
  <c r="F22" i="56"/>
  <c r="F23" i="56" s="1"/>
  <c r="H132" i="47"/>
  <c r="G132" i="47"/>
  <c r="K132" i="47" s="1"/>
  <c r="F132" i="47"/>
  <c r="I132" i="47" s="1"/>
  <c r="J132" i="47" s="1"/>
  <c r="E132" i="47"/>
  <c r="K16" i="56" l="1"/>
  <c r="N16" i="56" s="1"/>
  <c r="P35" i="56"/>
  <c r="P24" i="56"/>
  <c r="P25" i="56"/>
  <c r="P36" i="56"/>
  <c r="P30" i="56"/>
  <c r="P33" i="56"/>
  <c r="P27" i="56"/>
  <c r="P29" i="56"/>
  <c r="D38" i="56"/>
  <c r="F38" i="56" s="1"/>
  <c r="F39" i="56" s="1"/>
  <c r="D34" i="56"/>
  <c r="D30" i="56"/>
  <c r="F30" i="56" s="1"/>
  <c r="F31" i="56" s="1"/>
  <c r="D36" i="56"/>
  <c r="D32" i="56"/>
  <c r="E32" i="56" s="1"/>
  <c r="E33" i="56" s="1"/>
  <c r="P26" i="56"/>
  <c r="P31" i="56"/>
  <c r="P37" i="56"/>
  <c r="B38" i="56"/>
  <c r="B34" i="56"/>
  <c r="B30" i="56"/>
  <c r="B28" i="56"/>
  <c r="B32" i="56"/>
  <c r="B36" i="56"/>
  <c r="P23" i="56"/>
  <c r="P34" i="56"/>
  <c r="G19" i="56"/>
  <c r="P28" i="56"/>
  <c r="O21" i="56"/>
  <c r="B25" i="56"/>
  <c r="D25" i="56"/>
  <c r="D28" i="56"/>
  <c r="E28" i="56" s="1"/>
  <c r="E29" i="56" s="1"/>
  <c r="B21" i="56"/>
  <c r="B20" i="56"/>
  <c r="H131" i="47"/>
  <c r="G131" i="47"/>
  <c r="K131" i="47" s="1"/>
  <c r="F131" i="47"/>
  <c r="I131" i="47" s="1"/>
  <c r="J131" i="47" s="1"/>
  <c r="E131" i="47"/>
  <c r="B16" i="56" l="1"/>
  <c r="E16" i="56" s="1"/>
  <c r="E30" i="56"/>
  <c r="F32" i="56"/>
  <c r="G31" i="56"/>
  <c r="G37" i="56"/>
  <c r="G39" i="56"/>
  <c r="G20" i="56"/>
  <c r="G32" i="56"/>
  <c r="G28" i="56"/>
  <c r="F36" i="56"/>
  <c r="E36" i="56"/>
  <c r="E37" i="56" s="1"/>
  <c r="E38" i="56" s="1"/>
  <c r="G33" i="56"/>
  <c r="G24" i="56"/>
  <c r="G34" i="56"/>
  <c r="G25" i="56"/>
  <c r="E34" i="56"/>
  <c r="F34" i="56"/>
  <c r="F35" i="56" s="1"/>
  <c r="G38" i="56"/>
  <c r="G21" i="56"/>
  <c r="G29" i="56"/>
  <c r="G30" i="56"/>
  <c r="F25" i="56"/>
  <c r="F26" i="56" s="1"/>
  <c r="F27" i="56" s="1"/>
  <c r="F28" i="56" s="1"/>
  <c r="D16" i="56"/>
  <c r="G22" i="56"/>
  <c r="G26" i="56"/>
  <c r="G35" i="56"/>
  <c r="G27" i="56"/>
  <c r="G23" i="56"/>
  <c r="G36" i="56"/>
  <c r="O22" i="56"/>
  <c r="O23" i="56" s="1"/>
  <c r="O24" i="56" s="1"/>
  <c r="O25" i="56" s="1"/>
  <c r="O27" i="56" s="1"/>
  <c r="O28" i="56" s="1"/>
  <c r="O29" i="56" s="1"/>
  <c r="O30" i="56" s="1"/>
  <c r="O31" i="56" s="1"/>
  <c r="O32" i="56" s="1"/>
  <c r="O33" i="56" s="1"/>
  <c r="E25" i="56"/>
  <c r="E26" i="56" s="1"/>
  <c r="S38" i="44" a="1"/>
  <c r="S38" i="44" s="1"/>
  <c r="S37" i="44" a="1"/>
  <c r="S37" i="44" s="1"/>
  <c r="S36" i="44" a="1"/>
  <c r="S36" i="44"/>
  <c r="S32" i="44" a="1"/>
  <c r="S32" i="44" s="1"/>
  <c r="S31" i="44" a="1"/>
  <c r="S31" i="44" s="1"/>
  <c r="S30" i="44" a="1"/>
  <c r="S30" i="44" s="1"/>
  <c r="S26" i="44" a="1"/>
  <c r="S26" i="44" s="1"/>
  <c r="S25" i="44" a="1"/>
  <c r="S25" i="44" s="1"/>
  <c r="S24" i="44" a="1"/>
  <c r="S24" i="44" s="1"/>
  <c r="S20" i="44" a="1"/>
  <c r="S20" i="44" s="1"/>
  <c r="S19" i="44" a="1"/>
  <c r="S19" i="44" s="1"/>
  <c r="S18" i="44" a="1"/>
  <c r="S18" i="44" s="1"/>
  <c r="S14" i="44" a="1"/>
  <c r="S14" i="44" s="1"/>
  <c r="S13" i="44" a="1"/>
  <c r="S13" i="44" s="1"/>
  <c r="S12" i="44" a="1"/>
  <c r="S12" i="44" s="1"/>
  <c r="T38" i="44" a="1"/>
  <c r="T38" i="44" s="1"/>
  <c r="T37" i="44" a="1"/>
  <c r="T37" i="44" s="1"/>
  <c r="T36" i="44" a="1"/>
  <c r="T36" i="44" s="1"/>
  <c r="T32" i="44" a="1"/>
  <c r="T32" i="44" s="1"/>
  <c r="T31" i="44" a="1"/>
  <c r="T31" i="44" s="1"/>
  <c r="T30" i="44" a="1"/>
  <c r="T30" i="44" s="1"/>
  <c r="T26" i="44" a="1"/>
  <c r="T26" i="44" s="1"/>
  <c r="T25" i="44" a="1"/>
  <c r="T25" i="44" s="1"/>
  <c r="T24" i="44" a="1"/>
  <c r="T24" i="44" s="1"/>
  <c r="T20" i="44" a="1"/>
  <c r="T20" i="44" s="1"/>
  <c r="T19" i="44" a="1"/>
  <c r="T19" i="44" s="1"/>
  <c r="T18" i="44" a="1"/>
  <c r="T18" i="44" s="1"/>
  <c r="T14" i="44" a="1"/>
  <c r="T14" i="44" s="1"/>
  <c r="T13" i="44" a="1"/>
  <c r="T13" i="44" s="1"/>
  <c r="T12" i="44" a="1"/>
  <c r="T12" i="44" s="1"/>
  <c r="K15" i="44"/>
  <c r="L15" i="44"/>
  <c r="M15" i="44"/>
  <c r="N15" i="44"/>
  <c r="O15" i="44"/>
  <c r="P15" i="44"/>
  <c r="Q15" i="44"/>
  <c r="R15" i="44"/>
  <c r="K16" i="44"/>
  <c r="L16" i="44"/>
  <c r="M16" i="44"/>
  <c r="N16" i="44"/>
  <c r="O16" i="44"/>
  <c r="P16" i="44"/>
  <c r="Q16" i="44"/>
  <c r="R16" i="44"/>
  <c r="K17" i="44"/>
  <c r="L17" i="44"/>
  <c r="M17" i="44"/>
  <c r="N17" i="44"/>
  <c r="O17" i="44"/>
  <c r="P17" i="44"/>
  <c r="Q17" i="44"/>
  <c r="R17" i="44"/>
  <c r="K21" i="44"/>
  <c r="L21" i="44"/>
  <c r="M21" i="44"/>
  <c r="N21" i="44"/>
  <c r="O21" i="44"/>
  <c r="P21" i="44"/>
  <c r="Q21" i="44"/>
  <c r="R21" i="44"/>
  <c r="K22" i="44"/>
  <c r="L22" i="44"/>
  <c r="M22" i="44"/>
  <c r="N22" i="44"/>
  <c r="O22" i="44"/>
  <c r="P22" i="44"/>
  <c r="Q22" i="44"/>
  <c r="R22" i="44"/>
  <c r="K23" i="44"/>
  <c r="L23" i="44"/>
  <c r="M23" i="44"/>
  <c r="N23" i="44"/>
  <c r="O23" i="44"/>
  <c r="P23" i="44"/>
  <c r="Q23" i="44"/>
  <c r="R23" i="44"/>
  <c r="K27" i="44"/>
  <c r="L27" i="44"/>
  <c r="M27" i="44"/>
  <c r="N27" i="44"/>
  <c r="O27" i="44"/>
  <c r="P27" i="44"/>
  <c r="Q27" i="44"/>
  <c r="R27" i="44"/>
  <c r="K28" i="44"/>
  <c r="L28" i="44"/>
  <c r="M28" i="44"/>
  <c r="N28" i="44"/>
  <c r="O28" i="44"/>
  <c r="P28" i="44"/>
  <c r="Q28" i="44"/>
  <c r="R28" i="44"/>
  <c r="K29" i="44"/>
  <c r="L29" i="44"/>
  <c r="M29" i="44"/>
  <c r="N29" i="44"/>
  <c r="O29" i="44"/>
  <c r="P29" i="44"/>
  <c r="Q29" i="44"/>
  <c r="R29" i="44"/>
  <c r="K33" i="44"/>
  <c r="L33" i="44"/>
  <c r="M33" i="44"/>
  <c r="N33" i="44"/>
  <c r="O33" i="44"/>
  <c r="P33" i="44"/>
  <c r="Q33" i="44"/>
  <c r="R33" i="44"/>
  <c r="K34" i="44"/>
  <c r="L34" i="44"/>
  <c r="M34" i="44"/>
  <c r="N34" i="44"/>
  <c r="O34" i="44"/>
  <c r="P34" i="44"/>
  <c r="Q34" i="44"/>
  <c r="R34" i="44"/>
  <c r="K35" i="44"/>
  <c r="L35" i="44"/>
  <c r="M35" i="44"/>
  <c r="N35" i="44"/>
  <c r="O35" i="44"/>
  <c r="P35" i="44"/>
  <c r="Q35" i="44"/>
  <c r="R35" i="44"/>
  <c r="K39" i="44"/>
  <c r="L39" i="44"/>
  <c r="M39" i="44"/>
  <c r="N39" i="44"/>
  <c r="O39" i="44"/>
  <c r="P39" i="44"/>
  <c r="Q39" i="44"/>
  <c r="R39" i="44"/>
  <c r="K40" i="44"/>
  <c r="L40" i="44"/>
  <c r="M40" i="44"/>
  <c r="N40" i="44"/>
  <c r="O40" i="44"/>
  <c r="P40" i="44"/>
  <c r="Q40" i="44"/>
  <c r="R40" i="44"/>
  <c r="Y40" i="44"/>
  <c r="K41" i="44"/>
  <c r="L41" i="44"/>
  <c r="M41" i="44"/>
  <c r="N41" i="44"/>
  <c r="O41" i="44"/>
  <c r="P41" i="44"/>
  <c r="Q41" i="44"/>
  <c r="R41" i="44"/>
  <c r="H130" i="47"/>
  <c r="G130" i="47"/>
  <c r="K130" i="47" s="1"/>
  <c r="F130" i="47"/>
  <c r="I130" i="47" s="1"/>
  <c r="J130" i="47" s="1"/>
  <c r="F36" i="44"/>
  <c r="F18" i="44"/>
  <c r="F12" i="44"/>
  <c r="E130" i="47"/>
  <c r="Y37" i="44" l="1"/>
  <c r="Y25" i="44"/>
  <c r="Y38" i="44"/>
  <c r="Y20" i="44"/>
  <c r="Y14" i="44"/>
  <c r="Y18" i="44"/>
  <c r="Y26" i="44"/>
  <c r="Y36" i="44"/>
  <c r="I129" i="47"/>
  <c r="J129" i="47" s="1"/>
  <c r="H129" i="47"/>
  <c r="G129" i="47"/>
  <c r="K129" i="47" s="1"/>
  <c r="F129" i="47"/>
  <c r="E129" i="47"/>
  <c r="Y31" i="44" l="1"/>
  <c r="Y30" i="44"/>
  <c r="Y13" i="44"/>
  <c r="Y32" i="44"/>
  <c r="Y19" i="44"/>
  <c r="Y12" i="44"/>
  <c r="Y24" i="44"/>
  <c r="H128" i="47"/>
  <c r="G128" i="47"/>
  <c r="K128" i="47" s="1"/>
  <c r="F128" i="47"/>
  <c r="I128" i="47" s="1"/>
  <c r="J128" i="47" s="1"/>
  <c r="E128" i="47"/>
  <c r="H127" i="47" l="1"/>
  <c r="G127" i="47"/>
  <c r="K127" i="47" s="1"/>
  <c r="F127" i="47"/>
  <c r="I127" i="47" s="1"/>
  <c r="J127" i="47" s="1"/>
  <c r="E127" i="47"/>
  <c r="I126" i="47" l="1"/>
  <c r="J126" i="47" s="1"/>
  <c r="H126" i="47"/>
  <c r="G126" i="47"/>
  <c r="K126" i="47" s="1"/>
  <c r="F126" i="47"/>
  <c r="E126" i="47"/>
  <c r="H125" i="47" l="1"/>
  <c r="G125" i="47"/>
  <c r="K125" i="47" s="1"/>
  <c r="F125" i="47"/>
  <c r="I125" i="47" s="1"/>
  <c r="J125" i="47" s="1"/>
  <c r="E125" i="47"/>
  <c r="K7" i="55" l="1"/>
  <c r="H7" i="55"/>
  <c r="D7" i="55"/>
  <c r="L7" i="55" s="1"/>
  <c r="M7" i="55" s="1"/>
  <c r="K6" i="55" l="1"/>
  <c r="H6" i="55"/>
  <c r="D6" i="55"/>
  <c r="L6" i="55" s="1"/>
  <c r="K5" i="55"/>
  <c r="H5" i="55"/>
  <c r="D5" i="55"/>
  <c r="K4" i="55"/>
  <c r="H4" i="55"/>
  <c r="D4" i="55"/>
  <c r="L4" i="55" s="1"/>
  <c r="K3" i="55"/>
  <c r="H3" i="55"/>
  <c r="D3" i="55"/>
  <c r="L5" i="55" l="1"/>
  <c r="M5" i="55" s="1"/>
  <c r="M6" i="55"/>
  <c r="L3" i="55"/>
  <c r="M3" i="55" s="1"/>
  <c r="I124" i="47"/>
  <c r="J124" i="47" s="1"/>
  <c r="H124" i="47"/>
  <c r="G124" i="47"/>
  <c r="K124" i="47" s="1"/>
  <c r="F124" i="47"/>
  <c r="I123" i="47"/>
  <c r="J123" i="47" s="1"/>
  <c r="H123" i="47"/>
  <c r="G123" i="47"/>
  <c r="K123" i="47" s="1"/>
  <c r="F123" i="47"/>
  <c r="E123" i="47"/>
  <c r="E124" i="47"/>
  <c r="G22" i="50"/>
  <c r="H22" i="50" s="1"/>
  <c r="F22" i="50"/>
  <c r="M4" i="55" l="1"/>
  <c r="I122" i="47"/>
  <c r="J122" i="47" s="1"/>
  <c r="H122" i="47"/>
  <c r="G122" i="47"/>
  <c r="K122" i="47" s="1"/>
  <c r="F122" i="47"/>
  <c r="E122" i="47"/>
  <c r="I121" i="47" l="1"/>
  <c r="J121" i="47" s="1"/>
  <c r="H121" i="47"/>
  <c r="G121" i="47"/>
  <c r="K121" i="47" s="1"/>
  <c r="F121" i="47"/>
  <c r="E121" i="47"/>
  <c r="H120" i="47" l="1"/>
  <c r="G120" i="47"/>
  <c r="K120" i="47" s="1"/>
  <c r="F120" i="47"/>
  <c r="I120" i="47" s="1"/>
  <c r="J120" i="47" s="1"/>
  <c r="E120" i="47"/>
  <c r="H119" i="47" l="1"/>
  <c r="G119" i="47"/>
  <c r="K119" i="47" s="1"/>
  <c r="F119" i="47"/>
  <c r="I119" i="47" s="1"/>
  <c r="J119" i="47" s="1"/>
  <c r="E119" i="47"/>
  <c r="H118" i="47" l="1"/>
  <c r="G118" i="47"/>
  <c r="K118" i="47" s="1"/>
  <c r="F118" i="47"/>
  <c r="I118" i="47" s="1"/>
  <c r="J118" i="47" s="1"/>
  <c r="E118" i="47"/>
  <c r="G7" i="52" l="1"/>
  <c r="F7" i="52"/>
  <c r="G5" i="52"/>
  <c r="F5" i="52"/>
  <c r="E7" i="52"/>
  <c r="D7" i="52"/>
  <c r="C7" i="52"/>
  <c r="B7" i="52"/>
  <c r="H117" i="47" l="1"/>
  <c r="G117" i="47"/>
  <c r="K117" i="47" s="1"/>
  <c r="F117" i="47"/>
  <c r="I117" i="47" s="1"/>
  <c r="J117" i="47" s="1"/>
  <c r="E117" i="47"/>
  <c r="I116" i="47" l="1"/>
  <c r="J116" i="47" s="1"/>
  <c r="H116" i="47"/>
  <c r="G116" i="47"/>
  <c r="K116" i="47" s="1"/>
  <c r="F116" i="47"/>
  <c r="E116" i="47"/>
  <c r="I115" i="47" l="1"/>
  <c r="J115" i="47" s="1"/>
  <c r="H115" i="47"/>
  <c r="G115" i="47"/>
  <c r="K115" i="47" s="1"/>
  <c r="F115" i="47"/>
  <c r="E115" i="47"/>
  <c r="I114" i="47" l="1"/>
  <c r="J114" i="47" s="1"/>
  <c r="H114" i="47"/>
  <c r="G114" i="47"/>
  <c r="K114" i="47" s="1"/>
  <c r="F114" i="47"/>
  <c r="E114" i="47"/>
  <c r="H113" i="47" l="1"/>
  <c r="G113" i="47"/>
  <c r="K113" i="47" s="1"/>
  <c r="F113" i="47"/>
  <c r="I113" i="47" s="1"/>
  <c r="J113" i="47" s="1"/>
  <c r="E113" i="47"/>
  <c r="G20" i="50"/>
  <c r="H20" i="50" s="1"/>
  <c r="H2" i="50" s="1"/>
  <c r="H21" i="50"/>
  <c r="H19" i="50"/>
  <c r="H18" i="50"/>
  <c r="H17" i="50"/>
  <c r="H16" i="50"/>
  <c r="H15" i="50"/>
  <c r="H14" i="50"/>
  <c r="H13" i="50"/>
  <c r="H12" i="50"/>
  <c r="H11" i="50"/>
  <c r="H10" i="50"/>
  <c r="H9" i="50"/>
  <c r="H8" i="50"/>
  <c r="H7" i="50"/>
  <c r="H6" i="50"/>
  <c r="H5" i="50"/>
  <c r="H4" i="50"/>
  <c r="G13" i="50"/>
  <c r="G21" i="50"/>
  <c r="G19" i="50"/>
  <c r="G18" i="50"/>
  <c r="G17" i="50"/>
  <c r="G16" i="50"/>
  <c r="G15" i="50"/>
  <c r="G14" i="50"/>
  <c r="G12" i="50"/>
  <c r="G11" i="50"/>
  <c r="G10" i="50"/>
  <c r="G9" i="50"/>
  <c r="G8" i="50"/>
  <c r="G7" i="50"/>
  <c r="G6" i="50"/>
  <c r="G5" i="50"/>
  <c r="G4" i="50"/>
  <c r="F21" i="50" l="1"/>
  <c r="H112" i="47" l="1"/>
  <c r="G112" i="47"/>
  <c r="K112" i="47" s="1"/>
  <c r="F112" i="47"/>
  <c r="E112" i="47"/>
  <c r="I112" i="47" l="1"/>
  <c r="J112" i="47" s="1"/>
  <c r="H111" i="47"/>
  <c r="G111" i="47"/>
  <c r="K111" i="47" s="1"/>
  <c r="F111" i="47"/>
  <c r="I111" i="47" s="1"/>
  <c r="J111" i="47" s="1"/>
  <c r="E111" i="47"/>
  <c r="H110" i="47" l="1"/>
  <c r="I110" i="47"/>
  <c r="J110" i="47" s="1"/>
  <c r="K110" i="47"/>
  <c r="G110" i="47"/>
  <c r="F110" i="47"/>
  <c r="E110" i="47"/>
  <c r="I109" i="47" l="1"/>
  <c r="J109" i="47" s="1"/>
  <c r="H109" i="47"/>
  <c r="G109" i="47"/>
  <c r="K109" i="47" s="1"/>
  <c r="F109" i="47"/>
  <c r="E109" i="47"/>
  <c r="H108" i="47" l="1"/>
  <c r="F108" i="47"/>
  <c r="I108" i="47" s="1"/>
  <c r="J108" i="47" s="1"/>
  <c r="E108" i="47"/>
  <c r="H107" i="47"/>
  <c r="G107" i="47"/>
  <c r="K107" i="47" s="1"/>
  <c r="F107" i="47"/>
  <c r="I107" i="47" s="1"/>
  <c r="J107" i="47" s="1"/>
  <c r="E107" i="47"/>
  <c r="G108" i="47" l="1"/>
  <c r="K108" i="47" s="1"/>
  <c r="H106" i="47"/>
  <c r="I106" i="47" s="1"/>
  <c r="J106" i="47" s="1"/>
  <c r="G106" i="47"/>
  <c r="K106" i="47" s="1"/>
  <c r="F106" i="47"/>
  <c r="E106" i="47"/>
  <c r="H105" i="47" l="1"/>
  <c r="G105" i="47"/>
  <c r="K105" i="47" s="1"/>
  <c r="F105" i="47"/>
  <c r="I105" i="47" s="1"/>
  <c r="J105" i="47" s="1"/>
  <c r="E105" i="47"/>
  <c r="I104" i="47" l="1"/>
  <c r="J104" i="47" s="1"/>
  <c r="H104" i="47"/>
  <c r="G104" i="47"/>
  <c r="K104" i="47" s="1"/>
  <c r="F104" i="47"/>
  <c r="E104" i="47"/>
  <c r="H103" i="47" l="1"/>
  <c r="G103" i="47"/>
  <c r="K103" i="47" s="1"/>
  <c r="F103" i="47"/>
  <c r="I103" i="47" s="1"/>
  <c r="J103" i="47" s="1"/>
  <c r="E103" i="47"/>
  <c r="I102" i="47" l="1"/>
  <c r="J102" i="47" s="1"/>
  <c r="H102" i="47"/>
  <c r="G102" i="47"/>
  <c r="K102" i="47" s="1"/>
  <c r="F102" i="47"/>
  <c r="E102" i="47"/>
  <c r="H101" i="47" l="1"/>
  <c r="G101" i="47"/>
  <c r="K101" i="47" s="1"/>
  <c r="F101" i="47"/>
  <c r="I101" i="47" s="1"/>
  <c r="J101" i="47" s="1"/>
  <c r="E101" i="47"/>
  <c r="K100" i="47" l="1"/>
  <c r="I100" i="47"/>
  <c r="J100" i="47" s="1"/>
  <c r="H100" i="47"/>
  <c r="G100" i="47"/>
  <c r="F100" i="47"/>
  <c r="E100" i="47"/>
  <c r="I99" i="47" l="1"/>
  <c r="J99" i="47" s="1"/>
  <c r="H99" i="47"/>
  <c r="G99" i="47"/>
  <c r="K99" i="47" s="1"/>
  <c r="F99" i="47"/>
  <c r="E99" i="47"/>
  <c r="F20" i="50"/>
  <c r="H98" i="47" l="1"/>
  <c r="G98" i="47"/>
  <c r="K98" i="47" s="1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5" i="54" l="1"/>
  <c r="F8" i="54"/>
  <c r="H97" i="47"/>
  <c r="G97" i="47"/>
  <c r="K97" i="47" s="1"/>
  <c r="F97" i="47"/>
  <c r="I97" i="47" s="1"/>
  <c r="J97" i="47" s="1"/>
  <c r="E97" i="47"/>
  <c r="C36" i="44" l="1"/>
  <c r="F30" i="44"/>
  <c r="C30" i="44"/>
  <c r="C18" i="44"/>
  <c r="C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H92" i="47" l="1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F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O6" i="50"/>
  <c r="O7" i="50" s="1"/>
  <c r="E2" i="50"/>
  <c r="F2" i="50" s="1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H75" i="47"/>
  <c r="F75" i="47"/>
  <c r="E75" i="47"/>
  <c r="H74" i="47"/>
  <c r="F74" i="47"/>
  <c r="E74" i="47"/>
  <c r="M9" i="44"/>
  <c r="M8" i="44"/>
  <c r="M7" i="44"/>
  <c r="M6" i="44"/>
  <c r="M4" i="44"/>
  <c r="M5" i="44"/>
  <c r="H73" i="47"/>
  <c r="F73" i="47"/>
  <c r="I73" i="47"/>
  <c r="E73" i="47"/>
  <c r="F24" i="44"/>
  <c r="C24" i="44"/>
  <c r="F33" i="44"/>
  <c r="C33" i="44"/>
  <c r="F27" i="44"/>
  <c r="C27" i="44"/>
  <c r="F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T7" i="44"/>
  <c r="T6" i="44"/>
  <c r="T5" i="44"/>
  <c r="T4" i="44"/>
  <c r="T8" i="44"/>
  <c r="T9" i="44"/>
  <c r="S9" i="44"/>
  <c r="R9" i="44"/>
  <c r="Q9" i="44"/>
  <c r="O9" i="44"/>
  <c r="N9" i="44"/>
  <c r="O8" i="44"/>
  <c r="N8" i="44"/>
  <c r="O7" i="44"/>
  <c r="N7" i="44"/>
  <c r="O6" i="44"/>
  <c r="N6" i="44"/>
  <c r="O5" i="44"/>
  <c r="N5" i="44"/>
  <c r="O4" i="44"/>
  <c r="N4" i="44"/>
  <c r="S8" i="44"/>
  <c r="X8" i="44" s="1" a="1"/>
  <c r="X8" i="44" s="1"/>
  <c r="R8" i="44"/>
  <c r="Q8" i="44"/>
  <c r="S7" i="44"/>
  <c r="X7" i="44" s="1" a="1"/>
  <c r="X7" i="44" s="1"/>
  <c r="R7" i="44"/>
  <c r="Q7" i="44"/>
  <c r="S6" i="44"/>
  <c r="X6" i="44" s="1" a="1"/>
  <c r="X6" i="44" s="1"/>
  <c r="R6" i="44"/>
  <c r="Q6" i="44"/>
  <c r="S5" i="44"/>
  <c r="X5" i="44" s="1" a="1"/>
  <c r="X5" i="44" s="1"/>
  <c r="R5" i="44"/>
  <c r="Q5" i="44"/>
  <c r="S4" i="44"/>
  <c r="X4" i="44" s="1" a="1"/>
  <c r="X4" i="44" s="1"/>
  <c r="R4" i="44"/>
  <c r="Q4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P9" i="44"/>
  <c r="L9" i="44"/>
  <c r="C6" i="37"/>
  <c r="P8" i="44"/>
  <c r="L8" i="44"/>
  <c r="V36" i="44" s="1"/>
  <c r="P7" i="44"/>
  <c r="L7" i="44"/>
  <c r="V30" i="44" s="1"/>
  <c r="P6" i="44"/>
  <c r="L6" i="44"/>
  <c r="V24" i="44" s="1"/>
  <c r="P5" i="44"/>
  <c r="L5" i="44"/>
  <c r="V18" i="44" s="1"/>
  <c r="P4" i="44"/>
  <c r="L4" i="44"/>
  <c r="V12" i="44" s="1"/>
  <c r="L28" i="20"/>
  <c r="G11" i="9"/>
  <c r="H53" i="20"/>
  <c r="G10" i="9"/>
  <c r="G9" i="9"/>
  <c r="G8" i="9"/>
  <c r="F11" i="9"/>
  <c r="H44" i="20"/>
  <c r="P42" i="20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 s="1"/>
  <c r="I53" i="20"/>
  <c r="P51" i="20"/>
  <c r="R51" i="20" s="1"/>
  <c r="L53" i="20"/>
  <c r="J49" i="20"/>
  <c r="P47" i="20"/>
  <c r="R47" i="20" s="1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 s="1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 s="1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X31" i="44" l="1"/>
  <c r="X32" i="44"/>
  <c r="W31" i="44"/>
  <c r="W30" i="44"/>
  <c r="W36" i="44"/>
  <c r="W37" i="44"/>
  <c r="X14" i="44"/>
  <c r="X13" i="44"/>
  <c r="X38" i="44"/>
  <c r="X37" i="44"/>
  <c r="X20" i="44"/>
  <c r="X19" i="44"/>
  <c r="W12" i="44"/>
  <c r="W13" i="44"/>
  <c r="W24" i="44"/>
  <c r="W25" i="44"/>
  <c r="W18" i="44"/>
  <c r="W19" i="44"/>
  <c r="X26" i="44"/>
  <c r="X25" i="44"/>
  <c r="W6" i="44" a="1"/>
  <c r="W6" i="44" s="1"/>
  <c r="V6" i="44" s="1" a="1"/>
  <c r="V6" i="44" s="1"/>
  <c r="W8" i="44" a="1"/>
  <c r="W8" i="44" s="1"/>
  <c r="V8" i="44" s="1" a="1"/>
  <c r="V8" i="44" s="1"/>
  <c r="W7" i="44" a="1"/>
  <c r="W7" i="44" s="1"/>
  <c r="V7" i="44" s="1" a="1"/>
  <c r="V7" i="44" s="1"/>
  <c r="O14" i="18"/>
  <c r="O15" i="18"/>
  <c r="L18" i="18"/>
  <c r="N18" i="18" s="1"/>
  <c r="W5" i="44" a="1"/>
  <c r="W5" i="44" s="1"/>
  <c r="V5" i="44" s="1" a="1"/>
  <c r="V5" i="44" s="1"/>
  <c r="W4" i="44" a="1"/>
  <c r="W4" i="44" s="1"/>
  <c r="V4" i="44" s="1" a="1"/>
  <c r="V4" i="44" s="1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H16" i="18"/>
  <c r="J16" i="18"/>
  <c r="J12" i="18"/>
  <c r="H12" i="18"/>
  <c r="A8" i="37"/>
  <c r="C7" i="37"/>
  <c r="I36" i="33"/>
  <c r="AV12" i="7"/>
  <c r="I3" i="33"/>
  <c r="AR3" i="7"/>
  <c r="AQ14" i="7"/>
  <c r="G11" i="18"/>
  <c r="I143" i="33"/>
  <c r="I62" i="33"/>
  <c r="F143" i="33"/>
  <c r="AU13" i="7"/>
  <c r="F45" i="33"/>
  <c r="AO16" i="7"/>
  <c r="AR10" i="7"/>
  <c r="I172" i="33"/>
  <c r="I144" i="33"/>
  <c r="I53" i="33"/>
  <c r="F178" i="33"/>
  <c r="F171" i="33"/>
  <c r="AO6" i="7"/>
  <c r="I56" i="33"/>
  <c r="AP36" i="7"/>
  <c r="F103" i="33"/>
  <c r="F187" i="33"/>
  <c r="I126" i="33"/>
  <c r="F65" i="33"/>
  <c r="AN17" i="7"/>
  <c r="G6" i="18"/>
  <c r="F98" i="33"/>
  <c r="AR34" i="7"/>
  <c r="I101" i="33"/>
  <c r="AQ19" i="7"/>
  <c r="AU9" i="7"/>
  <c r="AN24" i="7"/>
  <c r="AP16" i="7"/>
  <c r="F64" i="33"/>
  <c r="F112" i="33"/>
  <c r="AU29" i="7"/>
  <c r="I35" i="33"/>
  <c r="AO33" i="7"/>
  <c r="I117" i="33"/>
  <c r="F129" i="33"/>
  <c r="AO31" i="7"/>
  <c r="I88" i="33"/>
  <c r="I136" i="33"/>
  <c r="F125" i="33"/>
  <c r="I76" i="33"/>
  <c r="AV32" i="7"/>
  <c r="F161" i="33"/>
  <c r="AR12" i="7"/>
  <c r="I140" i="33"/>
  <c r="F85" i="33"/>
  <c r="AR8" i="7"/>
  <c r="F32" i="33"/>
  <c r="I4" i="33"/>
  <c r="F132" i="33"/>
  <c r="F179" i="33"/>
  <c r="F10" i="33"/>
  <c r="F138" i="33"/>
  <c r="F216" i="33"/>
  <c r="I137" i="33"/>
  <c r="AQ18" i="7"/>
  <c r="I104" i="33"/>
  <c r="F107" i="33"/>
  <c r="F113" i="33"/>
  <c r="I103" i="33"/>
  <c r="F202" i="33"/>
  <c r="I128" i="33"/>
  <c r="F51" i="33"/>
  <c r="F84" i="33"/>
  <c r="I183" i="33"/>
  <c r="AN20" i="7"/>
  <c r="AQ13" i="7"/>
  <c r="F106" i="33"/>
  <c r="AR31" i="7"/>
  <c r="AP33" i="7"/>
  <c r="E9" i="16"/>
  <c r="G16" i="18"/>
  <c r="G18" i="18"/>
  <c r="I41" i="33"/>
  <c r="I7" i="33"/>
  <c r="I157" i="33"/>
  <c r="F205" i="33"/>
  <c r="AR36" i="7"/>
  <c r="I43" i="33"/>
  <c r="AQ30" i="7"/>
  <c r="F110" i="33"/>
  <c r="F43" i="33"/>
  <c r="I169" i="33"/>
  <c r="I47" i="33"/>
  <c r="AO11" i="7"/>
  <c r="F47" i="33"/>
  <c r="F52" i="33"/>
  <c r="F40" i="33"/>
  <c r="I111" i="33"/>
  <c r="F15" i="33"/>
  <c r="I74" i="33"/>
  <c r="F46" i="33"/>
  <c r="AO7" i="7"/>
  <c r="AQ24" i="7"/>
  <c r="I200" i="33"/>
  <c r="AO23" i="7"/>
  <c r="AV30" i="7"/>
  <c r="AQ22" i="7"/>
  <c r="F99" i="33"/>
  <c r="AP32" i="7"/>
  <c r="I160" i="33"/>
  <c r="F68" i="33"/>
  <c r="G7" i="18"/>
  <c r="AN36" i="7"/>
  <c r="AR24" i="7"/>
  <c r="I18" i="33"/>
  <c r="I79" i="33"/>
  <c r="F209" i="33"/>
  <c r="AO26" i="7"/>
  <c r="F214" i="33"/>
  <c r="I127" i="33"/>
  <c r="I208" i="33"/>
  <c r="I176" i="33"/>
  <c r="AQ5" i="7"/>
  <c r="F168" i="33"/>
  <c r="I202" i="33"/>
  <c r="I12" i="33"/>
  <c r="I96" i="33"/>
  <c r="I75" i="33"/>
  <c r="F162" i="33"/>
  <c r="F200" i="33"/>
  <c r="AN18" i="7"/>
  <c r="AO4" i="7"/>
  <c r="I50" i="33"/>
  <c r="F199" i="33"/>
  <c r="F81" i="33"/>
  <c r="F118" i="33"/>
  <c r="I173" i="33"/>
  <c r="AP28" i="7"/>
  <c r="F145" i="33"/>
  <c r="AV34" i="7"/>
  <c r="I15" i="33"/>
  <c r="AV28" i="7"/>
  <c r="AR14" i="7"/>
  <c r="AR17" i="7"/>
  <c r="F13" i="33"/>
  <c r="AU6" i="7"/>
  <c r="AN19" i="7"/>
  <c r="AQ25" i="7"/>
  <c r="AR21" i="7"/>
  <c r="I168" i="33"/>
  <c r="I192" i="33"/>
  <c r="F55" i="33"/>
  <c r="I51" i="33"/>
  <c r="AV23" i="7"/>
  <c r="F120" i="33"/>
  <c r="I146" i="33"/>
  <c r="F25" i="33"/>
  <c r="G10" i="18"/>
  <c r="AO21" i="7"/>
  <c r="I46" i="33"/>
  <c r="I65" i="33"/>
  <c r="AR26" i="7"/>
  <c r="I190" i="33"/>
  <c r="F165" i="33"/>
  <c r="AQ35" i="7"/>
  <c r="AN10" i="7"/>
  <c r="I68" i="33"/>
  <c r="AN21" i="7"/>
  <c r="I175" i="33"/>
  <c r="F128" i="33"/>
  <c r="I150" i="33"/>
  <c r="I158" i="33"/>
  <c r="AR5" i="7"/>
  <c r="I171" i="33"/>
  <c r="F130" i="33"/>
  <c r="I135" i="33"/>
  <c r="I13" i="33"/>
  <c r="F83" i="33"/>
  <c r="F53" i="33"/>
  <c r="F153" i="33"/>
  <c r="F89" i="33"/>
  <c r="AP12" i="7"/>
  <c r="F166" i="33"/>
  <c r="F201" i="33"/>
  <c r="I23" i="33"/>
  <c r="F172" i="33"/>
  <c r="F220" i="33"/>
  <c r="I29" i="33"/>
  <c r="I185" i="33"/>
  <c r="I218" i="33"/>
  <c r="F154" i="33"/>
  <c r="AU17" i="7"/>
  <c r="I21" i="33"/>
  <c r="F11" i="33"/>
  <c r="AP27" i="7"/>
  <c r="F94" i="33"/>
  <c r="AU32" i="7"/>
  <c r="AU20" i="7"/>
  <c r="F137" i="33"/>
  <c r="AO18" i="7"/>
  <c r="I82" i="33"/>
  <c r="I106" i="33"/>
  <c r="I77" i="33"/>
  <c r="F151" i="33"/>
  <c r="AU5" i="7"/>
  <c r="I19" i="33"/>
  <c r="I91" i="33"/>
  <c r="AV33" i="7"/>
  <c r="AR15" i="7"/>
  <c r="F135" i="33"/>
  <c r="F148" i="33"/>
  <c r="AU8" i="7"/>
  <c r="AO9" i="7"/>
  <c r="AN22" i="7"/>
  <c r="I81" i="33"/>
  <c r="F198" i="33"/>
  <c r="F190" i="33"/>
  <c r="I123" i="33"/>
  <c r="AR23" i="7"/>
  <c r="I52" i="33"/>
  <c r="F139" i="33"/>
  <c r="F206" i="33"/>
  <c r="F134" i="33"/>
  <c r="AP21" i="7"/>
  <c r="F152" i="33"/>
  <c r="I120" i="33"/>
  <c r="I34" i="33"/>
  <c r="I28" i="33"/>
  <c r="AQ31" i="7"/>
  <c r="I26" i="33"/>
  <c r="F192" i="33"/>
  <c r="AP19" i="7"/>
  <c r="AP30" i="7"/>
  <c r="AP14" i="7"/>
  <c r="F115" i="33"/>
  <c r="AQ15" i="7"/>
  <c r="AR32" i="7"/>
  <c r="F188" i="33"/>
  <c r="AV27" i="7"/>
  <c r="AU15" i="7"/>
  <c r="F170" i="33"/>
  <c r="AQ12" i="7"/>
  <c r="F183" i="33"/>
  <c r="F114" i="33"/>
  <c r="AP4" i="7"/>
  <c r="AN28" i="7"/>
  <c r="I212" i="33"/>
  <c r="F5" i="33"/>
  <c r="I132" i="33"/>
  <c r="I8" i="33"/>
  <c r="AU12" i="7"/>
  <c r="AN26" i="7"/>
  <c r="AV3" i="7"/>
  <c r="I25" i="33"/>
  <c r="AU35" i="7"/>
  <c r="F156" i="33"/>
  <c r="AV17" i="7"/>
  <c r="AV35" i="7"/>
  <c r="I42" i="33"/>
  <c r="AN7" i="7"/>
  <c r="I49" i="33"/>
  <c r="AO17" i="7"/>
  <c r="AP34" i="7"/>
  <c r="I84" i="33"/>
  <c r="I148" i="33"/>
  <c r="F71" i="33"/>
  <c r="AN9" i="7"/>
  <c r="F24" i="33"/>
  <c r="F72" i="33"/>
  <c r="F9" i="33"/>
  <c r="AV26" i="7"/>
  <c r="AQ33" i="7"/>
  <c r="AP7" i="7"/>
  <c r="F27" i="33"/>
  <c r="F109" i="33"/>
  <c r="AP3" i="7"/>
  <c r="F33" i="33"/>
  <c r="I48" i="33"/>
  <c r="AO12" i="7"/>
  <c r="I174" i="33"/>
  <c r="F97" i="33"/>
  <c r="I159" i="33"/>
  <c r="I73" i="33"/>
  <c r="AR20" i="7"/>
  <c r="F78" i="33"/>
  <c r="F74" i="33"/>
  <c r="F19" i="33"/>
  <c r="F39" i="33"/>
  <c r="AQ4" i="7"/>
  <c r="F31" i="33"/>
  <c r="I107" i="33"/>
  <c r="I155" i="33"/>
  <c r="F195" i="33"/>
  <c r="AU3" i="7"/>
  <c r="I220" i="33"/>
  <c r="AQ10" i="7"/>
  <c r="AO32" i="7"/>
  <c r="AN27" i="7"/>
  <c r="I145" i="33"/>
  <c r="AO19" i="7"/>
  <c r="F211" i="33"/>
  <c r="AN29" i="7"/>
  <c r="I31" i="33"/>
  <c r="AN25" i="7"/>
  <c r="I124" i="33"/>
  <c r="AP24" i="7"/>
  <c r="I102" i="33"/>
  <c r="F208" i="33"/>
  <c r="AO27" i="7"/>
  <c r="I189" i="33"/>
  <c r="AU14" i="7"/>
  <c r="F119" i="33"/>
  <c r="I131" i="33"/>
  <c r="AU30" i="7"/>
  <c r="F48" i="33"/>
  <c r="E8" i="16"/>
  <c r="F217" i="33"/>
  <c r="AR19" i="7"/>
  <c r="F149" i="33"/>
  <c r="F219" i="33"/>
  <c r="AV16" i="7"/>
  <c r="I130" i="33"/>
  <c r="G4" i="18"/>
  <c r="F184" i="33"/>
  <c r="F60" i="33"/>
  <c r="AU10" i="7"/>
  <c r="I11" i="33"/>
  <c r="I217" i="33"/>
  <c r="F140" i="33"/>
  <c r="AN4" i="7"/>
  <c r="F54" i="33"/>
  <c r="AN33" i="7"/>
  <c r="F144" i="33"/>
  <c r="AP8" i="7"/>
  <c r="F191" i="33"/>
  <c r="F163" i="33"/>
  <c r="F218" i="33"/>
  <c r="F17" i="33"/>
  <c r="F196" i="33"/>
  <c r="F186" i="33"/>
  <c r="I63" i="33"/>
  <c r="I184" i="33"/>
  <c r="I98" i="33"/>
  <c r="AV8" i="7"/>
  <c r="AU36" i="7"/>
  <c r="F62" i="33"/>
  <c r="AN11" i="7"/>
  <c r="AQ3" i="7"/>
  <c r="AV4" i="7"/>
  <c r="AU31" i="7"/>
  <c r="I195" i="33"/>
  <c r="AU18" i="7"/>
  <c r="AO10" i="7"/>
  <c r="AO30" i="7"/>
  <c r="AQ23" i="7"/>
  <c r="I55" i="33"/>
  <c r="AP6" i="7"/>
  <c r="AO29" i="7"/>
  <c r="I90" i="33"/>
  <c r="AO20" i="7"/>
  <c r="F180" i="33"/>
  <c r="I61" i="33"/>
  <c r="I45" i="33"/>
  <c r="AP18" i="7"/>
  <c r="AV15" i="7"/>
  <c r="I54" i="33"/>
  <c r="AU25" i="7"/>
  <c r="I87" i="33"/>
  <c r="AU16" i="7"/>
  <c r="AR28" i="7"/>
  <c r="AR9" i="7"/>
  <c r="I186" i="33"/>
  <c r="F197" i="33"/>
  <c r="AQ29" i="7"/>
  <c r="I57" i="33"/>
  <c r="F116" i="33"/>
  <c r="I93" i="33"/>
  <c r="F49" i="33"/>
  <c r="I14" i="33"/>
  <c r="F18" i="33"/>
  <c r="I39" i="33"/>
  <c r="I196" i="33"/>
  <c r="I213" i="33"/>
  <c r="I138" i="33"/>
  <c r="F207" i="33"/>
  <c r="F210" i="33"/>
  <c r="I7" i="16"/>
  <c r="F16" i="33"/>
  <c r="AV5" i="7"/>
  <c r="I6" i="33"/>
  <c r="F185" i="33"/>
  <c r="I165" i="33"/>
  <c r="AV24" i="7"/>
  <c r="I209" i="33"/>
  <c r="AN30" i="7"/>
  <c r="F127" i="33"/>
  <c r="I170" i="33"/>
  <c r="I86" i="33"/>
  <c r="AU34" i="7"/>
  <c r="G17" i="18"/>
  <c r="I211" i="33"/>
  <c r="F101" i="33"/>
  <c r="F150" i="33"/>
  <c r="AP17" i="7"/>
  <c r="I181" i="33"/>
  <c r="I64" i="33"/>
  <c r="AV31" i="7"/>
  <c r="I139" i="33"/>
  <c r="I109" i="33"/>
  <c r="AQ34" i="7"/>
  <c r="F56" i="33"/>
  <c r="AR30" i="7"/>
  <c r="AO5" i="7"/>
  <c r="I207" i="33"/>
  <c r="F147" i="33"/>
  <c r="AV14" i="7"/>
  <c r="I216" i="33"/>
  <c r="AN34" i="7"/>
  <c r="I67" i="33"/>
  <c r="AV20" i="7"/>
  <c r="I210" i="33"/>
  <c r="I179" i="33"/>
  <c r="AV10" i="7"/>
  <c r="AR13" i="7"/>
  <c r="AV13" i="7"/>
  <c r="F121" i="33"/>
  <c r="F61" i="33"/>
  <c r="I9" i="33"/>
  <c r="AO3" i="7"/>
  <c r="F37" i="33"/>
  <c r="I116" i="33"/>
  <c r="F57" i="33"/>
  <c r="F82" i="33"/>
  <c r="I221" i="33"/>
  <c r="I66" i="33"/>
  <c r="F155" i="33"/>
  <c r="AN12" i="7"/>
  <c r="I119" i="33"/>
  <c r="AR16" i="7"/>
  <c r="AU19" i="7"/>
  <c r="AO24" i="7"/>
  <c r="AO34" i="7"/>
  <c r="F88" i="33"/>
  <c r="AR33" i="7"/>
  <c r="F12" i="33"/>
  <c r="I105" i="33"/>
  <c r="H7" i="16"/>
  <c r="AU4" i="7"/>
  <c r="I142" i="33"/>
  <c r="I125" i="33"/>
  <c r="G9" i="18"/>
  <c r="AO22" i="7"/>
  <c r="AV36" i="7"/>
  <c r="I60" i="33"/>
  <c r="I153" i="33"/>
  <c r="I205" i="33"/>
  <c r="D9" i="16"/>
  <c r="AV25" i="7"/>
  <c r="F221" i="33"/>
  <c r="AO28" i="7"/>
  <c r="F160" i="33"/>
  <c r="I16" i="33"/>
  <c r="F38" i="33"/>
  <c r="F131" i="33"/>
  <c r="F142" i="33"/>
  <c r="AV9" i="7"/>
  <c r="AP29" i="7"/>
  <c r="AP15" i="7"/>
  <c r="I166" i="33"/>
  <c r="AP11" i="7"/>
  <c r="AV21" i="7"/>
  <c r="I134" i="33"/>
  <c r="AN35" i="7"/>
  <c r="F136" i="33"/>
  <c r="I154" i="33"/>
  <c r="I92" i="33"/>
  <c r="D8" i="16"/>
  <c r="F102" i="33"/>
  <c r="I214" i="33"/>
  <c r="AO25" i="7"/>
  <c r="F35" i="33"/>
  <c r="F21" i="33"/>
  <c r="I182" i="33"/>
  <c r="AN6" i="7"/>
  <c r="AP20" i="7"/>
  <c r="F96" i="33"/>
  <c r="AQ11" i="7"/>
  <c r="AR11" i="7"/>
  <c r="I83" i="33"/>
  <c r="F124" i="33"/>
  <c r="I95" i="33"/>
  <c r="F80" i="33"/>
  <c r="I114" i="33"/>
  <c r="I59" i="33"/>
  <c r="AP35" i="7"/>
  <c r="AQ27" i="7"/>
  <c r="E7" i="16"/>
  <c r="I133" i="33"/>
  <c r="D7" i="16"/>
  <c r="AN13" i="7"/>
  <c r="AR29" i="7"/>
  <c r="F42" i="33"/>
  <c r="I197" i="33"/>
  <c r="I198" i="33"/>
  <c r="AU24" i="7"/>
  <c r="F141" i="33"/>
  <c r="AO15" i="7"/>
  <c r="F41" i="33"/>
  <c r="AU21" i="7"/>
  <c r="F50" i="33"/>
  <c r="F204" i="33"/>
  <c r="AV29" i="7"/>
  <c r="H9" i="16"/>
  <c r="AN32" i="7"/>
  <c r="I151" i="33"/>
  <c r="I97" i="33"/>
  <c r="AN23" i="7"/>
  <c r="AQ8" i="7"/>
  <c r="AP23" i="7"/>
  <c r="I129" i="33"/>
  <c r="I94" i="33"/>
  <c r="AP9" i="7"/>
  <c r="F36" i="33"/>
  <c r="I38" i="33"/>
  <c r="F100" i="33"/>
  <c r="AU33" i="7"/>
  <c r="AQ26" i="7"/>
  <c r="I204" i="33"/>
  <c r="F75" i="33"/>
  <c r="I30" i="33"/>
  <c r="I32" i="33"/>
  <c r="I40" i="33"/>
  <c r="F8" i="33"/>
  <c r="I167" i="33"/>
  <c r="I191" i="33"/>
  <c r="F164" i="33"/>
  <c r="I156" i="33"/>
  <c r="AO35" i="7"/>
  <c r="F20" i="33"/>
  <c r="F23" i="33"/>
  <c r="F4" i="33"/>
  <c r="F203" i="33"/>
  <c r="G13" i="18"/>
  <c r="AV6" i="7"/>
  <c r="F86" i="33"/>
  <c r="AU23" i="7"/>
  <c r="F7" i="33"/>
  <c r="F14" i="33"/>
  <c r="F44" i="33"/>
  <c r="F122" i="33"/>
  <c r="AR7" i="7"/>
  <c r="I180" i="33"/>
  <c r="AU7" i="7"/>
  <c r="AR27" i="7"/>
  <c r="I219" i="33"/>
  <c r="AN3" i="7"/>
  <c r="F92" i="33"/>
  <c r="F59" i="33"/>
  <c r="AP22" i="7"/>
  <c r="I8" i="16"/>
  <c r="I58" i="33"/>
  <c r="F73" i="33"/>
  <c r="F175" i="33"/>
  <c r="F6" i="33"/>
  <c r="F213" i="33"/>
  <c r="AR6" i="7"/>
  <c r="I206" i="33"/>
  <c r="F76" i="33"/>
  <c r="I99" i="33"/>
  <c r="AQ17" i="7"/>
  <c r="AR35" i="7"/>
  <c r="F105" i="33"/>
  <c r="AN5" i="7"/>
  <c r="AQ7" i="7"/>
  <c r="I222" i="33"/>
  <c r="F63" i="33"/>
  <c r="F28" i="33"/>
  <c r="AP13" i="7"/>
  <c r="I10" i="33"/>
  <c r="F174" i="33"/>
  <c r="I27" i="33"/>
  <c r="I17" i="33"/>
  <c r="F58" i="33"/>
  <c r="F93" i="33"/>
  <c r="I100" i="33"/>
  <c r="F108" i="33"/>
  <c r="AP26" i="7"/>
  <c r="F158" i="33"/>
  <c r="AR4" i="7"/>
  <c r="F133" i="33"/>
  <c r="I118" i="33"/>
  <c r="F104" i="33"/>
  <c r="AQ6" i="7"/>
  <c r="F77" i="33"/>
  <c r="F182" i="33"/>
  <c r="I22" i="33"/>
  <c r="I89" i="33"/>
  <c r="F193" i="33"/>
  <c r="I69" i="33"/>
  <c r="F157" i="33"/>
  <c r="F177" i="33"/>
  <c r="F176" i="33"/>
  <c r="G8" i="18"/>
  <c r="AU26" i="7"/>
  <c r="I199" i="33"/>
  <c r="F215" i="33"/>
  <c r="AN31" i="7"/>
  <c r="I152" i="33"/>
  <c r="I141" i="33"/>
  <c r="F222" i="33"/>
  <c r="F194" i="33"/>
  <c r="I37" i="33"/>
  <c r="AQ28" i="7"/>
  <c r="I122" i="33"/>
  <c r="I164" i="33"/>
  <c r="AU22" i="7"/>
  <c r="AQ20" i="7"/>
  <c r="I70" i="33"/>
  <c r="I147" i="33"/>
  <c r="I203" i="33"/>
  <c r="AR22" i="7"/>
  <c r="F159" i="33"/>
  <c r="F66" i="33"/>
  <c r="AR18" i="7"/>
  <c r="I80" i="33"/>
  <c r="F90" i="33"/>
  <c r="F95" i="33"/>
  <c r="I20" i="33"/>
  <c r="F117" i="33"/>
  <c r="AQ9" i="7"/>
  <c r="AN15" i="7"/>
  <c r="AU11" i="7"/>
  <c r="F69" i="33"/>
  <c r="AV22" i="7"/>
  <c r="I121" i="33"/>
  <c r="F212" i="33"/>
  <c r="AO13" i="7"/>
  <c r="AQ36" i="7"/>
  <c r="I9" i="16"/>
  <c r="I33" i="33"/>
  <c r="I108" i="33"/>
  <c r="AP31" i="7"/>
  <c r="I163" i="33"/>
  <c r="I178" i="33"/>
  <c r="F70" i="33"/>
  <c r="F3" i="33"/>
  <c r="F34" i="33"/>
  <c r="AV11" i="7"/>
  <c r="AN16" i="7"/>
  <c r="AQ21" i="7"/>
  <c r="F146" i="33"/>
  <c r="AP25" i="7"/>
  <c r="AU27" i="7"/>
  <c r="AV19" i="7"/>
  <c r="I161" i="33"/>
  <c r="F26" i="33"/>
  <c r="I85" i="33"/>
  <c r="F67" i="33"/>
  <c r="I5" i="33"/>
  <c r="F167" i="33"/>
  <c r="AP5" i="7"/>
  <c r="F173" i="33"/>
  <c r="I113" i="33"/>
  <c r="I193" i="33"/>
  <c r="G12" i="18"/>
  <c r="F87" i="33"/>
  <c r="AR25" i="7"/>
  <c r="I188" i="33"/>
  <c r="I177" i="33"/>
  <c r="F126" i="33"/>
  <c r="AO14" i="7"/>
  <c r="F181" i="33"/>
  <c r="I24" i="33"/>
  <c r="AQ16" i="7"/>
  <c r="H8" i="16"/>
  <c r="I72" i="33"/>
  <c r="AN14" i="7"/>
  <c r="AV18" i="7"/>
  <c r="I187" i="33"/>
  <c r="I215" i="33"/>
  <c r="I149" i="33"/>
  <c r="I110" i="33"/>
  <c r="AU28" i="7"/>
  <c r="F30" i="33"/>
  <c r="F22" i="33"/>
  <c r="G5" i="18"/>
  <c r="F29" i="33"/>
  <c r="AO8" i="7"/>
  <c r="F79" i="33"/>
  <c r="F169" i="33"/>
  <c r="AO36" i="7"/>
  <c r="I162" i="33"/>
  <c r="F91" i="33"/>
  <c r="F111" i="33"/>
  <c r="AV7" i="7"/>
  <c r="I112" i="33"/>
  <c r="AN8" i="7"/>
  <c r="F123" i="33"/>
  <c r="AP10" i="7"/>
  <c r="I71" i="33"/>
  <c r="I194" i="33"/>
  <c r="I115" i="33"/>
  <c r="I201" i="33"/>
  <c r="I44" i="33"/>
  <c r="I78" i="33"/>
  <c r="AQ32" i="7"/>
  <c r="F189" i="33"/>
  <c r="J21" i="33" l="1"/>
  <c r="K21" i="33" s="1"/>
  <c r="G121" i="33"/>
  <c r="H121" i="33" s="1"/>
  <c r="G21" i="33"/>
  <c r="H21" i="33" s="1"/>
  <c r="G159" i="33"/>
  <c r="H159" i="33" s="1"/>
  <c r="J60" i="33"/>
  <c r="K60" i="33" s="1"/>
  <c r="G95" i="33"/>
  <c r="H95" i="33" s="1"/>
  <c r="J98" i="33"/>
  <c r="K98" i="33" s="1"/>
  <c r="J205" i="33"/>
  <c r="K205" i="33" s="1"/>
  <c r="J17" i="33"/>
  <c r="K17" i="33" s="1"/>
  <c r="J95" i="33"/>
  <c r="K95" i="33" s="1"/>
  <c r="G141" i="33"/>
  <c r="H141" i="33" s="1"/>
  <c r="G45" i="33"/>
  <c r="H45" i="33" s="1"/>
  <c r="J4" i="33"/>
  <c r="K4" i="33" s="1"/>
  <c r="G14" i="18"/>
  <c r="J50" i="33"/>
  <c r="K50" i="33" s="1"/>
  <c r="J71" i="33"/>
  <c r="K71" i="33" s="1"/>
  <c r="G142" i="33"/>
  <c r="H142" i="33" s="1"/>
  <c r="G49" i="33"/>
  <c r="H49" i="33" s="1"/>
  <c r="G20" i="33"/>
  <c r="H20" i="33" s="1"/>
  <c r="G46" i="33"/>
  <c r="H46" i="33" s="1"/>
  <c r="G70" i="33"/>
  <c r="H70" i="33" s="1"/>
  <c r="G17" i="33"/>
  <c r="H17" i="33" s="1"/>
  <c r="J33" i="33"/>
  <c r="K33" i="33" s="1"/>
  <c r="G64" i="33"/>
  <c r="H64" i="33" s="1"/>
  <c r="G124" i="33"/>
  <c r="H124" i="33" s="1"/>
  <c r="J70" i="33"/>
  <c r="K70" i="33" s="1"/>
  <c r="G4" i="33"/>
  <c r="H4" i="33" s="1"/>
  <c r="G173" i="33"/>
  <c r="H173" i="33" s="1"/>
  <c r="J24" i="33"/>
  <c r="K24" i="33" s="1"/>
  <c r="J31" i="33"/>
  <c r="K31" i="33" s="1"/>
  <c r="J113" i="33"/>
  <c r="K113" i="33" s="1"/>
  <c r="G172" i="33"/>
  <c r="H172" i="33" s="1"/>
  <c r="G153" i="33"/>
  <c r="H153" i="33" s="1"/>
  <c r="G87" i="33"/>
  <c r="H87" i="33" s="1"/>
  <c r="J143" i="33"/>
  <c r="K143" i="33" s="1"/>
  <c r="J80" i="33"/>
  <c r="K80" i="33" s="1"/>
  <c r="G56" i="33"/>
  <c r="H56" i="33" s="1"/>
  <c r="G103" i="33"/>
  <c r="H103" i="33" s="1"/>
  <c r="J130" i="33"/>
  <c r="K130" i="33" s="1"/>
  <c r="J68" i="33"/>
  <c r="K68" i="33" s="1"/>
  <c r="G194" i="33"/>
  <c r="H194" i="33" s="1"/>
  <c r="G3" i="33"/>
  <c r="H3" i="33" s="1"/>
  <c r="G26" i="33"/>
  <c r="H26" i="33" s="1"/>
  <c r="J27" i="33"/>
  <c r="K27" i="33" s="1"/>
  <c r="G89" i="33"/>
  <c r="H89" i="33" s="1"/>
  <c r="J49" i="33"/>
  <c r="K49" i="33" s="1"/>
  <c r="J202" i="33"/>
  <c r="K202" i="33" s="1"/>
  <c r="J37" i="33"/>
  <c r="K37" i="33" s="1"/>
  <c r="G136" i="33"/>
  <c r="H136" i="33" s="1"/>
  <c r="J90" i="33"/>
  <c r="K90" i="33" s="1"/>
  <c r="G117" i="33"/>
  <c r="H117" i="33" s="1"/>
  <c r="G98" i="33"/>
  <c r="H98" i="33" s="1"/>
  <c r="J62" i="33"/>
  <c r="K62" i="33" s="1"/>
  <c r="J159" i="33"/>
  <c r="K159" i="33" s="1"/>
  <c r="J174" i="33"/>
  <c r="K174" i="33" s="1"/>
  <c r="G57" i="33"/>
  <c r="H57" i="33" s="1"/>
  <c r="J88" i="33"/>
  <c r="K88" i="33" s="1"/>
  <c r="G59" i="33"/>
  <c r="H59" i="33" s="1"/>
  <c r="J161" i="33"/>
  <c r="K161" i="33" s="1"/>
  <c r="J197" i="33"/>
  <c r="K197" i="33" s="1"/>
  <c r="J172" i="33"/>
  <c r="K172" i="33" s="1"/>
  <c r="G155" i="33"/>
  <c r="H155" i="33" s="1"/>
  <c r="G187" i="33"/>
  <c r="H187" i="33" s="1"/>
  <c r="G135" i="33"/>
  <c r="H135" i="33" s="1"/>
  <c r="J220" i="33"/>
  <c r="K220" i="33" s="1"/>
  <c r="J156" i="33"/>
  <c r="K156" i="33" s="1"/>
  <c r="G114" i="33"/>
  <c r="H114" i="33" s="1"/>
  <c r="J44" i="33"/>
  <c r="K44" i="33" s="1"/>
  <c r="G149" i="33"/>
  <c r="H149" i="33" s="1"/>
  <c r="O8" i="16"/>
  <c r="J97" i="33"/>
  <c r="K97" i="33" s="1"/>
  <c r="J208" i="33"/>
  <c r="K208" i="33" s="1"/>
  <c r="G186" i="33"/>
  <c r="H186" i="33" s="1"/>
  <c r="G177" i="33"/>
  <c r="H177" i="33" s="1"/>
  <c r="G165" i="33"/>
  <c r="H165" i="33" s="1"/>
  <c r="G204" i="33"/>
  <c r="H204" i="33" s="1"/>
  <c r="G190" i="33"/>
  <c r="H190" i="33" s="1"/>
  <c r="G52" i="33"/>
  <c r="H52" i="33" s="1"/>
  <c r="J151" i="33"/>
  <c r="K151" i="33" s="1"/>
  <c r="J140" i="33"/>
  <c r="K140" i="33" s="1"/>
  <c r="G164" i="33"/>
  <c r="H164" i="33" s="1"/>
  <c r="J64" i="33"/>
  <c r="K64" i="33" s="1"/>
  <c r="J168" i="33"/>
  <c r="K168" i="33" s="1"/>
  <c r="G219" i="33"/>
  <c r="H219" i="33" s="1"/>
  <c r="G30" i="33"/>
  <c r="H30" i="33" s="1"/>
  <c r="G118" i="33"/>
  <c r="H118" i="33" s="1"/>
  <c r="J75" i="33"/>
  <c r="K75" i="33" s="1"/>
  <c r="G180" i="33"/>
  <c r="H180" i="33" s="1"/>
  <c r="G166" i="33"/>
  <c r="H166" i="33" s="1"/>
  <c r="G62" i="33"/>
  <c r="H62" i="33" s="1"/>
  <c r="J55" i="33"/>
  <c r="K55" i="33" s="1"/>
  <c r="J108" i="33"/>
  <c r="K108" i="33" s="1"/>
  <c r="J25" i="33"/>
  <c r="K25" i="33" s="1"/>
  <c r="G208" i="33"/>
  <c r="H208" i="33" s="1"/>
  <c r="G79" i="33"/>
  <c r="H79" i="33" s="1"/>
  <c r="J11" i="33"/>
  <c r="K11" i="33" s="1"/>
  <c r="G167" i="33"/>
  <c r="H167" i="33" s="1"/>
  <c r="J20" i="33"/>
  <c r="K20" i="33" s="1"/>
  <c r="J200" i="33"/>
  <c r="K200" i="33" s="1"/>
  <c r="G169" i="33"/>
  <c r="H169" i="33" s="1"/>
  <c r="J164" i="33"/>
  <c r="K164" i="33" s="1"/>
  <c r="J77" i="33"/>
  <c r="K77" i="33" s="1"/>
  <c r="G221" i="33"/>
  <c r="H221" i="33" s="1"/>
  <c r="J43" i="33"/>
  <c r="K43" i="33" s="1"/>
  <c r="G140" i="33"/>
  <c r="H140" i="33" s="1"/>
  <c r="G92" i="33"/>
  <c r="H92" i="33" s="1"/>
  <c r="J217" i="33"/>
  <c r="K217" i="33" s="1"/>
  <c r="J216" i="33"/>
  <c r="K216" i="33" s="1"/>
  <c r="G183" i="33"/>
  <c r="H183" i="33" s="1"/>
  <c r="J209" i="33"/>
  <c r="K209" i="33" s="1"/>
  <c r="G58" i="33"/>
  <c r="H58" i="33" s="1"/>
  <c r="G15" i="18"/>
  <c r="J7" i="33"/>
  <c r="K7" i="33" s="1"/>
  <c r="J176" i="33"/>
  <c r="K176" i="33" s="1"/>
  <c r="G63" i="33"/>
  <c r="H63" i="33" s="1"/>
  <c r="G179" i="33"/>
  <c r="H179" i="33" s="1"/>
  <c r="J19" i="33"/>
  <c r="K19" i="33" s="1"/>
  <c r="J16" i="33"/>
  <c r="K16" i="33" s="1"/>
  <c r="J179" i="33"/>
  <c r="K179" i="33" s="1"/>
  <c r="G80" i="33"/>
  <c r="H80" i="33" s="1"/>
  <c r="G72" i="33"/>
  <c r="H72" i="33" s="1"/>
  <c r="J48" i="33"/>
  <c r="K48" i="33" s="1"/>
  <c r="G55" i="33"/>
  <c r="H55" i="33" s="1"/>
  <c r="G43" i="33"/>
  <c r="H43" i="33" s="1"/>
  <c r="J138" i="33"/>
  <c r="K138" i="33" s="1"/>
  <c r="J47" i="33"/>
  <c r="K47" i="33" s="1"/>
  <c r="G157" i="33"/>
  <c r="H157" i="33" s="1"/>
  <c r="G206" i="33"/>
  <c r="H206" i="33" s="1"/>
  <c r="G195" i="33"/>
  <c r="H195" i="33" s="1"/>
  <c r="G35" i="33"/>
  <c r="H35" i="33" s="1"/>
  <c r="G110" i="33"/>
  <c r="H110" i="33" s="1"/>
  <c r="J201" i="33"/>
  <c r="K201" i="33" s="1"/>
  <c r="G105" i="33"/>
  <c r="H105" i="33" s="1"/>
  <c r="G152" i="33"/>
  <c r="H152" i="33" s="1"/>
  <c r="J109" i="33"/>
  <c r="K109" i="33" s="1"/>
  <c r="J221" i="33"/>
  <c r="K221" i="33" s="1"/>
  <c r="G65" i="33"/>
  <c r="H65" i="33" s="1"/>
  <c r="J206" i="33"/>
  <c r="K206" i="33" s="1"/>
  <c r="G13" i="33"/>
  <c r="H13" i="33" s="1"/>
  <c r="J72" i="33"/>
  <c r="K72" i="33" s="1"/>
  <c r="G200" i="33"/>
  <c r="H200" i="33" s="1"/>
  <c r="G93" i="33"/>
  <c r="H93" i="33" s="1"/>
  <c r="J112" i="33"/>
  <c r="K112" i="33" s="1"/>
  <c r="G19" i="33"/>
  <c r="H19" i="33" s="1"/>
  <c r="J137" i="33"/>
  <c r="K137" i="33" s="1"/>
  <c r="J193" i="33"/>
  <c r="K193" i="33" s="1"/>
  <c r="J65" i="33"/>
  <c r="K65" i="33" s="1"/>
  <c r="G148" i="33"/>
  <c r="H148" i="33" s="1"/>
  <c r="G146" i="33"/>
  <c r="H146" i="33" s="1"/>
  <c r="J46" i="33"/>
  <c r="K46" i="33" s="1"/>
  <c r="G144" i="33"/>
  <c r="H144" i="33" s="1"/>
  <c r="G189" i="33"/>
  <c r="H189" i="33" s="1"/>
  <c r="N7" i="16"/>
  <c r="J59" i="33"/>
  <c r="K59" i="33" s="1"/>
  <c r="J132" i="33"/>
  <c r="K132" i="33" s="1"/>
  <c r="J181" i="33"/>
  <c r="K181" i="33" s="1"/>
  <c r="G196" i="33"/>
  <c r="H196" i="33" s="1"/>
  <c r="G9" i="33"/>
  <c r="H9" i="33" s="1"/>
  <c r="J32" i="33"/>
  <c r="K32" i="33" s="1"/>
  <c r="N8" i="16"/>
  <c r="J73" i="33"/>
  <c r="K73" i="33" s="1"/>
  <c r="J63" i="33"/>
  <c r="K63" i="33" s="1"/>
  <c r="G104" i="33"/>
  <c r="H104" i="33" s="1"/>
  <c r="G209" i="33"/>
  <c r="H209" i="33" s="1"/>
  <c r="G25" i="33"/>
  <c r="H25" i="33" s="1"/>
  <c r="J119" i="33"/>
  <c r="K119" i="33" s="1"/>
  <c r="G38" i="33"/>
  <c r="H38" i="33" s="1"/>
  <c r="J106" i="33"/>
  <c r="K106" i="33" s="1"/>
  <c r="J83" i="33"/>
  <c r="K83" i="33" s="1"/>
  <c r="J194" i="33"/>
  <c r="K194" i="33" s="1"/>
  <c r="G170" i="33"/>
  <c r="H170" i="33" s="1"/>
  <c r="J196" i="33"/>
  <c r="K196" i="33" s="1"/>
  <c r="J54" i="33"/>
  <c r="K54" i="33" s="1"/>
  <c r="J210" i="33"/>
  <c r="K210" i="33" s="1"/>
  <c r="G174" i="33"/>
  <c r="H174" i="33" s="1"/>
  <c r="J22" i="33"/>
  <c r="K22" i="33" s="1"/>
  <c r="J165" i="33"/>
  <c r="K165" i="33" s="1"/>
  <c r="J154" i="33"/>
  <c r="K154" i="33" s="1"/>
  <c r="J157" i="33"/>
  <c r="K157" i="33" s="1"/>
  <c r="J173" i="33"/>
  <c r="K173" i="33" s="1"/>
  <c r="J180" i="33"/>
  <c r="K180" i="33" s="1"/>
  <c r="J74" i="33"/>
  <c r="K74" i="33" s="1"/>
  <c r="G115" i="33"/>
  <c r="H115" i="33" s="1"/>
  <c r="G14" i="33"/>
  <c r="H14" i="33" s="1"/>
  <c r="G158" i="33"/>
  <c r="H158" i="33" s="1"/>
  <c r="G67" i="33"/>
  <c r="H67" i="33" s="1"/>
  <c r="G102" i="33"/>
  <c r="H102" i="33" s="1"/>
  <c r="J28" i="33"/>
  <c r="K28" i="33" s="1"/>
  <c r="G112" i="33"/>
  <c r="H112" i="33" s="1"/>
  <c r="G123" i="33"/>
  <c r="H123" i="33" s="1"/>
  <c r="J182" i="33"/>
  <c r="K182" i="33" s="1"/>
  <c r="J5" i="33"/>
  <c r="K5" i="33" s="1"/>
  <c r="G15" i="33"/>
  <c r="H15" i="33" s="1"/>
  <c r="G96" i="33"/>
  <c r="H96" i="33" s="1"/>
  <c r="J93" i="33"/>
  <c r="K93" i="33" s="1"/>
  <c r="G214" i="33"/>
  <c r="H214" i="33" s="1"/>
  <c r="G184" i="33"/>
  <c r="H184" i="33" s="1"/>
  <c r="O7" i="16"/>
  <c r="G210" i="33"/>
  <c r="H210" i="33" s="1"/>
  <c r="G32" i="33"/>
  <c r="H32" i="33" s="1"/>
  <c r="G28" i="33"/>
  <c r="H28" i="33" s="1"/>
  <c r="G77" i="33"/>
  <c r="H77" i="33" s="1"/>
  <c r="G6" i="33"/>
  <c r="H6" i="33" s="1"/>
  <c r="G220" i="33"/>
  <c r="H220" i="33" s="1"/>
  <c r="G24" i="33"/>
  <c r="H24" i="33" s="1"/>
  <c r="J81" i="33"/>
  <c r="K81" i="33" s="1"/>
  <c r="G10" i="33"/>
  <c r="H10" i="33" s="1"/>
  <c r="G86" i="33"/>
  <c r="H86" i="33" s="1"/>
  <c r="G160" i="33"/>
  <c r="H160" i="33" s="1"/>
  <c r="G156" i="33"/>
  <c r="H156" i="33" s="1"/>
  <c r="G108" i="33"/>
  <c r="H108" i="33" s="1"/>
  <c r="G68" i="33"/>
  <c r="H68" i="33" s="1"/>
  <c r="G163" i="33"/>
  <c r="H163" i="33" s="1"/>
  <c r="J148" i="33"/>
  <c r="K148" i="33" s="1"/>
  <c r="G145" i="33"/>
  <c r="H145" i="33" s="1"/>
  <c r="G85" i="33"/>
  <c r="H85" i="33" s="1"/>
  <c r="J191" i="33"/>
  <c r="K191" i="33" s="1"/>
  <c r="J203" i="33"/>
  <c r="K203" i="33" s="1"/>
  <c r="J120" i="33"/>
  <c r="K120" i="33" s="1"/>
  <c r="G211" i="33"/>
  <c r="H211" i="33" s="1"/>
  <c r="G130" i="33"/>
  <c r="H130" i="33" s="1"/>
  <c r="J144" i="33"/>
  <c r="K144" i="33" s="1"/>
  <c r="J213" i="33"/>
  <c r="K213" i="33" s="1"/>
  <c r="G78" i="33"/>
  <c r="H78" i="33" s="1"/>
  <c r="J13" i="33"/>
  <c r="K13" i="33" s="1"/>
  <c r="J51" i="33"/>
  <c r="K51" i="33" s="1"/>
  <c r="J211" i="33"/>
  <c r="K211" i="33" s="1"/>
  <c r="J61" i="33"/>
  <c r="K61" i="33" s="1"/>
  <c r="J36" i="33"/>
  <c r="K36" i="33" s="1"/>
  <c r="J30" i="33"/>
  <c r="K30" i="33" s="1"/>
  <c r="G74" i="33"/>
  <c r="H74" i="33" s="1"/>
  <c r="G168" i="33"/>
  <c r="H168" i="33" s="1"/>
  <c r="G171" i="33"/>
  <c r="H171" i="33" s="1"/>
  <c r="J56" i="33"/>
  <c r="K56" i="33" s="1"/>
  <c r="J218" i="33"/>
  <c r="K218" i="33" s="1"/>
  <c r="G119" i="33"/>
  <c r="H119" i="33" s="1"/>
  <c r="G162" i="33"/>
  <c r="H162" i="33" s="1"/>
  <c r="G191" i="33"/>
  <c r="H191" i="33" s="1"/>
  <c r="G138" i="33"/>
  <c r="H138" i="33" s="1"/>
  <c r="J222" i="33"/>
  <c r="K222" i="33" s="1"/>
  <c r="G215" i="33"/>
  <c r="H215" i="33" s="1"/>
  <c r="G212" i="33"/>
  <c r="H212" i="33" s="1"/>
  <c r="J34" i="33"/>
  <c r="K34" i="33" s="1"/>
  <c r="J29" i="33"/>
  <c r="K29" i="33" s="1"/>
  <c r="J6" i="33"/>
  <c r="K6" i="33" s="1"/>
  <c r="G181" i="33"/>
  <c r="H181" i="33" s="1"/>
  <c r="J67" i="33"/>
  <c r="K67" i="33" s="1"/>
  <c r="G100" i="33"/>
  <c r="H100" i="33" s="1"/>
  <c r="G83" i="33"/>
  <c r="H83" i="33" s="1"/>
  <c r="J129" i="33"/>
  <c r="K129" i="33" s="1"/>
  <c r="J166" i="33"/>
  <c r="K166" i="33" s="1"/>
  <c r="J184" i="33"/>
  <c r="K184" i="33" s="1"/>
  <c r="G54" i="33"/>
  <c r="H54" i="33" s="1"/>
  <c r="G37" i="33"/>
  <c r="H37" i="33" s="1"/>
  <c r="G60" i="33"/>
  <c r="H60" i="33" s="1"/>
  <c r="G39" i="33"/>
  <c r="H39" i="33" s="1"/>
  <c r="G91" i="33"/>
  <c r="H91" i="33" s="1"/>
  <c r="J38" i="33"/>
  <c r="K38" i="33" s="1"/>
  <c r="J124" i="33"/>
  <c r="K124" i="33" s="1"/>
  <c r="J58" i="33"/>
  <c r="K58" i="33" s="1"/>
  <c r="G109" i="33"/>
  <c r="H109" i="33" s="1"/>
  <c r="J82" i="33"/>
  <c r="K82" i="33" s="1"/>
  <c r="G61" i="33"/>
  <c r="H61" i="33" s="1"/>
  <c r="G51" i="33"/>
  <c r="H51" i="33" s="1"/>
  <c r="G197" i="33"/>
  <c r="H197" i="33" s="1"/>
  <c r="J39" i="33"/>
  <c r="K39" i="33" s="1"/>
  <c r="J15" i="33"/>
  <c r="K15" i="33" s="1"/>
  <c r="G132" i="33"/>
  <c r="H132" i="33" s="1"/>
  <c r="G128" i="33"/>
  <c r="H128" i="33" s="1"/>
  <c r="G137" i="33"/>
  <c r="H137" i="33" s="1"/>
  <c r="G107" i="33"/>
  <c r="H107" i="33" s="1"/>
  <c r="G8" i="33"/>
  <c r="H8" i="33" s="1"/>
  <c r="J212" i="33"/>
  <c r="K212" i="33" s="1"/>
  <c r="G131" i="33"/>
  <c r="H131" i="33" s="1"/>
  <c r="G126" i="33"/>
  <c r="H126" i="33" s="1"/>
  <c r="J92" i="33"/>
  <c r="K92" i="33" s="1"/>
  <c r="G150" i="33"/>
  <c r="H150" i="33" s="1"/>
  <c r="J104" i="33"/>
  <c r="K104" i="33" s="1"/>
  <c r="J199" i="33"/>
  <c r="K199" i="33" s="1"/>
  <c r="J204" i="33"/>
  <c r="K204" i="33" s="1"/>
  <c r="G53" i="33"/>
  <c r="H53" i="33" s="1"/>
  <c r="J41" i="33"/>
  <c r="K41" i="33" s="1"/>
  <c r="G81" i="33"/>
  <c r="H81" i="33" s="1"/>
  <c r="G84" i="33"/>
  <c r="H84" i="33" s="1"/>
  <c r="J100" i="33"/>
  <c r="K100" i="33" s="1"/>
  <c r="G76" i="33"/>
  <c r="H76" i="33" s="1"/>
  <c r="J78" i="33"/>
  <c r="K78" i="33" s="1"/>
  <c r="G99" i="33"/>
  <c r="H99" i="33" s="1"/>
  <c r="J192" i="33"/>
  <c r="K192" i="33" s="1"/>
  <c r="G143" i="33"/>
  <c r="H143" i="33" s="1"/>
  <c r="J107" i="33"/>
  <c r="K107" i="33" s="1"/>
  <c r="G44" i="33"/>
  <c r="H44" i="33" s="1"/>
  <c r="G7" i="33"/>
  <c r="H7" i="33" s="1"/>
  <c r="G201" i="33"/>
  <c r="H201" i="33" s="1"/>
  <c r="J189" i="33"/>
  <c r="K189" i="33" s="1"/>
  <c r="J35" i="33"/>
  <c r="K35" i="33" s="1"/>
  <c r="J190" i="33"/>
  <c r="K190" i="33" s="1"/>
  <c r="G41" i="33"/>
  <c r="H41" i="33" s="1"/>
  <c r="J150" i="33"/>
  <c r="K150" i="33" s="1"/>
  <c r="G218" i="33"/>
  <c r="H218" i="33" s="1"/>
  <c r="G22" i="33"/>
  <c r="H22" i="33" s="1"/>
  <c r="J69" i="33"/>
  <c r="K69" i="33" s="1"/>
  <c r="J86" i="33"/>
  <c r="K86" i="33" s="1"/>
  <c r="G193" i="33"/>
  <c r="H193" i="33" s="1"/>
  <c r="J125" i="33"/>
  <c r="K125" i="33" s="1"/>
  <c r="J133" i="33"/>
  <c r="K133" i="33" s="1"/>
  <c r="J9" i="33"/>
  <c r="K9" i="33" s="1"/>
  <c r="J14" i="33"/>
  <c r="K14" i="33" s="1"/>
  <c r="J102" i="33"/>
  <c r="K102" i="33" s="1"/>
  <c r="G97" i="33"/>
  <c r="H97" i="33" s="1"/>
  <c r="J170" i="33"/>
  <c r="K170" i="33" s="1"/>
  <c r="J171" i="33"/>
  <c r="K171" i="33" s="1"/>
  <c r="J42" i="33"/>
  <c r="K42" i="33" s="1"/>
  <c r="J114" i="33"/>
  <c r="K114" i="33" s="1"/>
  <c r="J160" i="33"/>
  <c r="K160" i="33" s="1"/>
  <c r="G133" i="33"/>
  <c r="H133" i="33" s="1"/>
  <c r="G73" i="33"/>
  <c r="H73" i="33" s="1"/>
  <c r="J126" i="33"/>
  <c r="K126" i="33" s="1"/>
  <c r="J110" i="33"/>
  <c r="K110" i="33" s="1"/>
  <c r="J84" i="33"/>
  <c r="K84" i="33" s="1"/>
  <c r="G147" i="33"/>
  <c r="H147" i="33" s="1"/>
  <c r="J158" i="33"/>
  <c r="K158" i="33" s="1"/>
  <c r="G47" i="33"/>
  <c r="H47" i="33" s="1"/>
  <c r="J215" i="33"/>
  <c r="K215" i="33" s="1"/>
  <c r="J146" i="33"/>
  <c r="K146" i="33" s="1"/>
  <c r="J219" i="33"/>
  <c r="K219" i="33" s="1"/>
  <c r="J10" i="33"/>
  <c r="K10" i="33" s="1"/>
  <c r="G36" i="33"/>
  <c r="H36" i="33" s="1"/>
  <c r="J8" i="33"/>
  <c r="K8" i="33" s="1"/>
  <c r="J134" i="33"/>
  <c r="K134" i="33" s="1"/>
  <c r="J87" i="33"/>
  <c r="K87" i="33" s="1"/>
  <c r="J91" i="33"/>
  <c r="K91" i="33" s="1"/>
  <c r="G16" i="33"/>
  <c r="H16" i="33" s="1"/>
  <c r="G202" i="33"/>
  <c r="H202" i="33" s="1"/>
  <c r="J99" i="33"/>
  <c r="K99" i="33" s="1"/>
  <c r="J142" i="33"/>
  <c r="K142" i="33" s="1"/>
  <c r="J26" i="33"/>
  <c r="K26" i="33" s="1"/>
  <c r="J53" i="33"/>
  <c r="K53" i="33" s="1"/>
  <c r="G82" i="33"/>
  <c r="H82" i="33" s="1"/>
  <c r="J198" i="33"/>
  <c r="K198" i="33" s="1"/>
  <c r="J135" i="33"/>
  <c r="K135" i="33" s="1"/>
  <c r="J127" i="33"/>
  <c r="K127" i="33" s="1"/>
  <c r="J195" i="33"/>
  <c r="K195" i="33" s="1"/>
  <c r="G139" i="33"/>
  <c r="H139" i="33" s="1"/>
  <c r="J117" i="33"/>
  <c r="K117" i="33" s="1"/>
  <c r="J111" i="33"/>
  <c r="K111" i="33" s="1"/>
  <c r="G88" i="33"/>
  <c r="H88" i="33" s="1"/>
  <c r="G151" i="33"/>
  <c r="H151" i="33" s="1"/>
  <c r="J103" i="33"/>
  <c r="K103" i="33" s="1"/>
  <c r="J101" i="33"/>
  <c r="K101" i="33" s="1"/>
  <c r="G175" i="33"/>
  <c r="H175" i="33" s="1"/>
  <c r="G154" i="33"/>
  <c r="H154" i="33" s="1"/>
  <c r="J66" i="33"/>
  <c r="K66" i="33" s="1"/>
  <c r="J149" i="33"/>
  <c r="K149" i="33" s="1"/>
  <c r="G213" i="33"/>
  <c r="H213" i="33" s="1"/>
  <c r="G69" i="33"/>
  <c r="H69" i="33" s="1"/>
  <c r="J128" i="33"/>
  <c r="K128" i="33" s="1"/>
  <c r="J105" i="33"/>
  <c r="K105" i="33" s="1"/>
  <c r="G127" i="33"/>
  <c r="H127" i="33" s="1"/>
  <c r="J183" i="33"/>
  <c r="K183" i="33" s="1"/>
  <c r="G42" i="33"/>
  <c r="H42" i="33" s="1"/>
  <c r="G12" i="33"/>
  <c r="H12" i="33" s="1"/>
  <c r="J40" i="33"/>
  <c r="K40" i="33" s="1"/>
  <c r="G113" i="33"/>
  <c r="H113" i="33" s="1"/>
  <c r="G205" i="33"/>
  <c r="H205" i="33" s="1"/>
  <c r="J118" i="33"/>
  <c r="K118" i="33" s="1"/>
  <c r="J141" i="33"/>
  <c r="K141" i="33" s="1"/>
  <c r="G111" i="33"/>
  <c r="H111" i="33" s="1"/>
  <c r="G40" i="33"/>
  <c r="H40" i="33" s="1"/>
  <c r="G217" i="33"/>
  <c r="H217" i="33" s="1"/>
  <c r="J89" i="33"/>
  <c r="K89" i="33" s="1"/>
  <c r="G203" i="33"/>
  <c r="H203" i="33" s="1"/>
  <c r="J52" i="33"/>
  <c r="K52" i="33" s="1"/>
  <c r="J163" i="33"/>
  <c r="K163" i="33" s="1"/>
  <c r="J207" i="33"/>
  <c r="K207" i="33" s="1"/>
  <c r="G185" i="33"/>
  <c r="H185" i="33" s="1"/>
  <c r="J3" i="33"/>
  <c r="K3" i="33" s="1"/>
  <c r="J57" i="33"/>
  <c r="K57" i="33" s="1"/>
  <c r="G199" i="33"/>
  <c r="H199" i="33" s="1"/>
  <c r="G134" i="33"/>
  <c r="H134" i="33" s="1"/>
  <c r="J178" i="33"/>
  <c r="K178" i="33" s="1"/>
  <c r="J185" i="33"/>
  <c r="K185" i="33" s="1"/>
  <c r="G120" i="33"/>
  <c r="H120" i="33" s="1"/>
  <c r="G29" i="33"/>
  <c r="H29" i="33" s="1"/>
  <c r="J186" i="33"/>
  <c r="K186" i="33" s="1"/>
  <c r="G122" i="33"/>
  <c r="H122" i="33" s="1"/>
  <c r="G48" i="33"/>
  <c r="H48" i="33" s="1"/>
  <c r="G94" i="33"/>
  <c r="H94" i="33" s="1"/>
  <c r="J85" i="33"/>
  <c r="K85" i="33" s="1"/>
  <c r="J147" i="33"/>
  <c r="K147" i="33" s="1"/>
  <c r="G66" i="33"/>
  <c r="H66" i="33" s="1"/>
  <c r="G192" i="33"/>
  <c r="H192" i="33" s="1"/>
  <c r="J175" i="33"/>
  <c r="K175" i="33" s="1"/>
  <c r="G116" i="33"/>
  <c r="H116" i="33" s="1"/>
  <c r="J121" i="33"/>
  <c r="K121" i="33" s="1"/>
  <c r="J139" i="33"/>
  <c r="K139" i="33" s="1"/>
  <c r="J18" i="33"/>
  <c r="K18" i="33" s="1"/>
  <c r="J145" i="33"/>
  <c r="K145" i="33" s="1"/>
  <c r="G207" i="33"/>
  <c r="H207" i="33" s="1"/>
  <c r="J96" i="33"/>
  <c r="K96" i="33" s="1"/>
  <c r="J76" i="33"/>
  <c r="K76" i="33" s="1"/>
  <c r="J94" i="33"/>
  <c r="K94" i="33" s="1"/>
  <c r="F18" i="18"/>
  <c r="K18" i="18" s="1"/>
  <c r="G188" i="33"/>
  <c r="H188" i="33" s="1"/>
  <c r="G50" i="33"/>
  <c r="H50" i="33" s="1"/>
  <c r="G101" i="33"/>
  <c r="H101" i="33" s="1"/>
  <c r="J122" i="33"/>
  <c r="K122" i="33" s="1"/>
  <c r="G71" i="33"/>
  <c r="H71" i="33" s="1"/>
  <c r="G125" i="33"/>
  <c r="H125" i="33" s="1"/>
  <c r="J23" i="33"/>
  <c r="K23" i="33" s="1"/>
  <c r="G11" i="33"/>
  <c r="H11" i="33" s="1"/>
  <c r="G31" i="33"/>
  <c r="H31" i="33" s="1"/>
  <c r="G216" i="33"/>
  <c r="H216" i="33" s="1"/>
  <c r="G161" i="33"/>
  <c r="H161" i="33" s="1"/>
  <c r="J131" i="33"/>
  <c r="K131" i="33" s="1"/>
  <c r="J123" i="33"/>
  <c r="K123" i="33" s="1"/>
  <c r="G178" i="33"/>
  <c r="H178" i="33" s="1"/>
  <c r="O9" i="16"/>
  <c r="G182" i="33"/>
  <c r="H182" i="33" s="1"/>
  <c r="G198" i="33"/>
  <c r="H198" i="33" s="1"/>
  <c r="J214" i="33"/>
  <c r="K214" i="33" s="1"/>
  <c r="G34" i="33"/>
  <c r="H34" i="33" s="1"/>
  <c r="J167" i="33"/>
  <c r="K167" i="33" s="1"/>
  <c r="G18" i="33"/>
  <c r="H18" i="33" s="1"/>
  <c r="J153" i="33"/>
  <c r="K153" i="33" s="1"/>
  <c r="J152" i="33"/>
  <c r="K152" i="33" s="1"/>
  <c r="J155" i="33"/>
  <c r="K155" i="33" s="1"/>
  <c r="G90" i="33"/>
  <c r="H90" i="33" s="1"/>
  <c r="J162" i="33"/>
  <c r="K162" i="33" s="1"/>
  <c r="N9" i="16"/>
  <c r="J79" i="33"/>
  <c r="K79" i="33" s="1"/>
  <c r="J136" i="33"/>
  <c r="K136" i="33" s="1"/>
  <c r="J116" i="33"/>
  <c r="K116" i="33" s="1"/>
  <c r="J188" i="33"/>
  <c r="K188" i="33" s="1"/>
  <c r="G222" i="33"/>
  <c r="H222" i="33" s="1"/>
  <c r="J187" i="33"/>
  <c r="K187" i="33" s="1"/>
  <c r="J177" i="33"/>
  <c r="K177" i="33" s="1"/>
  <c r="J12" i="33"/>
  <c r="K12" i="33" s="1"/>
  <c r="J169" i="33"/>
  <c r="K169" i="33" s="1"/>
  <c r="G33" i="33"/>
  <c r="H33" i="33" s="1"/>
  <c r="J45" i="33"/>
  <c r="K45" i="33" s="1"/>
  <c r="G129" i="33"/>
  <c r="H129" i="33" s="1"/>
  <c r="G23" i="33"/>
  <c r="H23" i="33" s="1"/>
  <c r="G75" i="33"/>
  <c r="H75" i="33" s="1"/>
  <c r="G5" i="33"/>
  <c r="H5" i="33" s="1"/>
  <c r="J115" i="33"/>
  <c r="K115" i="33" s="1"/>
  <c r="G27" i="33"/>
  <c r="H27" i="33" s="1"/>
  <c r="G176" i="33"/>
  <c r="H176" i="33" s="1"/>
  <c r="G106" i="33"/>
  <c r="H106" i="33" s="1"/>
  <c r="F12" i="18"/>
  <c r="K12" i="18" s="1"/>
  <c r="F16" i="18"/>
  <c r="K16" i="18" s="1"/>
  <c r="F13" i="18"/>
  <c r="K13" i="18" s="1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<sst xmlns="http://schemas.openxmlformats.org/spreadsheetml/2006/main" count="1486" uniqueCount="585">
  <si>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</si>
  <si>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</si>
  <si>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</si>
  <si>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</si>
  <si>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</si>
  <si>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</si>
  <si>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</si>
  <si>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</si>
  <si>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</si>
  <si>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</si>
  <si>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</si>
  <si>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</si>
  <si>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</si>
  <si>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</si>
  <si>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</si>
  <si>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</si>
  <si>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</si>
  <si>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</si>
  <si>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</si>
  <si>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</si>
  <si>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</si>
  <si>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</si>
  <si>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</si>
  <si>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</si>
  <si>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</si>
  <si>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</si>
  <si>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</si>
  <si>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</si>
  <si>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</si>
  <si>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</si>
  <si>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</si>
  <si>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</si>
  <si>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</si>
  <si>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</si>
  <si>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</si>
  <si>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</si>
  <si>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</si>
  <si>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</si>
  <si>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</si>
  <si>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</si>
  <si>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</si>
  <si>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</si>
  <si>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</si>
  <si>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</si>
  <si>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</si>
  <si>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</si>
  <si>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</si>
  <si>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</si>
  <si>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</si>
  <si>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</si>
  <si>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</si>
  <si>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</si>
  <si>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</si>
  <si>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</si>
  <si>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</si>
  <si>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</si>
  <si>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</si>
  <si>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</si>
  <si>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</si>
  <si>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</si>
  <si>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</si>
  <si>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</si>
  <si>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</si>
  <si>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</si>
  <si>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</si>
  <si>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</si>
  <si>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</si>
  <si>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</si>
  <si>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</si>
  <si>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</si>
  <si>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</si>
  <si>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</si>
  <si>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</si>
  <si>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</si>
  <si>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</si>
  <si>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</si>
  <si>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</si>
  <si>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</si>
  <si>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</si>
  <si>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</si>
  <si>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</si>
  <si>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</si>
  <si>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</si>
  <si>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</si>
  <si>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</si>
  <si>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</si>
  <si>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</si>
  <si>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</si>
  <si>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</si>
  <si>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</si>
  <si>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</si>
  <si>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</si>
  <si>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</si>
  <si>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</si>
  <si>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</si>
  <si>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</si>
  <si>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</si>
  <si>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</si>
  <si>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</si>
  <si>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</si>
  <si>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</si>
  <si>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</si>
  <si>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</si>
  <si>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</si>
  <si>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</si>
  <si>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</si>
  <si>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</si>
  <si>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</si>
  <si>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</si>
  <si>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</si>
  <si>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</si>
  <si>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</si>
  <si>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</si>
  <si>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</si>
  <si>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</si>
  <si>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</si>
  <si>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</si>
  <si>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</si>
  <si>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</si>
  <si>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</si>
  <si>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</si>
  <si>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</si>
  <si>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</si>
  <si>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</si>
  <si>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</si>
  <si>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</si>
  <si>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</si>
  <si>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</si>
  <si>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</si>
  <si>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</si>
  <si>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</si>
  <si>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</si>
  <si>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</si>
  <si>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</si>
  <si>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</si>
  <si>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</si>
  <si>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</si>
  <si>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</si>
  <si>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</si>
  <si>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</si>
  <si>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</si>
  <si>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</si>
  <si>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</si>
  <si>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</si>
  <si>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</si>
  <si>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</si>
  <si>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</si>
  <si>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</si>
  <si>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</si>
  <si>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</si>
  <si>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</si>
  <si>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</si>
  <si>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</si>
  <si>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</si>
  <si>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</si>
  <si>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</si>
  <si>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</si>
  <si>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</si>
  <si>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</si>
  <si>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</si>
  <si>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</si>
  <si>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</si>
  <si>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</si>
  <si>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</si>
  <si>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</si>
  <si>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</si>
  <si>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</si>
  <si>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</si>
  <si>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</si>
  <si>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</si>
  <si>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</si>
  <si>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</si>
  <si>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</si>
  <si>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</si>
  <si>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</si>
  <si>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</si>
  <si>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</si>
  <si>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</si>
  <si>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</si>
  <si>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</si>
  <si>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</si>
  <si>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</si>
  <si>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</si>
  <si>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</si>
  <si>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</si>
  <si>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</si>
  <si>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</si>
  <si>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</si>
  <si>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</si>
  <si>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</si>
  <si>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</si>
  <si>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</si>
  <si>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</si>
  <si>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</si>
  <si>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</si>
  <si>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</si>
  <si>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</si>
  <si>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</si>
  <si>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</si>
  <si>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</si>
  <si>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</si>
  <si>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</si>
  <si>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</si>
  <si>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</si>
  <si>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</si>
  <si>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</si>
  <si>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</si>
  <si>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</si>
  <si>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</si>
  <si>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</si>
  <si>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</si>
  <si>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</si>
  <si>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</si>
  <si>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</si>
  <si>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</si>
  <si>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</si>
  <si>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</si>
  <si>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</si>
  <si>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</si>
  <si>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</si>
  <si>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</si>
  <si>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</si>
  <si>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</si>
  <si>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</si>
  <si>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</si>
  <si>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</si>
  <si>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</si>
  <si>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</si>
  <si>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</si>
  <si>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</si>
  <si>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</si>
  <si>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</si>
  <si>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</si>
  <si>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</si>
  <si>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</si>
  <si>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</si>
  <si>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</si>
  <si>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</si>
  <si>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</si>
  <si>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</si>
  <si>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</si>
  <si>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</si>
  <si>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</si>
  <si>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</si>
  <si>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</si>
  <si>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</si>
  <si>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</si>
  <si>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</si>
  <si>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</si>
  <si>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</si>
  <si>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</si>
  <si>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</si>
  <si>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</si>
  <si>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</si>
  <si>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</si>
  <si>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</si>
  <si>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</si>
  <si>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</si>
  <si>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</si>
  <si>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</si>
  <si>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</si>
  <si>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</si>
  <si>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</si>
  <si>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</si>
  <si>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</si>
  <si>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</si>
  <si>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</si>
  <si>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</si>
  <si>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</si>
  <si>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</si>
  <si>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</si>
  <si>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</si>
  <si>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</si>
  <si>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</si>
  <si>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</si>
  <si>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</si>
  <si>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</si>
  <si>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</si>
  <si>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</si>
  <si>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</si>
  <si>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</si>
  <si>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</si>
  <si>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</si>
  <si>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</si>
  <si>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</si>
  <si>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</si>
  <si>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</si>
  <si>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</si>
  <si>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</si>
  <si>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</si>
  <si>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</si>
  <si>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</si>
  <si>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</si>
  <si>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</si>
  <si>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</si>
  <si>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</si>
  <si>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</si>
  <si>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</si>
  <si>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</si>
  <si>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</si>
  <si>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</si>
  <si>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</si>
  <si>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</si>
  <si>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</si>
  <si>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</si>
  <si>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</si>
  <si>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</si>
  <si>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</si>
  <si>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</si>
  <si>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</si>
  <si>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</si>
  <si>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</si>
  <si>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</si>
  <si>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</si>
  <si>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</si>
  <si>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</si>
  <si>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</si>
  <si>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</si>
  <si>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</si>
  <si>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</si>
  <si>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</si>
  <si>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</si>
  <si>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</si>
  <si>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</si>
  <si>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</si>
  <si>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</si>
  <si>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</si>
  <si>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</si>
  <si>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</si>
  <si>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</si>
  <si>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</si>
  <si>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</si>
  <si>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</si>
  <si>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</si>
  <si>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</si>
  <si>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</si>
  <si>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</si>
  <si>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</si>
  <si>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</si>
  <si>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</si>
  <si>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</si>
  <si>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</si>
  <si>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</si>
  <si>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</si>
  <si>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</si>
  <si>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</si>
  <si>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</si>
  <si>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</si>
  <si>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</si>
  <si>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</si>
  <si>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</si>
  <si>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</si>
  <si>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</si>
  <si>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</si>
  <si>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</si>
  <si>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</si>
  <si>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</si>
  <si>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</si>
  <si>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</si>
  <si>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</si>
  <si>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</si>
  <si>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</si>
  <si>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</si>
  <si>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</si>
  <si>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</si>
  <si>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</si>
  <si>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</si>
  <si>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</si>
  <si>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</si>
  <si>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</si>
  <si>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</si>
  <si>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</si>
  <si>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</si>
  <si>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</si>
  <si>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</si>
  <si>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</si>
  <si>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</si>
  <si>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</si>
  <si>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</si>
  <si>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</si>
  <si>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</si>
  <si>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</si>
  <si>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</si>
  <si>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</si>
  <si>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</si>
  <si>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</si>
  <si>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</si>
  <si>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</si>
  <si>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</si>
  <si>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</si>
  <si>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</si>
  <si>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</si>
  <si>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</si>
  <si>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</si>
  <si>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</si>
  <si>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</si>
  <si>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</si>
  <si>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</si>
  <si>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</si>
  <si>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</si>
  <si>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</si>
  <si>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</si>
  <si>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</si>
  <si>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</si>
  <si>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</si>
  <si>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</si>
  <si>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</si>
  <si>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</si>
  <si>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</si>
  <si>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</si>
  <si>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</si>
  <si>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</si>
  <si>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</si>
  <si>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</si>
  <si>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</si>
  <si>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</si>
  <si>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</si>
  <si>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</si>
  <si>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</si>
  <si>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</si>
  <si>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</si>
  <si>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</si>
  <si>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</si>
  <si>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</si>
  <si>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</si>
  <si>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</si>
  <si>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</si>
  <si>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</si>
  <si>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</si>
  <si>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</si>
  <si>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</si>
  <si>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</si>
  <si>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</si>
  <si>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</si>
  <si>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</si>
  <si>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</si>
  <si>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</si>
  <si>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</si>
  <si>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</si>
  <si>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</si>
  <si>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</si>
  <si>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</si>
  <si>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</si>
  <si>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</si>
  <si>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</si>
  <si>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</si>
  <si>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</si>
  <si>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</si>
  <si>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</si>
  <si>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</si>
  <si>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</si>
  <si>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</si>
  <si>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</si>
  <si>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</si>
  <si>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</si>
  <si>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</si>
  <si>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</si>
  <si>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</si>
  <si>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</si>
  <si>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</si>
  <si>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</si>
  <si>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</si>
  <si>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</si>
  <si>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</si>
  <si>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</si>
  <si>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</si>
  <si>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</si>
  <si>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</si>
  <si>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</si>
  <si>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</si>
  <si>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</si>
  <si>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</si>
  <si>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</si>
  <si>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</si>
  <si>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</si>
  <si>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</si>
  <si>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</si>
  <si>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</si>
  <si>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</si>
  <si>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</si>
  <si>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</si>
  <si>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</si>
  <si>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</si>
  <si>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</si>
  <si>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</si>
  <si>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</si>
  <si>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</si>
  <si>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</si>
  <si>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</si>
  <si>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</si>
  <si>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</si>
  <si>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</si>
  <si>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</si>
  <si>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</si>
  <si>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</si>
  <si>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</si>
  <si>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</si>
  <si>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</si>
  <si>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</si>
  <si>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</si>
  <si>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</si>
  <si>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</si>
  <si>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</si>
  <si>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</si>
  <si>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</si>
  <si>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</si>
  <si>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</si>
  <si>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</si>
  <si>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</si>
  <si>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</si>
  <si>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</si>
  <si>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</si>
  <si>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</si>
  <si>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</si>
  <si>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</si>
  <si>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</si>
  <si>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</si>
  <si>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</si>
  <si>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</si>
  <si>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</si>
  <si>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</si>
  <si>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</si>
  <si>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</si>
  <si>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</si>
  <si>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</si>
  <si>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</si>
  <si>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</si>
  <si>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光奇美拉 - 2x 含復活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</si>
  <si>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</si>
  <si>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</si>
  <si>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</si>
  <si>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</si>
  <si>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</si>
  <si>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</si>
  <si>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</si>
  <si>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CRT</t>
  </si>
  <si>
    <t>CRT DMG</t>
  </si>
  <si>
    <t>ATK</t>
  </si>
  <si>
    <t>%</t>
  </si>
  <si>
    <t>Base</t>
  </si>
  <si>
    <t>EX</t>
  </si>
  <si>
    <t>WP</t>
  </si>
  <si>
    <t>Total</t>
  </si>
  <si>
    <t>ORG</t>
  </si>
  <si>
    <t>DG</t>
  </si>
  <si>
    <t>歌聲+SL</t>
  </si>
  <si>
    <t>SDMG 30%</t>
  </si>
  <si>
    <t>短符+雷Gay</t>
  </si>
  <si>
    <t>SDMG 40%</t>
  </si>
  <si>
    <t>歌聲+海濱</t>
  </si>
  <si>
    <t>信長+SL</t>
  </si>
  <si>
    <t>https://dragalialost.gamepedia.com/Resounding_Rendition</t>
  </si>
  <si>
    <t>https://dragalialost.gamepedia.com/The_Wyrmclan_Duo</t>
  </si>
  <si>
    <t>https://dragalialost.gamepedia.com/Primal_Crisis</t>
  </si>
  <si>
    <t>https://dragalialost.gamepedia.com/Twinfold_Bonds</t>
  </si>
  <si>
    <t>https://dragalialost.gamepedia.com/Seaside_Princess#Initial_Vestige</t>
  </si>
  <si>
    <t>https://dragalialost.gamepedia.com/Levin%27s_Champion</t>
  </si>
  <si>
    <t>CEX 短、刀、爆傷 | 龍 瑪斯</t>
  </si>
  <si>
    <t>歌聲+主廚</t>
  </si>
  <si>
    <t>新Raid</t>
  </si>
  <si>
    <t>養教官、領教官、兩倍包</t>
  </si>
  <si>
    <t>額外
滿突</t>
  </si>
  <si>
    <t>C5</t>
  </si>
  <si>
    <t>SP</t>
  </si>
  <si>
    <t>S1</t>
  </si>
  <si>
    <t>C4</t>
  </si>
  <si>
    <t>S2</t>
  </si>
  <si>
    <t>C2</t>
  </si>
  <si>
    <t>C1</t>
  </si>
  <si>
    <t>C3</t>
  </si>
  <si>
    <t>C1 - B</t>
  </si>
  <si>
    <t>C2 - B</t>
  </si>
  <si>
    <t>C3 - B</t>
  </si>
  <si>
    <t>C4 - B</t>
  </si>
  <si>
    <t>C5 - B</t>
  </si>
  <si>
    <t>sec</t>
  </si>
  <si>
    <t>SP+50% / NA-35%</t>
  </si>
  <si>
    <t>P2 / ATK +13%</t>
  </si>
  <si>
    <t xml:space="preserve">P3 / Paralyzed </t>
  </si>
  <si>
    <t>P1</t>
  </si>
  <si>
    <t>P2 / ATK +10%</t>
  </si>
  <si>
    <t>% / sec</t>
  </si>
  <si>
    <t>新迎擊戰</t>
  </si>
  <si>
    <t>浴衣卡珊、浴衣庫豹</t>
  </si>
  <si>
    <t>浴衣庫豹、浴衣卡珊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</si>
</sst>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301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5" borderId="14" xfId="0" applyNumberForma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8" fillId="0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1" fillId="0" borderId="13" xfId="0" applyNumberFormat="1" applyFont="1" applyFill="1" applyBorder="1" applyAlignment="1">
      <alignment horizontal="center" vertical="center"/>
    </xf>
    <xf numFmtId="0" fontId="51" fillId="0" borderId="14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12" borderId="0" xfId="0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5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4" borderId="13" xfId="0" applyNumberFormat="1" applyFont="1" applyFill="1" applyBorder="1" applyAlignment="1">
      <alignment horizontal="center" vertical="center"/>
    </xf>
    <xf numFmtId="0" fontId="51" fillId="4" borderId="10" xfId="0" applyNumberFormat="1" applyFont="1" applyFill="1" applyBorder="1" applyAlignment="1">
      <alignment horizontal="center" vertical="center"/>
    </xf>
    <xf numFmtId="0" fontId="51" fillId="5" borderId="13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9" borderId="13" xfId="0" applyNumberFormat="1" applyFont="1" applyFill="1" applyBorder="1" applyAlignment="1">
      <alignment horizontal="center" vertical="center"/>
    </xf>
    <xf numFmtId="0" fontId="53" fillId="8" borderId="7" xfId="0" applyNumberFormat="1" applyFont="1" applyFill="1" applyBorder="1" applyAlignment="1">
      <alignment horizontal="center" vertical="center"/>
    </xf>
    <xf numFmtId="0" fontId="53" fillId="8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chartsheet" Target="chartsheets/sheet3.xml"/><Relationship Id="rId39" Type="http://schemas.openxmlformats.org/officeDocument/2006/relationships/calcChain" Target="calcChain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29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2.xml"/><Relationship Id="rId32" Type="http://schemas.openxmlformats.org/officeDocument/2006/relationships/worksheet" Target="worksheets/sheet28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4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chartsheet" Target="chartsheets/sheet4.xml"/><Relationship Id="rId30" Type="http://schemas.openxmlformats.org/officeDocument/2006/relationships/worksheet" Target="worksheets/sheet26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  <c:pt idx="117">
                  <c:v>14855</c:v>
                </c:pt>
                <c:pt idx="118">
                  <c:v>14855</c:v>
                </c:pt>
                <c:pt idx="119">
                  <c:v>15665</c:v>
                </c:pt>
                <c:pt idx="120">
                  <c:v>15765</c:v>
                </c:pt>
                <c:pt idx="121">
                  <c:v>16290</c:v>
                </c:pt>
                <c:pt idx="122">
                  <c:v>16090</c:v>
                </c:pt>
                <c:pt idx="123">
                  <c:v>16265</c:v>
                </c:pt>
                <c:pt idx="124">
                  <c:v>15765</c:v>
                </c:pt>
                <c:pt idx="125">
                  <c:v>15865</c:v>
                </c:pt>
                <c:pt idx="126">
                  <c:v>16040</c:v>
                </c:pt>
                <c:pt idx="127">
                  <c:v>15730</c:v>
                </c:pt>
                <c:pt idx="128">
                  <c:v>15730</c:v>
                </c:pt>
                <c:pt idx="1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dragalialost.gamepedia.com/The_Wyrmclan_Duo" TargetMode="External"/><Relationship Id="rId2" Type="http://schemas.openxmlformats.org/officeDocument/2006/relationships/hyperlink" Target="https://dragalialost.gamepedia.com/Primal_Crisis" TargetMode="External"/><Relationship Id="rId1" Type="http://schemas.openxmlformats.org/officeDocument/2006/relationships/hyperlink" Target="https://dragalialost.gamepedia.com/Resounding_Rendition" TargetMode="External"/><Relationship Id="rId6" Type="http://schemas.openxmlformats.org/officeDocument/2006/relationships/hyperlink" Target="https://dragalialost.gamepedia.com/Levin%27s_Champion" TargetMode="External"/><Relationship Id="rId5" Type="http://schemas.openxmlformats.org/officeDocument/2006/relationships/hyperlink" Target="https://dragalialost.gamepedia.com/Seaside_Princess" TargetMode="External"/><Relationship Id="rId4" Type="http://schemas.openxmlformats.org/officeDocument/2006/relationships/hyperlink" Target="https://dragalialost.gamepedia.com/Twinfold_Bonds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78" t="s">
        <v>170</v>
      </c>
      <c r="B10" s="416" t="s">
        <v>171</v>
      </c>
    </row>
    <row r="11" spans="1:3" s="403" customFormat="1" ht="35.25" customHeight="1" x14ac:dyDescent="0.25">
      <c r="A11" s="879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80" t="s">
        <v>167</v>
      </c>
      <c r="B17" s="875" t="s">
        <v>167</v>
      </c>
      <c r="C17" s="419" t="s">
        <v>175</v>
      </c>
    </row>
    <row r="18" spans="1:3" s="402" customFormat="1" ht="22.5" customHeight="1" x14ac:dyDescent="0.25">
      <c r="A18" s="881"/>
      <c r="B18" s="876"/>
      <c r="C18" s="419" t="s">
        <v>205</v>
      </c>
    </row>
    <row r="19" spans="1:3" s="402" customFormat="1" ht="22.5" customHeight="1" x14ac:dyDescent="0.25">
      <c r="A19" s="881"/>
      <c r="B19" s="876"/>
      <c r="C19" s="424" t="s">
        <v>202</v>
      </c>
    </row>
    <row r="20" spans="1:3" s="402" customFormat="1" ht="22.5" customHeight="1" x14ac:dyDescent="0.25">
      <c r="A20" s="881"/>
      <c r="B20" s="876"/>
      <c r="C20" s="424" t="s">
        <v>201</v>
      </c>
    </row>
    <row r="21" spans="1:3" s="415" customFormat="1" ht="22.5" customHeight="1" thickBot="1" x14ac:dyDescent="0.3">
      <c r="A21" s="882"/>
      <c r="B21" s="877"/>
      <c r="C21" s="420" t="s">
        <v>206</v>
      </c>
    </row>
    <row r="22" spans="1:3" s="412" customFormat="1" ht="22.5" customHeight="1" x14ac:dyDescent="0.25">
      <c r="A22" s="880" t="s">
        <v>180</v>
      </c>
      <c r="B22" s="875" t="s">
        <v>181</v>
      </c>
      <c r="C22" s="418" t="s">
        <v>182</v>
      </c>
    </row>
    <row r="23" spans="1:3" s="402" customFormat="1" ht="22.5" customHeight="1" x14ac:dyDescent="0.25">
      <c r="A23" s="881"/>
      <c r="B23" s="876"/>
      <c r="C23" s="419" t="s">
        <v>183</v>
      </c>
    </row>
    <row r="24" spans="1:3" s="402" customFormat="1" ht="22.5" customHeight="1" x14ac:dyDescent="0.25">
      <c r="A24" s="881"/>
      <c r="B24" s="876"/>
      <c r="C24" s="402" t="s">
        <v>186</v>
      </c>
    </row>
    <row r="25" spans="1:3" s="402" customFormat="1" ht="22.5" customHeight="1" x14ac:dyDescent="0.25">
      <c r="A25" s="881"/>
      <c r="B25" s="876"/>
      <c r="C25" s="419" t="s">
        <v>184</v>
      </c>
    </row>
    <row r="26" spans="1:3" s="415" customFormat="1" ht="22.5" customHeight="1" thickBot="1" x14ac:dyDescent="0.3">
      <c r="A26" s="882"/>
      <c r="B26" s="877"/>
      <c r="C26" s="415" t="s">
        <v>185</v>
      </c>
    </row>
    <row r="27" spans="1:3" s="412" customFormat="1" ht="22.5" customHeight="1" x14ac:dyDescent="0.25">
      <c r="A27" s="880" t="s">
        <v>188</v>
      </c>
      <c r="B27" s="875" t="s">
        <v>188</v>
      </c>
      <c r="C27" s="418" t="s">
        <v>189</v>
      </c>
    </row>
    <row r="28" spans="1:3" s="402" customFormat="1" ht="22.5" customHeight="1" x14ac:dyDescent="0.25">
      <c r="A28" s="881"/>
      <c r="B28" s="876"/>
      <c r="C28" s="424" t="s">
        <v>241</v>
      </c>
    </row>
    <row r="29" spans="1:3" s="402" customFormat="1" ht="22.5" customHeight="1" x14ac:dyDescent="0.25">
      <c r="A29" s="881"/>
      <c r="B29" s="876"/>
      <c r="C29" s="424" t="s">
        <v>243</v>
      </c>
    </row>
    <row r="30" spans="1:3" s="402" customFormat="1" ht="22.5" customHeight="1" x14ac:dyDescent="0.25">
      <c r="A30" s="881"/>
      <c r="B30" s="876"/>
      <c r="C30" s="402" t="s">
        <v>242</v>
      </c>
    </row>
    <row r="31" spans="1:3" s="414" customFormat="1" ht="22.5" customHeight="1" thickBot="1" x14ac:dyDescent="0.3">
      <c r="A31" s="882"/>
      <c r="B31" s="413" t="s">
        <v>190</v>
      </c>
      <c r="C31" s="414" t="s">
        <v>314</v>
      </c>
    </row>
    <row r="32" spans="1:3" s="412" customFormat="1" ht="22.5" customHeight="1" x14ac:dyDescent="0.25">
      <c r="A32" s="872" t="s">
        <v>194</v>
      </c>
      <c r="B32" s="869" t="s">
        <v>194</v>
      </c>
      <c r="C32" s="418" t="s">
        <v>195</v>
      </c>
    </row>
    <row r="33" spans="1:3" s="402" customFormat="1" ht="22.5" customHeight="1" x14ac:dyDescent="0.25">
      <c r="A33" s="873"/>
      <c r="B33" s="870"/>
      <c r="C33" s="419" t="s">
        <v>196</v>
      </c>
    </row>
    <row r="34" spans="1:3" s="402" customFormat="1" ht="22.5" customHeight="1" x14ac:dyDescent="0.25">
      <c r="A34" s="873"/>
      <c r="B34" s="870"/>
      <c r="C34" s="419" t="s">
        <v>197</v>
      </c>
    </row>
    <row r="35" spans="1:3" s="415" customFormat="1" ht="22.5" customHeight="1" thickBot="1" x14ac:dyDescent="0.3">
      <c r="A35" s="874"/>
      <c r="B35" s="871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912" t="s">
        <v>414</v>
      </c>
      <c r="B1" s="912"/>
      <c r="C1" s="912"/>
      <c r="D1" s="912"/>
      <c r="E1" s="912"/>
      <c r="F1" s="912"/>
      <c r="G1" s="912"/>
      <c r="H1" s="912"/>
      <c r="I1" s="912"/>
      <c r="J1" s="912"/>
      <c r="K1" s="912"/>
      <c r="L1" s="912"/>
      <c r="M1" s="912"/>
    </row>
    <row r="2" spans="1:21" s="11" customFormat="1" ht="18.75" customHeight="1" x14ac:dyDescent="0.25">
      <c r="A2" s="913" t="s">
        <v>315</v>
      </c>
      <c r="B2" s="913"/>
      <c r="C2" s="913"/>
      <c r="D2" s="913"/>
      <c r="E2" s="913"/>
      <c r="F2" s="913"/>
      <c r="G2" s="913"/>
      <c r="H2" s="913"/>
      <c r="I2" s="913"/>
      <c r="J2" s="913"/>
      <c r="K2" s="913"/>
      <c r="L2" s="913"/>
      <c r="M2" s="913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885" t="s">
        <v>248</v>
      </c>
      <c r="B3" s="888" t="s">
        <v>309</v>
      </c>
      <c r="C3" s="889"/>
      <c r="D3" s="888" t="s">
        <v>295</v>
      </c>
      <c r="E3" s="889"/>
      <c r="F3" s="888" t="s">
        <v>299</v>
      </c>
      <c r="G3" s="889"/>
      <c r="H3" s="888" t="s">
        <v>299</v>
      </c>
      <c r="I3" s="889"/>
      <c r="J3" s="888" t="s">
        <v>336</v>
      </c>
      <c r="K3" s="889"/>
      <c r="L3" s="888"/>
      <c r="M3" s="889"/>
      <c r="N3" s="888"/>
      <c r="O3" s="889"/>
      <c r="P3" s="888"/>
      <c r="Q3" s="889"/>
      <c r="R3" s="888"/>
      <c r="S3" s="889"/>
      <c r="T3" s="888"/>
      <c r="U3" s="889"/>
    </row>
    <row r="4" spans="1:21" s="589" customFormat="1" ht="21" customHeight="1" x14ac:dyDescent="0.25">
      <c r="A4" s="886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887"/>
      <c r="B5" s="883" t="s">
        <v>310</v>
      </c>
      <c r="C5" s="884"/>
      <c r="D5" s="883" t="s">
        <v>298</v>
      </c>
      <c r="E5" s="884"/>
      <c r="F5" s="883" t="s">
        <v>303</v>
      </c>
      <c r="G5" s="890"/>
      <c r="H5" s="890"/>
      <c r="I5" s="884"/>
      <c r="J5" s="883" t="s">
        <v>339</v>
      </c>
      <c r="K5" s="884"/>
      <c r="L5" s="883"/>
      <c r="M5" s="884"/>
      <c r="N5" s="883"/>
      <c r="O5" s="884"/>
      <c r="P5" s="883"/>
      <c r="Q5" s="884"/>
      <c r="R5" s="883"/>
      <c r="S5" s="884"/>
      <c r="T5" s="883"/>
      <c r="U5" s="884"/>
    </row>
    <row r="6" spans="1:21" s="586" customFormat="1" ht="21" customHeight="1" x14ac:dyDescent="0.25">
      <c r="A6" s="909" t="s">
        <v>250</v>
      </c>
      <c r="B6" s="893" t="s">
        <v>244</v>
      </c>
      <c r="C6" s="894"/>
      <c r="D6" s="893" t="s">
        <v>269</v>
      </c>
      <c r="E6" s="894"/>
      <c r="F6" s="893" t="s">
        <v>277</v>
      </c>
      <c r="G6" s="894"/>
      <c r="H6" s="893" t="s">
        <v>384</v>
      </c>
      <c r="I6" s="894"/>
      <c r="J6" s="893"/>
      <c r="K6" s="894"/>
      <c r="L6" s="893"/>
      <c r="M6" s="894"/>
      <c r="N6" s="893"/>
      <c r="O6" s="894"/>
      <c r="P6" s="893"/>
      <c r="Q6" s="894"/>
      <c r="R6" s="893"/>
      <c r="S6" s="894"/>
      <c r="T6" s="893"/>
      <c r="U6" s="894"/>
    </row>
    <row r="7" spans="1:21" s="590" customFormat="1" ht="21" customHeight="1" x14ac:dyDescent="0.25">
      <c r="A7" s="910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910"/>
      <c r="B8" s="891" t="s">
        <v>382</v>
      </c>
      <c r="C8" s="892"/>
      <c r="D8" s="891"/>
      <c r="E8" s="892"/>
      <c r="F8" s="891" t="s">
        <v>301</v>
      </c>
      <c r="G8" s="892"/>
      <c r="H8" s="891"/>
      <c r="I8" s="892"/>
      <c r="J8" s="891"/>
      <c r="K8" s="892"/>
      <c r="L8" s="891"/>
      <c r="M8" s="892"/>
      <c r="N8" s="891"/>
      <c r="O8" s="892"/>
      <c r="P8" s="891"/>
      <c r="Q8" s="892"/>
      <c r="R8" s="891"/>
      <c r="S8" s="892"/>
      <c r="T8" s="891"/>
      <c r="U8" s="892"/>
    </row>
    <row r="9" spans="1:21" s="695" customFormat="1" ht="21" customHeight="1" x14ac:dyDescent="0.25">
      <c r="A9" s="910"/>
      <c r="B9" s="893" t="s">
        <v>408</v>
      </c>
      <c r="C9" s="894"/>
      <c r="D9" s="893" t="s">
        <v>269</v>
      </c>
      <c r="E9" s="894"/>
      <c r="F9" s="893" t="s">
        <v>412</v>
      </c>
      <c r="G9" s="894"/>
      <c r="H9" s="893"/>
      <c r="I9" s="894"/>
      <c r="J9" s="893"/>
      <c r="K9" s="894"/>
      <c r="L9" s="893"/>
      <c r="M9" s="894"/>
      <c r="N9" s="893"/>
      <c r="O9" s="894"/>
      <c r="P9" s="893"/>
      <c r="Q9" s="894"/>
      <c r="R9" s="893"/>
      <c r="S9" s="894"/>
      <c r="T9" s="893"/>
      <c r="U9" s="894"/>
    </row>
    <row r="10" spans="1:21" s="590" customFormat="1" ht="21" customHeight="1" x14ac:dyDescent="0.25">
      <c r="A10" s="910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911"/>
      <c r="B11" s="891" t="s">
        <v>411</v>
      </c>
      <c r="C11" s="892"/>
      <c r="D11" s="891" t="s">
        <v>410</v>
      </c>
      <c r="E11" s="892"/>
      <c r="F11" s="891" t="s">
        <v>410</v>
      </c>
      <c r="G11" s="892"/>
      <c r="H11" s="891"/>
      <c r="I11" s="892"/>
      <c r="J11" s="891"/>
      <c r="K11" s="892"/>
      <c r="L11" s="891"/>
      <c r="M11" s="892"/>
      <c r="N11" s="891"/>
      <c r="O11" s="892"/>
      <c r="P11" s="891"/>
      <c r="Q11" s="892"/>
      <c r="R11" s="891"/>
      <c r="S11" s="892"/>
      <c r="T11" s="891"/>
      <c r="U11" s="892"/>
    </row>
    <row r="12" spans="1:21" s="149" customFormat="1" ht="21" customHeight="1" x14ac:dyDescent="0.25">
      <c r="A12" s="897" t="s">
        <v>251</v>
      </c>
      <c r="B12" s="900" t="s">
        <v>276</v>
      </c>
      <c r="C12" s="901"/>
      <c r="D12" s="900" t="s">
        <v>283</v>
      </c>
      <c r="E12" s="901"/>
      <c r="F12" s="900"/>
      <c r="G12" s="901"/>
      <c r="H12" s="900"/>
      <c r="I12" s="901"/>
      <c r="J12" s="900"/>
      <c r="K12" s="901"/>
      <c r="L12" s="900"/>
      <c r="M12" s="901"/>
      <c r="N12" s="900"/>
      <c r="O12" s="901"/>
      <c r="P12" s="900"/>
      <c r="Q12" s="901"/>
      <c r="R12" s="900"/>
      <c r="S12" s="901"/>
      <c r="T12" s="900"/>
      <c r="U12" s="901"/>
    </row>
    <row r="13" spans="1:21" s="589" customFormat="1" ht="21" customHeight="1" x14ac:dyDescent="0.25">
      <c r="A13" s="898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899"/>
      <c r="B14" s="895" t="s">
        <v>280</v>
      </c>
      <c r="C14" s="896"/>
      <c r="D14" s="895" t="s">
        <v>288</v>
      </c>
      <c r="E14" s="896"/>
      <c r="F14" s="895"/>
      <c r="G14" s="896"/>
      <c r="H14" s="895"/>
      <c r="I14" s="896"/>
      <c r="J14" s="895"/>
      <c r="K14" s="896"/>
      <c r="L14" s="895"/>
      <c r="M14" s="896"/>
      <c r="N14" s="895"/>
      <c r="O14" s="896"/>
      <c r="P14" s="895"/>
      <c r="Q14" s="896"/>
      <c r="R14" s="895"/>
      <c r="S14" s="896"/>
      <c r="T14" s="895"/>
      <c r="U14" s="896"/>
    </row>
    <row r="15" spans="1:21" s="157" customFormat="1" ht="21" customHeight="1" x14ac:dyDescent="0.25">
      <c r="A15" s="904" t="s">
        <v>253</v>
      </c>
      <c r="B15" s="907" t="s">
        <v>258</v>
      </c>
      <c r="C15" s="908"/>
      <c r="D15" s="907" t="s">
        <v>258</v>
      </c>
      <c r="E15" s="908"/>
      <c r="F15" s="907"/>
      <c r="G15" s="908"/>
      <c r="H15" s="907"/>
      <c r="I15" s="908"/>
      <c r="J15" s="907"/>
      <c r="K15" s="908"/>
      <c r="L15" s="907"/>
      <c r="M15" s="908"/>
      <c r="N15" s="907"/>
      <c r="O15" s="908"/>
      <c r="P15" s="907"/>
      <c r="Q15" s="908"/>
      <c r="R15" s="907"/>
      <c r="S15" s="908"/>
      <c r="T15" s="907"/>
      <c r="U15" s="908"/>
    </row>
    <row r="16" spans="1:21" s="589" customFormat="1" ht="21" customHeight="1" x14ac:dyDescent="0.25">
      <c r="A16" s="905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906"/>
      <c r="B17" s="902" t="s">
        <v>312</v>
      </c>
      <c r="C17" s="903"/>
      <c r="D17" s="902" t="s">
        <v>271</v>
      </c>
      <c r="E17" s="903"/>
      <c r="F17" s="902"/>
      <c r="G17" s="903"/>
      <c r="H17" s="902"/>
      <c r="I17" s="903"/>
      <c r="J17" s="902"/>
      <c r="K17" s="903"/>
      <c r="L17" s="902"/>
      <c r="M17" s="903"/>
      <c r="N17" s="902"/>
      <c r="O17" s="903"/>
      <c r="P17" s="902"/>
      <c r="Q17" s="903"/>
      <c r="R17" s="902"/>
      <c r="S17" s="903"/>
      <c r="T17" s="902"/>
      <c r="U17" s="903"/>
    </row>
    <row r="18" spans="1:21" s="164" customFormat="1" ht="21" customHeight="1" x14ac:dyDescent="0.25">
      <c r="A18" s="918" t="s">
        <v>255</v>
      </c>
      <c r="B18" s="916" t="s">
        <v>261</v>
      </c>
      <c r="C18" s="917"/>
      <c r="D18" s="916" t="s">
        <v>332</v>
      </c>
      <c r="E18" s="917"/>
      <c r="F18" s="916" t="s">
        <v>263</v>
      </c>
      <c r="G18" s="917"/>
      <c r="H18" s="916" t="s">
        <v>313</v>
      </c>
      <c r="I18" s="917"/>
      <c r="J18" s="916"/>
      <c r="K18" s="917"/>
      <c r="L18" s="916"/>
      <c r="M18" s="917"/>
      <c r="N18" s="916"/>
      <c r="O18" s="917"/>
      <c r="P18" s="916"/>
      <c r="Q18" s="917"/>
      <c r="R18" s="916"/>
      <c r="S18" s="917"/>
      <c r="T18" s="916"/>
      <c r="U18" s="917"/>
    </row>
    <row r="19" spans="1:21" s="589" customFormat="1" ht="21" customHeight="1" x14ac:dyDescent="0.25">
      <c r="A19" s="919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920"/>
      <c r="B20" s="914"/>
      <c r="C20" s="915"/>
      <c r="D20" s="914"/>
      <c r="E20" s="915"/>
      <c r="F20" s="914" t="s">
        <v>264</v>
      </c>
      <c r="G20" s="915"/>
      <c r="H20" s="914"/>
      <c r="I20" s="915"/>
      <c r="J20" s="914"/>
      <c r="K20" s="915"/>
      <c r="L20" s="914"/>
      <c r="M20" s="915"/>
      <c r="N20" s="914"/>
      <c r="O20" s="915"/>
      <c r="P20" s="914"/>
      <c r="Q20" s="915"/>
      <c r="R20" s="914"/>
      <c r="S20" s="915"/>
      <c r="T20" s="914"/>
      <c r="U20" s="915"/>
    </row>
  </sheetData>
  <mergeCells count="126"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34" t="s">
        <v>422</v>
      </c>
      <c r="B1" s="934"/>
      <c r="C1" s="934"/>
      <c r="D1" s="934"/>
      <c r="E1" s="934"/>
      <c r="F1" s="934"/>
      <c r="G1" s="934"/>
      <c r="H1" s="934"/>
      <c r="I1" s="934"/>
      <c r="J1" s="934"/>
      <c r="K1" s="934"/>
      <c r="L1" s="934"/>
      <c r="M1" s="934"/>
    </row>
    <row r="2" spans="1:21" s="137" customFormat="1" ht="21" customHeight="1" x14ac:dyDescent="0.25">
      <c r="A2" s="935" t="s">
        <v>249</v>
      </c>
      <c r="B2" s="888" t="s">
        <v>309</v>
      </c>
      <c r="C2" s="889"/>
      <c r="D2" s="888" t="s">
        <v>295</v>
      </c>
      <c r="E2" s="889"/>
      <c r="F2" s="888" t="s">
        <v>299</v>
      </c>
      <c r="G2" s="889"/>
      <c r="H2" s="888" t="s">
        <v>299</v>
      </c>
      <c r="I2" s="889"/>
      <c r="J2" s="888" t="s">
        <v>385</v>
      </c>
      <c r="K2" s="889"/>
      <c r="L2" s="888"/>
      <c r="M2" s="889"/>
      <c r="N2" s="888"/>
      <c r="O2" s="889"/>
      <c r="P2" s="888"/>
      <c r="Q2" s="889"/>
      <c r="R2" s="888"/>
      <c r="S2" s="889"/>
      <c r="T2" s="888"/>
      <c r="U2" s="889"/>
    </row>
    <row r="3" spans="1:21" s="589" customFormat="1" ht="21" customHeight="1" x14ac:dyDescent="0.25">
      <c r="A3" s="936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36"/>
      <c r="B4" s="883" t="s">
        <v>310</v>
      </c>
      <c r="C4" s="884"/>
      <c r="D4" s="883" t="s">
        <v>298</v>
      </c>
      <c r="E4" s="884"/>
      <c r="F4" s="883" t="s">
        <v>303</v>
      </c>
      <c r="G4" s="890"/>
      <c r="H4" s="890"/>
      <c r="I4" s="884"/>
      <c r="J4" s="883" t="s">
        <v>393</v>
      </c>
      <c r="K4" s="884"/>
      <c r="L4" s="883"/>
      <c r="M4" s="884"/>
      <c r="N4" s="883"/>
      <c r="O4" s="884"/>
      <c r="P4" s="883"/>
      <c r="Q4" s="884"/>
      <c r="R4" s="883"/>
      <c r="S4" s="884"/>
      <c r="T4" s="883"/>
      <c r="U4" s="884"/>
    </row>
    <row r="5" spans="1:21" s="695" customFormat="1" ht="21" customHeight="1" x14ac:dyDescent="0.25">
      <c r="A5" s="910"/>
      <c r="B5" s="893" t="s">
        <v>408</v>
      </c>
      <c r="C5" s="894"/>
      <c r="D5" s="893" t="s">
        <v>407</v>
      </c>
      <c r="E5" s="894"/>
      <c r="F5" s="893" t="s">
        <v>269</v>
      </c>
      <c r="G5" s="894"/>
      <c r="H5" s="893"/>
      <c r="I5" s="894"/>
      <c r="J5" s="893"/>
      <c r="K5" s="894"/>
      <c r="L5" s="893"/>
      <c r="M5" s="894"/>
      <c r="N5" s="893"/>
      <c r="O5" s="894"/>
      <c r="P5" s="893"/>
      <c r="Q5" s="894"/>
      <c r="R5" s="893"/>
      <c r="S5" s="894"/>
      <c r="T5" s="893"/>
      <c r="U5" s="894"/>
    </row>
    <row r="6" spans="1:21" s="590" customFormat="1" ht="21" customHeight="1" x14ac:dyDescent="0.25">
      <c r="A6" s="910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911"/>
      <c r="B7" s="891" t="s">
        <v>410</v>
      </c>
      <c r="C7" s="892"/>
      <c r="D7" s="891" t="s">
        <v>410</v>
      </c>
      <c r="E7" s="892"/>
      <c r="F7" s="891" t="s">
        <v>410</v>
      </c>
      <c r="G7" s="892"/>
      <c r="H7" s="891"/>
      <c r="I7" s="892"/>
      <c r="J7" s="891"/>
      <c r="K7" s="892"/>
      <c r="L7" s="891"/>
      <c r="M7" s="892"/>
      <c r="N7" s="891"/>
      <c r="O7" s="892"/>
      <c r="P7" s="891"/>
      <c r="Q7" s="892"/>
      <c r="R7" s="891"/>
      <c r="S7" s="892"/>
      <c r="T7" s="891"/>
      <c r="U7" s="892"/>
    </row>
    <row r="8" spans="1:21" s="149" customFormat="1" ht="21" customHeight="1" x14ac:dyDescent="0.25">
      <c r="A8" s="930" t="s">
        <v>252</v>
      </c>
      <c r="B8" s="928" t="s">
        <v>266</v>
      </c>
      <c r="C8" s="901"/>
      <c r="D8" s="900" t="s">
        <v>276</v>
      </c>
      <c r="E8" s="901"/>
      <c r="F8" s="900" t="s">
        <v>273</v>
      </c>
      <c r="G8" s="901"/>
      <c r="H8" s="900" t="s">
        <v>283</v>
      </c>
      <c r="I8" s="901"/>
      <c r="J8" s="900" t="s">
        <v>283</v>
      </c>
      <c r="K8" s="901"/>
      <c r="L8" s="900" t="s">
        <v>318</v>
      </c>
      <c r="M8" s="901"/>
      <c r="N8" s="900"/>
      <c r="O8" s="901"/>
      <c r="P8" s="900"/>
      <c r="Q8" s="901"/>
      <c r="R8" s="900"/>
      <c r="S8" s="901"/>
      <c r="T8" s="900"/>
      <c r="U8" s="901"/>
    </row>
    <row r="9" spans="1:21" s="589" customFormat="1" ht="21" customHeight="1" x14ac:dyDescent="0.25">
      <c r="A9" s="931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31"/>
      <c r="B10" s="929" t="s">
        <v>268</v>
      </c>
      <c r="C10" s="896"/>
      <c r="D10" s="895" t="s">
        <v>280</v>
      </c>
      <c r="E10" s="896"/>
      <c r="F10" s="895" t="s">
        <v>275</v>
      </c>
      <c r="G10" s="896"/>
      <c r="H10" s="895"/>
      <c r="I10" s="896"/>
      <c r="J10" s="895" t="s">
        <v>305</v>
      </c>
      <c r="K10" s="896"/>
      <c r="L10" s="895"/>
      <c r="M10" s="896"/>
      <c r="N10" s="895"/>
      <c r="O10" s="896"/>
      <c r="P10" s="895"/>
      <c r="Q10" s="896"/>
      <c r="R10" s="895"/>
      <c r="S10" s="896"/>
      <c r="T10" s="895"/>
      <c r="U10" s="896"/>
    </row>
    <row r="11" spans="1:21" s="149" customFormat="1" ht="21" customHeight="1" x14ac:dyDescent="0.25">
      <c r="A11" s="931"/>
      <c r="B11" s="928" t="s">
        <v>285</v>
      </c>
      <c r="C11" s="901"/>
      <c r="D11" s="900" t="s">
        <v>289</v>
      </c>
      <c r="E11" s="901"/>
      <c r="F11" s="900" t="s">
        <v>292</v>
      </c>
      <c r="G11" s="901"/>
      <c r="H11" s="900" t="s">
        <v>306</v>
      </c>
      <c r="I11" s="901"/>
      <c r="J11" s="900" t="s">
        <v>306</v>
      </c>
      <c r="K11" s="901"/>
      <c r="L11" s="900" t="s">
        <v>263</v>
      </c>
      <c r="M11" s="901"/>
      <c r="N11" s="900"/>
      <c r="O11" s="901"/>
      <c r="P11" s="900"/>
      <c r="Q11" s="901"/>
      <c r="R11" s="900"/>
      <c r="S11" s="901"/>
      <c r="T11" s="900"/>
      <c r="U11" s="901"/>
    </row>
    <row r="12" spans="1:21" s="589" customFormat="1" ht="21" customHeight="1" x14ac:dyDescent="0.25">
      <c r="A12" s="931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32"/>
      <c r="B13" s="929" t="s">
        <v>286</v>
      </c>
      <c r="C13" s="896"/>
      <c r="D13" s="895" t="s">
        <v>291</v>
      </c>
      <c r="E13" s="896"/>
      <c r="F13" s="895" t="s">
        <v>294</v>
      </c>
      <c r="G13" s="896"/>
      <c r="H13" s="895" t="s">
        <v>307</v>
      </c>
      <c r="I13" s="896"/>
      <c r="J13" s="895"/>
      <c r="K13" s="896"/>
      <c r="L13" s="895" t="s">
        <v>387</v>
      </c>
      <c r="M13" s="896"/>
      <c r="N13" s="895"/>
      <c r="O13" s="896"/>
      <c r="P13" s="895"/>
      <c r="Q13" s="896"/>
      <c r="R13" s="895"/>
      <c r="S13" s="896"/>
      <c r="T13" s="895"/>
      <c r="U13" s="896"/>
    </row>
    <row r="14" spans="1:21" s="157" customFormat="1" ht="21" customHeight="1" x14ac:dyDescent="0.25">
      <c r="A14" s="925" t="s">
        <v>254</v>
      </c>
      <c r="B14" s="933" t="s">
        <v>258</v>
      </c>
      <c r="C14" s="908"/>
      <c r="D14" s="907" t="s">
        <v>246</v>
      </c>
      <c r="E14" s="908"/>
      <c r="F14" s="907" t="s">
        <v>354</v>
      </c>
      <c r="G14" s="908"/>
      <c r="H14" s="907" t="s">
        <v>258</v>
      </c>
      <c r="I14" s="908"/>
      <c r="J14" s="907"/>
      <c r="K14" s="908"/>
      <c r="L14" s="907"/>
      <c r="M14" s="908"/>
      <c r="N14" s="907"/>
      <c r="O14" s="908"/>
      <c r="P14" s="907"/>
      <c r="Q14" s="908"/>
      <c r="R14" s="907"/>
      <c r="S14" s="908"/>
      <c r="T14" s="907"/>
      <c r="U14" s="908"/>
    </row>
    <row r="15" spans="1:21" s="589" customFormat="1" ht="21" customHeight="1" x14ac:dyDescent="0.25">
      <c r="A15" s="926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27"/>
      <c r="B16" s="921" t="s">
        <v>353</v>
      </c>
      <c r="C16" s="903"/>
      <c r="D16" s="921" t="s">
        <v>353</v>
      </c>
      <c r="E16" s="903"/>
      <c r="F16" s="902" t="s">
        <v>352</v>
      </c>
      <c r="G16" s="903"/>
      <c r="H16" s="902" t="s">
        <v>352</v>
      </c>
      <c r="I16" s="903"/>
      <c r="J16" s="902"/>
      <c r="K16" s="903"/>
      <c r="L16" s="902"/>
      <c r="M16" s="903"/>
      <c r="N16" s="902"/>
      <c r="O16" s="903"/>
      <c r="P16" s="902"/>
      <c r="Q16" s="903"/>
      <c r="R16" s="902"/>
      <c r="S16" s="903"/>
      <c r="T16" s="902"/>
      <c r="U16" s="903"/>
    </row>
    <row r="17" spans="1:21" s="164" customFormat="1" ht="21" customHeight="1" x14ac:dyDescent="0.25">
      <c r="A17" s="922" t="s">
        <v>256</v>
      </c>
      <c r="B17" s="916" t="s">
        <v>261</v>
      </c>
      <c r="C17" s="917"/>
      <c r="D17" s="916" t="s">
        <v>332</v>
      </c>
      <c r="E17" s="917"/>
      <c r="F17" s="916" t="s">
        <v>263</v>
      </c>
      <c r="G17" s="917"/>
      <c r="H17" s="916" t="s">
        <v>313</v>
      </c>
      <c r="I17" s="917"/>
      <c r="J17" s="916" t="s">
        <v>380</v>
      </c>
      <c r="K17" s="917"/>
      <c r="L17" s="916"/>
      <c r="M17" s="917"/>
      <c r="N17" s="916"/>
      <c r="O17" s="917"/>
      <c r="P17" s="916"/>
      <c r="Q17" s="917"/>
      <c r="R17" s="916"/>
      <c r="S17" s="917"/>
      <c r="T17" s="916"/>
      <c r="U17" s="917"/>
    </row>
    <row r="18" spans="1:21" s="589" customFormat="1" ht="21" customHeight="1" x14ac:dyDescent="0.25">
      <c r="A18" s="923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924"/>
      <c r="B19" s="914"/>
      <c r="C19" s="915"/>
      <c r="D19" s="914"/>
      <c r="E19" s="915"/>
      <c r="F19" s="914" t="s">
        <v>264</v>
      </c>
      <c r="G19" s="915"/>
      <c r="H19" s="914"/>
      <c r="I19" s="915"/>
      <c r="J19" s="914"/>
      <c r="K19" s="915"/>
      <c r="L19" s="914"/>
      <c r="M19" s="915"/>
      <c r="N19" s="914"/>
      <c r="O19" s="915"/>
      <c r="P19" s="914"/>
      <c r="Q19" s="915"/>
      <c r="R19" s="914"/>
      <c r="S19" s="915"/>
      <c r="T19" s="914"/>
      <c r="U19" s="915"/>
    </row>
  </sheetData>
  <mergeCells count="125"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B1" workbookViewId="0">
      <selection activeCell="H10" sqref="H10:H11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1069" t="s">
        <v>340</v>
      </c>
      <c r="I1" s="1069"/>
      <c r="J1" s="1069"/>
      <c r="K1" s="1069"/>
      <c r="L1" s="1069"/>
      <c r="M1" s="1069"/>
      <c r="N1" s="1069"/>
      <c r="O1" s="1069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65" t="s">
        <v>236</v>
      </c>
      <c r="B2" s="966"/>
      <c r="C2" s="966"/>
      <c r="D2" s="967"/>
      <c r="F2" s="1048" t="s">
        <v>30</v>
      </c>
      <c r="G2" s="1049"/>
      <c r="H2" s="1056" t="s">
        <v>217</v>
      </c>
      <c r="I2" s="1057"/>
      <c r="J2" s="1057"/>
      <c r="K2" s="1057"/>
      <c r="L2" s="1057"/>
      <c r="M2" s="1057"/>
      <c r="N2" s="1057"/>
      <c r="O2" s="1058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1041" t="s">
        <v>193</v>
      </c>
      <c r="B3" s="1042"/>
      <c r="C3" s="1042"/>
      <c r="D3" s="1043"/>
      <c r="F3" s="1050"/>
      <c r="G3" s="1051"/>
      <c r="H3" s="494" t="str">
        <f>"中級 (" &amp; HDRAG_GAMES_HBRUN_MED &amp; "場)"</f>
        <v>中級 (299場)</v>
      </c>
      <c r="I3" s="1063" t="str">
        <f>"高級 (" &amp; HDRAG_GAMES_HBRUN_EXP &amp; "場)"</f>
        <v>高級 (225場)</v>
      </c>
      <c r="J3" s="1064"/>
      <c r="K3" s="1065"/>
      <c r="L3" s="1063" t="str">
        <f>"超級 (" &amp; HDRAG_GAMES_HBRUN_MST &amp; "場)"</f>
        <v>超級 (232場)</v>
      </c>
      <c r="M3" s="1064"/>
      <c r="N3" s="1064"/>
      <c r="O3" s="1068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1059">
        <f>HDRAG_AVG_HBRUN_MED_ORB</f>
        <v>2.4381270903010033</v>
      </c>
      <c r="I5" s="1009">
        <f>HDRAG_AVG_HBRUN_EXP_ORB</f>
        <v>4.4133333333333331</v>
      </c>
      <c r="J5" s="1009">
        <f>HDRAG_AVG_HBRUN_EXP_TAIL</f>
        <v>2</v>
      </c>
      <c r="K5" s="1060">
        <f>HDRAG_AVG_HBRUN_EXP_ORIHAL</f>
        <v>0.31555555555555553</v>
      </c>
      <c r="L5" s="1009">
        <f>HDRAG_AVG_HBRUN_MST_ORB</f>
        <v>6.3965517241379306</v>
      </c>
      <c r="M5" s="1009">
        <f>HDRAG_AVG_HBRUN_MST_TAIL</f>
        <v>2.0517241379310347</v>
      </c>
      <c r="N5" s="1009">
        <f>HDRAG_AVG_HBRUN_MST_HORN</f>
        <v>1.9827586206896552</v>
      </c>
      <c r="O5" s="1044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1059"/>
      <c r="I6" s="1009"/>
      <c r="J6" s="1009"/>
      <c r="K6" s="1060"/>
      <c r="L6" s="1009"/>
      <c r="M6" s="1010"/>
      <c r="N6" s="1010"/>
      <c r="O6" s="1045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1052" t="s">
        <v>35</v>
      </c>
      <c r="G7" s="1053"/>
      <c r="H7" s="1099" t="s">
        <v>217</v>
      </c>
      <c r="I7" s="1100"/>
      <c r="J7" s="1100"/>
      <c r="K7" s="1100"/>
      <c r="L7" s="1100"/>
      <c r="M7" s="1100"/>
      <c r="N7" s="1100"/>
      <c r="O7" s="1101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1054"/>
      <c r="G8" s="1055"/>
      <c r="H8" s="495" t="str">
        <f>"中級 (" &amp; HDRAG_GAMES_HMERC_MED &amp; "場)"</f>
        <v>中級 (246場)</v>
      </c>
      <c r="I8" s="1017" t="str">
        <f>"高級 (" &amp; HDRAG_GAMES_HMERC_EXP &amp; "場)"</f>
        <v>高級 (524場)</v>
      </c>
      <c r="J8" s="1018"/>
      <c r="K8" s="1027"/>
      <c r="L8" s="1017" t="str">
        <f>"超級 (" &amp; HDRAG_GAMES_HMERC_MST &amp; "場)"</f>
        <v>超級 (356場)</v>
      </c>
      <c r="M8" s="1018"/>
      <c r="N8" s="1018"/>
      <c r="O8" s="1019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1102">
        <f>HDRAG_AVG_HMERC_MED_ORB</f>
        <v>2.3861788617886179</v>
      </c>
      <c r="I10" s="1046">
        <f>HDRAG_AVG_HMERC_EXP_ORB</f>
        <v>4.4217557251908399</v>
      </c>
      <c r="J10" s="1011">
        <f>HDRAG_AVG_HMERC_EXP_TAIL</f>
        <v>2.0152671755725189</v>
      </c>
      <c r="K10" s="1061">
        <f>HDRAG_AVG_HMERC_EXP_ORIHAL</f>
        <v>0.35496183206106868</v>
      </c>
      <c r="L10" s="1011">
        <f>HDRAG_AVG_HMERC_MST_ORB</f>
        <v>6.4241573033707864</v>
      </c>
      <c r="M10" s="1011">
        <f>HDRAG_AVG_HMERC_MST_TAIL</f>
        <v>1.9213483146067416</v>
      </c>
      <c r="N10" s="1011">
        <f>HDRAG_AVG_HMERC_MST_HORN</f>
        <v>2.1151685393258428</v>
      </c>
      <c r="O10" s="1066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65" t="s">
        <v>237</v>
      </c>
      <c r="B11" s="966"/>
      <c r="C11" s="966"/>
      <c r="D11" s="967"/>
      <c r="F11" s="467" t="s">
        <v>210</v>
      </c>
      <c r="G11" s="468">
        <f>IF(HDRAG_HAS_REC_HMERC,HDRAG_HMERC_ITEMS + G9 + G10,0)</f>
        <v>3116</v>
      </c>
      <c r="H11" s="1103"/>
      <c r="I11" s="1047"/>
      <c r="J11" s="1012"/>
      <c r="K11" s="1062"/>
      <c r="L11" s="1012"/>
      <c r="M11" s="1012"/>
      <c r="N11" s="1012"/>
      <c r="O11" s="1067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1070" t="s">
        <v>31</v>
      </c>
      <c r="G12" s="1071"/>
      <c r="H12" s="1093" t="s">
        <v>217</v>
      </c>
      <c r="I12" s="1094"/>
      <c r="J12" s="1094"/>
      <c r="K12" s="1094"/>
      <c r="L12" s="1094"/>
      <c r="M12" s="1094"/>
      <c r="N12" s="1094"/>
      <c r="O12" s="1095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1072"/>
      <c r="G13" s="1073"/>
      <c r="H13" s="496" t="str">
        <f>"中級 (" &amp; HDRAG_GAMES_HMID_MED &amp; "場)"</f>
        <v>中級 (803場)</v>
      </c>
      <c r="I13" s="994" t="str">
        <f>"高級 (" &amp; HDRAG_GAMES_HMID_EXP &amp; "場)"</f>
        <v>高級 (471場)</v>
      </c>
      <c r="J13" s="995"/>
      <c r="K13" s="1026"/>
      <c r="L13" s="994" t="str">
        <f>"超級 (" &amp; HDRAG_GAMES_HMID_MST &amp; "場)"</f>
        <v>超級 (131場)</v>
      </c>
      <c r="M13" s="995"/>
      <c r="N13" s="995"/>
      <c r="O13" s="996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793</v>
      </c>
      <c r="C14" s="241">
        <v>1207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336</v>
      </c>
      <c r="C15" s="241">
        <v>392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1096">
        <f>HDRAG_AVG_HMID_MED_ORB</f>
        <v>2.5504358655043586</v>
      </c>
      <c r="I15" s="1015">
        <f>HDRAG_AVG_HMID_EXP_ORB</f>
        <v>4.3949044585987265</v>
      </c>
      <c r="J15" s="1015">
        <f>HDRAG_AVG_HMID_EXP_TAIL</f>
        <v>1.9660297239915074</v>
      </c>
      <c r="K15" s="1091">
        <f>HDRAG_AVG_HMID_EXP_ORIHAL</f>
        <v>0.32484076433121017</v>
      </c>
      <c r="L15" s="1015">
        <f>HDRAG_AVG_HMID_MST_ORB</f>
        <v>6.5038167938931295</v>
      </c>
      <c r="M15" s="1015">
        <f>HDRAG_AVG_HMID_MST_TAIL</f>
        <v>1.9541984732824427</v>
      </c>
      <c r="N15" s="1015">
        <f>HDRAG_AVG_HMID_MST_HORN</f>
        <v>2.0839694656488548</v>
      </c>
      <c r="O15" s="1097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323</v>
      </c>
      <c r="C16" s="241">
        <v>351</v>
      </c>
      <c r="D16" s="543">
        <v>8</v>
      </c>
      <c r="F16" s="475" t="s">
        <v>210</v>
      </c>
      <c r="G16" s="474">
        <f>IF(HDRAG_HAS_REC_HMID,HDRAG_HMID_ITEMS + G14 + G15,0)</f>
        <v>3213</v>
      </c>
      <c r="H16" s="1096"/>
      <c r="I16" s="1015"/>
      <c r="J16" s="1015"/>
      <c r="K16" s="1091"/>
      <c r="L16" s="1015"/>
      <c r="M16" s="1016"/>
      <c r="N16" s="1016"/>
      <c r="O16" s="1098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291</v>
      </c>
      <c r="C17" s="544">
        <v>597</v>
      </c>
      <c r="D17" s="545">
        <v>8</v>
      </c>
      <c r="F17" s="1074" t="s">
        <v>36</v>
      </c>
      <c r="G17" s="1075"/>
      <c r="H17" s="1082" t="s">
        <v>217</v>
      </c>
      <c r="I17" s="1083"/>
      <c r="J17" s="1083"/>
      <c r="K17" s="1083"/>
      <c r="L17" s="1083"/>
      <c r="M17" s="1083"/>
      <c r="N17" s="1083"/>
      <c r="O17" s="1084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1076"/>
      <c r="G18" s="1077"/>
      <c r="H18" s="499" t="str">
        <f>"中級 (" &amp; HDRAG_GAMES_HJUP_MED &amp; "場)"</f>
        <v>中級 (443場)</v>
      </c>
      <c r="I18" s="991" t="str">
        <f>"高級 (" &amp; HDRAG_GAMES_HJUP_EXP &amp; "場)"</f>
        <v>高級 (435場)</v>
      </c>
      <c r="J18" s="992"/>
      <c r="K18" s="1025"/>
      <c r="L18" s="991" t="str">
        <f>"超級 (" &amp; HDRAG_GAMES_HJUP_MST &amp; "場)"</f>
        <v>超級 (254場)</v>
      </c>
      <c r="M18" s="992"/>
      <c r="N18" s="992"/>
      <c r="O18" s="993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1085">
        <f>HDRAG_AVG_HJUP_MED_ORB</f>
        <v>2.4582392776523703</v>
      </c>
      <c r="I20" s="1013">
        <f>HDRAG_AVG_HJUP_EXP_ORB</f>
        <v>4.4206896551724135</v>
      </c>
      <c r="J20" s="1013">
        <f>HDRAG_AVG_HJUP_EXP_TAIL</f>
        <v>2.0045977011494251</v>
      </c>
      <c r="K20" s="1092">
        <f>HDRAG_AVG_HJUP_EXP_ORIHAL</f>
        <v>0.30804597701149428</v>
      </c>
      <c r="L20" s="1013">
        <f>HDRAG_AVG_HJUP_MST_ORB</f>
        <v>6.4763779527559056</v>
      </c>
      <c r="M20" s="1013">
        <f>HDRAG_AVG_HJUP_MST_TAIL</f>
        <v>2.106299212598425</v>
      </c>
      <c r="N20" s="1013">
        <f>HDRAG_AVG_HJUP_MST_HORN</f>
        <v>2.0393700787401574</v>
      </c>
      <c r="O20" s="1086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1085"/>
      <c r="I21" s="1013"/>
      <c r="J21" s="1013"/>
      <c r="K21" s="1092"/>
      <c r="L21" s="1013"/>
      <c r="M21" s="1014"/>
      <c r="N21" s="1014"/>
      <c r="O21" s="1087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1078" t="s">
        <v>37</v>
      </c>
      <c r="G22" s="1079"/>
      <c r="H22" s="1088" t="s">
        <v>217</v>
      </c>
      <c r="I22" s="1089"/>
      <c r="J22" s="1089"/>
      <c r="K22" s="1089"/>
      <c r="L22" s="1089"/>
      <c r="M22" s="1089"/>
      <c r="N22" s="1089"/>
      <c r="O22" s="1090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1080"/>
      <c r="G23" s="1081"/>
      <c r="H23" s="502" t="str">
        <f>"中級 (" &amp; HDRAG_GAMES_HZOD_MED &amp; "場)"</f>
        <v>中級 (241場)</v>
      </c>
      <c r="I23" s="988" t="str">
        <f>"高級 (" &amp; HDRAG_GAMES_HZOD_EXP &amp; "場)"</f>
        <v>高級 (331場)</v>
      </c>
      <c r="J23" s="989"/>
      <c r="K23" s="1024"/>
      <c r="L23" s="988" t="str">
        <f>"超級 (" &amp; HDRAG_GAMES_HZOD_MST &amp; "場)"</f>
        <v>超級 (397場)</v>
      </c>
      <c r="M23" s="989"/>
      <c r="N23" s="989"/>
      <c r="O23" s="990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1034">
        <f>HDRAG_AVG_HZOD_MED_ORB</f>
        <v>2.3692946058091287</v>
      </c>
      <c r="I25" s="1022">
        <f>HDRAG_AVG_HZOD_EXP_ORB</f>
        <v>4.4410876132930515</v>
      </c>
      <c r="J25" s="1022">
        <f>HDRAG_AVG_HZOD_EXP_TAIL</f>
        <v>1.9607250755287009</v>
      </c>
      <c r="K25" s="1039">
        <f>HDRAG_AVG_HZOD_EXP_ORIHAL</f>
        <v>0.35649546827794559</v>
      </c>
      <c r="L25" s="1022">
        <f>HDRAG_AVG_HZOD_MST_ORB</f>
        <v>6.3576826196473553</v>
      </c>
      <c r="M25" s="1022">
        <f>HDRAG_AVG_HZOD_MST_TAIL</f>
        <v>2.005037783375315</v>
      </c>
      <c r="N25" s="1022">
        <f>HDRAG_AVG_HZOD_MST_HORN</f>
        <v>1.9899244332493702</v>
      </c>
      <c r="O25" s="1032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1035"/>
      <c r="I26" s="1023"/>
      <c r="J26" s="1023"/>
      <c r="K26" s="1040"/>
      <c r="L26" s="1023"/>
      <c r="M26" s="1023"/>
      <c r="N26" s="1023"/>
      <c r="O26" s="1033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1036"/>
      <c r="I27" s="1037"/>
      <c r="J27" s="1037"/>
      <c r="K27" s="1037"/>
      <c r="L27" s="1037"/>
      <c r="M27" s="1037"/>
      <c r="N27" s="1037"/>
      <c r="O27" s="1038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984" t="str">
        <f>"高級 (" &amp; HDRAG_GAMES_HBRUN_EXP + HDRAG_GAMES_HMERC_EXP + HDRAG_GAMES_HMID_EXP + HDRAG_GAMES_HJUP_EXP + HDRAG_GAMES_HZOD_EXP &amp; "場)"</f>
        <v>高級 (1986場)</v>
      </c>
      <c r="J28" s="985"/>
      <c r="K28" s="986"/>
      <c r="L28" s="984" t="str">
        <f>"超級 (" &amp; HDRAG_GAMES_HBRUN_MST + HDRAG_GAMES_HMERC_MST + HDRAG_GAMES_HMID_MST + HDRAG_GAMES_HJUP_MST + HDRAG_GAMES_HZOD_MST &amp; "場)"</f>
        <v>超級 (1370場)</v>
      </c>
      <c r="M28" s="985"/>
      <c r="N28" s="985"/>
      <c r="O28" s="987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997">
        <f>AVERAGE(DATA_HDRAG_HBRUN_MED_ORB,HDRAG_AVG_HMERC_MED_ORB,HDRAG_AVG_HMID_MED_ORB,HDRAG_AVG_HJUP_MED_ORB,HDRAG_AVG_HZOD_MED_ORB)</f>
        <v>2.4381655069661865</v>
      </c>
      <c r="I30" s="999">
        <f>AVERAGE(DATA_HDRAG_HBRUN_EXP_ORB,HDRAG_AVG_HMERC_EXP_ORB,HDRAG_AVG_HMID_EXP_ORB,HDRAG_AVG_HJUP_EXP_ORB,HDRAG_AVG_HZOD_EXP_ORB)</f>
        <v>4.4134429583067902</v>
      </c>
      <c r="J30" s="999">
        <f>AVERAGE(DATA_HDRAG_HBRUN_EXP_TAIL,HDRAG_AVG_HMERC_EXP_TAIL,HDRAG_AVG_HMID_EXP_TAIL,HDRAG_AVG_HJUP_EXP_TAIL,HDRAG_AVG_HZOD_EXP_TAIL)</f>
        <v>1.9997668981495291</v>
      </c>
      <c r="K30" s="1020">
        <f>AVERAGE(DATA_HDRAG_HBRUN_EXP_ORIHAL,HDRAG_AVG_HMERC_EXP_ORIHAL,HDRAG_AVG_HMID_EXP_ORIHAL,HDRAG_AVG_HJUP_EXP_ORIHAL,HDRAG_AVG_HZOD_EXP_ORIHAL)</f>
        <v>0.3159141661208808</v>
      </c>
      <c r="L30" s="999">
        <f>AVERAGE(DATA_HDRAG_HBRUN_MST_ORB,HDRAG_AVG_HMERC_MST_ORB,HDRAG_AVG_HMID_MST_ORB,HDRAG_AVG_HJUP_MST_ORB,HDRAG_AVG_HZOD_MST_ORB)</f>
        <v>6.3972967570748613</v>
      </c>
      <c r="M30" s="999">
        <f>AVERAGE(DATA_HDRAG_HBRUN_MST_TAIL,HDRAG_AVG_HMERC_MST_TAIL,HDRAG_AVG_HMID_MST_TAIL,HDRAG_AVG_HJUP_MST_TAIL,HDRAG_AVG_HZOD_MST_TAIL)</f>
        <v>2.0507918804400971</v>
      </c>
      <c r="N30" s="999">
        <f>AVERAGE(DATA_HDRAG_HBRUN_MST_HORN,HDRAG_AVG_HMERC_MST_HORN,HDRAG_AVG_HMID_MST_HORN,HDRAG_AVG_HJUP_MST_HORN,HDRAG_AVG_HZOD_MST_HORN)</f>
        <v>1.9840187818515433</v>
      </c>
      <c r="O30" s="1030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998"/>
      <c r="I31" s="1000"/>
      <c r="J31" s="1000"/>
      <c r="K31" s="1021"/>
      <c r="L31" s="1000"/>
      <c r="M31" s="1000"/>
      <c r="N31" s="1000"/>
      <c r="O31" s="1031"/>
    </row>
    <row r="32" spans="1:18" ht="15.75" customHeight="1" x14ac:dyDescent="0.25">
      <c r="G32" s="311"/>
      <c r="R32" s="239"/>
    </row>
    <row r="33" spans="3:18" ht="28.5" customHeight="1" x14ac:dyDescent="0.25">
      <c r="F33" s="1028"/>
      <c r="G33" s="1029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963" t="s">
        <v>24</v>
      </c>
      <c r="Q33" s="964"/>
      <c r="R33" s="581" t="s">
        <v>296</v>
      </c>
    </row>
    <row r="34" spans="3:18" ht="16.5" customHeight="1" x14ac:dyDescent="0.25">
      <c r="F34" s="1005" t="s">
        <v>30</v>
      </c>
      <c r="G34" s="1006"/>
      <c r="H34" s="939" t="s">
        <v>226</v>
      </c>
      <c r="I34" s="937" t="s">
        <v>223</v>
      </c>
      <c r="J34" s="937" t="s">
        <v>223</v>
      </c>
      <c r="K34" s="937" t="s">
        <v>226</v>
      </c>
      <c r="L34" s="937" t="s">
        <v>223</v>
      </c>
      <c r="M34" s="937" t="s">
        <v>223</v>
      </c>
      <c r="N34" s="937" t="s">
        <v>226</v>
      </c>
      <c r="O34" s="945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1007"/>
      <c r="G35" s="1008"/>
      <c r="H35" s="940"/>
      <c r="I35" s="938"/>
      <c r="J35" s="938"/>
      <c r="K35" s="938"/>
      <c r="L35" s="938"/>
      <c r="M35" s="938"/>
      <c r="N35" s="938"/>
      <c r="O35" s="946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1001" t="s">
        <v>35</v>
      </c>
      <c r="G38" s="1002"/>
      <c r="H38" s="947" t="s">
        <v>226</v>
      </c>
      <c r="I38" s="941" t="s">
        <v>223</v>
      </c>
      <c r="J38" s="941" t="s">
        <v>223</v>
      </c>
      <c r="K38" s="941" t="s">
        <v>226</v>
      </c>
      <c r="L38" s="941" t="s">
        <v>223</v>
      </c>
      <c r="M38" s="941" t="s">
        <v>226</v>
      </c>
      <c r="N38" s="941" t="s">
        <v>226</v>
      </c>
      <c r="O38" s="943" t="s">
        <v>223</v>
      </c>
      <c r="P38" s="592">
        <f>-(D14 * HDRAG_WEAPON_D520_HORN - SUM(H40:O40) - C14)</f>
        <v>1207</v>
      </c>
      <c r="Q38" s="521" t="s">
        <v>218</v>
      </c>
      <c r="R38" s="584">
        <f>IFERROR((-D14 * HDRAG_WEAPON_D520_HORN - P38)/(-D14 * HDRAG_WEAPON_D520_HORN),"")</f>
        <v>6.0291666666666668</v>
      </c>
    </row>
    <row r="39" spans="3:18" ht="16.5" customHeight="1" x14ac:dyDescent="0.25">
      <c r="F39" s="1003"/>
      <c r="G39" s="1004"/>
      <c r="H39" s="948"/>
      <c r="I39" s="942"/>
      <c r="J39" s="942"/>
      <c r="K39" s="942"/>
      <c r="L39" s="942"/>
      <c r="M39" s="942"/>
      <c r="N39" s="942"/>
      <c r="O39" s="944"/>
      <c r="P39" s="593">
        <f>-(D14 * HDRAG_WEAPON_D520_TAIL - SUM(H41:O41) - B14)</f>
        <v>793</v>
      </c>
      <c r="Q39" s="578" t="s">
        <v>216</v>
      </c>
      <c r="R39" s="582">
        <f>IFERROR((-D14 * HDRAG_WEAPON_D520_TAIL - P39)/(-D14 * HDRAG_WEAPON_D520_TAIL),"")</f>
        <v>1.7625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953" t="s">
        <v>31</v>
      </c>
      <c r="G42" s="954"/>
      <c r="H42" s="951" t="s">
        <v>226</v>
      </c>
      <c r="I42" s="949" t="s">
        <v>226</v>
      </c>
      <c r="J42" s="949" t="s">
        <v>223</v>
      </c>
      <c r="K42" s="949" t="s">
        <v>226</v>
      </c>
      <c r="L42" s="949" t="s">
        <v>226</v>
      </c>
      <c r="M42" s="949" t="s">
        <v>226</v>
      </c>
      <c r="N42" s="949" t="s">
        <v>223</v>
      </c>
      <c r="O42" s="961" t="s">
        <v>223</v>
      </c>
      <c r="P42" s="592">
        <f>-(D15 * HDRAG_WEAPON_D520_HORN - SUM(H44:O44) - C15)</f>
        <v>392</v>
      </c>
      <c r="Q42" s="521" t="s">
        <v>218</v>
      </c>
      <c r="R42" s="584">
        <f>IFERROR((-D15 * HDRAG_WEAPON_D520_HORN - P42)/(-D15 * HDRAG_WEAPON_D520_HORN),"")</f>
        <v>2.6333333333333333</v>
      </c>
    </row>
    <row r="43" spans="3:18" ht="16.5" customHeight="1" x14ac:dyDescent="0.25">
      <c r="F43" s="955"/>
      <c r="G43" s="956"/>
      <c r="H43" s="952"/>
      <c r="I43" s="950"/>
      <c r="J43" s="950"/>
      <c r="K43" s="950"/>
      <c r="L43" s="950"/>
      <c r="M43" s="950"/>
      <c r="N43" s="950"/>
      <c r="O43" s="962"/>
      <c r="P43" s="593">
        <f>-(D15 * HDRAG_WEAPON_D520_TAIL - SUM(H45:O45) - B15)</f>
        <v>336</v>
      </c>
      <c r="Q43" s="578" t="s">
        <v>216</v>
      </c>
      <c r="R43" s="582">
        <f>IFERROR((-D15 * HDRAG_WEAPON_D520_TAIL - P43)/(-D15 * HDRAG_WEAPON_D520_TAIL),"")</f>
        <v>1.323076923076923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978" t="s">
        <v>36</v>
      </c>
      <c r="G46" s="979"/>
      <c r="H46" s="982" t="s">
        <v>223</v>
      </c>
      <c r="I46" s="957" t="s">
        <v>226</v>
      </c>
      <c r="J46" s="957" t="s">
        <v>226</v>
      </c>
      <c r="K46" s="957" t="s">
        <v>226</v>
      </c>
      <c r="L46" s="957" t="s">
        <v>223</v>
      </c>
      <c r="M46" s="957" t="s">
        <v>223</v>
      </c>
      <c r="N46" s="957" t="s">
        <v>223</v>
      </c>
      <c r="O46" s="959" t="s">
        <v>223</v>
      </c>
      <c r="P46" s="592">
        <f>-(D16 * HDRAG_WEAPON_D520_HORN - SUM(H48:O48) - C16)</f>
        <v>351</v>
      </c>
      <c r="Q46" s="521" t="s">
        <v>218</v>
      </c>
      <c r="R46" s="584">
        <f>IFERROR((-D16 * HDRAG_WEAPON_D520_HORN - P46)/(-D16 * HDRAG_WEAPON_D520_HORN),"")</f>
        <v>2.4624999999999999</v>
      </c>
    </row>
    <row r="47" spans="3:18" ht="16.5" customHeight="1" x14ac:dyDescent="0.25">
      <c r="F47" s="980"/>
      <c r="G47" s="981"/>
      <c r="H47" s="983"/>
      <c r="I47" s="958"/>
      <c r="J47" s="958"/>
      <c r="K47" s="958"/>
      <c r="L47" s="958"/>
      <c r="M47" s="958"/>
      <c r="N47" s="958"/>
      <c r="O47" s="960"/>
      <c r="P47" s="593">
        <f>-(D16 * HDRAG_WEAPON_D520_TAIL - SUM(H49:O49) - B16)</f>
        <v>323</v>
      </c>
      <c r="Q47" s="578" t="s">
        <v>216</v>
      </c>
      <c r="R47" s="582">
        <f>IFERROR((-D16 * HDRAG_WEAPON_D520_TAIL - P47)/(-D16 * HDRAG_WEAPON_D520_TAIL),"")</f>
        <v>1.3105769230769231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974" t="s">
        <v>37</v>
      </c>
      <c r="G50" s="975"/>
      <c r="H50" s="972" t="s">
        <v>226</v>
      </c>
      <c r="I50" s="970" t="s">
        <v>226</v>
      </c>
      <c r="J50" s="970" t="s">
        <v>223</v>
      </c>
      <c r="K50" s="970" t="s">
        <v>223</v>
      </c>
      <c r="L50" s="970" t="s">
        <v>226</v>
      </c>
      <c r="M50" s="970" t="s">
        <v>223</v>
      </c>
      <c r="N50" s="970" t="s">
        <v>226</v>
      </c>
      <c r="O50" s="968" t="s">
        <v>223</v>
      </c>
      <c r="P50" s="592">
        <f>-(D17 * HDRAG_WEAPON_D520_HORN - SUM(H52:O52) - C17)</f>
        <v>597</v>
      </c>
      <c r="Q50" s="521" t="s">
        <v>218</v>
      </c>
      <c r="R50" s="584">
        <f>IFERROR((-D17 * HDRAG_WEAPON_D520_HORN - P50)/(-D17 * HDRAG_WEAPON_D520_HORN),"")</f>
        <v>3.4874999999999998</v>
      </c>
    </row>
    <row r="51" spans="1:18" ht="16.5" customHeight="1" x14ac:dyDescent="0.25">
      <c r="F51" s="976"/>
      <c r="G51" s="977"/>
      <c r="H51" s="973"/>
      <c r="I51" s="971"/>
      <c r="J51" s="971"/>
      <c r="K51" s="971"/>
      <c r="L51" s="971"/>
      <c r="M51" s="971"/>
      <c r="N51" s="971"/>
      <c r="O51" s="969"/>
      <c r="P51" s="594">
        <f>-(D17 * HDRAG_WEAPON_D520_TAIL - SUM(H53:O53) - B17)</f>
        <v>291</v>
      </c>
      <c r="Q51" s="580" t="s">
        <v>216</v>
      </c>
      <c r="R51" s="583">
        <f>IFERROR((-D17 * HDRAG_WEAPON_D520_TAIL - P51)/(-D17 * HDRAG_WEAPON_D520_TAIL),"")</f>
        <v>1.2798076923076922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912" t="s">
        <v>214</v>
      </c>
      <c r="C1" s="912"/>
      <c r="D1" s="912"/>
      <c r="E1" s="912" t="s">
        <v>219</v>
      </c>
      <c r="F1" s="912"/>
      <c r="G1" s="912"/>
      <c r="H1" s="912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912" t="s">
        <v>214</v>
      </c>
      <c r="C1" s="912"/>
      <c r="D1" s="912"/>
      <c r="E1" s="912" t="s">
        <v>219</v>
      </c>
      <c r="F1" s="912"/>
      <c r="G1" s="912"/>
      <c r="H1" s="912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912" t="s">
        <v>214</v>
      </c>
      <c r="C1" s="912"/>
      <c r="D1" s="912"/>
      <c r="E1" s="912" t="s">
        <v>219</v>
      </c>
      <c r="F1" s="912"/>
      <c r="G1" s="912"/>
      <c r="H1" s="912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912" t="s">
        <v>214</v>
      </c>
      <c r="C1" s="912"/>
      <c r="D1" s="912"/>
      <c r="E1" s="912" t="s">
        <v>219</v>
      </c>
      <c r="F1" s="912"/>
      <c r="G1" s="912"/>
      <c r="H1" s="912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912" t="s">
        <v>214</v>
      </c>
      <c r="C1" s="912"/>
      <c r="D1" s="912"/>
      <c r="E1" s="912" t="s">
        <v>219</v>
      </c>
      <c r="F1" s="912"/>
      <c r="G1" s="912"/>
      <c r="H1" s="912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934" t="s">
        <v>429</v>
      </c>
      <c r="B1" s="934"/>
      <c r="C1" s="934"/>
      <c r="D1" s="934"/>
      <c r="E1" s="934"/>
      <c r="F1" s="934"/>
      <c r="G1" s="934"/>
      <c r="H1" s="934"/>
      <c r="I1" s="934"/>
      <c r="J1" s="934"/>
      <c r="K1" s="934"/>
      <c r="L1" s="670"/>
      <c r="M1" s="670"/>
    </row>
    <row r="2" spans="1:21" s="667" customFormat="1" ht="21" customHeight="1" x14ac:dyDescent="0.25">
      <c r="A2" s="935" t="s">
        <v>319</v>
      </c>
      <c r="B2" s="888"/>
      <c r="C2" s="889"/>
      <c r="D2" s="888"/>
      <c r="E2" s="889"/>
      <c r="F2" s="888"/>
      <c r="G2" s="889"/>
      <c r="H2" s="888"/>
      <c r="I2" s="889"/>
      <c r="J2" s="888"/>
      <c r="K2" s="889"/>
      <c r="L2" s="888"/>
      <c r="M2" s="889"/>
      <c r="N2" s="888"/>
      <c r="O2" s="889"/>
      <c r="P2" s="888"/>
      <c r="Q2" s="889"/>
      <c r="R2" s="888"/>
      <c r="S2" s="889"/>
      <c r="T2" s="888"/>
      <c r="U2" s="889"/>
    </row>
    <row r="3" spans="1:21" s="589" customFormat="1" ht="21" customHeight="1" x14ac:dyDescent="0.25">
      <c r="A3" s="936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36"/>
      <c r="B4" s="883"/>
      <c r="C4" s="884"/>
      <c r="D4" s="883"/>
      <c r="E4" s="884"/>
      <c r="F4" s="883"/>
      <c r="G4" s="890"/>
      <c r="H4" s="890"/>
      <c r="I4" s="884"/>
      <c r="J4" s="883"/>
      <c r="K4" s="884"/>
      <c r="L4" s="883"/>
      <c r="M4" s="884"/>
      <c r="N4" s="883"/>
      <c r="O4" s="884"/>
      <c r="P4" s="883"/>
      <c r="Q4" s="884"/>
      <c r="R4" s="883"/>
      <c r="S4" s="884"/>
      <c r="T4" s="883"/>
      <c r="U4" s="884"/>
    </row>
    <row r="5" spans="1:21" s="664" customFormat="1" ht="21" customHeight="1" x14ac:dyDescent="0.25">
      <c r="A5" s="909" t="s">
        <v>320</v>
      </c>
      <c r="B5" s="1106" t="s">
        <v>426</v>
      </c>
      <c r="C5" s="894"/>
      <c r="D5" s="1106" t="s">
        <v>426</v>
      </c>
      <c r="E5" s="894"/>
      <c r="F5" s="893" t="s">
        <v>431</v>
      </c>
      <c r="G5" s="894"/>
      <c r="H5" s="893" t="s">
        <v>433</v>
      </c>
      <c r="I5" s="894"/>
      <c r="J5" s="893" t="s">
        <v>412</v>
      </c>
      <c r="K5" s="894"/>
      <c r="L5" s="893"/>
      <c r="M5" s="894"/>
      <c r="N5" s="893"/>
      <c r="O5" s="894"/>
      <c r="P5" s="893"/>
      <c r="Q5" s="894"/>
      <c r="R5" s="893"/>
      <c r="S5" s="894"/>
      <c r="T5" s="893"/>
      <c r="U5" s="894"/>
    </row>
    <row r="6" spans="1:21" s="590" customFormat="1" ht="21" customHeight="1" x14ac:dyDescent="0.25">
      <c r="A6" s="910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911"/>
      <c r="B7" s="1110" t="s">
        <v>427</v>
      </c>
      <c r="C7" s="892"/>
      <c r="D7" s="891" t="s">
        <v>428</v>
      </c>
      <c r="E7" s="892"/>
      <c r="F7" s="891" t="s">
        <v>432</v>
      </c>
      <c r="G7" s="892"/>
      <c r="H7" s="891" t="s">
        <v>436</v>
      </c>
      <c r="I7" s="892"/>
      <c r="J7" s="891" t="s">
        <v>435</v>
      </c>
      <c r="K7" s="892"/>
      <c r="L7" s="891"/>
      <c r="M7" s="892"/>
      <c r="N7" s="891"/>
      <c r="O7" s="892"/>
      <c r="P7" s="891"/>
      <c r="Q7" s="892"/>
      <c r="R7" s="891"/>
      <c r="S7" s="892"/>
      <c r="T7" s="891"/>
      <c r="U7" s="892"/>
    </row>
    <row r="8" spans="1:21" s="668" customFormat="1" ht="21" customHeight="1" x14ac:dyDescent="0.25">
      <c r="A8" s="930" t="s">
        <v>321</v>
      </c>
      <c r="B8" s="928" t="s">
        <v>293</v>
      </c>
      <c r="C8" s="901"/>
      <c r="D8" s="900" t="s">
        <v>342</v>
      </c>
      <c r="E8" s="901"/>
      <c r="F8" s="900" t="s">
        <v>345</v>
      </c>
      <c r="G8" s="901"/>
      <c r="H8" s="900" t="s">
        <v>347</v>
      </c>
      <c r="I8" s="901"/>
      <c r="J8" s="900" t="s">
        <v>318</v>
      </c>
      <c r="K8" s="901"/>
      <c r="L8" s="900"/>
      <c r="M8" s="901"/>
      <c r="N8" s="900"/>
      <c r="O8" s="901"/>
      <c r="P8" s="900"/>
      <c r="Q8" s="901"/>
      <c r="R8" s="900"/>
      <c r="S8" s="901"/>
      <c r="T8" s="900"/>
      <c r="U8" s="901"/>
    </row>
    <row r="9" spans="1:21" s="589" customFormat="1" ht="21" customHeight="1" x14ac:dyDescent="0.25">
      <c r="A9" s="931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931"/>
      <c r="B10" s="1107" t="s">
        <v>341</v>
      </c>
      <c r="C10" s="1108"/>
      <c r="D10" s="1109" t="s">
        <v>344</v>
      </c>
      <c r="E10" s="1108"/>
      <c r="F10" s="1109" t="s">
        <v>346</v>
      </c>
      <c r="G10" s="1108"/>
      <c r="H10" s="1109" t="s">
        <v>349</v>
      </c>
      <c r="I10" s="1108"/>
      <c r="J10" s="1109" t="s">
        <v>350</v>
      </c>
      <c r="K10" s="1108"/>
      <c r="L10" s="895"/>
      <c r="M10" s="896"/>
      <c r="N10" s="895"/>
      <c r="O10" s="896"/>
      <c r="P10" s="895"/>
      <c r="Q10" s="896"/>
      <c r="R10" s="895"/>
      <c r="S10" s="896"/>
      <c r="T10" s="895"/>
      <c r="U10" s="896"/>
    </row>
    <row r="11" spans="1:21" s="668" customFormat="1" ht="21" customHeight="1" x14ac:dyDescent="0.25">
      <c r="A11" s="931"/>
      <c r="B11" s="928" t="s">
        <v>333</v>
      </c>
      <c r="C11" s="901"/>
      <c r="D11" s="900" t="s">
        <v>420</v>
      </c>
      <c r="E11" s="901"/>
      <c r="F11" s="900" t="s">
        <v>424</v>
      </c>
      <c r="G11" s="901"/>
      <c r="H11" s="900"/>
      <c r="I11" s="901"/>
      <c r="J11" s="900"/>
      <c r="K11" s="901"/>
      <c r="L11" s="900"/>
      <c r="M11" s="901"/>
      <c r="N11" s="900"/>
      <c r="O11" s="901"/>
      <c r="P11" s="900"/>
      <c r="Q11" s="901"/>
      <c r="R11" s="900"/>
      <c r="S11" s="901"/>
      <c r="T11" s="900"/>
      <c r="U11" s="901"/>
    </row>
    <row r="12" spans="1:21" s="589" customFormat="1" ht="21" customHeight="1" x14ac:dyDescent="0.25">
      <c r="A12" s="931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32"/>
      <c r="B13" s="1107" t="s">
        <v>386</v>
      </c>
      <c r="C13" s="1108"/>
      <c r="D13" s="1109"/>
      <c r="E13" s="1108"/>
      <c r="F13" s="1109" t="s">
        <v>386</v>
      </c>
      <c r="G13" s="1108"/>
      <c r="H13" s="1109"/>
      <c r="I13" s="1108"/>
      <c r="J13" s="1109"/>
      <c r="K13" s="1108"/>
      <c r="L13" s="895"/>
      <c r="M13" s="896"/>
      <c r="N13" s="895"/>
      <c r="O13" s="896"/>
      <c r="P13" s="895"/>
      <c r="Q13" s="896"/>
      <c r="R13" s="895"/>
      <c r="S13" s="896"/>
      <c r="T13" s="895"/>
      <c r="U13" s="896"/>
    </row>
    <row r="14" spans="1:21" s="157" customFormat="1" ht="21" customHeight="1" x14ac:dyDescent="0.25">
      <c r="A14" s="904" t="s">
        <v>322</v>
      </c>
      <c r="B14" s="907" t="s">
        <v>355</v>
      </c>
      <c r="C14" s="908"/>
      <c r="D14" s="907" t="s">
        <v>364</v>
      </c>
      <c r="E14" s="908"/>
      <c r="F14" s="907" t="s">
        <v>363</v>
      </c>
      <c r="G14" s="908"/>
      <c r="H14" s="907" t="s">
        <v>361</v>
      </c>
      <c r="I14" s="908"/>
      <c r="J14" s="907" t="s">
        <v>370</v>
      </c>
      <c r="K14" s="908"/>
      <c r="L14" s="933"/>
      <c r="M14" s="908"/>
      <c r="N14" s="907"/>
      <c r="O14" s="908"/>
      <c r="P14" s="907"/>
      <c r="Q14" s="908"/>
      <c r="R14" s="907"/>
      <c r="S14" s="908"/>
      <c r="T14" s="907"/>
      <c r="U14" s="908"/>
    </row>
    <row r="15" spans="1:21" s="589" customFormat="1" ht="21" customHeight="1" x14ac:dyDescent="0.25">
      <c r="A15" s="905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05"/>
      <c r="B16" s="902" t="s">
        <v>360</v>
      </c>
      <c r="C16" s="903"/>
      <c r="D16" s="1111" t="s">
        <v>367</v>
      </c>
      <c r="E16" s="1112"/>
      <c r="F16" s="902" t="s">
        <v>369</v>
      </c>
      <c r="G16" s="903"/>
      <c r="H16" s="902" t="s">
        <v>365</v>
      </c>
      <c r="I16" s="903"/>
      <c r="J16" s="902" t="s">
        <v>365</v>
      </c>
      <c r="K16" s="903"/>
      <c r="L16" s="921"/>
      <c r="M16" s="903"/>
      <c r="N16" s="902"/>
      <c r="O16" s="903"/>
      <c r="P16" s="902"/>
      <c r="Q16" s="903"/>
      <c r="R16" s="902"/>
      <c r="S16" s="903"/>
      <c r="T16" s="902"/>
      <c r="U16" s="903"/>
    </row>
    <row r="17" spans="1:21" s="157" customFormat="1" ht="21" customHeight="1" x14ac:dyDescent="0.25">
      <c r="A17" s="905"/>
      <c r="B17" s="907" t="s">
        <v>355</v>
      </c>
      <c r="C17" s="908"/>
      <c r="D17" s="907" t="s">
        <v>359</v>
      </c>
      <c r="E17" s="908"/>
      <c r="F17" s="907" t="s">
        <v>364</v>
      </c>
      <c r="G17" s="908"/>
      <c r="H17" s="1104" t="s">
        <v>417</v>
      </c>
      <c r="I17" s="1105"/>
      <c r="J17" s="1104"/>
      <c r="K17" s="1105"/>
      <c r="L17" s="907"/>
      <c r="M17" s="908"/>
      <c r="N17" s="907"/>
      <c r="O17" s="908"/>
      <c r="P17" s="907"/>
      <c r="Q17" s="908"/>
      <c r="R17" s="907"/>
      <c r="S17" s="908"/>
      <c r="T17" s="907"/>
      <c r="U17" s="908"/>
    </row>
    <row r="18" spans="1:21" s="589" customFormat="1" ht="21" customHeight="1" x14ac:dyDescent="0.25">
      <c r="A18" s="905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905"/>
      <c r="B19" s="902" t="s">
        <v>358</v>
      </c>
      <c r="C19" s="903"/>
      <c r="D19" s="902" t="s">
        <v>376</v>
      </c>
      <c r="E19" s="903"/>
      <c r="F19" s="902" t="s">
        <v>366</v>
      </c>
      <c r="G19" s="903"/>
      <c r="H19" s="902"/>
      <c r="I19" s="903"/>
      <c r="J19" s="902"/>
      <c r="K19" s="903"/>
      <c r="L19" s="902"/>
      <c r="M19" s="903"/>
      <c r="N19" s="902"/>
      <c r="O19" s="903"/>
      <c r="P19" s="902"/>
      <c r="Q19" s="903"/>
      <c r="R19" s="902"/>
      <c r="S19" s="903"/>
      <c r="T19" s="902"/>
      <c r="U19" s="903"/>
    </row>
    <row r="20" spans="1:21" s="157" customFormat="1" ht="21" customHeight="1" x14ac:dyDescent="0.25">
      <c r="A20" s="905"/>
      <c r="B20" s="1104" t="s">
        <v>370</v>
      </c>
      <c r="C20" s="1105"/>
      <c r="D20" s="1104" t="s">
        <v>258</v>
      </c>
      <c r="E20" s="1105"/>
      <c r="F20" s="907" t="s">
        <v>355</v>
      </c>
      <c r="G20" s="908"/>
      <c r="H20" s="1104" t="s">
        <v>379</v>
      </c>
      <c r="I20" s="1105"/>
      <c r="J20" s="1104"/>
      <c r="K20" s="1105"/>
      <c r="L20" s="907"/>
      <c r="M20" s="908"/>
      <c r="N20" s="907"/>
      <c r="O20" s="908"/>
      <c r="P20" s="907"/>
      <c r="Q20" s="908"/>
      <c r="R20" s="907"/>
      <c r="S20" s="908"/>
      <c r="T20" s="907"/>
      <c r="U20" s="908"/>
    </row>
    <row r="21" spans="1:21" s="589" customFormat="1" ht="21" customHeight="1" x14ac:dyDescent="0.25">
      <c r="A21" s="905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906"/>
      <c r="B22" s="902" t="s">
        <v>378</v>
      </c>
      <c r="C22" s="903"/>
      <c r="D22" s="902" t="s">
        <v>378</v>
      </c>
      <c r="E22" s="903"/>
      <c r="F22" s="902" t="s">
        <v>378</v>
      </c>
      <c r="G22" s="903"/>
      <c r="H22" s="902" t="s">
        <v>378</v>
      </c>
      <c r="I22" s="903"/>
      <c r="J22" s="902"/>
      <c r="K22" s="903"/>
      <c r="L22" s="902"/>
      <c r="M22" s="903"/>
      <c r="N22" s="902"/>
      <c r="O22" s="903"/>
      <c r="P22" s="902"/>
      <c r="Q22" s="903"/>
      <c r="R22" s="902"/>
      <c r="S22" s="903"/>
      <c r="T22" s="902"/>
      <c r="U22" s="903"/>
    </row>
    <row r="23" spans="1:21" s="669" customFormat="1" ht="21" customHeight="1" x14ac:dyDescent="0.25">
      <c r="A23" s="922" t="s">
        <v>323</v>
      </c>
      <c r="B23" s="1113"/>
      <c r="C23" s="1114"/>
      <c r="D23" s="1113"/>
      <c r="E23" s="1114"/>
      <c r="F23" s="916"/>
      <c r="G23" s="917"/>
      <c r="H23" s="916"/>
      <c r="I23" s="917"/>
      <c r="J23" s="916"/>
      <c r="K23" s="917"/>
      <c r="L23" s="916"/>
      <c r="M23" s="917"/>
      <c r="N23" s="916"/>
      <c r="O23" s="917"/>
      <c r="P23" s="916"/>
      <c r="Q23" s="917"/>
      <c r="R23" s="916"/>
      <c r="S23" s="917"/>
      <c r="T23" s="916"/>
      <c r="U23" s="917"/>
    </row>
    <row r="24" spans="1:21" s="589" customFormat="1" ht="21" customHeight="1" x14ac:dyDescent="0.25">
      <c r="A24" s="923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924"/>
      <c r="B25" s="914"/>
      <c r="C25" s="915"/>
      <c r="D25" s="914"/>
      <c r="E25" s="915"/>
      <c r="F25" s="914"/>
      <c r="G25" s="915"/>
      <c r="H25" s="914"/>
      <c r="I25" s="915"/>
      <c r="J25" s="914"/>
      <c r="K25" s="915"/>
      <c r="L25" s="914"/>
      <c r="M25" s="915"/>
      <c r="N25" s="914"/>
      <c r="O25" s="915"/>
      <c r="P25" s="914"/>
      <c r="Q25" s="915"/>
      <c r="R25" s="914"/>
      <c r="S25" s="915"/>
      <c r="T25" s="914"/>
      <c r="U25" s="915"/>
    </row>
  </sheetData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AA45"/>
  <sheetViews>
    <sheetView topLeftCell="A7" zoomScale="101" zoomScaleNormal="100" workbookViewId="0">
      <selection activeCell="R24" sqref="R24:R26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8" width="6" style="602" customWidth="1"/>
    <col min="9" max="9" width="2.28515625" style="602" customWidth="1"/>
    <col min="10" max="17" width="8" style="602" customWidth="1"/>
    <col min="18" max="18" width="8" style="599" customWidth="1"/>
    <col min="19" max="20" width="8" style="602" customWidth="1"/>
    <col min="21" max="21" width="4" style="222" customWidth="1"/>
    <col min="22" max="23" width="7.140625" style="222" customWidth="1"/>
    <col min="24" max="24" width="7.140625" style="602" customWidth="1"/>
    <col min="25" max="25" width="36.5703125" style="602" customWidth="1"/>
    <col min="26" max="16384" width="9.28515625" style="602"/>
  </cols>
  <sheetData>
    <row r="1" spans="1:27" s="603" customFormat="1" ht="8.65" customHeight="1" x14ac:dyDescent="0.25">
      <c r="A1" s="603">
        <v>5</v>
      </c>
      <c r="E1" s="711"/>
      <c r="F1" s="854"/>
      <c r="J1" s="219"/>
      <c r="K1" s="219"/>
      <c r="L1" s="219"/>
      <c r="M1" s="219"/>
      <c r="N1" s="219"/>
      <c r="O1" s="219"/>
      <c r="P1" s="219"/>
      <c r="Q1" s="219"/>
      <c r="R1" s="219"/>
      <c r="S1" s="648"/>
      <c r="T1" s="219"/>
      <c r="U1" s="219"/>
      <c r="V1" s="744"/>
      <c r="W1" s="744"/>
      <c r="X1" s="744"/>
      <c r="Y1" s="219"/>
    </row>
    <row r="2" spans="1:27" ht="15" customHeight="1" x14ac:dyDescent="0.25">
      <c r="C2" s="1115" t="s">
        <v>317</v>
      </c>
      <c r="D2" s="1116"/>
      <c r="E2" s="1117"/>
      <c r="F2" s="1140" t="s">
        <v>561</v>
      </c>
      <c r="G2" s="1144" t="s">
        <v>327</v>
      </c>
      <c r="H2" s="1144" t="s">
        <v>328</v>
      </c>
      <c r="J2" s="1153" t="s">
        <v>375</v>
      </c>
      <c r="K2" s="1132" t="s">
        <v>66</v>
      </c>
      <c r="L2" s="1115" t="s">
        <v>455</v>
      </c>
      <c r="M2" s="1117"/>
      <c r="N2" s="1115" t="s">
        <v>214</v>
      </c>
      <c r="O2" s="1116"/>
      <c r="P2" s="1117"/>
      <c r="Q2" s="1115" t="s">
        <v>219</v>
      </c>
      <c r="R2" s="1116"/>
      <c r="S2" s="1116"/>
      <c r="T2" s="1117"/>
      <c r="U2" s="219"/>
      <c r="V2" s="1137" t="s">
        <v>452</v>
      </c>
      <c r="W2" s="1138"/>
      <c r="X2" s="1139"/>
    </row>
    <row r="3" spans="1:27" ht="15.95" customHeight="1" x14ac:dyDescent="0.25">
      <c r="C3" s="611" t="s">
        <v>65</v>
      </c>
      <c r="D3" s="712" t="s">
        <v>64</v>
      </c>
      <c r="E3" s="714" t="s">
        <v>448</v>
      </c>
      <c r="F3" s="1133"/>
      <c r="G3" s="1145"/>
      <c r="H3" s="1156"/>
      <c r="J3" s="1154"/>
      <c r="K3" s="1133"/>
      <c r="L3" s="673" t="s">
        <v>25</v>
      </c>
      <c r="M3" s="675" t="s">
        <v>65</v>
      </c>
      <c r="N3" s="673" t="s">
        <v>25</v>
      </c>
      <c r="O3" s="674" t="s">
        <v>65</v>
      </c>
      <c r="P3" s="675" t="s">
        <v>64</v>
      </c>
      <c r="Q3" s="728" t="s">
        <v>25</v>
      </c>
      <c r="R3" s="717" t="s">
        <v>64</v>
      </c>
      <c r="S3" s="717" t="s">
        <v>448</v>
      </c>
      <c r="T3" s="727" t="s">
        <v>215</v>
      </c>
      <c r="U3" s="644"/>
      <c r="V3" s="745" t="s">
        <v>47</v>
      </c>
      <c r="W3" s="746" t="s">
        <v>453</v>
      </c>
      <c r="X3" s="747" t="s">
        <v>454</v>
      </c>
    </row>
    <row r="4" spans="1:27" ht="21.95" customHeight="1" x14ac:dyDescent="0.25">
      <c r="B4" s="612" t="s">
        <v>319</v>
      </c>
      <c r="C4" s="618">
        <v>2100</v>
      </c>
      <c r="D4" s="619">
        <v>1531</v>
      </c>
      <c r="E4" s="619"/>
      <c r="F4" s="619">
        <v>1</v>
      </c>
      <c r="G4" s="619">
        <v>20</v>
      </c>
      <c r="H4" s="620">
        <v>15</v>
      </c>
      <c r="J4" s="1154"/>
      <c r="K4" s="612" t="s">
        <v>319</v>
      </c>
      <c r="L4" s="672">
        <f>IFERROR(COUNT(AGITO_FLAME_STD_SILVER),"")</f>
        <v>165</v>
      </c>
      <c r="M4" s="635">
        <f>IFERROR(AVERAGE(AGITO_FLAME_STD_SILVER) + 2, "")</f>
        <v>7.2545454545454549</v>
      </c>
      <c r="N4" s="672">
        <f>IFERROR(COUNT(AGITO_FLAME_EXP_SILVER),"")</f>
        <v>728</v>
      </c>
      <c r="O4" s="635">
        <f>IFERROR(AVERAGE(AGITO_FLAME_EXP_SILVER),"")</f>
        <v>2.5837912087912089</v>
      </c>
      <c r="P4" s="636">
        <f>IFERROR(AVERAGE(AGITO_FLAME_EXP_GOLD),"")</f>
        <v>3.4793956043956045</v>
      </c>
      <c r="Q4" s="716">
        <f>IFERROR(COUNT(AGITO_FLAME_MST_GOLD),"")</f>
        <v>0</v>
      </c>
      <c r="R4" s="635" t="str">
        <f>IFERROR(AVERAGE(AGITO_FLAME_MST_GOLD),"")</f>
        <v/>
      </c>
      <c r="S4" s="635" t="str">
        <f>IFERROR(AVERAGE(AGITO_FLAME_MST_POT),"")</f>
        <v/>
      </c>
      <c r="T4" s="636" t="str">
        <f>IFERROR(AVERAGE(AGITO_FLAME_MST_ORIHAL),"")</f>
        <v/>
      </c>
      <c r="U4" s="644"/>
      <c r="V4" s="748" t="str" cm="1">
        <f t="array" ref="V4">IFERROR(_xlfn.CEILING.MATH((AGITO_WEAPON_MUB_624_SILVER - W4*O4) / M4),"")</f>
        <v/>
      </c>
      <c r="W4" s="749" t="str" cm="1">
        <f t="array" ref="W4">IFERROR(_xlfn.CEILING.MATH((AGITO_WEAPON_MUB_624_GOLD - X4*R4) / P4),"")</f>
        <v/>
      </c>
      <c r="X4" s="750" t="str" cm="1">
        <f t="array" ref="X4">IFERROR(_xlfn.CEILING.MATH(AGITO_WEAPON_MUB_624_POT / S4),"")</f>
        <v/>
      </c>
    </row>
    <row r="5" spans="1:27" s="284" customFormat="1" ht="21.95" customHeight="1" x14ac:dyDescent="0.25">
      <c r="B5" s="613" t="s">
        <v>320</v>
      </c>
      <c r="C5" s="621">
        <v>2785</v>
      </c>
      <c r="D5" s="622">
        <v>2952</v>
      </c>
      <c r="E5" s="622"/>
      <c r="F5" s="622">
        <v>0</v>
      </c>
      <c r="G5" s="622">
        <v>20</v>
      </c>
      <c r="H5" s="623">
        <v>15</v>
      </c>
      <c r="J5" s="1154"/>
      <c r="K5" s="613" t="s">
        <v>320</v>
      </c>
      <c r="L5" s="609">
        <f>IFERROR(COUNT(AGITO_WATER_STD_SILVER),"")</f>
        <v>115</v>
      </c>
      <c r="M5" s="637">
        <f>IFERROR(AVERAGE(AGITO_WATER_STD_SILVER) + 2, "")</f>
        <v>7.2</v>
      </c>
      <c r="N5" s="609">
        <f>IFERROR(COUNT(AGITO_WATER_EXP_SILVER),"")</f>
        <v>399</v>
      </c>
      <c r="O5" s="637">
        <f>IFERROR(AVERAGE(AGITO_WATER_EXP_SILVER),"")</f>
        <v>2.581453634085213</v>
      </c>
      <c r="P5" s="638">
        <f>IFERROR(AVERAGE(AGITO_WATER_EXP_GOLD),"")</f>
        <v>3.4761904761904763</v>
      </c>
      <c r="Q5" s="609">
        <f>IFERROR(COUNT(AGITO_WATER_MST_GOLD),"")</f>
        <v>0</v>
      </c>
      <c r="R5" s="637" t="str">
        <f>IFERROR(AVERAGE(AGITO_WATER_MST_GOLD),"")</f>
        <v/>
      </c>
      <c r="S5" s="637" t="str">
        <f>IFERROR(AVERAGE(AGITO_WATER_MST_POT),"")</f>
        <v/>
      </c>
      <c r="T5" s="638" t="str">
        <f>IFERROR(AVERAGE(AGITO_WATER_MST_ORIHAL),"")</f>
        <v/>
      </c>
      <c r="U5" s="644"/>
      <c r="V5" s="751" t="str" cm="1">
        <f t="array" ref="V5">IFERROR(_xlfn.CEILING.MATH((AGITO_WEAPON_MUB_624_SILVER - W5*O5) / M5),"")</f>
        <v/>
      </c>
      <c r="W5" s="752" t="str" cm="1">
        <f t="array" ref="W5">IFERROR(_xlfn.CEILING.MATH((AGITO_WEAPON_MUB_624_GOLD - X5*R5) / P5),"")</f>
        <v/>
      </c>
      <c r="X5" s="753" t="str" cm="1">
        <f t="array" ref="X5">IFERROR(_xlfn.CEILING.MATH(AGITO_WEAPON_MUB_624_POT / S5),"")</f>
        <v/>
      </c>
    </row>
    <row r="6" spans="1:27" ht="21.95" customHeight="1" x14ac:dyDescent="0.25">
      <c r="B6" s="614" t="s">
        <v>321</v>
      </c>
      <c r="C6" s="624">
        <v>3283</v>
      </c>
      <c r="D6" s="625">
        <v>3026</v>
      </c>
      <c r="E6" s="625">
        <v>478</v>
      </c>
      <c r="F6" s="625">
        <v>0</v>
      </c>
      <c r="G6" s="625">
        <v>20</v>
      </c>
      <c r="H6" s="626">
        <v>25</v>
      </c>
      <c r="J6" s="1154"/>
      <c r="K6" s="614" t="s">
        <v>321</v>
      </c>
      <c r="L6" s="610">
        <f>IFERROR(COUNT(AGITO_WIND_STD_SILVER),"")</f>
        <v>478</v>
      </c>
      <c r="M6" s="639">
        <f>IFERROR(AVERAGE(AGITO_WIND_STD_SILVER) + 2, "")</f>
        <v>7.1882845188284517</v>
      </c>
      <c r="N6" s="610">
        <f>IFERROR(COUNT(AGITO_WIND_EXP_SILVER),"")</f>
        <v>1084</v>
      </c>
      <c r="O6" s="639">
        <f>IFERROR(AVERAGE(AGITO_WIND_EXP_SILVER),"")</f>
        <v>2.6448339483394836</v>
      </c>
      <c r="P6" s="640">
        <f>IFERROR(AVERAGE(AGITO_WIND_EXP_GOLD),"")</f>
        <v>3.4391143911439115</v>
      </c>
      <c r="Q6" s="610">
        <f>IFERROR(COUNT(AGITO_WIND_MST_GOLD),"")</f>
        <v>238</v>
      </c>
      <c r="R6" s="639">
        <f>IFERROR(AVERAGE(AGITO_WIND_MST_GOLD),"")</f>
        <v>2.0420168067226889</v>
      </c>
      <c r="S6" s="639">
        <f>IFERROR(AVERAGE(AGITO_WIND_MST_POT),"")</f>
        <v>2.9957983193277311</v>
      </c>
      <c r="T6" s="640">
        <f>IFERROR(AVERAGE(AGITO_WIND_MST_ORIHAL),"")</f>
        <v>1.0924369747899159</v>
      </c>
      <c r="U6" s="644"/>
      <c r="V6" s="754" cm="1">
        <f t="array" ref="V6">IFERROR(_xlfn.CEILING.MATH((AGITO_WEAPON_MUB_624_SILVER - W6*O6) / M6),"")</f>
        <v>20</v>
      </c>
      <c r="W6" s="755" cm="1">
        <f t="array" ref="W6">IFERROR(_xlfn.CEILING.MATH((AGITO_WEAPON_MUB_624_GOLD - X6*R6) / P6),"")</f>
        <v>52</v>
      </c>
      <c r="X6" s="756" cm="1">
        <f t="array" ref="X6">IFERROR(_xlfn.CEILING.MATH(AGITO_WEAPON_MUB_624_POT / S6),"")</f>
        <v>12</v>
      </c>
    </row>
    <row r="7" spans="1:27" ht="21.95" customHeight="1" x14ac:dyDescent="0.25">
      <c r="B7" s="615" t="s">
        <v>322</v>
      </c>
      <c r="C7" s="627">
        <v>1314</v>
      </c>
      <c r="D7" s="628">
        <v>1798</v>
      </c>
      <c r="E7" s="628">
        <v>223</v>
      </c>
      <c r="F7" s="628">
        <v>2</v>
      </c>
      <c r="G7" s="628">
        <v>20</v>
      </c>
      <c r="H7" s="629">
        <v>25</v>
      </c>
      <c r="J7" s="1154"/>
      <c r="K7" s="615" t="s">
        <v>322</v>
      </c>
      <c r="L7" s="676">
        <f>IFERROR(COUNT(AGITO_LIGHT_STD_SILVER),"")</f>
        <v>103</v>
      </c>
      <c r="M7" s="641">
        <f>IFERROR(AVERAGE(AGITO_LIGHT_STD_SILVER) + 2, "")</f>
        <v>7.1844660194174761</v>
      </c>
      <c r="N7" s="676">
        <f>IFERROR(COUNT(AGITO_LIGHT_EXP_SILVER),"")</f>
        <v>936</v>
      </c>
      <c r="O7" s="641">
        <f>IFERROR(AVERAGE(AGITO_LIGHT_EXP_SILVER),"")</f>
        <v>2.5715811965811968</v>
      </c>
      <c r="P7" s="642">
        <f>IFERROR(AVERAGE(AGITO_LIGHT_EXP_GOLD),"")</f>
        <v>3.5074786324786325</v>
      </c>
      <c r="Q7" s="724">
        <f>IFERROR(COUNT(AGITO_LIGHT_MST_GOLD),"")</f>
        <v>126</v>
      </c>
      <c r="R7" s="641">
        <f>IFERROR(AVERAGE(AGITO_LIGHT_MST_GOLD),"")</f>
        <v>2</v>
      </c>
      <c r="S7" s="641">
        <f>IFERROR(AVERAGE(AGITO_LIGHT_MST_POT),"")</f>
        <v>3.0476190476190474</v>
      </c>
      <c r="T7" s="642">
        <f>IFERROR(AVERAGE(AGITO_LIGHT_MST_ORIHAL),"")</f>
        <v>1.1111111111111112</v>
      </c>
      <c r="U7" s="644"/>
      <c r="V7" s="757" cm="1">
        <f t="array" ref="V7">IFERROR(_xlfn.CEILING.MATH((AGITO_WEAPON_MUB_624_SILVER - W7*O7) / M7),"")</f>
        <v>21</v>
      </c>
      <c r="W7" s="758" cm="1">
        <f t="array" ref="W7">IFERROR(_xlfn.CEILING.MATH((AGITO_WEAPON_MUB_624_GOLD - X7*R7) / P7),"")</f>
        <v>51</v>
      </c>
      <c r="X7" s="759" cm="1">
        <f t="array" ref="X7">IFERROR(_xlfn.CEILING.MATH(AGITO_WEAPON_MUB_624_POT / S7),"")</f>
        <v>12</v>
      </c>
    </row>
    <row r="8" spans="1:27" s="284" customFormat="1" ht="21.95" customHeight="1" x14ac:dyDescent="0.25">
      <c r="B8" s="616" t="s">
        <v>323</v>
      </c>
      <c r="C8" s="630"/>
      <c r="D8" s="631"/>
      <c r="E8" s="631"/>
      <c r="F8" s="631"/>
      <c r="G8" s="631"/>
      <c r="H8" s="632"/>
      <c r="J8" s="1154"/>
      <c r="K8" s="680" t="s">
        <v>323</v>
      </c>
      <c r="L8" s="677">
        <f>IFERROR(COUNT(AGITO_SHADOW_STD_SILVER),"")</f>
        <v>0</v>
      </c>
      <c r="M8" s="678" t="str">
        <f>IFERROR(AVERAGE(AGITO_SHADOW_STD_SILVER) + 2, "")</f>
        <v/>
      </c>
      <c r="N8" s="677">
        <f>IFERROR(COUNT(AGITO_SHADOW_EXP_SILVER),"")</f>
        <v>0</v>
      </c>
      <c r="O8" s="678" t="str">
        <f>IFERROR(AVERAGE(AGITO_SHADOW_EXP_SILVER),"")</f>
        <v/>
      </c>
      <c r="P8" s="684" t="str">
        <f>IFERROR(AVERAGE(AGITO_SHADOW_EXP_GOLD),"")</f>
        <v/>
      </c>
      <c r="Q8" s="723">
        <f>IFERROR(COUNT(AGITO_SHADOW_MST_GOLD),"")</f>
        <v>0</v>
      </c>
      <c r="R8" s="678" t="str">
        <f>IFERROR(AVERAGE(AGITO_SHADOW_MST_GOLD),"")</f>
        <v/>
      </c>
      <c r="S8" s="678" t="str">
        <f>IFERROR(AVERAGE(AGITO_SHADOW_MST_POT),"")</f>
        <v/>
      </c>
      <c r="T8" s="684" t="str">
        <f>IFERROR(AVERAGE(AGITO_SHADOW_MST_ORIHAL),"")</f>
        <v/>
      </c>
      <c r="U8" s="644"/>
      <c r="V8" s="760" t="str" cm="1">
        <f t="array" ref="V8">IFERROR(_xlfn.CEILING.MATH((AGITO_WEAPON_MUB_624_SILVER - W8*O8) / M8),"")</f>
        <v/>
      </c>
      <c r="W8" s="761" t="str" cm="1">
        <f t="array" ref="W8">IFERROR(_xlfn.CEILING.MATH((AGITO_WEAPON_MUB_624_GOLD - X8*R8) / P8),"")</f>
        <v/>
      </c>
      <c r="X8" s="762" t="str" cm="1">
        <f t="array" ref="X8">IFERROR(_xlfn.CEILING.MATH(AGITO_WEAPON_MUB_624_POT / S8),"")</f>
        <v/>
      </c>
    </row>
    <row r="9" spans="1:27" s="284" customFormat="1" ht="21.95" customHeight="1" x14ac:dyDescent="0.25">
      <c r="B9" s="590"/>
      <c r="C9" s="679"/>
      <c r="D9" s="679"/>
      <c r="E9" s="679"/>
      <c r="F9" s="679"/>
      <c r="G9" s="679"/>
      <c r="H9" s="679"/>
      <c r="J9" s="1155"/>
      <c r="K9" s="681" t="s">
        <v>211</v>
      </c>
      <c r="L9" s="682">
        <f>IFERROR(COUNT(AGITO_FLAME_STD_SILVER,AGITO_WATER_STD_SILVER,AGITO_WIND_STD_SILVER,AGITO_LIGHT_STD_SILVER,AGITO_SHADOW_STD_SILVER),"")</f>
        <v>861</v>
      </c>
      <c r="M9" s="685">
        <f>IFERROR(AVERAGE(AGITO_FLAME_STD_SILVER,AGITO_WATER_STD_SILVER,AGITO_WIND_STD_SILVER,AGITO_LIGHT_STD_SILVER,AGITO_SHADOW_STD_SILVER) + 2,"")</f>
        <v>7.2020905923344944</v>
      </c>
      <c r="N9" s="682">
        <f>IFERROR(COUNT(AGITO_FLAME_EXP_SILVER,AGITO_WATER_EXP_SILVER,AGITO_WIND_EXP_SILVER,AGITO_LIGHT_EXP_SILVER,AGITO_SHADOW_EXP_SILVER),"")</f>
        <v>3147</v>
      </c>
      <c r="O9" s="685">
        <f>IFERROR(AVERAGE(AGITO_FLAME_EXP_SILVER,AGITO_WATER_EXP_SILVER,AGITO_WIND_EXP_SILVER,AGITO_LIGHT_EXP_SILVER,AGITO_SHADOW_EXP_SILVER),"")</f>
        <v>2.6008897362567525</v>
      </c>
      <c r="P9" s="683">
        <f>IFERROR(AVERAGE(AGITO_FLAME_EXP_GOLD,AGITO_WATER_EXP_GOLD,AGITO_WIND_EXP_GOLD,AGITO_LIGHT_EXP_GOLD,AGITO_SHADOW_EXP_GOLD),"")</f>
        <v>3.4734667937718462</v>
      </c>
      <c r="Q9" s="682">
        <f>IFERROR(COUNT(AGITO_FLAME_MST_GOLD,AGITO_WATER_MST_GOLD,AGITO_WIND_MST_GOLD,AGITO_LIGHT_MST_GOLD,AGITO_SHADOW_MST_GOLD),"")</f>
        <v>364</v>
      </c>
      <c r="R9" s="685">
        <f>IFERROR(AVERAGE(AGITO_FLAME_MST_GOLD,AGITO_WATER_MST_GOLD,AGITO_WIND_MST_GOLD,AGITO_LIGHT_MST_GOLD,AGITO_SHADOW_MST_GOLD),"")</f>
        <v>2.0274725274725274</v>
      </c>
      <c r="S9" s="685">
        <f>IFERROR(AVERAGE(AGITO_FLAME_MST_POT,AGITO_WATER_MST_POT,AGITO_WIND_MST_POT,AGITO_LIGHT_MST_POT,AGITO_SHADOW_MST_POT),"")</f>
        <v>3.0137362637362637</v>
      </c>
      <c r="T9" s="683">
        <f>IFERROR(AVERAGE(AGITO_FLAME_MST_ORIHAL,AGITO_WATER_MST_ORIHAL,AGITO_WIND_MST_ORIHAL,AGITO_LIGHT_MST_ORIHAL,AGITO_SHADOW_MST_ORIHAL),"")</f>
        <v>1.098901098901099</v>
      </c>
      <c r="U9" s="649"/>
      <c r="V9" s="786" t="s">
        <v>131</v>
      </c>
      <c r="W9" s="787" t="s">
        <v>131</v>
      </c>
      <c r="X9" s="788" t="s">
        <v>131</v>
      </c>
      <c r="Y9" s="644"/>
      <c r="Z9" s="219"/>
      <c r="AA9" s="219"/>
    </row>
    <row r="10" spans="1:27" ht="15" customHeight="1" x14ac:dyDescent="0.25">
      <c r="B10" s="737"/>
      <c r="C10" s="1141" t="s">
        <v>38</v>
      </c>
      <c r="D10" s="1142"/>
      <c r="E10" s="1142"/>
      <c r="F10" s="1142"/>
      <c r="G10" s="1142"/>
      <c r="H10" s="1143"/>
      <c r="J10" s="219"/>
      <c r="K10" s="219"/>
      <c r="L10" s="219"/>
      <c r="M10" s="219"/>
      <c r="N10" s="219"/>
      <c r="O10" s="219"/>
      <c r="P10" s="219"/>
      <c r="Q10" s="219"/>
      <c r="R10" s="219"/>
      <c r="S10" s="648"/>
      <c r="T10" s="219"/>
      <c r="U10" s="219"/>
      <c r="V10" s="744"/>
      <c r="W10" s="744"/>
      <c r="X10" s="744"/>
      <c r="Y10" s="219"/>
    </row>
    <row r="11" spans="1:27" ht="15" customHeight="1" x14ac:dyDescent="0.25">
      <c r="A11" s="239"/>
      <c r="B11" s="644"/>
      <c r="C11" s="1148" t="s">
        <v>65</v>
      </c>
      <c r="D11" s="1146"/>
      <c r="E11" s="1146"/>
      <c r="F11" s="1146" t="s">
        <v>64</v>
      </c>
      <c r="G11" s="1146"/>
      <c r="H11" s="1147"/>
      <c r="J11" s="1127" t="s">
        <v>450</v>
      </c>
      <c r="K11" s="725" t="s">
        <v>142</v>
      </c>
      <c r="L11" s="726" t="s">
        <v>7</v>
      </c>
      <c r="M11" s="726" t="s">
        <v>221</v>
      </c>
      <c r="N11" s="726" t="s">
        <v>5</v>
      </c>
      <c r="O11" s="726" t="s">
        <v>10</v>
      </c>
      <c r="P11" s="726" t="s">
        <v>13</v>
      </c>
      <c r="Q11" s="726" t="s">
        <v>4</v>
      </c>
      <c r="R11" s="617" t="s">
        <v>222</v>
      </c>
      <c r="S11" s="650" t="s">
        <v>329</v>
      </c>
      <c r="T11" s="1157" t="s">
        <v>24</v>
      </c>
      <c r="U11" s="1158"/>
      <c r="V11" s="763" t="s">
        <v>324</v>
      </c>
      <c r="W11" s="764" t="s">
        <v>325</v>
      </c>
      <c r="X11" s="764" t="s">
        <v>451</v>
      </c>
      <c r="Y11" s="643" t="s">
        <v>296</v>
      </c>
    </row>
    <row r="12" spans="1:27" s="284" customFormat="1" ht="18.95" customHeight="1" x14ac:dyDescent="0.25">
      <c r="B12" s="1005" t="s">
        <v>319</v>
      </c>
      <c r="C12" s="1175">
        <f>IF(ISBLANK(H4),"",INDEX(DATA_AGITO_BUILDING_25,H4+ 1, 3))</f>
        <v>0</v>
      </c>
      <c r="D12" s="1149"/>
      <c r="E12" s="1149"/>
      <c r="F12" s="1149">
        <f>IF(ISBLANK(H4),"",INDEX(DATA_AGITO_BUILDING_15,H4 + 1, 4))</f>
        <v>0</v>
      </c>
      <c r="G12" s="1149"/>
      <c r="H12" s="1150"/>
      <c r="J12" s="1128"/>
      <c r="K12" s="1124">
        <v>614</v>
      </c>
      <c r="L12" s="1134">
        <v>614</v>
      </c>
      <c r="M12" s="1134">
        <v>614</v>
      </c>
      <c r="N12" s="1134">
        <v>614</v>
      </c>
      <c r="O12" s="1134">
        <v>614</v>
      </c>
      <c r="P12" s="1134">
        <v>614</v>
      </c>
      <c r="Q12" s="1134">
        <v>614</v>
      </c>
      <c r="R12" s="1134">
        <v>614</v>
      </c>
      <c r="S12" s="741" cm="1">
        <f t="array" ref="S12">IF(ISBLANK(C4),"",(SUM(K15:R15) + C4) / AGITO_WEAPON_MUB_614_SILVER + F4)</f>
        <v>19.5</v>
      </c>
      <c r="T12" s="592" cm="1">
        <f t="array" ref="T12">IF(ISBLANK(C4),"",-((G4-F4) * AGITO_WEAPON_MUB_614_SILVER - SUM(K15:R15) - C4))</f>
        <v>-100</v>
      </c>
      <c r="U12" s="735" t="s">
        <v>65</v>
      </c>
      <c r="V12" s="765">
        <f>IF(AND(L4&gt;0,T12&lt;0), _xlfn.CEILING.MATH(-T12/M4),"")</f>
        <v>14</v>
      </c>
      <c r="W12" s="766">
        <f>IF(AND(N4&gt;0,T12&lt;0), _xlfn.CEILING.MATH(-T12/O4),"")</f>
        <v>39</v>
      </c>
      <c r="X12" s="767" t="s">
        <v>131</v>
      </c>
      <c r="Y12" s="645">
        <f>IFERROR((-G4 * AGITO_WEAPON_MUB_614_SILVER - T12)/(-G4 * AGITO_WEAPON_MUB_614_SILVER),"")</f>
        <v>0.97499999999999998</v>
      </c>
    </row>
    <row r="13" spans="1:27" s="284" customFormat="1" ht="18.95" customHeight="1" x14ac:dyDescent="0.25">
      <c r="B13" s="1007"/>
      <c r="C13" s="1176"/>
      <c r="D13" s="1151"/>
      <c r="E13" s="1151"/>
      <c r="F13" s="1151"/>
      <c r="G13" s="1151"/>
      <c r="H13" s="1152"/>
      <c r="J13" s="1128"/>
      <c r="K13" s="1125"/>
      <c r="L13" s="1135"/>
      <c r="M13" s="1135"/>
      <c r="N13" s="1135"/>
      <c r="O13" s="1135"/>
      <c r="P13" s="1135"/>
      <c r="Q13" s="1135"/>
      <c r="R13" s="1135"/>
      <c r="S13" s="742" cm="1">
        <f t="array" ref="S13">IF(ISBLANK(D4),"",(SUM(K16:R16) + D4) / AGITO_WEAPON_MUB_614_GOLD + F4)</f>
        <v>19.206666666666667</v>
      </c>
      <c r="T13" s="593" cm="1">
        <f t="array" ref="T13">IF(ISBLANK(D4),"",-((G4-F4) * AGITO_WEAPON_MUB_614_GOLD - SUM(K16:R16) - D4))</f>
        <v>-119</v>
      </c>
      <c r="U13" s="733" t="s">
        <v>64</v>
      </c>
      <c r="V13" s="768" t="s">
        <v>131</v>
      </c>
      <c r="W13" s="769">
        <f>IF(AND(N4&gt;0,T13&lt;0), _xlfn.CEILING.MATH(-T13/P4),"")</f>
        <v>35</v>
      </c>
      <c r="X13" s="770" t="str">
        <f>IF(AND(Q4&gt;0,T13&lt;0), _xlfn.CEILING.MATH(-T13/R4),"")</f>
        <v/>
      </c>
      <c r="Y13" s="646">
        <f>IFERROR((-G4 * AGITO_WEAPON_MUB_614_GOLD - T13)/(-G4 * AGITO_WEAPON_MUB_614_GOLD),"")</f>
        <v>0.96033333333333337</v>
      </c>
    </row>
    <row r="14" spans="1:27" s="284" customFormat="1" ht="18.95" customHeight="1" x14ac:dyDescent="0.25">
      <c r="B14" s="1007"/>
      <c r="C14" s="1176"/>
      <c r="D14" s="1151"/>
      <c r="E14" s="1151"/>
      <c r="F14" s="1151"/>
      <c r="G14" s="1151"/>
      <c r="H14" s="1152"/>
      <c r="J14" s="1128"/>
      <c r="K14" s="1125"/>
      <c r="L14" s="1135"/>
      <c r="M14" s="1135"/>
      <c r="N14" s="1135"/>
      <c r="O14" s="1135"/>
      <c r="P14" s="1135"/>
      <c r="Q14" s="1135"/>
      <c r="R14" s="1135"/>
      <c r="S14" s="742" t="str" cm="1">
        <f t="array" ref="S14">IF(ISBLANK(E5),"",(SUM(K17:R17) + E4) / AGITO_WEAPON_MUB_614_POT + F4)</f>
        <v/>
      </c>
      <c r="T14" s="593" t="str" cm="1">
        <f t="array" ref="T14">IF(ISBLANK(E4),"",-((G4-F4) * AGITO_WEAPON_MUB_614_POT - SUM(K17:R17) - E4))</f>
        <v/>
      </c>
      <c r="U14" s="733" t="s">
        <v>448</v>
      </c>
      <c r="V14" s="768" t="s">
        <v>131</v>
      </c>
      <c r="W14" s="769" t="s">
        <v>131</v>
      </c>
      <c r="X14" s="770" t="str">
        <f>IF(AND(Q4&gt;0,T14&lt;0), _xlfn.CEILING.MATH(-T14/S4),"")</f>
        <v/>
      </c>
      <c r="Y14" s="646" t="str">
        <f>IFERROR((-G4 * AGITO_WEAPON_MUB_614_POT - T14)/(-G4 * AGITO_WEAPON_MUB_614_POT),"")</f>
        <v/>
      </c>
    </row>
    <row r="15" spans="1:27" ht="20.25" hidden="1" customHeight="1" x14ac:dyDescent="0.25">
      <c r="B15" s="719"/>
      <c r="C15" s="855"/>
      <c r="D15" s="736"/>
      <c r="E15" s="736"/>
      <c r="F15" s="736"/>
      <c r="G15" s="736"/>
      <c r="H15" s="856"/>
      <c r="J15" s="1128"/>
      <c r="K15" s="651">
        <f>_xlfn.IFNA(VLOOKUP(K12,DATA_AGITO_WEAPON,2,FALSE), 0)</f>
        <v>200</v>
      </c>
      <c r="L15" s="652">
        <f>_xlfn.IFNA(VLOOKUP(L12,DATA_AGITO_WEAPON,2,FALSE), 0)</f>
        <v>200</v>
      </c>
      <c r="M15" s="652">
        <f>_xlfn.IFNA(VLOOKUP(M12,DATA_AGITO_WEAPON,2,FALSE), 0)</f>
        <v>200</v>
      </c>
      <c r="N15" s="652">
        <f>_xlfn.IFNA(VLOOKUP(N12,DATA_AGITO_WEAPON,2,FALSE), 0)</f>
        <v>200</v>
      </c>
      <c r="O15" s="652">
        <f>_xlfn.IFNA(VLOOKUP(O12,DATA_AGITO_WEAPON,2,FALSE), 0)</f>
        <v>200</v>
      </c>
      <c r="P15" s="652">
        <f>_xlfn.IFNA(VLOOKUP(P12,DATA_AGITO_WEAPON,2,FALSE), 0)</f>
        <v>200</v>
      </c>
      <c r="Q15" s="652">
        <f>_xlfn.IFNA(VLOOKUP(Q12,DATA_AGITO_WEAPON,2,FALSE), 0)</f>
        <v>200</v>
      </c>
      <c r="R15" s="652">
        <f>_xlfn.IFNA(VLOOKUP(R12,DATA_AGITO_WEAPON,2,FALSE), 0)</f>
        <v>200</v>
      </c>
      <c r="S15" s="742"/>
      <c r="T15" s="607"/>
      <c r="U15" s="733"/>
      <c r="V15" s="768"/>
      <c r="W15" s="769"/>
      <c r="X15" s="770"/>
      <c r="Y15" s="646"/>
    </row>
    <row r="16" spans="1:27" ht="39.75" hidden="1" customHeight="1" x14ac:dyDescent="0.25">
      <c r="B16" s="719"/>
      <c r="C16" s="855"/>
      <c r="D16" s="736"/>
      <c r="E16" s="736"/>
      <c r="F16" s="736"/>
      <c r="G16" s="736"/>
      <c r="H16" s="856"/>
      <c r="J16" s="1128"/>
      <c r="K16" s="651">
        <f>_xlfn.IFNA(VLOOKUP(K12,DATA_AGITO_WEAPON,3,FALSE), 0)</f>
        <v>150</v>
      </c>
      <c r="L16" s="652">
        <f>_xlfn.IFNA(VLOOKUP(L12,DATA_AGITO_WEAPON,3,FALSE), 0)</f>
        <v>150</v>
      </c>
      <c r="M16" s="652">
        <f>_xlfn.IFNA(VLOOKUP(M12,DATA_AGITO_WEAPON,3,FALSE), 0)</f>
        <v>150</v>
      </c>
      <c r="N16" s="652">
        <f>_xlfn.IFNA(VLOOKUP(N12,DATA_AGITO_WEAPON,3,FALSE), 0)</f>
        <v>150</v>
      </c>
      <c r="O16" s="652">
        <f>_xlfn.IFNA(VLOOKUP(O12,DATA_AGITO_WEAPON,3,FALSE), 0)</f>
        <v>150</v>
      </c>
      <c r="P16" s="652">
        <f>_xlfn.IFNA(VLOOKUP(P12,DATA_AGITO_WEAPON,3,FALSE), 0)</f>
        <v>150</v>
      </c>
      <c r="Q16" s="652">
        <f>_xlfn.IFNA(VLOOKUP(Q12,DATA_AGITO_WEAPON,3,FALSE), 0)</f>
        <v>150</v>
      </c>
      <c r="R16" s="652">
        <f>_xlfn.IFNA(VLOOKUP(R12,DATA_AGITO_WEAPON,3,FALSE), 0)</f>
        <v>150</v>
      </c>
      <c r="S16" s="742"/>
      <c r="T16" s="607"/>
      <c r="U16" s="733"/>
      <c r="V16" s="768"/>
      <c r="W16" s="769"/>
      <c r="X16" s="770"/>
      <c r="Y16" s="646"/>
    </row>
    <row r="17" spans="2:25" s="715" customFormat="1" ht="54" hidden="1" customHeight="1" x14ac:dyDescent="0.25">
      <c r="B17" s="719"/>
      <c r="C17" s="855"/>
      <c r="D17" s="736"/>
      <c r="E17" s="736"/>
      <c r="F17" s="736"/>
      <c r="G17" s="736"/>
      <c r="H17" s="856"/>
      <c r="J17" s="1128"/>
      <c r="K17" s="651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652">
        <f>_xlfn.IFNA(VLOOKUP(R12,DATA_AGITO_WEAPON,4,FALSE), 0)</f>
        <v>0</v>
      </c>
      <c r="S17" s="742"/>
      <c r="T17" s="607"/>
      <c r="U17" s="733"/>
      <c r="V17" s="768"/>
      <c r="W17" s="769"/>
      <c r="X17" s="770"/>
      <c r="Y17" s="646"/>
    </row>
    <row r="18" spans="2:25" s="284" customFormat="1" ht="18.95" customHeight="1" x14ac:dyDescent="0.25">
      <c r="B18" s="1003" t="s">
        <v>320</v>
      </c>
      <c r="C18" s="1174">
        <f>IF(ISBLANK(H5),"",INDEX(DATA_AGITO_BUILDING_25,H5+ 1, 3))</f>
        <v>0</v>
      </c>
      <c r="D18" s="1168"/>
      <c r="E18" s="1168"/>
      <c r="F18" s="1168">
        <f>IF(ISBLANK(H5),"",INDEX(DATA_AGITO_BUILDING_15,H5+ 1, 4))</f>
        <v>0</v>
      </c>
      <c r="G18" s="1168"/>
      <c r="H18" s="1169"/>
      <c r="J18" s="1128"/>
      <c r="K18" s="1123">
        <v>614</v>
      </c>
      <c r="L18" s="1122">
        <v>614</v>
      </c>
      <c r="M18" s="1122">
        <v>614</v>
      </c>
      <c r="N18" s="1122">
        <v>614</v>
      </c>
      <c r="O18" s="1122">
        <v>614</v>
      </c>
      <c r="P18" s="1122">
        <v>614</v>
      </c>
      <c r="Q18" s="1122">
        <v>614</v>
      </c>
      <c r="R18" s="1122">
        <v>614</v>
      </c>
      <c r="S18" s="742" cm="1">
        <f t="array" ref="S18">IF(ISBLANK(C5),"",(SUM(K21:R21) + C5) / AGITO_WEAPON_MUB_614_SILVER + F5)</f>
        <v>21.925000000000001</v>
      </c>
      <c r="T18" s="593" cm="1">
        <f t="array" ref="T18">IF(ISBLANK(C5),"",-((G5-F5) * AGITO_WEAPON_MUB_614_SILVER - SUM(K21:R21) - C5))</f>
        <v>385</v>
      </c>
      <c r="U18" s="733" t="s">
        <v>65</v>
      </c>
      <c r="V18" s="768" t="str">
        <f>IF(AND(L5&gt;0,T18&lt;0), _xlfn.CEILING.MATH(-T18/M5),"")</f>
        <v/>
      </c>
      <c r="W18" s="769" t="str">
        <f>IF(AND(N5&gt;0,T18&lt;0), _xlfn.CEILING.MATH(-T18/O5),"")</f>
        <v/>
      </c>
      <c r="X18" s="770" t="s">
        <v>131</v>
      </c>
      <c r="Y18" s="646">
        <f>IFERROR((-G5 * AGITO_WEAPON_MUB_614_SILVER - T18)/(-G5 * AGITO_WEAPON_MUB_614_SILVER),"")</f>
        <v>1.0962499999999999</v>
      </c>
    </row>
    <row r="19" spans="2:25" s="284" customFormat="1" ht="18.95" customHeight="1" x14ac:dyDescent="0.25">
      <c r="B19" s="1003"/>
      <c r="C19" s="1174"/>
      <c r="D19" s="1168"/>
      <c r="E19" s="1168"/>
      <c r="F19" s="1168"/>
      <c r="G19" s="1168"/>
      <c r="H19" s="1169"/>
      <c r="J19" s="1128"/>
      <c r="K19" s="1123"/>
      <c r="L19" s="1122"/>
      <c r="M19" s="1122"/>
      <c r="N19" s="1122"/>
      <c r="O19" s="1122"/>
      <c r="P19" s="1122"/>
      <c r="Q19" s="1122"/>
      <c r="R19" s="1122"/>
      <c r="S19" s="742" cm="1">
        <f t="array" ref="S19">IF(ISBLANK(D5),"",(SUM(K22:R22) + D5) / AGITO_WEAPON_MUB_614_GOLD + F5)</f>
        <v>27.68</v>
      </c>
      <c r="T19" s="593" cm="1">
        <f t="array" ref="T19">IF(ISBLANK(D5),"",-((G5-F5) * AGITO_WEAPON_MUB_614_GOLD - SUM(K22:R22) - D5))</f>
        <v>1152</v>
      </c>
      <c r="U19" s="733" t="s">
        <v>64</v>
      </c>
      <c r="V19" s="768" t="s">
        <v>131</v>
      </c>
      <c r="W19" s="769" t="str">
        <f>IF(AND(N5&gt;0,T19&lt;0), _xlfn.CEILING.MATH(-T19/P5),"")</f>
        <v/>
      </c>
      <c r="X19" s="770" t="str">
        <f>IF(AND(Q5&gt;0,T19&lt;0), _xlfn.CEILING.MATH(-T19/R5),"")</f>
        <v/>
      </c>
      <c r="Y19" s="646">
        <f>IFERROR((-G5 * AGITO_WEAPON_MUB_614_GOLD - T19)/(-G5 * AGITO_WEAPON_MUB_614_GOLD),"")</f>
        <v>1.3839999999999999</v>
      </c>
    </row>
    <row r="20" spans="2:25" s="284" customFormat="1" ht="18.95" customHeight="1" x14ac:dyDescent="0.25">
      <c r="B20" s="1003"/>
      <c r="C20" s="1174"/>
      <c r="D20" s="1168"/>
      <c r="E20" s="1168"/>
      <c r="F20" s="1168"/>
      <c r="G20" s="1168"/>
      <c r="H20" s="1169"/>
      <c r="J20" s="1128"/>
      <c r="K20" s="1123"/>
      <c r="L20" s="1122"/>
      <c r="M20" s="1122"/>
      <c r="N20" s="1122"/>
      <c r="O20" s="1122"/>
      <c r="P20" s="1122"/>
      <c r="Q20" s="1122"/>
      <c r="R20" s="1122"/>
      <c r="S20" s="742" t="str" cm="1">
        <f t="array" ref="S20">IF(ISBLANK(E5),"",(SUM(K23:R23) + E5) / AGITO_WEAPON_MUB_614_POT + F5)</f>
        <v/>
      </c>
      <c r="T20" s="593" t="str" cm="1">
        <f t="array" ref="T20">IF(ISBLANK(E5),"",-((G5-F5) * AGITO_WEAPON_MUB_614_POT - SUM(K23:R23) - E5))</f>
        <v/>
      </c>
      <c r="U20" s="733" t="s">
        <v>448</v>
      </c>
      <c r="V20" s="768" t="s">
        <v>131</v>
      </c>
      <c r="W20" s="769" t="s">
        <v>131</v>
      </c>
      <c r="X20" s="770" t="str">
        <f>IF(AND(Q5&gt;0,T20&lt;0), _xlfn.CEILING.MATH(-T20/S5),"")</f>
        <v/>
      </c>
      <c r="Y20" s="646" t="str">
        <f>IFERROR((-G5 * AGITO_WEAPON_MUB_614_POT - T20)/(-G5 * AGITO_WEAPON_MUB_614_POT),"")</f>
        <v/>
      </c>
    </row>
    <row r="21" spans="2:25" ht="26.25" hidden="1" customHeight="1" x14ac:dyDescent="0.25">
      <c r="B21" s="718"/>
      <c r="C21" s="855" t="str">
        <f>IF(ISBLANK(H10),"",INDEX(DATA_AGITO_BUILDING_25,H10+ 1, 1))</f>
        <v/>
      </c>
      <c r="D21" s="736"/>
      <c r="E21" s="736"/>
      <c r="F21" s="736" t="str">
        <f>IF(ISBLANK(H10),"",INDEX(DATA_AGITO_BUILDING_25,H10+ 1, 2))</f>
        <v/>
      </c>
      <c r="G21" s="736"/>
      <c r="H21" s="856"/>
      <c r="J21" s="1128"/>
      <c r="K21" s="653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654">
        <f>_xlfn.IFNA(VLOOKUP(R18,DATA_AGITO_WEAPON,2,FALSE), 0)</f>
        <v>200</v>
      </c>
      <c r="S21" s="742"/>
      <c r="T21" s="607"/>
      <c r="U21" s="733"/>
      <c r="V21" s="768"/>
      <c r="W21" s="769"/>
      <c r="X21" s="770"/>
      <c r="Y21" s="646"/>
    </row>
    <row r="22" spans="2:25" ht="24" hidden="1" customHeight="1" x14ac:dyDescent="0.25">
      <c r="B22" s="718"/>
      <c r="C22" s="855"/>
      <c r="D22" s="736"/>
      <c r="E22" s="736"/>
      <c r="F22" s="736"/>
      <c r="G22" s="736"/>
      <c r="H22" s="856"/>
      <c r="J22" s="1128"/>
      <c r="K22" s="653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654">
        <f>_xlfn.IFNA(VLOOKUP(R18,DATA_AGITO_WEAPON,3,FALSE), 0)</f>
        <v>150</v>
      </c>
      <c r="S22" s="742"/>
      <c r="T22" s="607"/>
      <c r="U22" s="733"/>
      <c r="V22" s="768"/>
      <c r="W22" s="769"/>
      <c r="X22" s="770"/>
      <c r="Y22" s="646"/>
    </row>
    <row r="23" spans="2:25" s="715" customFormat="1" ht="24" hidden="1" customHeight="1" x14ac:dyDescent="0.25">
      <c r="B23" s="718"/>
      <c r="C23" s="855"/>
      <c r="D23" s="736"/>
      <c r="E23" s="736"/>
      <c r="F23" s="736"/>
      <c r="G23" s="736"/>
      <c r="H23" s="856"/>
      <c r="J23" s="1128"/>
      <c r="K23" s="653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654">
        <f>_xlfn.IFNA(VLOOKUP(R18,DATA_AGITO_WEAPON,4,FALSE), 0)</f>
        <v>0</v>
      </c>
      <c r="S23" s="742"/>
      <c r="T23" s="607"/>
      <c r="U23" s="733"/>
      <c r="V23" s="768"/>
      <c r="W23" s="769"/>
      <c r="X23" s="770"/>
      <c r="Y23" s="646"/>
    </row>
    <row r="24" spans="2:25" s="284" customFormat="1" ht="18.95" customHeight="1" x14ac:dyDescent="0.25">
      <c r="B24" s="955" t="s">
        <v>321</v>
      </c>
      <c r="C24" s="1173">
        <f>IF(ISBLANK(H6),"",INDEX(DATA_AGITO_BUILDING_25,H6+ 1, 1))</f>
        <v>0</v>
      </c>
      <c r="D24" s="1166"/>
      <c r="E24" s="1166"/>
      <c r="F24" s="1166">
        <f>IF(ISBLANK(H6),"",INDEX(DATA_AGITO_BUILDING_25,H6+ 1, 2))</f>
        <v>0</v>
      </c>
      <c r="G24" s="1166"/>
      <c r="H24" s="1167"/>
      <c r="J24" s="1128"/>
      <c r="K24" s="1120">
        <v>624</v>
      </c>
      <c r="L24" s="1121">
        <v>624</v>
      </c>
      <c r="M24" s="1121">
        <v>624</v>
      </c>
      <c r="N24" s="1121">
        <v>624</v>
      </c>
      <c r="O24" s="1121">
        <v>624</v>
      </c>
      <c r="P24" s="1121">
        <v>624</v>
      </c>
      <c r="Q24" s="1121">
        <v>624</v>
      </c>
      <c r="R24" s="1121">
        <v>624</v>
      </c>
      <c r="S24" s="742" cm="1">
        <f t="array" ref="S24">IF(ISBLANK(C6),"",(SUM(K27:R27) + C6) / AGITO_WEAPON_MUB_624_SILVER + F6)</f>
        <v>19.725000000000001</v>
      </c>
      <c r="T24" s="593" cm="1">
        <f t="array" ref="T24">IF(ISBLANK(C6),"",-((G6-F6) * AGITO_WEAPON_MUB_624_SILVER-SUM(K27:R27)-C6))</f>
        <v>-77</v>
      </c>
      <c r="U24" s="733" t="s">
        <v>65</v>
      </c>
      <c r="V24" s="768">
        <f>IF(AND(T24&lt;0,L6&gt;0), _xlfn.CEILING.MATH(-T24/M6),"")</f>
        <v>11</v>
      </c>
      <c r="W24" s="769">
        <f>IF(AND(T24&lt;0,N6&gt;0), _xlfn.CEILING.MATH(-T24/O6),"")</f>
        <v>30</v>
      </c>
      <c r="X24" s="770" t="s">
        <v>131</v>
      </c>
      <c r="Y24" s="646">
        <f>IFERROR((-G6 * AGITO_WEAPON_MUB_624_SILVER - T24)/(-G6 * AGITO_WEAPON_MUB_624_SILVER),"")</f>
        <v>0.98624999999999996</v>
      </c>
    </row>
    <row r="25" spans="2:25" s="284" customFormat="1" ht="18.95" customHeight="1" x14ac:dyDescent="0.25">
      <c r="B25" s="955"/>
      <c r="C25" s="1173"/>
      <c r="D25" s="1166"/>
      <c r="E25" s="1166"/>
      <c r="F25" s="1166"/>
      <c r="G25" s="1166"/>
      <c r="H25" s="1167"/>
      <c r="J25" s="1128"/>
      <c r="K25" s="1120"/>
      <c r="L25" s="1121"/>
      <c r="M25" s="1121"/>
      <c r="N25" s="1121"/>
      <c r="O25" s="1121"/>
      <c r="P25" s="1121"/>
      <c r="Q25" s="1121"/>
      <c r="R25" s="1121"/>
      <c r="S25" s="742" cm="1">
        <f t="array" ref="S25">IF(ISBLANK(D6),"",(SUM(K28:R28) + D6) / AGITO_WEAPON_MUB_624_GOLD + F6)</f>
        <v>23.13</v>
      </c>
      <c r="T25" s="593" cm="1">
        <f t="array" ref="T25">IF(ISBLANK(D6),"",-((G6-F6) * AGITO_WEAPON_MUB_624_GOLD - SUM(K28:R28) - D6))</f>
        <v>626</v>
      </c>
      <c r="U25" s="733" t="s">
        <v>64</v>
      </c>
      <c r="V25" s="768" t="s">
        <v>131</v>
      </c>
      <c r="W25" s="769" t="str">
        <f>IF(AND(N6&gt;0,T25&lt;0), _xlfn.CEILING.MATH(-T25/P6),"")</f>
        <v/>
      </c>
      <c r="X25" s="770" t="str">
        <f>IF(AND(Q6&gt;0,T25&lt;0), _xlfn.CEILING.MATH(-T25/R6),"")</f>
        <v/>
      </c>
      <c r="Y25" s="646">
        <f>IFERROR((-G6 * AGITO_WEAPON_MUB_624_GOLD - T25)/(-G6 * AGITO_WEAPON_MUB_624_GOLD),"")</f>
        <v>1.1565000000000001</v>
      </c>
    </row>
    <row r="26" spans="2:25" s="284" customFormat="1" ht="18.95" customHeight="1" x14ac:dyDescent="0.25">
      <c r="B26" s="955"/>
      <c r="C26" s="1173"/>
      <c r="D26" s="1166"/>
      <c r="E26" s="1166"/>
      <c r="F26" s="1166"/>
      <c r="G26" s="1166"/>
      <c r="H26" s="1167"/>
      <c r="J26" s="1128"/>
      <c r="K26" s="1120"/>
      <c r="L26" s="1121"/>
      <c r="M26" s="1121"/>
      <c r="N26" s="1121"/>
      <c r="O26" s="1121"/>
      <c r="P26" s="1121"/>
      <c r="Q26" s="1121"/>
      <c r="R26" s="1121"/>
      <c r="S26" s="742" cm="1">
        <f t="array" ref="S26">IF(ISBLANK(E6),"",(SUM(K29:R29) + E6) / AGITO_WEAPON_MUB_624_POT + F6)</f>
        <v>21.657142857142858</v>
      </c>
      <c r="T26" s="593" cm="1">
        <f t="array" ref="T26">IF(ISBLANK(E6),"",-((G6-F6) * AGITO_WEAPON_MUB_624_POT - SUM(K29:R29) - E6))</f>
        <v>58</v>
      </c>
      <c r="U26" s="733" t="s">
        <v>448</v>
      </c>
      <c r="V26" s="768" t="s">
        <v>131</v>
      </c>
      <c r="W26" s="769" t="s">
        <v>131</v>
      </c>
      <c r="X26" s="770" t="str">
        <f>IF(AND(Q6&gt;0,T25&lt;0), _xlfn.CEILING.MATH(-T25/S6),"")</f>
        <v/>
      </c>
      <c r="Y26" s="646">
        <f>IFERROR((-G6 * AGITO_WEAPON_MUB_624_POT - T26)/(-G6 * AGITO_WEAPON_MUB_624_POT),"")</f>
        <v>1.082857142857143</v>
      </c>
    </row>
    <row r="27" spans="2:25" ht="27" hidden="1" customHeight="1" x14ac:dyDescent="0.25">
      <c r="B27" s="722"/>
      <c r="C27" s="855" t="str">
        <f>IF(ISBLANK(H15),"",INDEX(DATA_AGITO_BUILDING_25,H15+ 1, 1))</f>
        <v/>
      </c>
      <c r="D27" s="736"/>
      <c r="E27" s="736"/>
      <c r="F27" s="736" t="str">
        <f>IF(ISBLANK(H15),"",INDEX(DATA_AGITO_BUILDING_25,H15+ 1, 2))</f>
        <v/>
      </c>
      <c r="G27" s="736"/>
      <c r="H27" s="856"/>
      <c r="J27" s="1128"/>
      <c r="K27" s="655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656">
        <f>_xlfn.IFNA(VLOOKUP(R24,DATA_AGITO_WEAPON,2,FALSE), 0)</f>
        <v>280</v>
      </c>
      <c r="S27" s="742"/>
      <c r="T27" s="607"/>
      <c r="U27" s="733"/>
      <c r="V27" s="768"/>
      <c r="W27" s="769"/>
      <c r="X27" s="770"/>
      <c r="Y27" s="646"/>
    </row>
    <row r="28" spans="2:25" ht="29.25" hidden="1" customHeight="1" x14ac:dyDescent="0.25">
      <c r="B28" s="722"/>
      <c r="C28" s="855"/>
      <c r="D28" s="736"/>
      <c r="E28" s="736"/>
      <c r="F28" s="736"/>
      <c r="G28" s="736"/>
      <c r="H28" s="856"/>
      <c r="J28" s="1128"/>
      <c r="K28" s="655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656">
        <f>_xlfn.IFNA(VLOOKUP(R24,DATA_AGITO_WEAPON,3,FALSE), 0)</f>
        <v>200</v>
      </c>
      <c r="S28" s="742"/>
      <c r="T28" s="607"/>
      <c r="U28" s="733"/>
      <c r="V28" s="768"/>
      <c r="W28" s="769"/>
      <c r="X28" s="770"/>
      <c r="Y28" s="646"/>
    </row>
    <row r="29" spans="2:25" s="715" customFormat="1" ht="29.25" hidden="1" customHeight="1" x14ac:dyDescent="0.25">
      <c r="B29" s="722"/>
      <c r="C29" s="855"/>
      <c r="D29" s="736"/>
      <c r="E29" s="736"/>
      <c r="F29" s="736"/>
      <c r="G29" s="736"/>
      <c r="H29" s="856"/>
      <c r="J29" s="1128"/>
      <c r="K29" s="655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656">
        <f>_xlfn.IFNA(VLOOKUP(R24,DATA_AGITO_WEAPON,4,FALSE), 0)</f>
        <v>35</v>
      </c>
      <c r="S29" s="742"/>
      <c r="T29" s="607"/>
      <c r="U29" s="733"/>
      <c r="V29" s="768"/>
      <c r="W29" s="769"/>
      <c r="X29" s="770"/>
      <c r="Y29" s="646"/>
    </row>
    <row r="30" spans="2:25" ht="18.95" customHeight="1" x14ac:dyDescent="0.25">
      <c r="B30" s="980" t="s">
        <v>322</v>
      </c>
      <c r="C30" s="1172">
        <f>IF(ISBLANK(H7),"",INDEX(DATA_AGITO_BUILDING_25,H7+ 1, 3))</f>
        <v>0</v>
      </c>
      <c r="D30" s="1164"/>
      <c r="E30" s="1164"/>
      <c r="F30" s="1164">
        <f>IF(ISBLANK(H7),"",INDEX(DATA_AGITO_BUILDING_25,H7+ 1, 4))</f>
        <v>0</v>
      </c>
      <c r="G30" s="1164"/>
      <c r="H30" s="1165"/>
      <c r="J30" s="1128"/>
      <c r="K30" s="1126">
        <v>624</v>
      </c>
      <c r="L30" s="1136">
        <v>624</v>
      </c>
      <c r="M30" s="1136">
        <v>624</v>
      </c>
      <c r="N30" s="1136">
        <v>624</v>
      </c>
      <c r="O30" s="1136">
        <v>624</v>
      </c>
      <c r="P30" s="1136">
        <v>624</v>
      </c>
      <c r="Q30" s="1136">
        <v>624</v>
      </c>
      <c r="R30" s="1136">
        <v>624</v>
      </c>
      <c r="S30" s="742" cm="1">
        <f t="array" ref="S30">IF(ISBLANK(C7),"",(SUM(K33:R33) + C7) / AGITO_WEAPON_MUB_624_SILVER + F7)</f>
        <v>14.692857142857143</v>
      </c>
      <c r="T30" s="593" cm="1">
        <f t="array" ref="T30">IF(ISBLANK(C7),"",-((G7-F7) * AGITO_WEAPON_MUB_624_SILVER - SUM(K33:R33) - C7))</f>
        <v>-1486</v>
      </c>
      <c r="U30" s="733" t="s">
        <v>65</v>
      </c>
      <c r="V30" s="768">
        <f>IF(AND(T30&lt;0,L7&gt;0), _xlfn.CEILING.MATH(-T30/M7),"")</f>
        <v>207</v>
      </c>
      <c r="W30" s="769">
        <f>IF(AND(T30&lt;0,N7&gt;0), _xlfn.CEILING.MATH(-T30/O7),"")</f>
        <v>578</v>
      </c>
      <c r="X30" s="770" t="s">
        <v>131</v>
      </c>
      <c r="Y30" s="646">
        <f>IFERROR((-G7 * AGITO_WEAPON_MUB_624_SILVER - T30)/(-G7 * AGITO_WEAPON_MUB_624_SILVER),"")</f>
        <v>0.73464285714285715</v>
      </c>
    </row>
    <row r="31" spans="2:25" ht="18.95" customHeight="1" x14ac:dyDescent="0.25">
      <c r="B31" s="980"/>
      <c r="C31" s="1172"/>
      <c r="D31" s="1164"/>
      <c r="E31" s="1164"/>
      <c r="F31" s="1164"/>
      <c r="G31" s="1164"/>
      <c r="H31" s="1165"/>
      <c r="J31" s="1128"/>
      <c r="K31" s="1126"/>
      <c r="L31" s="1136"/>
      <c r="M31" s="1136"/>
      <c r="N31" s="1136"/>
      <c r="O31" s="1136"/>
      <c r="P31" s="1136"/>
      <c r="Q31" s="1136"/>
      <c r="R31" s="1136"/>
      <c r="S31" s="742" cm="1">
        <f t="array" ref="S31">IF(ISBLANK(D7),"",(SUM(K34:R34) + D7) / AGITO_WEAPON_MUB_624_GOLD + F7)</f>
        <v>18.989999999999998</v>
      </c>
      <c r="T31" s="593" cm="1">
        <f t="array" ref="T31">IF(ISBLANK(D7),"",-((G7-F7) * AGITO_WEAPON_MUB_624_GOLD - SUM(K34:R34) - D7))</f>
        <v>-202</v>
      </c>
      <c r="U31" s="733" t="s">
        <v>64</v>
      </c>
      <c r="V31" s="768" t="s">
        <v>131</v>
      </c>
      <c r="W31" s="769">
        <f>IF(AND(T31&lt;0,N7&gt;0), _xlfn.CEILING.MATH(-T31/P7),"")</f>
        <v>58</v>
      </c>
      <c r="X31" s="770">
        <f>IF(AND(T31&lt;0,Q7&gt;0), _xlfn.CEILING.MATH(-T31/R7),"")</f>
        <v>101</v>
      </c>
      <c r="Y31" s="646">
        <f>IFERROR((-G7 * AGITO_WEAPON_MUB_624_GOLD - T31)/(-G7 * AGITO_WEAPON_MUB_624_GOLD),"")</f>
        <v>0.94950000000000001</v>
      </c>
    </row>
    <row r="32" spans="2:25" s="715" customFormat="1" ht="18.95" customHeight="1" x14ac:dyDescent="0.25">
      <c r="B32" s="980"/>
      <c r="C32" s="1172"/>
      <c r="D32" s="1164"/>
      <c r="E32" s="1164"/>
      <c r="F32" s="1164"/>
      <c r="G32" s="1164"/>
      <c r="H32" s="1165"/>
      <c r="J32" s="1128"/>
      <c r="K32" s="1126"/>
      <c r="L32" s="1136"/>
      <c r="M32" s="1136"/>
      <c r="N32" s="1136"/>
      <c r="O32" s="1136"/>
      <c r="P32" s="1136"/>
      <c r="Q32" s="1136"/>
      <c r="R32" s="1136"/>
      <c r="S32" s="742" cm="1">
        <f t="array" ref="S32">IF(ISBLANK(E7),"",(SUM(K35:R35) + E7) / AGITO_WEAPON_MUB_624_POT + F7)</f>
        <v>16.371428571428574</v>
      </c>
      <c r="T32" s="593" cm="1">
        <f t="array" ref="T32">IF(ISBLANK(E7),"",-((G7-F7) * AGITO_WEAPON_MUB_624_POT - SUM(K35:R35) - E7))</f>
        <v>-127</v>
      </c>
      <c r="U32" s="733" t="s">
        <v>448</v>
      </c>
      <c r="V32" s="768" t="s">
        <v>131</v>
      </c>
      <c r="W32" s="769" t="s">
        <v>131</v>
      </c>
      <c r="X32" s="770">
        <f>IF(AND(T32&lt;0,Q7&gt;0), _xlfn.CEILING.MATH(-T32/S7),"")</f>
        <v>42</v>
      </c>
      <c r="Y32" s="646">
        <f>IFERROR((-G7 * AGITO_WEAPON_MUB_624_POT - T32)/(-G7 * AGITO_WEAPON_MUB_624_POT),"")</f>
        <v>0.81857142857142862</v>
      </c>
    </row>
    <row r="33" spans="2:25" ht="30.75" hidden="1" customHeight="1" x14ac:dyDescent="0.25">
      <c r="B33" s="721"/>
      <c r="C33" s="855" t="str">
        <f>IF(ISBLANK(H21),"",INDEX(DATA_AGITO_BUILDING_25,H21+ 1, 1))</f>
        <v/>
      </c>
      <c r="D33" s="736"/>
      <c r="E33" s="736"/>
      <c r="F33" s="736" t="str">
        <f>IF(ISBLANK(H21),"",INDEX(DATA_AGITO_BUILDING_25,H21+ 1, 2))</f>
        <v/>
      </c>
      <c r="G33" s="736"/>
      <c r="H33" s="856"/>
      <c r="J33" s="1128"/>
      <c r="K33" s="657">
        <f>_xlfn.IFNA(VLOOKUP(K30,DATA_AGITO_WEAPON,2,FALSE), 0)</f>
        <v>280</v>
      </c>
      <c r="L33" s="658">
        <f>_xlfn.IFNA(VLOOKUP(L30,DATA_AGITO_WEAPON,2,FALSE), 0)</f>
        <v>280</v>
      </c>
      <c r="M33" s="658">
        <f>_xlfn.IFNA(VLOOKUP(M30,DATA_AGITO_WEAPON,2,FALSE), 0)</f>
        <v>280</v>
      </c>
      <c r="N33" s="658">
        <f>_xlfn.IFNA(VLOOKUP(N30,DATA_AGITO_WEAPON,2,FALSE), 0)</f>
        <v>280</v>
      </c>
      <c r="O33" s="658">
        <f>_xlfn.IFNA(VLOOKUP(O30,DATA_AGITO_WEAPON,2,FALSE), 0)</f>
        <v>280</v>
      </c>
      <c r="P33" s="658">
        <f>_xlfn.IFNA(VLOOKUP(P30,DATA_AGITO_WEAPON,2,FALSE), 0)</f>
        <v>280</v>
      </c>
      <c r="Q33" s="658">
        <f>_xlfn.IFNA(VLOOKUP(Q30,DATA_AGITO_WEAPON,2,FALSE), 0)</f>
        <v>280</v>
      </c>
      <c r="R33" s="658">
        <f>_xlfn.IFNA(VLOOKUP(R30,DATA_AGITO_WEAPON,2,FALSE), 0)</f>
        <v>280</v>
      </c>
      <c r="S33" s="742"/>
      <c r="T33" s="607"/>
      <c r="U33" s="733"/>
      <c r="V33" s="768"/>
      <c r="W33" s="769"/>
      <c r="X33" s="770"/>
      <c r="Y33" s="646"/>
    </row>
    <row r="34" spans="2:25" ht="27.75" hidden="1" customHeight="1" x14ac:dyDescent="0.25">
      <c r="B34" s="721"/>
      <c r="C34" s="855"/>
      <c r="D34" s="736"/>
      <c r="E34" s="736"/>
      <c r="F34" s="736"/>
      <c r="G34" s="736"/>
      <c r="H34" s="856"/>
      <c r="J34" s="1128"/>
      <c r="K34" s="657">
        <f>_xlfn.IFNA(VLOOKUP(K30,DATA_AGITO_WEAPON,3,FALSE), 0)</f>
        <v>200</v>
      </c>
      <c r="L34" s="658">
        <f>_xlfn.IFNA(VLOOKUP(L30,DATA_AGITO_WEAPON,3,FALSE), 0)</f>
        <v>200</v>
      </c>
      <c r="M34" s="658">
        <f>_xlfn.IFNA(VLOOKUP(M30,DATA_AGITO_WEAPON,3,FALSE), 0)</f>
        <v>200</v>
      </c>
      <c r="N34" s="658">
        <f>_xlfn.IFNA(VLOOKUP(N30,DATA_AGITO_WEAPON,3,FALSE), 0)</f>
        <v>200</v>
      </c>
      <c r="O34" s="658">
        <f>_xlfn.IFNA(VLOOKUP(O30,DATA_AGITO_WEAPON,3,FALSE), 0)</f>
        <v>200</v>
      </c>
      <c r="P34" s="658">
        <f>_xlfn.IFNA(VLOOKUP(P30,DATA_AGITO_WEAPON,3,FALSE), 0)</f>
        <v>200</v>
      </c>
      <c r="Q34" s="658">
        <f>_xlfn.IFNA(VLOOKUP(Q30,DATA_AGITO_WEAPON,3,FALSE), 0)</f>
        <v>200</v>
      </c>
      <c r="R34" s="658">
        <f>_xlfn.IFNA(VLOOKUP(R30,DATA_AGITO_WEAPON,3,FALSE), 0)</f>
        <v>200</v>
      </c>
      <c r="S34" s="742"/>
      <c r="T34" s="607"/>
      <c r="U34" s="733"/>
      <c r="V34" s="768"/>
      <c r="W34" s="769"/>
      <c r="X34" s="770"/>
      <c r="Y34" s="646"/>
    </row>
    <row r="35" spans="2:25" s="715" customFormat="1" ht="27.75" hidden="1" customHeight="1" x14ac:dyDescent="0.25">
      <c r="B35" s="721"/>
      <c r="C35" s="855"/>
      <c r="D35" s="736"/>
      <c r="E35" s="736"/>
      <c r="F35" s="736"/>
      <c r="G35" s="736"/>
      <c r="H35" s="856"/>
      <c r="J35" s="1128"/>
      <c r="K35" s="657">
        <f>_xlfn.IFNA(VLOOKUP(K30,DATA_AGITO_WEAPON,4,FALSE), 0)</f>
        <v>35</v>
      </c>
      <c r="L35" s="658">
        <f>_xlfn.IFNA(VLOOKUP(L30,DATA_AGITO_WEAPON,4,FALSE), 0)</f>
        <v>35</v>
      </c>
      <c r="M35" s="658">
        <f>_xlfn.IFNA(VLOOKUP(M30,DATA_AGITO_WEAPON,4,FALSE), 0)</f>
        <v>35</v>
      </c>
      <c r="N35" s="658">
        <f>_xlfn.IFNA(VLOOKUP(N30,DATA_AGITO_WEAPON,4,FALSE), 0)</f>
        <v>35</v>
      </c>
      <c r="O35" s="658">
        <f>_xlfn.IFNA(VLOOKUP(O30,DATA_AGITO_WEAPON,4,FALSE), 0)</f>
        <v>35</v>
      </c>
      <c r="P35" s="658">
        <f>_xlfn.IFNA(VLOOKUP(P30,DATA_AGITO_WEAPON,4,FALSE), 0)</f>
        <v>35</v>
      </c>
      <c r="Q35" s="658">
        <f>_xlfn.IFNA(VLOOKUP(Q30,DATA_AGITO_WEAPON,4,FALSE), 0)</f>
        <v>35</v>
      </c>
      <c r="R35" s="658">
        <f>_xlfn.IFNA(VLOOKUP(R30,DATA_AGITO_WEAPON,4,FALSE), 0)</f>
        <v>35</v>
      </c>
      <c r="S35" s="742"/>
      <c r="T35" s="607"/>
      <c r="U35" s="733"/>
      <c r="V35" s="768"/>
      <c r="W35" s="769"/>
      <c r="X35" s="770"/>
      <c r="Y35" s="646"/>
    </row>
    <row r="36" spans="2:25" ht="18.95" customHeight="1" x14ac:dyDescent="0.25">
      <c r="B36" s="1159" t="s">
        <v>323</v>
      </c>
      <c r="C36" s="1170" t="str">
        <f>IF(ISBLANK(H8),"",INDEX(DATA_AGITO_BUILDING_25,H8+ 1, 3))</f>
        <v/>
      </c>
      <c r="D36" s="1160"/>
      <c r="E36" s="1160"/>
      <c r="F36" s="1160" t="str">
        <f>IF(ISBLANK(H8),"",INDEX(DATA_AGITO_BUILDING_15,H8+ 1, 4))</f>
        <v/>
      </c>
      <c r="G36" s="1160"/>
      <c r="H36" s="1161"/>
      <c r="J36" s="1128"/>
      <c r="K36" s="1130"/>
      <c r="L36" s="1118"/>
      <c r="M36" s="1118"/>
      <c r="N36" s="1118"/>
      <c r="O36" s="1118"/>
      <c r="P36" s="1118"/>
      <c r="Q36" s="1118"/>
      <c r="R36" s="1118"/>
      <c r="S36" s="742" t="str" cm="1">
        <f t="array" ref="S36">IF(ISBLANK(C8),"",(SUM(K39:R39) + C8) / AGITO_WEAPON_MUB_614_SILVER + F8)</f>
        <v/>
      </c>
      <c r="T36" s="593" t="str" cm="1">
        <f t="array" ref="T36">IF(ISBLANK(C8),"",-((G8-F8) * AGITO_WEAPON_MUB_614_SILVER-SUM(K39:R39)-C8))</f>
        <v/>
      </c>
      <c r="U36" s="733" t="s">
        <v>65</v>
      </c>
      <c r="V36" s="768" t="str">
        <f>IF(AND(T36&lt;0,L8&gt;0), _xlfn.CEILING.MATH(-T36/M8),"")</f>
        <v/>
      </c>
      <c r="W36" s="769" t="str">
        <f>IF(AND(T36&lt;0,N8&gt;0), _xlfn.CEILING.MATH(-T36/O8),"")</f>
        <v/>
      </c>
      <c r="X36" s="770" t="s">
        <v>131</v>
      </c>
      <c r="Y36" s="646" t="str">
        <f>IFERROR((-G8 * AGITO_WEAPON_MUB_614_SILVER - T36)/(-G8 * AGITO_WEAPON_MUB_614_SILVER),"")</f>
        <v/>
      </c>
    </row>
    <row r="37" spans="2:25" ht="18.95" customHeight="1" x14ac:dyDescent="0.25">
      <c r="B37" s="1159"/>
      <c r="C37" s="1170"/>
      <c r="D37" s="1160"/>
      <c r="E37" s="1160"/>
      <c r="F37" s="1160"/>
      <c r="G37" s="1160"/>
      <c r="H37" s="1161"/>
      <c r="J37" s="1128"/>
      <c r="K37" s="1130"/>
      <c r="L37" s="1118"/>
      <c r="M37" s="1118"/>
      <c r="N37" s="1118"/>
      <c r="O37" s="1118"/>
      <c r="P37" s="1118"/>
      <c r="Q37" s="1118"/>
      <c r="R37" s="1118"/>
      <c r="S37" s="742" t="str" cm="1">
        <f t="array" ref="S37">IF(ISBLANK(D8),"",(SUM(K40:R40) + D8) / AGITO_WEAPON_MUB_614_GOLD + F8)</f>
        <v/>
      </c>
      <c r="T37" s="593" t="str" cm="1">
        <f t="array" ref="T37">IF(ISBLANK(D8),"",-((G8-F8) * AGITO_WEAPON_MUB_614_GOLD - SUM(K40:R40) - D8))</f>
        <v/>
      </c>
      <c r="U37" s="733" t="s">
        <v>64</v>
      </c>
      <c r="V37" s="768" t="s">
        <v>131</v>
      </c>
      <c r="W37" s="769" t="str">
        <f>IF(AND(T37&lt;0,N8&gt;0), _xlfn.CEILING.MATH(-T37/P8),"")</f>
        <v/>
      </c>
      <c r="X37" s="770" t="str">
        <f>IF(AND(T37&lt;0,Q8&gt;0), _xlfn.CEILING.MATH(-T37/R8),"")</f>
        <v/>
      </c>
      <c r="Y37" s="646" t="str">
        <f>IFERROR((-G8 * AGITO_WEAPON_MUB_614_GOLD - T37)/(-G8 * AGITO_WEAPON_MUB_614_GOLD),"")</f>
        <v/>
      </c>
    </row>
    <row r="38" spans="2:25" s="715" customFormat="1" ht="18.95" customHeight="1" x14ac:dyDescent="0.25">
      <c r="B38" s="976"/>
      <c r="C38" s="1171"/>
      <c r="D38" s="1162"/>
      <c r="E38" s="1162"/>
      <c r="F38" s="1162"/>
      <c r="G38" s="1162"/>
      <c r="H38" s="1163"/>
      <c r="J38" s="1128"/>
      <c r="K38" s="1131"/>
      <c r="L38" s="1119"/>
      <c r="M38" s="1119"/>
      <c r="N38" s="1119"/>
      <c r="O38" s="1119"/>
      <c r="P38" s="1119"/>
      <c r="Q38" s="1119"/>
      <c r="R38" s="1119"/>
      <c r="S38" s="743" t="str" cm="1">
        <f t="array" ref="S38">IF(ISBLANK(E8),"",(SUM(K41:R41) + E8) / AGITO_WEAPON_MUB_614_POT + F8)</f>
        <v/>
      </c>
      <c r="T38" s="594" t="str" cm="1">
        <f t="array" ref="T38">IF(ISBLANK(E8),"",-((G8-F8) * AGITO_WEAPON_MUB_614_GOLD - SUM(K41:R41) - E8))</f>
        <v/>
      </c>
      <c r="U38" s="734" t="s">
        <v>448</v>
      </c>
      <c r="V38" s="771" t="s">
        <v>131</v>
      </c>
      <c r="W38" s="772" t="s">
        <v>131</v>
      </c>
      <c r="X38" s="773" t="str">
        <f>IF(AND(T38&lt;0,Q8&gt;0), _xlfn.CEILING.MATH(-T38/S8),"")</f>
        <v/>
      </c>
      <c r="Y38" s="647" t="str">
        <f>IFERROR((-G8 * AGITO_WEAPON_MUB_614_POT - T38)/(-G8 * AGITO_WEAPON_MUB_614_POT),"")</f>
        <v/>
      </c>
    </row>
    <row r="39" spans="2:25" ht="36" hidden="1" customHeight="1" x14ac:dyDescent="0.25">
      <c r="C39" s="284"/>
      <c r="D39" s="284"/>
      <c r="E39" s="284"/>
      <c r="G39" s="211"/>
      <c r="H39" s="211"/>
      <c r="J39" s="1128"/>
      <c r="K39" s="56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480">
        <f>_xlfn.IFNA(VLOOKUP(R36,DATA_AGITO_WEAPON,2,FALSE), 0)</f>
        <v>0</v>
      </c>
      <c r="S39" s="738"/>
      <c r="T39" s="731"/>
      <c r="U39" s="731"/>
      <c r="V39" s="774"/>
      <c r="W39" s="774"/>
      <c r="X39" s="774"/>
      <c r="Y39" s="487"/>
    </row>
    <row r="40" spans="2:25" ht="20.25" hidden="1" customHeight="1" x14ac:dyDescent="0.25">
      <c r="G40" s="211"/>
      <c r="H40" s="211"/>
      <c r="J40" s="1128"/>
      <c r="K40" s="56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480">
        <f>_xlfn.IFNA(VLOOKUP(R36,DATA_AGITO_WEAPON,3,FALSE), 0)</f>
        <v>0</v>
      </c>
      <c r="S40" s="738"/>
      <c r="T40" s="731"/>
      <c r="U40" s="731"/>
      <c r="V40" s="774"/>
      <c r="W40" s="774"/>
      <c r="X40" s="774"/>
      <c r="Y40" s="487" t="str">
        <f>IFERROR(IF(U37=0,100%,(HDRAG_MAX_BUILDING - U37)/HDRAG_MAX_BUILDING),"")</f>
        <v/>
      </c>
    </row>
    <row r="41" spans="2:25" s="715" customFormat="1" ht="20.25" hidden="1" customHeight="1" x14ac:dyDescent="0.25">
      <c r="G41" s="211"/>
      <c r="H41" s="211"/>
      <c r="J41" s="1129"/>
      <c r="K41" s="720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481">
        <f>_xlfn.IFNA(VLOOKUP(R36,DATA_AGITO_WEAPON,4,FALSE), 0)</f>
        <v>0</v>
      </c>
      <c r="S41" s="739"/>
      <c r="T41" s="740"/>
      <c r="U41" s="740"/>
      <c r="V41" s="775"/>
      <c r="W41" s="775"/>
      <c r="X41" s="775"/>
      <c r="Y41" s="489"/>
    </row>
    <row r="42" spans="2:25" x14ac:dyDescent="0.25">
      <c r="G42" s="211"/>
      <c r="H42" s="211"/>
      <c r="J42" s="730"/>
      <c r="R42" s="602"/>
      <c r="S42" s="599"/>
      <c r="U42" s="602"/>
      <c r="X42" s="222"/>
    </row>
    <row r="43" spans="2:25" x14ac:dyDescent="0.25">
      <c r="G43" s="211"/>
      <c r="H43" s="211"/>
    </row>
    <row r="45" spans="2:25" x14ac:dyDescent="0.25">
      <c r="I45" s="659"/>
    </row>
  </sheetData>
  <mergeCells count="70">
    <mergeCell ref="C36:E38"/>
    <mergeCell ref="C30:E32"/>
    <mergeCell ref="C24:E26"/>
    <mergeCell ref="C18:E20"/>
    <mergeCell ref="C12:E14"/>
    <mergeCell ref="B36:B38"/>
    <mergeCell ref="B30:B32"/>
    <mergeCell ref="R24:R26"/>
    <mergeCell ref="R18:R20"/>
    <mergeCell ref="Q18:Q20"/>
    <mergeCell ref="P18:P20"/>
    <mergeCell ref="O18:O20"/>
    <mergeCell ref="R36:R38"/>
    <mergeCell ref="R30:R32"/>
    <mergeCell ref="Q30:Q32"/>
    <mergeCell ref="P30:P32"/>
    <mergeCell ref="O30:O32"/>
    <mergeCell ref="F36:H38"/>
    <mergeCell ref="F30:H32"/>
    <mergeCell ref="F24:H26"/>
    <mergeCell ref="F18:H20"/>
    <mergeCell ref="V2:X2"/>
    <mergeCell ref="B24:B26"/>
    <mergeCell ref="B18:B20"/>
    <mergeCell ref="B12:B14"/>
    <mergeCell ref="F2:F3"/>
    <mergeCell ref="C10:H10"/>
    <mergeCell ref="G2:G3"/>
    <mergeCell ref="F11:H11"/>
    <mergeCell ref="C11:E11"/>
    <mergeCell ref="F12:H14"/>
    <mergeCell ref="Q2:T2"/>
    <mergeCell ref="R12:R14"/>
    <mergeCell ref="J2:J9"/>
    <mergeCell ref="H2:H3"/>
    <mergeCell ref="T11:U11"/>
    <mergeCell ref="Q12:Q14"/>
    <mergeCell ref="Q36:Q38"/>
    <mergeCell ref="N30:N32"/>
    <mergeCell ref="M30:M32"/>
    <mergeCell ref="L30:L32"/>
    <mergeCell ref="P24:P26"/>
    <mergeCell ref="Q24:Q26"/>
    <mergeCell ref="P36:P38"/>
    <mergeCell ref="P12:P14"/>
    <mergeCell ref="O12:O14"/>
    <mergeCell ref="N12:N14"/>
    <mergeCell ref="N2:P2"/>
    <mergeCell ref="L2:M2"/>
    <mergeCell ref="K2:K3"/>
    <mergeCell ref="O36:O38"/>
    <mergeCell ref="O24:O26"/>
    <mergeCell ref="M12:M14"/>
    <mergeCell ref="L12:L14"/>
    <mergeCell ref="C2:E2"/>
    <mergeCell ref="N36:N38"/>
    <mergeCell ref="K24:K26"/>
    <mergeCell ref="L24:L26"/>
    <mergeCell ref="M24:M26"/>
    <mergeCell ref="N24:N26"/>
    <mergeCell ref="N18:N20"/>
    <mergeCell ref="M18:M20"/>
    <mergeCell ref="L18:L20"/>
    <mergeCell ref="K18:K20"/>
    <mergeCell ref="K12:K14"/>
    <mergeCell ref="K30:K32"/>
    <mergeCell ref="J11:J41"/>
    <mergeCell ref="K36:K38"/>
    <mergeCell ref="L36:L38"/>
    <mergeCell ref="M36:M38"/>
  </mergeCells>
  <conditionalFormatting sqref="Y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Y13:Y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Y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Y19:Y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Y24:Y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Y30:Y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K12:S12 S13:S14 K15:S18 K27:S30 S37:S38 K33:S36 S31:S32 S25 K21:S24 S19:S20">
    <cfRule type="cellIs" dxfId="6" priority="13" operator="equal">
      <formula>"D524"</formula>
    </cfRule>
  </conditionalFormatting>
  <conditionalFormatting sqref="S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Y13:Y17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Y19:Y23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Y24:Y29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Y30:Y35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H112" zoomScaleNormal="100" workbookViewId="0">
      <selection activeCell="AB120" sqref="AB120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27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80" t="s">
        <v>214</v>
      </c>
      <c r="C1" s="1180"/>
      <c r="D1" s="1180" t="s">
        <v>219</v>
      </c>
      <c r="E1" s="1180"/>
      <c r="F1" s="1183"/>
      <c r="G1" s="606" t="s">
        <v>212</v>
      </c>
      <c r="H1" s="1181" t="s">
        <v>214</v>
      </c>
      <c r="I1" s="1181"/>
      <c r="J1" s="1181" t="s">
        <v>219</v>
      </c>
      <c r="K1" s="1181"/>
      <c r="L1" s="1184"/>
      <c r="M1" s="633" t="s">
        <v>212</v>
      </c>
      <c r="N1" s="1107" t="s">
        <v>214</v>
      </c>
      <c r="O1" s="1107"/>
      <c r="P1" s="1107" t="s">
        <v>219</v>
      </c>
      <c r="Q1" s="1107"/>
      <c r="R1" s="1108"/>
      <c r="S1" s="605" t="s">
        <v>212</v>
      </c>
      <c r="T1" s="1182" t="s">
        <v>214</v>
      </c>
      <c r="U1" s="1182"/>
      <c r="V1" s="1182" t="s">
        <v>219</v>
      </c>
      <c r="W1" s="1182"/>
      <c r="X1" s="1112"/>
      <c r="Y1" s="732" t="s">
        <v>212</v>
      </c>
      <c r="Z1" s="1177" t="s">
        <v>214</v>
      </c>
      <c r="AA1" s="1177"/>
      <c r="AB1" s="1177" t="s">
        <v>219</v>
      </c>
      <c r="AC1" s="1177"/>
      <c r="AD1" s="1178"/>
      <c r="AF1" s="1179" t="s">
        <v>326</v>
      </c>
      <c r="AG1" s="1179" t="s">
        <v>497</v>
      </c>
      <c r="AH1" s="1179"/>
      <c r="AI1" s="1179" t="s">
        <v>498</v>
      </c>
      <c r="AJ1" s="1179"/>
      <c r="AK1" s="1179" t="s">
        <v>449</v>
      </c>
      <c r="AL1" s="1179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79"/>
      <c r="AG2" s="729" t="s">
        <v>65</v>
      </c>
      <c r="AH2" s="729" t="s">
        <v>64</v>
      </c>
      <c r="AI2" s="828" t="s">
        <v>65</v>
      </c>
      <c r="AJ2" s="828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V3" s="295">
        <v>1</v>
      </c>
      <c r="W3" s="295">
        <v>3</v>
      </c>
      <c r="X3" s="295">
        <v>2</v>
      </c>
      <c r="AF3" s="603">
        <v>0</v>
      </c>
      <c r="AG3" s="715">
        <f>SUM(AK4:AK$28)</f>
        <v>825</v>
      </c>
      <c r="AH3" s="715">
        <f>SUM(AL4:AL$28)</f>
        <v>135</v>
      </c>
      <c r="AI3" s="827">
        <f>SUM(AK4:AK$18)</f>
        <v>425</v>
      </c>
      <c r="AJ3" s="827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V4" s="295">
        <v>2</v>
      </c>
      <c r="W4" s="295">
        <v>2</v>
      </c>
      <c r="X4" s="295">
        <v>1</v>
      </c>
      <c r="AF4" s="603">
        <v>1</v>
      </c>
      <c r="AG4" s="715">
        <f>SUM(AK5:AK$28)</f>
        <v>815</v>
      </c>
      <c r="AH4" s="715">
        <f>SUM(AL5:AL$28)</f>
        <v>135</v>
      </c>
      <c r="AI4" s="827">
        <f>SUM(AK5:AK$18)</f>
        <v>415</v>
      </c>
      <c r="AJ4" s="827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V5" s="295">
        <v>3</v>
      </c>
      <c r="W5" s="295">
        <v>4</v>
      </c>
      <c r="X5" s="295">
        <v>1</v>
      </c>
      <c r="AF5" s="603">
        <v>2</v>
      </c>
      <c r="AG5" s="715">
        <f>SUM(AK6:AK$28)</f>
        <v>805</v>
      </c>
      <c r="AH5" s="715">
        <f>SUM(AL6:AL$28)</f>
        <v>135</v>
      </c>
      <c r="AI5" s="827">
        <f>SUM(AK6:AK$18)</f>
        <v>405</v>
      </c>
      <c r="AJ5" s="827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V6" s="295">
        <v>3</v>
      </c>
      <c r="W6" s="295">
        <v>4</v>
      </c>
      <c r="X6" s="295">
        <v>1</v>
      </c>
      <c r="AF6" s="603">
        <v>3</v>
      </c>
      <c r="AG6" s="715">
        <f>SUM(AK7:AK$28)</f>
        <v>785</v>
      </c>
      <c r="AH6" s="715">
        <f>SUM(AL7:AL$28)</f>
        <v>135</v>
      </c>
      <c r="AI6" s="827">
        <f>SUM(AK7:AK$18)</f>
        <v>385</v>
      </c>
      <c r="AJ6" s="827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V7" s="295">
        <v>3</v>
      </c>
      <c r="W7" s="295">
        <v>4</v>
      </c>
      <c r="X7" s="295">
        <v>1</v>
      </c>
      <c r="AF7" s="603">
        <v>4</v>
      </c>
      <c r="AG7" s="715">
        <f>SUM(AK8:AK$28)</f>
        <v>765</v>
      </c>
      <c r="AH7" s="715">
        <f>SUM(AL8:AL$28)</f>
        <v>135</v>
      </c>
      <c r="AI7" s="827">
        <f>SUM(AK8:AK$18)</f>
        <v>365</v>
      </c>
      <c r="AJ7" s="827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V8" s="295">
        <v>3</v>
      </c>
      <c r="W8" s="295">
        <v>4</v>
      </c>
      <c r="X8" s="295">
        <v>1</v>
      </c>
      <c r="AF8" s="603">
        <v>5</v>
      </c>
      <c r="AG8" s="715">
        <f>SUM(AK9:AK$28)</f>
        <v>735</v>
      </c>
      <c r="AH8" s="715">
        <f>SUM(AL9:AL$28)</f>
        <v>135</v>
      </c>
      <c r="AI8" s="827">
        <f>SUM(AK9:AK$18)</f>
        <v>335</v>
      </c>
      <c r="AJ8" s="827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V9" s="295">
        <v>3</v>
      </c>
      <c r="W9" s="295">
        <v>2</v>
      </c>
      <c r="X9" s="295">
        <v>1</v>
      </c>
      <c r="AF9" s="603">
        <v>6</v>
      </c>
      <c r="AG9" s="715">
        <f>SUM(AK10:AK$28)</f>
        <v>705</v>
      </c>
      <c r="AH9" s="715">
        <f>SUM(AL10:AL$28)</f>
        <v>135</v>
      </c>
      <c r="AI9" s="827">
        <f>SUM(AK10:AK$18)</f>
        <v>305</v>
      </c>
      <c r="AJ9" s="827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V10" s="295">
        <v>3</v>
      </c>
      <c r="W10" s="295">
        <v>4</v>
      </c>
      <c r="X10" s="295">
        <v>1</v>
      </c>
      <c r="AF10" s="603">
        <v>7</v>
      </c>
      <c r="AG10" s="715">
        <f>SUM(AK11:AK$28)</f>
        <v>675</v>
      </c>
      <c r="AH10" s="715">
        <f>SUM(AL11:AL$28)</f>
        <v>135</v>
      </c>
      <c r="AI10" s="827">
        <f>SUM(AK11:AK$18)</f>
        <v>275</v>
      </c>
      <c r="AJ10" s="827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V11" s="295">
        <v>2</v>
      </c>
      <c r="W11" s="295">
        <v>2</v>
      </c>
      <c r="X11" s="295">
        <v>1</v>
      </c>
      <c r="AF11" s="603">
        <v>8</v>
      </c>
      <c r="AG11" s="715">
        <f>SUM(AK12:AK$28)</f>
        <v>645</v>
      </c>
      <c r="AH11" s="715">
        <f>SUM(AL12:AL$28)</f>
        <v>135</v>
      </c>
      <c r="AI11" s="827">
        <f>SUM(AK12:AK$18)</f>
        <v>245</v>
      </c>
      <c r="AJ11" s="827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V12" s="295">
        <v>3</v>
      </c>
      <c r="W12" s="295">
        <v>4</v>
      </c>
      <c r="X12" s="295">
        <v>1</v>
      </c>
      <c r="AF12" s="603">
        <v>9</v>
      </c>
      <c r="AG12" s="715">
        <f>SUM(AK13:AK$28)</f>
        <v>615</v>
      </c>
      <c r="AH12" s="715">
        <f>SUM(AL13:AL$28)</f>
        <v>135</v>
      </c>
      <c r="AI12" s="827">
        <f>SUM(AK13:AK$18)</f>
        <v>215</v>
      </c>
      <c r="AJ12" s="827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V13" s="295">
        <v>1</v>
      </c>
      <c r="W13" s="295">
        <v>2</v>
      </c>
      <c r="X13" s="295">
        <v>1</v>
      </c>
      <c r="AF13" s="603">
        <v>10</v>
      </c>
      <c r="AG13" s="715">
        <f>SUM(AK14:AK$28)</f>
        <v>580</v>
      </c>
      <c r="AH13" s="715">
        <f>SUM(AL14:AL$28)</f>
        <v>130</v>
      </c>
      <c r="AI13" s="827">
        <f>SUM(AK14:AK$18)</f>
        <v>180</v>
      </c>
      <c r="AJ13" s="827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V14" s="295">
        <v>1</v>
      </c>
      <c r="W14" s="295">
        <v>4</v>
      </c>
      <c r="X14" s="295">
        <v>1</v>
      </c>
      <c r="AF14" s="603">
        <v>11</v>
      </c>
      <c r="AG14" s="715">
        <f>SUM(AK15:AK$28)</f>
        <v>545</v>
      </c>
      <c r="AH14" s="715">
        <f>SUM(AL15:AL$28)</f>
        <v>125</v>
      </c>
      <c r="AI14" s="827">
        <f>SUM(AK15:AK$18)</f>
        <v>145</v>
      </c>
      <c r="AJ14" s="827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V15" s="295">
        <v>2</v>
      </c>
      <c r="W15" s="295">
        <v>4</v>
      </c>
      <c r="X15" s="295">
        <v>2</v>
      </c>
      <c r="AF15" s="603">
        <v>12</v>
      </c>
      <c r="AG15" s="715">
        <f>SUM(AK16:AK$28)</f>
        <v>510</v>
      </c>
      <c r="AH15" s="715">
        <f>SUM(AL16:AL$28)</f>
        <v>120</v>
      </c>
      <c r="AI15" s="827">
        <f>SUM(AK16:AK$18)</f>
        <v>110</v>
      </c>
      <c r="AJ15" s="827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V16" s="295">
        <v>3</v>
      </c>
      <c r="W16" s="295">
        <v>4</v>
      </c>
      <c r="X16" s="295">
        <v>1</v>
      </c>
      <c r="AF16" s="603">
        <v>13</v>
      </c>
      <c r="AG16" s="715">
        <f>SUM(AK17:AK$28)</f>
        <v>475</v>
      </c>
      <c r="AH16" s="715">
        <f>SUM(AL17:AL$28)</f>
        <v>115</v>
      </c>
      <c r="AI16" s="827">
        <f>SUM(AK17:AK$18)</f>
        <v>75</v>
      </c>
      <c r="AJ16" s="827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V17" s="295">
        <v>3</v>
      </c>
      <c r="W17" s="295">
        <v>3</v>
      </c>
      <c r="X17" s="295">
        <v>1</v>
      </c>
      <c r="AF17" s="603">
        <v>14</v>
      </c>
      <c r="AG17" s="715">
        <f>SUM(AK18:AK$28)</f>
        <v>440</v>
      </c>
      <c r="AH17" s="715">
        <f>SUM(AL18:AL$28)</f>
        <v>110</v>
      </c>
      <c r="AI17" s="827">
        <f>SUM(AK18:AK$18)</f>
        <v>40</v>
      </c>
      <c r="AJ17" s="827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V18" s="295">
        <v>2</v>
      </c>
      <c r="W18" s="295">
        <v>4</v>
      </c>
      <c r="X18" s="295">
        <v>1</v>
      </c>
      <c r="AF18" s="603">
        <v>15</v>
      </c>
      <c r="AG18" s="715">
        <f>SUM(AK19:AK$28)</f>
        <v>400</v>
      </c>
      <c r="AH18" s="715">
        <f>SUM(AL19:AL$28)</f>
        <v>100</v>
      </c>
      <c r="AI18" s="827">
        <f>SUM(AM19:AM$28)</f>
        <v>0</v>
      </c>
      <c r="AJ18" s="827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V19" s="295">
        <v>1</v>
      </c>
      <c r="W19" s="295">
        <v>4</v>
      </c>
      <c r="X19" s="295">
        <v>1</v>
      </c>
      <c r="AF19" s="715">
        <v>16</v>
      </c>
      <c r="AG19" s="715">
        <f>SUM(AK20:AK$28)</f>
        <v>360</v>
      </c>
      <c r="AH19" s="715">
        <f>SUM(AL20:AL$28)</f>
        <v>90</v>
      </c>
      <c r="AI19" s="827">
        <f>SUM(AM20:AM$28)</f>
        <v>0</v>
      </c>
      <c r="AJ19" s="827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V20" s="295">
        <v>1</v>
      </c>
      <c r="W20" s="295">
        <v>4</v>
      </c>
      <c r="X20" s="295">
        <v>1</v>
      </c>
      <c r="AF20" s="715">
        <v>17</v>
      </c>
      <c r="AG20" s="715">
        <f>SUM(AK21:AK$28)</f>
        <v>320</v>
      </c>
      <c r="AH20" s="715">
        <f>SUM(AL21:AL$28)</f>
        <v>80</v>
      </c>
      <c r="AI20" s="827">
        <f>SUM(AM21:AM$28)</f>
        <v>0</v>
      </c>
      <c r="AJ20" s="827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V21" s="295">
        <v>2</v>
      </c>
      <c r="W21" s="295">
        <v>3</v>
      </c>
      <c r="X21" s="295">
        <v>1</v>
      </c>
      <c r="AF21" s="715">
        <v>18</v>
      </c>
      <c r="AG21" s="715">
        <f>SUM(AK22:AK$28)</f>
        <v>280</v>
      </c>
      <c r="AH21" s="715">
        <f>SUM(AL22:AL$28)</f>
        <v>70</v>
      </c>
      <c r="AI21" s="827">
        <f>SUM(AM22:AM$28)</f>
        <v>0</v>
      </c>
      <c r="AJ21" s="827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V22" s="295">
        <v>1</v>
      </c>
      <c r="W22" s="295">
        <v>3</v>
      </c>
      <c r="X22" s="295">
        <v>1</v>
      </c>
      <c r="AF22" s="715">
        <v>19</v>
      </c>
      <c r="AG22" s="715">
        <f>SUM(AK23:AK$28)</f>
        <v>240</v>
      </c>
      <c r="AH22" s="715">
        <f>SUM(AL23:AL$28)</f>
        <v>60</v>
      </c>
      <c r="AI22" s="827">
        <f>SUM(AM23:AM$28)</f>
        <v>0</v>
      </c>
      <c r="AJ22" s="827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V23" s="295">
        <v>1</v>
      </c>
      <c r="W23" s="295">
        <v>3</v>
      </c>
      <c r="X23" s="295">
        <v>1</v>
      </c>
      <c r="AF23" s="715">
        <v>20</v>
      </c>
      <c r="AG23" s="715">
        <f>SUM(AK24:AK$28)</f>
        <v>200</v>
      </c>
      <c r="AH23" s="715">
        <f>SUM(AL24:AL$28)</f>
        <v>50</v>
      </c>
      <c r="AI23" s="827">
        <f>SUM(AM24:AM$28)</f>
        <v>0</v>
      </c>
      <c r="AJ23" s="827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V24" s="295">
        <v>2</v>
      </c>
      <c r="W24" s="295">
        <v>3</v>
      </c>
      <c r="X24" s="295">
        <v>1</v>
      </c>
      <c r="AF24" s="715">
        <v>21</v>
      </c>
      <c r="AG24" s="715">
        <f>SUM(AK25:AK$28)</f>
        <v>160</v>
      </c>
      <c r="AH24" s="715">
        <f>SUM(AL25:AL$28)</f>
        <v>40</v>
      </c>
      <c r="AI24" s="827">
        <f>SUM(AM25:AM$28)</f>
        <v>0</v>
      </c>
      <c r="AJ24" s="827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V25" s="295">
        <v>1</v>
      </c>
      <c r="W25" s="295">
        <v>4</v>
      </c>
      <c r="X25" s="295">
        <v>1</v>
      </c>
      <c r="AF25" s="715">
        <v>22</v>
      </c>
      <c r="AG25" s="715">
        <f>SUM(AK26:AK$28)</f>
        <v>120</v>
      </c>
      <c r="AH25" s="715">
        <f>SUM(AL26:AL$28)</f>
        <v>30</v>
      </c>
      <c r="AI25" s="827">
        <f>SUM(AM26:AM$28)</f>
        <v>0</v>
      </c>
      <c r="AJ25" s="827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V26" s="295">
        <v>2</v>
      </c>
      <c r="W26" s="295">
        <v>4</v>
      </c>
      <c r="X26" s="295">
        <v>1</v>
      </c>
      <c r="AF26" s="715">
        <v>23</v>
      </c>
      <c r="AG26" s="715">
        <f>SUM(AK27:AK$28)</f>
        <v>80</v>
      </c>
      <c r="AH26" s="715">
        <f>SUM(AL27:AL$28)</f>
        <v>20</v>
      </c>
      <c r="AI26" s="827">
        <f>SUM(AM27:AM$28)</f>
        <v>0</v>
      </c>
      <c r="AJ26" s="827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V27" s="295">
        <v>2</v>
      </c>
      <c r="W27" s="295">
        <v>3</v>
      </c>
      <c r="X27" s="295">
        <v>1</v>
      </c>
      <c r="AF27" s="715">
        <v>24</v>
      </c>
      <c r="AG27" s="715">
        <f>SUM(AK28:AK$28)</f>
        <v>40</v>
      </c>
      <c r="AH27" s="715">
        <f>SUM(AL28:AL$28)</f>
        <v>10</v>
      </c>
      <c r="AI27" s="827">
        <f>SUM(AM28:AM$28)</f>
        <v>0</v>
      </c>
      <c r="AJ27" s="827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V28" s="295">
        <v>1</v>
      </c>
      <c r="W28" s="295">
        <v>4</v>
      </c>
      <c r="X28" s="295">
        <v>1</v>
      </c>
      <c r="AF28" s="715">
        <v>25</v>
      </c>
      <c r="AG28" s="715">
        <v>0</v>
      </c>
      <c r="AH28" s="715">
        <v>0</v>
      </c>
      <c r="AI28" s="827">
        <v>0</v>
      </c>
      <c r="AJ28" s="827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V29" s="295">
        <v>2</v>
      </c>
      <c r="W29" s="295">
        <v>3</v>
      </c>
      <c r="X29" s="295">
        <v>1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V30" s="295">
        <v>3</v>
      </c>
      <c r="W30" s="295">
        <v>2</v>
      </c>
      <c r="X30" s="295">
        <v>1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V31" s="482">
        <v>3</v>
      </c>
      <c r="W31" s="482">
        <v>3</v>
      </c>
      <c r="X31" s="482">
        <v>2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V32" s="482">
        <v>1</v>
      </c>
      <c r="W32" s="482">
        <v>4</v>
      </c>
      <c r="X32" s="482">
        <v>1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V33" s="482">
        <v>2</v>
      </c>
      <c r="W33" s="482">
        <v>3</v>
      </c>
      <c r="X33" s="482">
        <v>1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V34" s="482">
        <v>3</v>
      </c>
      <c r="W34" s="482">
        <v>3</v>
      </c>
      <c r="X34" s="482">
        <v>1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V35" s="482">
        <v>1</v>
      </c>
      <c r="W35" s="482">
        <v>3</v>
      </c>
      <c r="X35" s="482">
        <v>2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V36" s="482">
        <v>2</v>
      </c>
      <c r="W36" s="482">
        <v>2</v>
      </c>
      <c r="X36" s="482">
        <v>1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V37" s="295">
        <v>1</v>
      </c>
      <c r="W37" s="295">
        <v>2</v>
      </c>
      <c r="X37" s="295">
        <v>1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V38" s="295">
        <v>2</v>
      </c>
      <c r="W38" s="295">
        <v>4</v>
      </c>
      <c r="X38" s="295">
        <v>1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V39" s="295">
        <v>2</v>
      </c>
      <c r="W39" s="295">
        <v>3</v>
      </c>
      <c r="X39" s="295">
        <v>2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V40" s="295">
        <v>1</v>
      </c>
      <c r="W40" s="295">
        <v>2</v>
      </c>
      <c r="X40" s="295">
        <v>1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V41" s="295">
        <v>3</v>
      </c>
      <c r="W41" s="295">
        <v>2</v>
      </c>
      <c r="X41" s="295">
        <v>1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V42" s="295">
        <v>2</v>
      </c>
      <c r="W42" s="295">
        <v>4</v>
      </c>
      <c r="X42" s="295">
        <v>1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V43" s="295">
        <v>3</v>
      </c>
      <c r="W43" s="295">
        <v>4</v>
      </c>
      <c r="X43" s="295">
        <v>2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V44" s="295">
        <v>3</v>
      </c>
      <c r="W44" s="295">
        <v>3</v>
      </c>
      <c r="X44" s="295">
        <v>1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V45" s="295">
        <v>3</v>
      </c>
      <c r="W45" s="295">
        <v>3</v>
      </c>
      <c r="X45" s="295">
        <v>1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V46" s="295">
        <v>3</v>
      </c>
      <c r="W46" s="295">
        <v>2</v>
      </c>
      <c r="X46" s="295">
        <v>1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  <c r="V47" s="295">
        <v>2</v>
      </c>
      <c r="W47" s="295">
        <v>4</v>
      </c>
      <c r="X47" s="295">
        <v>1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  <c r="V48" s="295">
        <v>3</v>
      </c>
      <c r="W48" s="295">
        <v>4</v>
      </c>
      <c r="X48" s="295">
        <v>1</v>
      </c>
    </row>
    <row r="49" spans="1:24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  <c r="V49" s="295">
        <v>2</v>
      </c>
      <c r="W49" s="295">
        <v>4</v>
      </c>
      <c r="X49" s="295">
        <v>1</v>
      </c>
    </row>
    <row r="50" spans="1:24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  <c r="V50" s="295">
        <v>3</v>
      </c>
      <c r="W50" s="295">
        <v>4</v>
      </c>
      <c r="X50" s="295">
        <v>1</v>
      </c>
    </row>
    <row r="51" spans="1:24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  <c r="V51" s="295">
        <v>1</v>
      </c>
      <c r="W51" s="295">
        <v>3</v>
      </c>
      <c r="X51" s="295">
        <v>1</v>
      </c>
    </row>
    <row r="52" spans="1:24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  <c r="V52" s="295">
        <v>2</v>
      </c>
      <c r="W52" s="295">
        <v>2</v>
      </c>
      <c r="X52" s="295">
        <v>1</v>
      </c>
    </row>
    <row r="53" spans="1:24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  <c r="V53" s="295">
        <v>2</v>
      </c>
      <c r="W53" s="295">
        <v>2</v>
      </c>
      <c r="X53" s="295">
        <v>1</v>
      </c>
    </row>
    <row r="54" spans="1:24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  <c r="V54" s="295">
        <v>1</v>
      </c>
      <c r="W54" s="295">
        <v>4</v>
      </c>
      <c r="X54" s="295">
        <v>1</v>
      </c>
    </row>
    <row r="55" spans="1:24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  <c r="V55" s="295">
        <v>3</v>
      </c>
      <c r="W55" s="295">
        <v>2</v>
      </c>
      <c r="X55" s="295">
        <v>1</v>
      </c>
    </row>
    <row r="56" spans="1:24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  <c r="V56" s="295">
        <v>3</v>
      </c>
      <c r="W56" s="295">
        <v>3</v>
      </c>
      <c r="X56" s="295">
        <v>2</v>
      </c>
    </row>
    <row r="57" spans="1:24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  <c r="V57" s="295">
        <v>1</v>
      </c>
      <c r="W57" s="295">
        <v>2</v>
      </c>
      <c r="X57" s="295">
        <v>2</v>
      </c>
    </row>
    <row r="58" spans="1:24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  <c r="V58" s="295">
        <v>3</v>
      </c>
      <c r="W58" s="295">
        <v>3</v>
      </c>
      <c r="X58" s="295">
        <v>1</v>
      </c>
    </row>
    <row r="59" spans="1:24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  <c r="V59" s="295">
        <v>2</v>
      </c>
      <c r="W59" s="295">
        <v>3</v>
      </c>
      <c r="X59" s="295">
        <v>1</v>
      </c>
    </row>
    <row r="60" spans="1:24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  <c r="V60" s="295">
        <v>1</v>
      </c>
      <c r="W60" s="295">
        <v>4</v>
      </c>
      <c r="X60" s="295">
        <v>1</v>
      </c>
    </row>
    <row r="61" spans="1:24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  <c r="V61" s="295">
        <v>2</v>
      </c>
      <c r="W61" s="295">
        <v>2</v>
      </c>
      <c r="X61" s="295">
        <v>1</v>
      </c>
    </row>
    <row r="62" spans="1:24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  <c r="V62" s="295">
        <v>1</v>
      </c>
      <c r="W62" s="295">
        <v>4</v>
      </c>
      <c r="X62" s="295">
        <v>1</v>
      </c>
    </row>
    <row r="63" spans="1:24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  <c r="V63" s="295">
        <v>3</v>
      </c>
      <c r="W63" s="295">
        <v>3</v>
      </c>
      <c r="X63" s="295">
        <v>1</v>
      </c>
    </row>
    <row r="64" spans="1:24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  <c r="V64" s="295">
        <v>2</v>
      </c>
      <c r="W64" s="295">
        <v>3</v>
      </c>
      <c r="X64" s="295">
        <v>1</v>
      </c>
    </row>
    <row r="65" spans="1:24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  <c r="V65" s="295">
        <v>2</v>
      </c>
      <c r="W65" s="295">
        <v>2</v>
      </c>
      <c r="X65" s="295">
        <v>1</v>
      </c>
    </row>
    <row r="66" spans="1:24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  <c r="V66" s="295">
        <v>1</v>
      </c>
      <c r="W66" s="295">
        <v>3</v>
      </c>
      <c r="X66" s="295">
        <v>2</v>
      </c>
    </row>
    <row r="67" spans="1:24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  <c r="V67" s="295">
        <v>2</v>
      </c>
      <c r="W67" s="295">
        <v>3</v>
      </c>
      <c r="X67" s="295">
        <v>1</v>
      </c>
    </row>
    <row r="68" spans="1:24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  <c r="V68" s="295">
        <v>2</v>
      </c>
      <c r="W68" s="295">
        <v>2</v>
      </c>
      <c r="X68" s="295">
        <v>1</v>
      </c>
    </row>
    <row r="69" spans="1:24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  <c r="V69" s="295">
        <v>2</v>
      </c>
      <c r="W69" s="295">
        <v>3</v>
      </c>
      <c r="X69" s="295">
        <v>1</v>
      </c>
    </row>
    <row r="70" spans="1:24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  <c r="V70" s="295">
        <v>1</v>
      </c>
      <c r="W70" s="295">
        <v>3</v>
      </c>
      <c r="X70" s="295">
        <v>1</v>
      </c>
    </row>
    <row r="71" spans="1:24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  <c r="V71" s="295">
        <v>1</v>
      </c>
      <c r="W71" s="295">
        <v>4</v>
      </c>
      <c r="X71" s="295">
        <v>1</v>
      </c>
    </row>
    <row r="72" spans="1:24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  <c r="V72" s="295">
        <v>3</v>
      </c>
      <c r="W72" s="295">
        <v>2</v>
      </c>
      <c r="X72" s="295">
        <v>1</v>
      </c>
    </row>
    <row r="73" spans="1:24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  <c r="V73" s="295">
        <v>3</v>
      </c>
      <c r="W73" s="295">
        <v>3</v>
      </c>
      <c r="X73" s="295">
        <v>1</v>
      </c>
    </row>
    <row r="74" spans="1:24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  <c r="V74" s="295">
        <v>1</v>
      </c>
      <c r="W74" s="295">
        <v>2</v>
      </c>
      <c r="X74" s="295">
        <v>1</v>
      </c>
    </row>
    <row r="75" spans="1:24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  <c r="V75" s="295">
        <v>1</v>
      </c>
      <c r="W75" s="295">
        <v>3</v>
      </c>
      <c r="X75" s="295">
        <v>1</v>
      </c>
    </row>
    <row r="76" spans="1:24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  <c r="V76" s="295">
        <v>1</v>
      </c>
      <c r="W76" s="295">
        <v>2</v>
      </c>
      <c r="X76" s="295">
        <v>1</v>
      </c>
    </row>
    <row r="77" spans="1:24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  <c r="V77" s="295">
        <v>2</v>
      </c>
      <c r="W77" s="295">
        <v>3</v>
      </c>
      <c r="X77" s="295">
        <v>1</v>
      </c>
    </row>
    <row r="78" spans="1:24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  <c r="V78" s="295">
        <v>3</v>
      </c>
      <c r="W78" s="295">
        <v>3</v>
      </c>
      <c r="X78" s="295">
        <v>2</v>
      </c>
    </row>
    <row r="79" spans="1:24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  <c r="V79" s="295">
        <v>1</v>
      </c>
      <c r="W79" s="295">
        <v>4</v>
      </c>
      <c r="X79" s="295">
        <v>1</v>
      </c>
    </row>
    <row r="80" spans="1:24" x14ac:dyDescent="0.25">
      <c r="A80" s="175">
        <v>5</v>
      </c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  <c r="V80" s="295">
        <v>2</v>
      </c>
      <c r="W80" s="295">
        <v>4</v>
      </c>
      <c r="X80" s="295">
        <v>2</v>
      </c>
    </row>
    <row r="81" spans="1:24" x14ac:dyDescent="0.25">
      <c r="A81" s="175">
        <v>5</v>
      </c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  <c r="V81" s="295">
        <v>1</v>
      </c>
      <c r="W81" s="295">
        <v>3</v>
      </c>
      <c r="X81" s="295">
        <v>1</v>
      </c>
    </row>
    <row r="82" spans="1:24" x14ac:dyDescent="0.25">
      <c r="A82" s="175">
        <v>6</v>
      </c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  <c r="V82" s="295">
        <v>1</v>
      </c>
      <c r="W82" s="295">
        <v>2</v>
      </c>
      <c r="X82" s="295">
        <v>1</v>
      </c>
    </row>
    <row r="83" spans="1:24" x14ac:dyDescent="0.25">
      <c r="A83" s="175">
        <v>5</v>
      </c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  <c r="V83" s="295">
        <v>2</v>
      </c>
      <c r="W83" s="295">
        <v>2</v>
      </c>
      <c r="X83" s="295">
        <v>1</v>
      </c>
    </row>
    <row r="84" spans="1:24" x14ac:dyDescent="0.25">
      <c r="A84" s="175">
        <v>5</v>
      </c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  <c r="V84" s="295">
        <v>1</v>
      </c>
      <c r="W84" s="295">
        <v>4</v>
      </c>
      <c r="X84" s="295">
        <v>1</v>
      </c>
    </row>
    <row r="85" spans="1:24" x14ac:dyDescent="0.25">
      <c r="A85" s="175">
        <v>5</v>
      </c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  <c r="V85" s="295">
        <v>3</v>
      </c>
      <c r="W85" s="295">
        <v>4</v>
      </c>
      <c r="X85" s="295">
        <v>1</v>
      </c>
    </row>
    <row r="86" spans="1:24" x14ac:dyDescent="0.25">
      <c r="A86" s="175">
        <v>5</v>
      </c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  <c r="V86" s="295">
        <v>1</v>
      </c>
      <c r="W86" s="295">
        <v>2</v>
      </c>
      <c r="X86" s="295">
        <v>1</v>
      </c>
    </row>
    <row r="87" spans="1:24" x14ac:dyDescent="0.25">
      <c r="A87" s="175">
        <v>5</v>
      </c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  <c r="V87" s="295">
        <v>3</v>
      </c>
      <c r="W87" s="295">
        <v>2</v>
      </c>
      <c r="X87" s="295">
        <v>1</v>
      </c>
    </row>
    <row r="88" spans="1:24" x14ac:dyDescent="0.25">
      <c r="A88" s="175">
        <v>5</v>
      </c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  <c r="V88" s="295">
        <v>1</v>
      </c>
      <c r="W88" s="295">
        <v>3</v>
      </c>
      <c r="X88" s="295">
        <v>1</v>
      </c>
    </row>
    <row r="89" spans="1:24" x14ac:dyDescent="0.25">
      <c r="A89" s="175">
        <v>5</v>
      </c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  <c r="V89" s="295">
        <v>2</v>
      </c>
      <c r="W89" s="295">
        <v>4</v>
      </c>
      <c r="X89" s="295">
        <v>1</v>
      </c>
    </row>
    <row r="90" spans="1:24" x14ac:dyDescent="0.25">
      <c r="A90" s="175">
        <v>6</v>
      </c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  <c r="V90" s="295">
        <v>2</v>
      </c>
      <c r="W90" s="295">
        <v>4</v>
      </c>
      <c r="X90" s="295">
        <v>2</v>
      </c>
    </row>
    <row r="91" spans="1:24" x14ac:dyDescent="0.25">
      <c r="A91" s="175">
        <v>5</v>
      </c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  <c r="V91" s="868">
        <v>3</v>
      </c>
      <c r="W91" s="868">
        <v>4</v>
      </c>
      <c r="X91" s="868">
        <v>1</v>
      </c>
    </row>
    <row r="92" spans="1:24" x14ac:dyDescent="0.25">
      <c r="A92" s="175">
        <v>5</v>
      </c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  <c r="V92" s="868">
        <v>3</v>
      </c>
      <c r="W92" s="868">
        <v>2</v>
      </c>
      <c r="X92" s="868">
        <v>1</v>
      </c>
    </row>
    <row r="93" spans="1:24" x14ac:dyDescent="0.25">
      <c r="A93" s="175">
        <v>7</v>
      </c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  <c r="V93" s="868">
        <v>2</v>
      </c>
      <c r="W93" s="868">
        <v>3</v>
      </c>
      <c r="X93" s="868">
        <v>1</v>
      </c>
    </row>
    <row r="94" spans="1:24" x14ac:dyDescent="0.25">
      <c r="A94" s="175">
        <v>5</v>
      </c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  <c r="V94" s="867">
        <v>3</v>
      </c>
      <c r="W94" s="867">
        <v>2</v>
      </c>
      <c r="X94" s="867">
        <v>2</v>
      </c>
    </row>
    <row r="95" spans="1:24" x14ac:dyDescent="0.25">
      <c r="A95" s="175">
        <v>5</v>
      </c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  <c r="V95" s="867">
        <v>2</v>
      </c>
      <c r="W95" s="867">
        <v>3</v>
      </c>
      <c r="X95" s="867">
        <v>1</v>
      </c>
    </row>
    <row r="96" spans="1:24" x14ac:dyDescent="0.25">
      <c r="A96" s="175">
        <v>5</v>
      </c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S96" s="184">
        <v>5</v>
      </c>
      <c r="T96" s="295">
        <v>3</v>
      </c>
      <c r="U96" s="295">
        <v>3</v>
      </c>
      <c r="V96" s="867">
        <v>1</v>
      </c>
      <c r="W96" s="867">
        <v>4</v>
      </c>
      <c r="X96" s="867">
        <v>1</v>
      </c>
    </row>
    <row r="97" spans="1:24" x14ac:dyDescent="0.25">
      <c r="A97" s="175">
        <v>5</v>
      </c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S97" s="184">
        <v>5</v>
      </c>
      <c r="T97" s="295">
        <v>3</v>
      </c>
      <c r="U97" s="295">
        <v>3</v>
      </c>
      <c r="V97" s="867">
        <v>1</v>
      </c>
      <c r="W97" s="867">
        <v>2</v>
      </c>
      <c r="X97" s="867">
        <v>1</v>
      </c>
    </row>
    <row r="98" spans="1:24" x14ac:dyDescent="0.25">
      <c r="A98" s="175">
        <v>5</v>
      </c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S98" s="184">
        <v>5</v>
      </c>
      <c r="T98" s="295">
        <v>2</v>
      </c>
      <c r="U98" s="295">
        <v>4</v>
      </c>
      <c r="V98" s="867">
        <v>1</v>
      </c>
      <c r="W98" s="867">
        <v>2</v>
      </c>
      <c r="X98" s="867">
        <v>1</v>
      </c>
    </row>
    <row r="99" spans="1:24" x14ac:dyDescent="0.25">
      <c r="A99" s="175">
        <v>5</v>
      </c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S99" s="184">
        <v>5</v>
      </c>
      <c r="T99" s="295">
        <v>2</v>
      </c>
      <c r="U99" s="295">
        <v>4</v>
      </c>
      <c r="V99" s="867">
        <v>2</v>
      </c>
      <c r="W99" s="867">
        <v>4</v>
      </c>
      <c r="X99" s="867">
        <v>1</v>
      </c>
    </row>
    <row r="100" spans="1:24" x14ac:dyDescent="0.25">
      <c r="A100" s="175">
        <v>5</v>
      </c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S100" s="184">
        <v>5</v>
      </c>
      <c r="T100" s="295">
        <v>2</v>
      </c>
      <c r="U100" s="295">
        <v>3</v>
      </c>
      <c r="V100" s="867">
        <v>3</v>
      </c>
      <c r="W100" s="867">
        <v>3</v>
      </c>
      <c r="X100" s="867">
        <v>1</v>
      </c>
    </row>
    <row r="101" spans="1:24" x14ac:dyDescent="0.25">
      <c r="A101" s="175">
        <v>5</v>
      </c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S101" s="184">
        <v>5</v>
      </c>
      <c r="T101" s="295">
        <v>2</v>
      </c>
      <c r="U101" s="295">
        <v>3</v>
      </c>
      <c r="V101" s="867">
        <v>3</v>
      </c>
      <c r="W101" s="867">
        <v>4</v>
      </c>
      <c r="X101" s="867">
        <v>1</v>
      </c>
    </row>
    <row r="102" spans="1:24" x14ac:dyDescent="0.25">
      <c r="A102" s="175">
        <v>5</v>
      </c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S102" s="184">
        <v>5</v>
      </c>
      <c r="T102" s="295">
        <v>4</v>
      </c>
      <c r="U102" s="295">
        <v>3</v>
      </c>
      <c r="V102" s="867">
        <v>3</v>
      </c>
      <c r="W102" s="867">
        <v>3</v>
      </c>
      <c r="X102" s="867">
        <v>1</v>
      </c>
    </row>
    <row r="103" spans="1:24" x14ac:dyDescent="0.25">
      <c r="A103" s="175">
        <v>5</v>
      </c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S103" s="184">
        <v>5</v>
      </c>
      <c r="T103" s="295">
        <v>3</v>
      </c>
      <c r="U103" s="295">
        <v>4</v>
      </c>
      <c r="V103" s="867">
        <v>3</v>
      </c>
      <c r="W103" s="867">
        <v>3</v>
      </c>
      <c r="X103" s="867">
        <v>1</v>
      </c>
    </row>
    <row r="104" spans="1:24" x14ac:dyDescent="0.25">
      <c r="A104" s="175">
        <v>6</v>
      </c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S104" s="184">
        <v>5</v>
      </c>
      <c r="T104" s="295">
        <v>2</v>
      </c>
      <c r="U104" s="295">
        <v>3</v>
      </c>
      <c r="V104" s="867">
        <v>2</v>
      </c>
      <c r="W104" s="867">
        <v>2</v>
      </c>
      <c r="X104" s="867">
        <v>1</v>
      </c>
    </row>
    <row r="105" spans="1:24" x14ac:dyDescent="0.25">
      <c r="A105" s="175">
        <v>7</v>
      </c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S105" s="184">
        <v>5</v>
      </c>
      <c r="T105" s="295">
        <v>2</v>
      </c>
      <c r="U105" s="295">
        <v>4</v>
      </c>
      <c r="V105" s="867">
        <v>2</v>
      </c>
      <c r="W105" s="867">
        <v>3</v>
      </c>
      <c r="X105" s="867">
        <v>1</v>
      </c>
    </row>
    <row r="106" spans="1:24" x14ac:dyDescent="0.25">
      <c r="A106" s="175">
        <v>5</v>
      </c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  <c r="V106" s="867">
        <v>1</v>
      </c>
      <c r="W106" s="867">
        <v>3</v>
      </c>
      <c r="X106" s="867">
        <v>1</v>
      </c>
    </row>
    <row r="107" spans="1:24" x14ac:dyDescent="0.25">
      <c r="A107" s="175">
        <v>6</v>
      </c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  <c r="V107" s="867">
        <v>3</v>
      </c>
      <c r="W107" s="867">
        <v>2</v>
      </c>
      <c r="X107" s="867">
        <v>1</v>
      </c>
    </row>
    <row r="108" spans="1:24" x14ac:dyDescent="0.25">
      <c r="A108" s="175">
        <v>5</v>
      </c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  <c r="V108" s="867">
        <v>3</v>
      </c>
      <c r="W108" s="867">
        <v>3</v>
      </c>
      <c r="X108" s="867">
        <v>1</v>
      </c>
    </row>
    <row r="109" spans="1:24" x14ac:dyDescent="0.25">
      <c r="A109" s="175">
        <v>7</v>
      </c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  <c r="V109" s="867">
        <v>1</v>
      </c>
      <c r="W109" s="867">
        <v>3</v>
      </c>
      <c r="X109" s="867">
        <v>2</v>
      </c>
    </row>
    <row r="110" spans="1:24" x14ac:dyDescent="0.25">
      <c r="A110" s="175">
        <v>5</v>
      </c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  <c r="V110" s="867">
        <v>3</v>
      </c>
      <c r="W110" s="867">
        <v>3</v>
      </c>
      <c r="X110" s="867">
        <v>1</v>
      </c>
    </row>
    <row r="111" spans="1:24" x14ac:dyDescent="0.25">
      <c r="A111" s="175">
        <v>7</v>
      </c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  <c r="V111" s="867">
        <v>2</v>
      </c>
      <c r="W111" s="867">
        <v>2</v>
      </c>
      <c r="X111" s="867">
        <v>1</v>
      </c>
    </row>
    <row r="112" spans="1:24" x14ac:dyDescent="0.25">
      <c r="A112" s="175">
        <v>5</v>
      </c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  <c r="V112" s="867">
        <v>1</v>
      </c>
      <c r="W112" s="867">
        <v>2</v>
      </c>
      <c r="X112" s="867">
        <v>1</v>
      </c>
    </row>
    <row r="113" spans="1:32" x14ac:dyDescent="0.25">
      <c r="A113" s="175">
        <v>5</v>
      </c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  <c r="V113" s="867">
        <v>2</v>
      </c>
      <c r="W113" s="867">
        <v>2</v>
      </c>
      <c r="X113" s="867">
        <v>1</v>
      </c>
    </row>
    <row r="114" spans="1:32" x14ac:dyDescent="0.25">
      <c r="A114" s="175">
        <v>5</v>
      </c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  <c r="V114" s="867">
        <v>2</v>
      </c>
      <c r="W114" s="867">
        <v>3</v>
      </c>
      <c r="X114" s="867">
        <v>1</v>
      </c>
    </row>
    <row r="115" spans="1:32" x14ac:dyDescent="0.25">
      <c r="A115" s="175">
        <v>6</v>
      </c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  <c r="V115" s="867">
        <v>1</v>
      </c>
      <c r="W115" s="867">
        <v>4</v>
      </c>
      <c r="X115" s="867">
        <v>1</v>
      </c>
    </row>
    <row r="116" spans="1:32" x14ac:dyDescent="0.25">
      <c r="A116" s="175">
        <v>5</v>
      </c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  <c r="V116" s="867">
        <v>2</v>
      </c>
      <c r="W116" s="867">
        <v>3</v>
      </c>
      <c r="X116" s="867">
        <v>1</v>
      </c>
    </row>
    <row r="117" spans="1:32" x14ac:dyDescent="0.25">
      <c r="A117" s="175">
        <v>5</v>
      </c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  <c r="V117" s="867">
        <v>2</v>
      </c>
      <c r="W117" s="867">
        <v>3</v>
      </c>
      <c r="X117" s="867">
        <v>1</v>
      </c>
    </row>
    <row r="118" spans="1:32" x14ac:dyDescent="0.25">
      <c r="A118" s="175">
        <v>5</v>
      </c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  <c r="V118" s="867">
        <v>1</v>
      </c>
      <c r="W118" s="867">
        <v>3</v>
      </c>
      <c r="X118" s="867">
        <v>1</v>
      </c>
    </row>
    <row r="119" spans="1:32" x14ac:dyDescent="0.25">
      <c r="A119" s="175">
        <v>5</v>
      </c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  <c r="V119" s="867">
        <v>3</v>
      </c>
      <c r="W119" s="867">
        <v>3</v>
      </c>
      <c r="X119" s="867">
        <v>1</v>
      </c>
    </row>
    <row r="120" spans="1:32" x14ac:dyDescent="0.25">
      <c r="A120" s="175">
        <v>5</v>
      </c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  <c r="V120" s="867">
        <v>2</v>
      </c>
      <c r="W120" s="867">
        <v>2</v>
      </c>
      <c r="X120" s="867">
        <v>1</v>
      </c>
    </row>
    <row r="121" spans="1:32" x14ac:dyDescent="0.25">
      <c r="A121" s="175">
        <v>6</v>
      </c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  <c r="V121" s="867">
        <v>1</v>
      </c>
      <c r="W121" s="867">
        <v>4</v>
      </c>
      <c r="X121" s="867">
        <v>1</v>
      </c>
    </row>
    <row r="122" spans="1:32" x14ac:dyDescent="0.25">
      <c r="A122" s="175">
        <v>7</v>
      </c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  <c r="V122" s="867">
        <v>3</v>
      </c>
      <c r="W122" s="867">
        <v>2</v>
      </c>
      <c r="X122" s="867">
        <v>1</v>
      </c>
    </row>
    <row r="123" spans="1:32" x14ac:dyDescent="0.25">
      <c r="A123" s="175">
        <v>5</v>
      </c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  <c r="V123" s="867">
        <v>1</v>
      </c>
      <c r="W123" s="867">
        <v>2</v>
      </c>
      <c r="X123" s="867">
        <v>1</v>
      </c>
      <c r="AF123" s="211"/>
    </row>
    <row r="124" spans="1:32" x14ac:dyDescent="0.25">
      <c r="A124" s="175">
        <v>5</v>
      </c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  <c r="V124" s="867">
        <v>3</v>
      </c>
      <c r="W124" s="867">
        <v>4</v>
      </c>
      <c r="X124" s="867">
        <v>1</v>
      </c>
      <c r="AF124" s="211"/>
    </row>
    <row r="125" spans="1:32" x14ac:dyDescent="0.25">
      <c r="A125" s="175">
        <v>5</v>
      </c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  <c r="V125" s="867">
        <v>1</v>
      </c>
      <c r="W125" s="867">
        <v>4</v>
      </c>
      <c r="X125" s="867">
        <v>1</v>
      </c>
      <c r="AF125" s="211"/>
    </row>
    <row r="126" spans="1:32" x14ac:dyDescent="0.25">
      <c r="A126" s="175">
        <v>5</v>
      </c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  <c r="V126" s="867">
        <v>2</v>
      </c>
      <c r="W126" s="867">
        <v>3</v>
      </c>
      <c r="X126" s="867">
        <v>1</v>
      </c>
      <c r="AF126" s="211"/>
    </row>
    <row r="127" spans="1:32" x14ac:dyDescent="0.25">
      <c r="A127" s="175">
        <v>5</v>
      </c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  <c r="V127" s="867">
        <v>2</v>
      </c>
      <c r="W127" s="867">
        <v>3</v>
      </c>
      <c r="X127" s="867">
        <v>1</v>
      </c>
      <c r="AF127" s="211"/>
    </row>
    <row r="128" spans="1:32" x14ac:dyDescent="0.25">
      <c r="A128" s="175">
        <v>5</v>
      </c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  <c r="V128" s="867">
        <v>2</v>
      </c>
      <c r="W128" s="867">
        <v>4</v>
      </c>
      <c r="X128" s="867">
        <v>1</v>
      </c>
    </row>
    <row r="129" spans="1:21" x14ac:dyDescent="0.25">
      <c r="A129" s="175">
        <v>5</v>
      </c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</row>
    <row r="130" spans="1:21" x14ac:dyDescent="0.25">
      <c r="A130" s="175">
        <v>5</v>
      </c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</row>
    <row r="131" spans="1:21" x14ac:dyDescent="0.25">
      <c r="A131" s="175">
        <v>6</v>
      </c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</row>
    <row r="132" spans="1:21" x14ac:dyDescent="0.25">
      <c r="A132" s="175">
        <v>5</v>
      </c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1:21" x14ac:dyDescent="0.25">
      <c r="A133" s="175">
        <v>5</v>
      </c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1:21" x14ac:dyDescent="0.25">
      <c r="A134" s="175">
        <v>5</v>
      </c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1:21" x14ac:dyDescent="0.25">
      <c r="A135" s="175">
        <v>5</v>
      </c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1:21" x14ac:dyDescent="0.25">
      <c r="A136" s="175">
        <v>5</v>
      </c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1:21" x14ac:dyDescent="0.25">
      <c r="A137" s="175">
        <v>5</v>
      </c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1:21" x14ac:dyDescent="0.25">
      <c r="A138" s="175">
        <v>4</v>
      </c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1:21" x14ac:dyDescent="0.25">
      <c r="A139" s="175">
        <v>5</v>
      </c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1:21" x14ac:dyDescent="0.25">
      <c r="A140" s="175">
        <v>5</v>
      </c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1:21" x14ac:dyDescent="0.25">
      <c r="A141" s="175">
        <v>5</v>
      </c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1:21" x14ac:dyDescent="0.25">
      <c r="A142" s="175">
        <v>6</v>
      </c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1:21" x14ac:dyDescent="0.25">
      <c r="A143" s="175">
        <v>5</v>
      </c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1:21" x14ac:dyDescent="0.25">
      <c r="A144" s="175">
        <v>5</v>
      </c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1:21" x14ac:dyDescent="0.25">
      <c r="A145" s="175">
        <v>6</v>
      </c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1:21" x14ac:dyDescent="0.25">
      <c r="A146" s="175">
        <v>5</v>
      </c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1:21" x14ac:dyDescent="0.25">
      <c r="A147" s="175">
        <v>5</v>
      </c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1:21" x14ac:dyDescent="0.25">
      <c r="A148" s="175">
        <v>5</v>
      </c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1:21" x14ac:dyDescent="0.25">
      <c r="A149" s="175">
        <v>5</v>
      </c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1:21" x14ac:dyDescent="0.25">
      <c r="A150" s="175">
        <v>5</v>
      </c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1:21" x14ac:dyDescent="0.25">
      <c r="A151" s="175">
        <v>5</v>
      </c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1:21" x14ac:dyDescent="0.25">
      <c r="A152" s="175">
        <v>5</v>
      </c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1:21" x14ac:dyDescent="0.25">
      <c r="A153" s="175">
        <v>5</v>
      </c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1:21" x14ac:dyDescent="0.25">
      <c r="A154" s="175">
        <v>5</v>
      </c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1:21" x14ac:dyDescent="0.25">
      <c r="A155" s="175">
        <v>7</v>
      </c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1:21" x14ac:dyDescent="0.25">
      <c r="A156" s="175">
        <v>5</v>
      </c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1:21" x14ac:dyDescent="0.25">
      <c r="A157" s="175">
        <v>5</v>
      </c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1:21" x14ac:dyDescent="0.25">
      <c r="A158" s="175">
        <v>5</v>
      </c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1:21" x14ac:dyDescent="0.25">
      <c r="A159" s="175">
        <v>5</v>
      </c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1:21" x14ac:dyDescent="0.25">
      <c r="A160" s="175">
        <v>5</v>
      </c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1:21" x14ac:dyDescent="0.25">
      <c r="A161" s="175">
        <v>7</v>
      </c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1:21" x14ac:dyDescent="0.25">
      <c r="A162" s="175">
        <v>5</v>
      </c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1:21" x14ac:dyDescent="0.25">
      <c r="A163" s="175">
        <v>5</v>
      </c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1:21" x14ac:dyDescent="0.25">
      <c r="A164" s="175">
        <v>5</v>
      </c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1:21" x14ac:dyDescent="0.25">
      <c r="A165" s="175">
        <v>7</v>
      </c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1:21" x14ac:dyDescent="0.25">
      <c r="A166" s="175">
        <v>5</v>
      </c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1:21" x14ac:dyDescent="0.25">
      <c r="A167" s="175">
        <v>5</v>
      </c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1:21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1:21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1:21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1:21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1:21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1:21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1:21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1:21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1:21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2:21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2:21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2:21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2:21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2:21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2:21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2:21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2:21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2:21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2:21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2:21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2:21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2:21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2:21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2:21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2:21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2:21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2:21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2:21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2:21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2:21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2:21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2:21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2:21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2:21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2:21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2:21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2:21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2:21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2:21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2:21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2:21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2:21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2:21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2:21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2:21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2:21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2:21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2:21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2:21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2:21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2:21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2:21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2:21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2:21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2:21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2:21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2:21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2:21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2:21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2:21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2:21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2:21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2:21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2:21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2:21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2:21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2:21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2:21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2:21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2:21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2:21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2:21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2:21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2:21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2:21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2:21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2:21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2:21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2:21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2:21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2:21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2:21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2:21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2:21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2:21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2:21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2:21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2:21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2:21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2:21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2:21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2:21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2:21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2:21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2:21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2:21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2:21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2:21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2:21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2:21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2:21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2:21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2:21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2:21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2:21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2:21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2:21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2:21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2:21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2:21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2:21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2:21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2:21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2:21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2:21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2:21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2:21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2:21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2:21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2:21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2:21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2:21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2:21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2:21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2:21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2:21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2:21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2:21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2:21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2:21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2:21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2:21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2:21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2:21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2:21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2:21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2:21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2:21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2:21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2:21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2:21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2:21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2:21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2:21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2:21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2:21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2:21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2:21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2:21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2:21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2:21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2:21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2:21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2:21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2:21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2:21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2:21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2:21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2:21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2:21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2:21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2:21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2:21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2:21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2:21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2:21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2:21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2:21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2:21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2:21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2:21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2:21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2:21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2:21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2:21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2:21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2:21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2:21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2:21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2:21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2:21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2:21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2:21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2:21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2:21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2:21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2:21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2:21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2:21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2:21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2:21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2:21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2:21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2:21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2:21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2:21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2:21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2:21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2:21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2:21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2:21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2:21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2:21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2:21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2:21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2:21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2:21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2:21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2:21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2:21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2:21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2:21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2:21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2:21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2:21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2:21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2:21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2:21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2:21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2:21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2:21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2:21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2:21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2:21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2:21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2:21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2:21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2:21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2:21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2:21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2:21" x14ac:dyDescent="0.25">
      <c r="B398" s="190">
        <v>3</v>
      </c>
      <c r="C398" s="190">
        <v>4</v>
      </c>
      <c r="H398" s="238">
        <v>2</v>
      </c>
      <c r="I398" s="238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2:21" x14ac:dyDescent="0.25">
      <c r="B399" s="190">
        <v>2</v>
      </c>
      <c r="C399" s="190">
        <v>4</v>
      </c>
      <c r="H399" s="238">
        <v>2</v>
      </c>
      <c r="I399" s="238">
        <v>3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2:21" x14ac:dyDescent="0.25">
      <c r="B400" s="190">
        <v>2</v>
      </c>
      <c r="C400" s="190">
        <v>3</v>
      </c>
      <c r="H400" s="238">
        <v>2</v>
      </c>
      <c r="I400" s="238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2:21" x14ac:dyDescent="0.25">
      <c r="B401" s="190">
        <v>2</v>
      </c>
      <c r="C401" s="190">
        <v>4</v>
      </c>
      <c r="H401" s="238">
        <v>3</v>
      </c>
      <c r="I401" s="238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2:21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2:21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2:21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2:21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2:21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2:21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2:21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2:21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2:21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2:21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2:21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2:21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2:21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2:21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2:21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2:21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2:21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2:21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2:21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2:21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2:21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2:21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2:21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2:21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2:21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2:21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2:21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2:21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2:21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2:21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2:21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2:21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2:21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2:21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2:21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2:21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2:21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2:21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2:21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2:21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2:21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2:21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2:21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2:21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2:21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2:21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2:21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2:21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2:21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2:21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2:21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2:21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2:21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2:21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2:21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2:21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2:21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2:21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2:21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2:21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2:21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2:21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2:21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2:21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2:21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2:21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2:21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2:21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2:21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2:21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2:21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2:21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2:21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2:21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2:21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2:21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2:21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2:21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2:21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2:21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</row>
    <row r="482" spans="2:21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</row>
    <row r="483" spans="2:21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</row>
    <row r="484" spans="2:21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</row>
    <row r="485" spans="2:21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</row>
    <row r="486" spans="2:21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</row>
    <row r="487" spans="2:21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</row>
    <row r="488" spans="2:21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</row>
    <row r="489" spans="2:21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</row>
    <row r="490" spans="2:21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</row>
    <row r="491" spans="2:21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1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1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1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1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1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</row>
    <row r="513" spans="2:21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</row>
    <row r="514" spans="2:21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</row>
    <row r="515" spans="2:21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</row>
    <row r="516" spans="2:21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</row>
    <row r="517" spans="2:21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</row>
    <row r="518" spans="2:21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</row>
    <row r="519" spans="2:21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</row>
    <row r="520" spans="2:21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</row>
    <row r="521" spans="2:21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</row>
    <row r="522" spans="2:21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</row>
    <row r="523" spans="2:21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</row>
    <row r="524" spans="2:21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</row>
    <row r="525" spans="2:21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</row>
    <row r="526" spans="2:21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</row>
    <row r="527" spans="2:21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</row>
    <row r="528" spans="2:21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</row>
    <row r="529" spans="2:21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</row>
    <row r="530" spans="2:21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</row>
    <row r="531" spans="2:21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</row>
    <row r="532" spans="2:21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</row>
    <row r="533" spans="2:21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</row>
    <row r="534" spans="2:21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</row>
    <row r="535" spans="2:21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</row>
    <row r="536" spans="2:21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</row>
    <row r="537" spans="2:21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</row>
    <row r="538" spans="2:21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</row>
    <row r="539" spans="2:21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</row>
    <row r="540" spans="2:21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</row>
    <row r="541" spans="2:21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</row>
    <row r="542" spans="2:21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</row>
    <row r="543" spans="2:21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</row>
    <row r="544" spans="2:21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</row>
    <row r="545" spans="2:21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</row>
    <row r="546" spans="2:21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</row>
    <row r="547" spans="2:21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</row>
    <row r="548" spans="2:21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</row>
    <row r="549" spans="2:21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</row>
    <row r="550" spans="2:21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</row>
    <row r="551" spans="2:21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</row>
    <row r="552" spans="2:21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</row>
    <row r="553" spans="2:21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</row>
    <row r="554" spans="2:21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</row>
    <row r="555" spans="2:21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</row>
    <row r="556" spans="2:21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</row>
    <row r="557" spans="2:21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</row>
    <row r="558" spans="2:21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</row>
    <row r="559" spans="2:21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</row>
    <row r="560" spans="2:21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</row>
    <row r="561" spans="2:21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</row>
    <row r="562" spans="2:21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</row>
    <row r="563" spans="2:21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</row>
    <row r="564" spans="2:21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</row>
    <row r="565" spans="2:21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</row>
    <row r="566" spans="2:21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</row>
    <row r="567" spans="2:21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</row>
    <row r="568" spans="2:21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</row>
    <row r="569" spans="2:21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</row>
    <row r="570" spans="2:21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</row>
    <row r="571" spans="2:21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</row>
    <row r="572" spans="2:21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</row>
    <row r="573" spans="2:21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</row>
    <row r="574" spans="2:21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</row>
    <row r="575" spans="2:21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</row>
    <row r="576" spans="2:21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2:21" x14ac:dyDescent="0.25">
      <c r="B593" s="190">
        <v>3</v>
      </c>
      <c r="C593" s="190">
        <v>3</v>
      </c>
      <c r="N593" s="47">
        <v>2</v>
      </c>
      <c r="O593" s="47">
        <v>3</v>
      </c>
      <c r="T593" s="295">
        <v>2</v>
      </c>
      <c r="U593" s="295">
        <v>4</v>
      </c>
    </row>
    <row r="594" spans="2:21" x14ac:dyDescent="0.25">
      <c r="B594" s="190">
        <v>2</v>
      </c>
      <c r="C594" s="190">
        <v>3</v>
      </c>
      <c r="N594" s="47">
        <v>3</v>
      </c>
      <c r="O594" s="47">
        <v>3</v>
      </c>
      <c r="T594" s="295">
        <v>3</v>
      </c>
      <c r="U594" s="295">
        <v>4</v>
      </c>
    </row>
    <row r="595" spans="2:21" x14ac:dyDescent="0.25">
      <c r="B595" s="190">
        <v>2</v>
      </c>
      <c r="C595" s="190">
        <v>4</v>
      </c>
      <c r="N595" s="47">
        <v>2</v>
      </c>
      <c r="O595" s="47">
        <v>3</v>
      </c>
      <c r="T595" s="295">
        <v>3</v>
      </c>
      <c r="U595" s="295">
        <v>4</v>
      </c>
    </row>
    <row r="596" spans="2:21" x14ac:dyDescent="0.25">
      <c r="B596" s="190">
        <v>3</v>
      </c>
      <c r="C596" s="190">
        <v>4</v>
      </c>
      <c r="N596" s="47">
        <v>3</v>
      </c>
      <c r="O596" s="47">
        <v>3</v>
      </c>
      <c r="T596" s="295">
        <v>2</v>
      </c>
      <c r="U596" s="295">
        <v>3</v>
      </c>
    </row>
    <row r="597" spans="2:21" x14ac:dyDescent="0.25">
      <c r="B597" s="190">
        <v>2</v>
      </c>
      <c r="C597" s="190">
        <v>3</v>
      </c>
      <c r="N597" s="47">
        <v>2</v>
      </c>
      <c r="O597" s="47">
        <v>3</v>
      </c>
      <c r="T597" s="295">
        <v>2</v>
      </c>
      <c r="U597" s="295">
        <v>5</v>
      </c>
    </row>
    <row r="598" spans="2:21" x14ac:dyDescent="0.25">
      <c r="B598" s="190">
        <v>3</v>
      </c>
      <c r="C598" s="190">
        <v>3</v>
      </c>
      <c r="N598" s="47">
        <v>3</v>
      </c>
      <c r="O598" s="47">
        <v>3</v>
      </c>
      <c r="T598" s="295">
        <v>3</v>
      </c>
      <c r="U598" s="295">
        <v>3</v>
      </c>
    </row>
    <row r="599" spans="2:21" x14ac:dyDescent="0.25">
      <c r="B599" s="190">
        <v>2</v>
      </c>
      <c r="C599" s="190">
        <v>3</v>
      </c>
      <c r="N599" s="47">
        <v>4</v>
      </c>
      <c r="O599" s="47">
        <v>3</v>
      </c>
      <c r="T599" s="295">
        <v>3</v>
      </c>
      <c r="U599" s="295">
        <v>3</v>
      </c>
    </row>
    <row r="600" spans="2:21" x14ac:dyDescent="0.25">
      <c r="B600" s="190">
        <v>2</v>
      </c>
      <c r="C600" s="190">
        <v>4</v>
      </c>
      <c r="N600" s="47">
        <v>3</v>
      </c>
      <c r="O600" s="47">
        <v>3</v>
      </c>
      <c r="T600" s="295">
        <v>4</v>
      </c>
      <c r="U600" s="295">
        <v>3</v>
      </c>
    </row>
    <row r="601" spans="2:21" x14ac:dyDescent="0.25">
      <c r="B601" s="190">
        <v>3</v>
      </c>
      <c r="C601" s="190">
        <v>3</v>
      </c>
      <c r="N601" s="47">
        <v>2</v>
      </c>
      <c r="O601" s="47">
        <v>4</v>
      </c>
      <c r="T601" s="295">
        <v>3</v>
      </c>
      <c r="U601" s="295">
        <v>5</v>
      </c>
    </row>
    <row r="602" spans="2:21" x14ac:dyDescent="0.25">
      <c r="B602" s="190">
        <v>4</v>
      </c>
      <c r="C602" s="190">
        <v>4</v>
      </c>
      <c r="N602" s="47">
        <v>2</v>
      </c>
      <c r="O602" s="47">
        <v>3</v>
      </c>
      <c r="T602" s="295">
        <v>3</v>
      </c>
      <c r="U602" s="295">
        <v>3</v>
      </c>
    </row>
    <row r="603" spans="2:21" x14ac:dyDescent="0.25">
      <c r="B603" s="190">
        <v>4</v>
      </c>
      <c r="C603" s="190">
        <v>4</v>
      </c>
      <c r="N603" s="47">
        <v>2</v>
      </c>
      <c r="O603" s="47">
        <v>5</v>
      </c>
      <c r="T603" s="295">
        <v>2</v>
      </c>
      <c r="U603" s="295">
        <v>3</v>
      </c>
    </row>
    <row r="604" spans="2:21" x14ac:dyDescent="0.25">
      <c r="B604" s="190">
        <v>4</v>
      </c>
      <c r="C604" s="190">
        <v>3</v>
      </c>
      <c r="N604" s="47">
        <v>2</v>
      </c>
      <c r="O604" s="47">
        <v>3</v>
      </c>
      <c r="T604" s="295">
        <v>3</v>
      </c>
      <c r="U604" s="295">
        <v>3</v>
      </c>
    </row>
    <row r="605" spans="2:21" x14ac:dyDescent="0.25">
      <c r="B605" s="190">
        <v>3</v>
      </c>
      <c r="C605" s="190">
        <v>3</v>
      </c>
      <c r="N605" s="47">
        <v>3</v>
      </c>
      <c r="O605" s="47">
        <v>3</v>
      </c>
      <c r="T605" s="295">
        <v>3</v>
      </c>
      <c r="U605" s="295">
        <v>3</v>
      </c>
    </row>
    <row r="606" spans="2:21" x14ac:dyDescent="0.25">
      <c r="B606" s="190">
        <v>2</v>
      </c>
      <c r="C606" s="190">
        <v>3</v>
      </c>
      <c r="N606" s="47">
        <v>4</v>
      </c>
      <c r="O606" s="47">
        <v>4</v>
      </c>
      <c r="T606" s="295">
        <v>3</v>
      </c>
      <c r="U606" s="295">
        <v>3</v>
      </c>
    </row>
    <row r="607" spans="2:21" x14ac:dyDescent="0.25">
      <c r="B607" s="190">
        <v>3</v>
      </c>
      <c r="C607" s="190">
        <v>4</v>
      </c>
      <c r="N607" s="47">
        <v>2</v>
      </c>
      <c r="O607" s="47">
        <v>4</v>
      </c>
      <c r="T607" s="295">
        <v>2</v>
      </c>
      <c r="U607" s="295">
        <v>4</v>
      </c>
    </row>
    <row r="608" spans="2:21" x14ac:dyDescent="0.25">
      <c r="B608" s="190">
        <v>3</v>
      </c>
      <c r="C608" s="190">
        <v>3</v>
      </c>
      <c r="N608" s="47">
        <v>4</v>
      </c>
      <c r="O608" s="47">
        <v>4</v>
      </c>
      <c r="T608" s="295">
        <v>3</v>
      </c>
      <c r="U608" s="295">
        <v>3</v>
      </c>
    </row>
    <row r="609" spans="2:21" x14ac:dyDescent="0.25">
      <c r="B609" s="190">
        <v>2</v>
      </c>
      <c r="C609" s="190">
        <v>4</v>
      </c>
      <c r="N609" s="47">
        <v>2</v>
      </c>
      <c r="O609" s="47">
        <v>3</v>
      </c>
      <c r="T609" s="295">
        <v>2</v>
      </c>
      <c r="U609" s="295">
        <v>3</v>
      </c>
    </row>
    <row r="610" spans="2:21" x14ac:dyDescent="0.25">
      <c r="B610" s="190">
        <v>3</v>
      </c>
      <c r="C610" s="190">
        <v>5</v>
      </c>
      <c r="N610" s="47">
        <v>2</v>
      </c>
      <c r="O610" s="47">
        <v>4</v>
      </c>
      <c r="T610" s="295">
        <v>3</v>
      </c>
      <c r="U610" s="295">
        <v>4</v>
      </c>
    </row>
    <row r="611" spans="2:21" x14ac:dyDescent="0.25">
      <c r="B611" s="190">
        <v>2</v>
      </c>
      <c r="C611" s="190">
        <v>3</v>
      </c>
      <c r="N611" s="47">
        <v>2</v>
      </c>
      <c r="O611" s="47">
        <v>4</v>
      </c>
      <c r="T611" s="295">
        <v>2</v>
      </c>
      <c r="U611" s="295">
        <v>3</v>
      </c>
    </row>
    <row r="612" spans="2:21" x14ac:dyDescent="0.25">
      <c r="B612" s="190">
        <v>3</v>
      </c>
      <c r="C612" s="190">
        <v>3</v>
      </c>
      <c r="N612" s="47">
        <v>3</v>
      </c>
      <c r="O612" s="47">
        <v>4</v>
      </c>
      <c r="T612" s="295">
        <v>2</v>
      </c>
      <c r="U612" s="295">
        <v>4</v>
      </c>
    </row>
    <row r="613" spans="2:21" x14ac:dyDescent="0.25">
      <c r="B613" s="190">
        <v>2</v>
      </c>
      <c r="C613" s="190">
        <v>4</v>
      </c>
      <c r="N613" s="47">
        <v>3</v>
      </c>
      <c r="O613" s="47">
        <v>3</v>
      </c>
      <c r="T613" s="295">
        <v>2</v>
      </c>
      <c r="U613" s="295">
        <v>3</v>
      </c>
    </row>
    <row r="614" spans="2:21" x14ac:dyDescent="0.25">
      <c r="B614" s="190">
        <v>2</v>
      </c>
      <c r="C614" s="190">
        <v>3</v>
      </c>
      <c r="N614" s="47">
        <v>3</v>
      </c>
      <c r="O614" s="47">
        <v>4</v>
      </c>
      <c r="T614" s="295">
        <v>2</v>
      </c>
      <c r="U614" s="295">
        <v>3</v>
      </c>
    </row>
    <row r="615" spans="2:21" x14ac:dyDescent="0.25">
      <c r="B615" s="190">
        <v>4</v>
      </c>
      <c r="C615" s="190">
        <v>3</v>
      </c>
      <c r="N615" s="47">
        <v>2</v>
      </c>
      <c r="O615" s="47">
        <v>3</v>
      </c>
      <c r="T615" s="295">
        <v>3</v>
      </c>
      <c r="U615" s="295">
        <v>4</v>
      </c>
    </row>
    <row r="616" spans="2:21" x14ac:dyDescent="0.25">
      <c r="B616" s="190">
        <v>4</v>
      </c>
      <c r="C616" s="190">
        <v>3</v>
      </c>
      <c r="N616" s="47">
        <v>4</v>
      </c>
      <c r="O616" s="47">
        <v>3</v>
      </c>
      <c r="T616" s="295">
        <v>2</v>
      </c>
      <c r="U616" s="295">
        <v>4</v>
      </c>
    </row>
    <row r="617" spans="2:21" x14ac:dyDescent="0.25">
      <c r="B617" s="190">
        <v>3</v>
      </c>
      <c r="C617" s="190">
        <v>5</v>
      </c>
      <c r="N617" s="47">
        <v>2</v>
      </c>
      <c r="O617" s="47">
        <v>3</v>
      </c>
      <c r="T617" s="295">
        <v>2</v>
      </c>
      <c r="U617" s="295">
        <v>3</v>
      </c>
    </row>
    <row r="618" spans="2:21" x14ac:dyDescent="0.25">
      <c r="B618" s="190">
        <v>3</v>
      </c>
      <c r="C618" s="190">
        <v>3</v>
      </c>
      <c r="N618" s="47">
        <v>2</v>
      </c>
      <c r="O618" s="47">
        <v>4</v>
      </c>
      <c r="T618" s="295">
        <v>4</v>
      </c>
      <c r="U618" s="295">
        <v>4</v>
      </c>
    </row>
    <row r="619" spans="2:21" x14ac:dyDescent="0.25">
      <c r="B619" s="190">
        <v>2</v>
      </c>
      <c r="C619" s="190">
        <v>3</v>
      </c>
      <c r="N619" s="47">
        <v>2</v>
      </c>
      <c r="O619" s="47">
        <v>3</v>
      </c>
      <c r="T619" s="295">
        <v>3</v>
      </c>
      <c r="U619" s="295">
        <v>4</v>
      </c>
    </row>
    <row r="620" spans="2:21" x14ac:dyDescent="0.25">
      <c r="B620" s="190">
        <v>3</v>
      </c>
      <c r="C620" s="190">
        <v>4</v>
      </c>
      <c r="N620" s="47">
        <v>2</v>
      </c>
      <c r="O620" s="47">
        <v>4</v>
      </c>
      <c r="T620" s="295">
        <v>2</v>
      </c>
      <c r="U620" s="295">
        <v>3</v>
      </c>
    </row>
    <row r="621" spans="2:21" x14ac:dyDescent="0.25">
      <c r="B621" s="190">
        <v>2</v>
      </c>
      <c r="C621" s="190">
        <v>3</v>
      </c>
      <c r="N621" s="47">
        <v>2</v>
      </c>
      <c r="O621" s="47">
        <v>3</v>
      </c>
      <c r="T621" s="295">
        <v>2</v>
      </c>
      <c r="U621" s="295">
        <v>4</v>
      </c>
    </row>
    <row r="622" spans="2:21" x14ac:dyDescent="0.25">
      <c r="B622" s="190">
        <v>3</v>
      </c>
      <c r="C622" s="190">
        <v>3</v>
      </c>
      <c r="N622" s="47">
        <v>2</v>
      </c>
      <c r="O622" s="47">
        <v>3</v>
      </c>
      <c r="T622" s="295">
        <v>2</v>
      </c>
      <c r="U622" s="295">
        <v>3</v>
      </c>
    </row>
    <row r="623" spans="2:21" x14ac:dyDescent="0.25">
      <c r="B623" s="190">
        <v>3</v>
      </c>
      <c r="C623" s="190">
        <v>4</v>
      </c>
      <c r="N623" s="47">
        <v>3</v>
      </c>
      <c r="O623" s="47">
        <v>3</v>
      </c>
      <c r="T623" s="295">
        <v>2</v>
      </c>
      <c r="U623" s="295">
        <v>4</v>
      </c>
    </row>
    <row r="624" spans="2:21" x14ac:dyDescent="0.25">
      <c r="B624" s="190">
        <v>3</v>
      </c>
      <c r="C624" s="190">
        <v>3</v>
      </c>
      <c r="N624" s="47">
        <v>2</v>
      </c>
      <c r="O624" s="47">
        <v>3</v>
      </c>
      <c r="T624" s="295">
        <v>3</v>
      </c>
      <c r="U624" s="295">
        <v>3</v>
      </c>
    </row>
    <row r="625" spans="2:21" x14ac:dyDescent="0.25">
      <c r="B625" s="190">
        <v>2</v>
      </c>
      <c r="C625" s="190">
        <v>3</v>
      </c>
      <c r="N625" s="47">
        <v>3</v>
      </c>
      <c r="O625" s="47">
        <v>3</v>
      </c>
      <c r="T625" s="295">
        <v>3</v>
      </c>
      <c r="U625" s="295">
        <v>3</v>
      </c>
    </row>
    <row r="626" spans="2:21" x14ac:dyDescent="0.25">
      <c r="B626" s="190">
        <v>3</v>
      </c>
      <c r="C626" s="190">
        <v>3</v>
      </c>
      <c r="N626" s="47">
        <v>3</v>
      </c>
      <c r="O626" s="47">
        <v>3</v>
      </c>
      <c r="T626" s="295">
        <v>2</v>
      </c>
      <c r="U626" s="295">
        <v>3</v>
      </c>
    </row>
    <row r="627" spans="2:21" x14ac:dyDescent="0.25">
      <c r="B627" s="190">
        <v>3</v>
      </c>
      <c r="C627" s="190">
        <v>4</v>
      </c>
      <c r="N627" s="47">
        <v>2</v>
      </c>
      <c r="O627" s="47">
        <v>3</v>
      </c>
      <c r="T627" s="295">
        <v>4</v>
      </c>
      <c r="U627" s="295">
        <v>3</v>
      </c>
    </row>
    <row r="628" spans="2:21" x14ac:dyDescent="0.25">
      <c r="B628" s="190">
        <v>2</v>
      </c>
      <c r="C628" s="190">
        <v>3</v>
      </c>
      <c r="N628" s="47">
        <v>4</v>
      </c>
      <c r="O628" s="47">
        <v>3</v>
      </c>
      <c r="T628" s="295">
        <v>3</v>
      </c>
      <c r="U628" s="295">
        <v>3</v>
      </c>
    </row>
    <row r="629" spans="2:21" x14ac:dyDescent="0.25">
      <c r="B629" s="190">
        <v>3</v>
      </c>
      <c r="C629" s="190">
        <v>3</v>
      </c>
      <c r="N629" s="47">
        <v>3</v>
      </c>
      <c r="O629" s="47">
        <v>4</v>
      </c>
      <c r="T629" s="295">
        <v>3</v>
      </c>
      <c r="U629" s="295">
        <v>4</v>
      </c>
    </row>
    <row r="630" spans="2:21" x14ac:dyDescent="0.25">
      <c r="B630" s="190">
        <v>2</v>
      </c>
      <c r="C630" s="190">
        <v>3</v>
      </c>
      <c r="N630" s="47">
        <v>3</v>
      </c>
      <c r="O630" s="47">
        <v>3</v>
      </c>
      <c r="T630" s="295">
        <v>3</v>
      </c>
      <c r="U630" s="295">
        <v>3</v>
      </c>
    </row>
    <row r="631" spans="2:21" x14ac:dyDescent="0.25">
      <c r="B631" s="190">
        <v>2</v>
      </c>
      <c r="C631" s="190">
        <v>3</v>
      </c>
      <c r="N631" s="47">
        <v>2</v>
      </c>
      <c r="O631" s="47">
        <v>3</v>
      </c>
      <c r="T631" s="295">
        <v>3</v>
      </c>
      <c r="U631" s="295">
        <v>4</v>
      </c>
    </row>
    <row r="632" spans="2:21" x14ac:dyDescent="0.25">
      <c r="B632" s="190">
        <v>2</v>
      </c>
      <c r="C632" s="190">
        <v>4</v>
      </c>
      <c r="N632" s="47">
        <v>4</v>
      </c>
      <c r="O632" s="47">
        <v>3</v>
      </c>
      <c r="T632" s="295">
        <v>4</v>
      </c>
      <c r="U632" s="295">
        <v>4</v>
      </c>
    </row>
    <row r="633" spans="2:21" x14ac:dyDescent="0.25">
      <c r="B633" s="190">
        <v>3</v>
      </c>
      <c r="C633" s="190">
        <v>3</v>
      </c>
      <c r="N633" s="47">
        <v>2</v>
      </c>
      <c r="O633" s="47">
        <v>4</v>
      </c>
      <c r="T633" s="295">
        <v>3</v>
      </c>
      <c r="U633" s="295">
        <v>3</v>
      </c>
    </row>
    <row r="634" spans="2:21" x14ac:dyDescent="0.25">
      <c r="B634" s="190">
        <v>2</v>
      </c>
      <c r="C634" s="190">
        <v>3</v>
      </c>
      <c r="N634" s="47">
        <v>3</v>
      </c>
      <c r="O634" s="47">
        <v>3</v>
      </c>
      <c r="T634" s="295">
        <v>2</v>
      </c>
      <c r="U634" s="295">
        <v>3</v>
      </c>
    </row>
    <row r="635" spans="2:21" x14ac:dyDescent="0.25">
      <c r="B635" s="190">
        <v>2</v>
      </c>
      <c r="C635" s="190">
        <v>3</v>
      </c>
      <c r="N635" s="47">
        <v>3</v>
      </c>
      <c r="O635" s="47">
        <v>4</v>
      </c>
      <c r="T635" s="295">
        <v>3</v>
      </c>
      <c r="U635" s="295">
        <v>3</v>
      </c>
    </row>
    <row r="636" spans="2:21" x14ac:dyDescent="0.25">
      <c r="B636" s="190">
        <v>3</v>
      </c>
      <c r="C636" s="190">
        <v>3</v>
      </c>
      <c r="N636" s="47">
        <v>2</v>
      </c>
      <c r="O636" s="47">
        <v>4</v>
      </c>
      <c r="T636" s="295">
        <v>3</v>
      </c>
      <c r="U636" s="295">
        <v>3</v>
      </c>
    </row>
    <row r="637" spans="2:21" x14ac:dyDescent="0.25">
      <c r="B637" s="190">
        <v>3</v>
      </c>
      <c r="C637" s="190">
        <v>5</v>
      </c>
      <c r="N637" s="47">
        <v>3</v>
      </c>
      <c r="O637" s="47">
        <v>4</v>
      </c>
      <c r="T637" s="295">
        <v>2</v>
      </c>
      <c r="U637" s="295">
        <v>4</v>
      </c>
    </row>
    <row r="638" spans="2:21" x14ac:dyDescent="0.25">
      <c r="B638" s="190">
        <v>3</v>
      </c>
      <c r="C638" s="190">
        <v>3</v>
      </c>
      <c r="N638" s="47">
        <v>3</v>
      </c>
      <c r="O638" s="47">
        <v>3</v>
      </c>
      <c r="T638" s="295">
        <v>3</v>
      </c>
      <c r="U638" s="295">
        <v>4</v>
      </c>
    </row>
    <row r="639" spans="2:21" x14ac:dyDescent="0.25">
      <c r="B639" s="190">
        <v>3</v>
      </c>
      <c r="C639" s="190">
        <v>4</v>
      </c>
      <c r="N639" s="47">
        <v>3</v>
      </c>
      <c r="O639" s="47">
        <v>5</v>
      </c>
      <c r="T639" s="295">
        <v>4</v>
      </c>
      <c r="U639" s="295">
        <v>4</v>
      </c>
    </row>
    <row r="640" spans="2:21" x14ac:dyDescent="0.25">
      <c r="B640" s="190">
        <v>3</v>
      </c>
      <c r="C640" s="190">
        <v>4</v>
      </c>
      <c r="N640" s="47">
        <v>3</v>
      </c>
      <c r="O640" s="47">
        <v>3</v>
      </c>
      <c r="T640" s="295">
        <v>3</v>
      </c>
      <c r="U640" s="295">
        <v>3</v>
      </c>
    </row>
    <row r="641" spans="2:21" x14ac:dyDescent="0.25">
      <c r="B641" s="190">
        <v>2</v>
      </c>
      <c r="C641" s="190">
        <v>3</v>
      </c>
      <c r="N641" s="47">
        <v>2</v>
      </c>
      <c r="O641" s="47">
        <v>4</v>
      </c>
      <c r="T641" s="295">
        <v>2</v>
      </c>
      <c r="U641" s="295">
        <v>4</v>
      </c>
    </row>
    <row r="642" spans="2:21" x14ac:dyDescent="0.25">
      <c r="B642" s="190">
        <v>2</v>
      </c>
      <c r="C642" s="190">
        <v>5</v>
      </c>
      <c r="N642" s="47">
        <v>1</v>
      </c>
      <c r="O642" s="47">
        <v>3</v>
      </c>
      <c r="T642" s="295">
        <v>3</v>
      </c>
      <c r="U642" s="295">
        <v>5</v>
      </c>
    </row>
    <row r="643" spans="2:21" x14ac:dyDescent="0.25">
      <c r="B643" s="190">
        <v>2</v>
      </c>
      <c r="C643" s="190">
        <v>3</v>
      </c>
      <c r="N643" s="47">
        <v>2</v>
      </c>
      <c r="O643" s="47">
        <v>3</v>
      </c>
      <c r="T643" s="295">
        <v>3</v>
      </c>
      <c r="U643" s="295">
        <v>3</v>
      </c>
    </row>
    <row r="644" spans="2:21" x14ac:dyDescent="0.25">
      <c r="B644" s="190">
        <v>2</v>
      </c>
      <c r="C644" s="190">
        <v>3</v>
      </c>
      <c r="N644" s="47">
        <v>3</v>
      </c>
      <c r="O644" s="47">
        <v>3</v>
      </c>
      <c r="T644" s="295">
        <v>2</v>
      </c>
      <c r="U644" s="295">
        <v>4</v>
      </c>
    </row>
    <row r="645" spans="2:21" x14ac:dyDescent="0.25">
      <c r="B645" s="190">
        <v>3</v>
      </c>
      <c r="C645" s="190">
        <v>3</v>
      </c>
      <c r="N645" s="47">
        <v>2</v>
      </c>
      <c r="O645" s="47">
        <v>3</v>
      </c>
      <c r="T645" s="295">
        <v>3</v>
      </c>
      <c r="U645" s="295">
        <v>3</v>
      </c>
    </row>
    <row r="646" spans="2:21" x14ac:dyDescent="0.25">
      <c r="B646" s="190">
        <v>2</v>
      </c>
      <c r="C646" s="190">
        <v>3</v>
      </c>
      <c r="N646" s="47">
        <v>3</v>
      </c>
      <c r="O646" s="47">
        <v>3</v>
      </c>
      <c r="T646" s="295">
        <v>2</v>
      </c>
      <c r="U646" s="295">
        <v>3</v>
      </c>
    </row>
    <row r="647" spans="2:21" x14ac:dyDescent="0.25">
      <c r="B647" s="190">
        <v>2</v>
      </c>
      <c r="C647" s="190">
        <v>3</v>
      </c>
      <c r="N647" s="47">
        <v>2</v>
      </c>
      <c r="O647" s="47">
        <v>5</v>
      </c>
      <c r="T647" s="295">
        <v>3</v>
      </c>
      <c r="U647" s="295">
        <v>3</v>
      </c>
    </row>
    <row r="648" spans="2:21" x14ac:dyDescent="0.25">
      <c r="B648" s="190">
        <v>3</v>
      </c>
      <c r="C648" s="190">
        <v>3</v>
      </c>
      <c r="N648" s="47">
        <v>2</v>
      </c>
      <c r="O648" s="47">
        <v>3</v>
      </c>
      <c r="T648" s="295">
        <v>3</v>
      </c>
      <c r="U648" s="295">
        <v>4</v>
      </c>
    </row>
    <row r="649" spans="2:21" x14ac:dyDescent="0.25">
      <c r="B649" s="190">
        <v>2</v>
      </c>
      <c r="C649" s="190">
        <v>4</v>
      </c>
      <c r="N649" s="47">
        <v>3</v>
      </c>
      <c r="O649" s="47">
        <v>3</v>
      </c>
      <c r="T649" s="295">
        <v>3</v>
      </c>
      <c r="U649" s="295">
        <v>4</v>
      </c>
    </row>
    <row r="650" spans="2:21" x14ac:dyDescent="0.25">
      <c r="B650" s="190">
        <v>3</v>
      </c>
      <c r="C650" s="190">
        <v>4</v>
      </c>
      <c r="N650" s="47">
        <v>4</v>
      </c>
      <c r="O650" s="47">
        <v>4</v>
      </c>
      <c r="T650" s="295">
        <v>4</v>
      </c>
      <c r="U650" s="295">
        <v>3</v>
      </c>
    </row>
    <row r="651" spans="2:21" x14ac:dyDescent="0.25">
      <c r="B651" s="190">
        <v>3</v>
      </c>
      <c r="C651" s="190">
        <v>3</v>
      </c>
      <c r="N651" s="47">
        <v>2</v>
      </c>
      <c r="O651" s="47">
        <v>3</v>
      </c>
      <c r="T651" s="295">
        <v>2</v>
      </c>
      <c r="U651" s="295">
        <v>3</v>
      </c>
    </row>
    <row r="652" spans="2:21" x14ac:dyDescent="0.25">
      <c r="B652" s="190">
        <v>2</v>
      </c>
      <c r="C652" s="190">
        <v>3</v>
      </c>
      <c r="N652" s="47">
        <v>3</v>
      </c>
      <c r="O652" s="47">
        <v>3</v>
      </c>
      <c r="T652" s="295">
        <v>2</v>
      </c>
      <c r="U652" s="295">
        <v>3</v>
      </c>
    </row>
    <row r="653" spans="2:21" x14ac:dyDescent="0.25">
      <c r="B653" s="190">
        <v>2</v>
      </c>
      <c r="C653" s="190">
        <v>3</v>
      </c>
      <c r="N653" s="47">
        <v>3</v>
      </c>
      <c r="O653" s="47">
        <v>3</v>
      </c>
      <c r="T653" s="295">
        <v>4</v>
      </c>
      <c r="U653" s="295">
        <v>3</v>
      </c>
    </row>
    <row r="654" spans="2:21" x14ac:dyDescent="0.25">
      <c r="B654" s="190">
        <v>2</v>
      </c>
      <c r="C654" s="190">
        <v>3</v>
      </c>
      <c r="N654" s="47">
        <v>2</v>
      </c>
      <c r="O654" s="47">
        <v>4</v>
      </c>
      <c r="T654" s="295">
        <v>3</v>
      </c>
      <c r="U654" s="295">
        <v>3</v>
      </c>
    </row>
    <row r="655" spans="2:21" x14ac:dyDescent="0.25">
      <c r="B655" s="190">
        <v>2</v>
      </c>
      <c r="C655" s="190">
        <v>4</v>
      </c>
      <c r="N655" s="47">
        <v>4</v>
      </c>
      <c r="O655" s="47">
        <v>3</v>
      </c>
      <c r="T655" s="295">
        <v>3</v>
      </c>
      <c r="U655" s="295">
        <v>3</v>
      </c>
    </row>
    <row r="656" spans="2:21" x14ac:dyDescent="0.25">
      <c r="B656" s="190">
        <v>3</v>
      </c>
      <c r="C656" s="190">
        <v>3</v>
      </c>
      <c r="N656" s="47">
        <v>3</v>
      </c>
      <c r="O656" s="47">
        <v>3</v>
      </c>
      <c r="T656" s="295">
        <v>2</v>
      </c>
      <c r="U656" s="295">
        <v>3</v>
      </c>
    </row>
    <row r="657" spans="2:21" x14ac:dyDescent="0.25">
      <c r="B657" s="190">
        <v>2</v>
      </c>
      <c r="C657" s="190">
        <v>3</v>
      </c>
      <c r="N657" s="47">
        <v>3</v>
      </c>
      <c r="O657" s="47">
        <v>3</v>
      </c>
      <c r="T657" s="295">
        <v>2</v>
      </c>
      <c r="U657" s="295">
        <v>3</v>
      </c>
    </row>
    <row r="658" spans="2:21" x14ac:dyDescent="0.25">
      <c r="B658" s="190">
        <v>3</v>
      </c>
      <c r="C658" s="190">
        <v>5</v>
      </c>
      <c r="N658" s="47">
        <v>2</v>
      </c>
      <c r="O658" s="47">
        <v>3</v>
      </c>
      <c r="T658" s="295">
        <v>2</v>
      </c>
      <c r="U658" s="295">
        <v>3</v>
      </c>
    </row>
    <row r="659" spans="2:21" x14ac:dyDescent="0.25">
      <c r="B659" s="190">
        <v>2</v>
      </c>
      <c r="C659" s="190">
        <v>3</v>
      </c>
      <c r="N659" s="47">
        <v>3</v>
      </c>
      <c r="O659" s="47">
        <v>3</v>
      </c>
      <c r="T659" s="295">
        <v>2</v>
      </c>
      <c r="U659" s="295">
        <v>5</v>
      </c>
    </row>
    <row r="660" spans="2:21" x14ac:dyDescent="0.25">
      <c r="B660" s="190">
        <v>3</v>
      </c>
      <c r="C660" s="190">
        <v>3</v>
      </c>
      <c r="N660" s="47">
        <v>4</v>
      </c>
      <c r="O660" s="47">
        <v>4</v>
      </c>
      <c r="T660" s="295">
        <v>3</v>
      </c>
      <c r="U660" s="295">
        <v>3</v>
      </c>
    </row>
    <row r="661" spans="2:21" x14ac:dyDescent="0.25">
      <c r="B661" s="190">
        <v>2</v>
      </c>
      <c r="C661" s="190">
        <v>4</v>
      </c>
      <c r="N661" s="47">
        <v>2</v>
      </c>
      <c r="O661" s="47">
        <v>3</v>
      </c>
      <c r="T661" s="295">
        <v>3</v>
      </c>
      <c r="U661" s="295">
        <v>4</v>
      </c>
    </row>
    <row r="662" spans="2:21" x14ac:dyDescent="0.25">
      <c r="B662" s="190">
        <v>3</v>
      </c>
      <c r="C662" s="190">
        <v>3</v>
      </c>
      <c r="N662" s="47">
        <v>2</v>
      </c>
      <c r="O662" s="47">
        <v>3</v>
      </c>
      <c r="T662" s="295">
        <v>2</v>
      </c>
      <c r="U662" s="295">
        <v>3</v>
      </c>
    </row>
    <row r="663" spans="2:21" x14ac:dyDescent="0.25">
      <c r="B663" s="190">
        <v>2</v>
      </c>
      <c r="C663" s="190">
        <v>3</v>
      </c>
      <c r="N663" s="47">
        <v>3</v>
      </c>
      <c r="O663" s="47">
        <v>3</v>
      </c>
      <c r="T663" s="295">
        <v>4</v>
      </c>
      <c r="U663" s="295">
        <v>3</v>
      </c>
    </row>
    <row r="664" spans="2:21" x14ac:dyDescent="0.25">
      <c r="B664" s="190">
        <v>2</v>
      </c>
      <c r="C664" s="190">
        <v>4</v>
      </c>
      <c r="N664" s="47">
        <v>3</v>
      </c>
      <c r="O664" s="47">
        <v>5</v>
      </c>
      <c r="T664" s="295">
        <v>2</v>
      </c>
      <c r="U664" s="295">
        <v>5</v>
      </c>
    </row>
    <row r="665" spans="2:21" x14ac:dyDescent="0.25">
      <c r="B665" s="190">
        <v>2</v>
      </c>
      <c r="C665" s="190">
        <v>3</v>
      </c>
      <c r="N665" s="47">
        <v>4</v>
      </c>
      <c r="O665" s="47">
        <v>3</v>
      </c>
      <c r="T665" s="295">
        <v>3</v>
      </c>
      <c r="U665" s="295">
        <v>3</v>
      </c>
    </row>
    <row r="666" spans="2:21" x14ac:dyDescent="0.25">
      <c r="B666" s="190">
        <v>2</v>
      </c>
      <c r="C666" s="190">
        <v>3</v>
      </c>
      <c r="N666" s="47">
        <v>2</v>
      </c>
      <c r="O666" s="47">
        <v>4</v>
      </c>
      <c r="T666" s="295">
        <v>2</v>
      </c>
      <c r="U666" s="295">
        <v>4</v>
      </c>
    </row>
    <row r="667" spans="2:21" x14ac:dyDescent="0.25">
      <c r="B667" s="190">
        <v>3</v>
      </c>
      <c r="C667" s="190">
        <v>4</v>
      </c>
      <c r="N667" s="47">
        <v>2</v>
      </c>
      <c r="O667" s="47">
        <v>5</v>
      </c>
      <c r="T667" s="295">
        <v>2</v>
      </c>
      <c r="U667" s="295">
        <v>4</v>
      </c>
    </row>
    <row r="668" spans="2:21" x14ac:dyDescent="0.25">
      <c r="B668" s="190">
        <v>3</v>
      </c>
      <c r="C668" s="190">
        <v>4</v>
      </c>
      <c r="N668" s="47">
        <v>2</v>
      </c>
      <c r="O668" s="47">
        <v>3</v>
      </c>
      <c r="T668" s="295">
        <v>3</v>
      </c>
      <c r="U668" s="295">
        <v>3</v>
      </c>
    </row>
    <row r="669" spans="2:21" x14ac:dyDescent="0.25">
      <c r="B669" s="190">
        <v>4</v>
      </c>
      <c r="C669" s="190">
        <v>4</v>
      </c>
      <c r="N669" s="47">
        <v>2</v>
      </c>
      <c r="O669" s="47">
        <v>4</v>
      </c>
      <c r="T669" s="295">
        <v>2</v>
      </c>
      <c r="U669" s="295">
        <v>3</v>
      </c>
    </row>
    <row r="670" spans="2:21" x14ac:dyDescent="0.25">
      <c r="B670" s="190">
        <v>3</v>
      </c>
      <c r="C670" s="190">
        <v>4</v>
      </c>
      <c r="N670" s="47">
        <v>2</v>
      </c>
      <c r="O670" s="47">
        <v>5</v>
      </c>
      <c r="T670" s="295">
        <v>3</v>
      </c>
      <c r="U670" s="295">
        <v>3</v>
      </c>
    </row>
    <row r="671" spans="2:21" x14ac:dyDescent="0.25">
      <c r="B671" s="190">
        <v>2</v>
      </c>
      <c r="C671" s="190">
        <v>5</v>
      </c>
      <c r="N671" s="47">
        <v>2</v>
      </c>
      <c r="O671" s="47">
        <v>4</v>
      </c>
      <c r="T671" s="295">
        <v>3</v>
      </c>
      <c r="U671" s="295">
        <v>4</v>
      </c>
    </row>
    <row r="672" spans="2:21" x14ac:dyDescent="0.25">
      <c r="B672" s="190">
        <v>4</v>
      </c>
      <c r="C672" s="190">
        <v>4</v>
      </c>
      <c r="N672" s="47">
        <v>2</v>
      </c>
      <c r="O672" s="47">
        <v>3</v>
      </c>
      <c r="T672" s="295">
        <v>2</v>
      </c>
      <c r="U672" s="295">
        <v>4</v>
      </c>
    </row>
    <row r="673" spans="2:21" x14ac:dyDescent="0.25">
      <c r="B673" s="190">
        <v>2</v>
      </c>
      <c r="C673" s="190">
        <v>3</v>
      </c>
      <c r="N673" s="47">
        <v>2</v>
      </c>
      <c r="O673" s="47">
        <v>3</v>
      </c>
      <c r="T673" s="295">
        <v>4</v>
      </c>
      <c r="U673" s="295">
        <v>3</v>
      </c>
    </row>
    <row r="674" spans="2:21" x14ac:dyDescent="0.25">
      <c r="B674" s="190">
        <v>4</v>
      </c>
      <c r="C674" s="190">
        <v>3</v>
      </c>
      <c r="N674" s="47">
        <v>3</v>
      </c>
      <c r="O674" s="47">
        <v>5</v>
      </c>
      <c r="T674" s="295">
        <v>2</v>
      </c>
      <c r="U674" s="295">
        <v>3</v>
      </c>
    </row>
    <row r="675" spans="2:21" x14ac:dyDescent="0.25">
      <c r="B675" s="190">
        <v>4</v>
      </c>
      <c r="C675" s="190">
        <v>4</v>
      </c>
      <c r="N675" s="47">
        <v>2</v>
      </c>
      <c r="O675" s="47">
        <v>4</v>
      </c>
      <c r="T675" s="295">
        <v>2</v>
      </c>
      <c r="U675" s="295">
        <v>3</v>
      </c>
    </row>
    <row r="676" spans="2:21" x14ac:dyDescent="0.25">
      <c r="B676" s="190">
        <v>3</v>
      </c>
      <c r="C676" s="190">
        <v>3</v>
      </c>
      <c r="N676" s="47">
        <v>4</v>
      </c>
      <c r="O676" s="47">
        <v>3</v>
      </c>
      <c r="T676" s="295">
        <v>2</v>
      </c>
      <c r="U676" s="295">
        <v>4</v>
      </c>
    </row>
    <row r="677" spans="2:21" x14ac:dyDescent="0.25">
      <c r="B677" s="190">
        <v>3</v>
      </c>
      <c r="C677" s="190">
        <v>3</v>
      </c>
      <c r="N677" s="47">
        <v>4</v>
      </c>
      <c r="O677" s="47">
        <v>3</v>
      </c>
      <c r="T677" s="295">
        <v>2</v>
      </c>
      <c r="U677" s="295">
        <v>4</v>
      </c>
    </row>
    <row r="678" spans="2:21" x14ac:dyDescent="0.25">
      <c r="B678" s="190">
        <v>3</v>
      </c>
      <c r="C678" s="190">
        <v>3</v>
      </c>
      <c r="N678" s="47">
        <v>2</v>
      </c>
      <c r="O678" s="47">
        <v>4</v>
      </c>
      <c r="T678" s="295">
        <v>3</v>
      </c>
      <c r="U678" s="295">
        <v>4</v>
      </c>
    </row>
    <row r="679" spans="2:21" x14ac:dyDescent="0.25">
      <c r="B679" s="190">
        <v>2</v>
      </c>
      <c r="C679" s="190">
        <v>3</v>
      </c>
      <c r="N679" s="47">
        <v>4</v>
      </c>
      <c r="O679" s="47">
        <v>3</v>
      </c>
      <c r="T679" s="295">
        <v>3</v>
      </c>
      <c r="U679" s="295">
        <v>3</v>
      </c>
    </row>
    <row r="680" spans="2:21" x14ac:dyDescent="0.25">
      <c r="B680" s="190">
        <v>2</v>
      </c>
      <c r="C680" s="190">
        <v>3</v>
      </c>
      <c r="N680" s="47">
        <v>2</v>
      </c>
      <c r="O680" s="47">
        <v>3</v>
      </c>
      <c r="T680" s="295">
        <v>4</v>
      </c>
      <c r="U680" s="295">
        <v>3</v>
      </c>
    </row>
    <row r="681" spans="2:21" x14ac:dyDescent="0.25">
      <c r="B681" s="190">
        <v>2</v>
      </c>
      <c r="C681" s="190">
        <v>3</v>
      </c>
      <c r="N681" s="47">
        <v>3</v>
      </c>
      <c r="O681" s="47">
        <v>3</v>
      </c>
      <c r="T681" s="295">
        <v>3</v>
      </c>
      <c r="U681" s="295">
        <v>4</v>
      </c>
    </row>
    <row r="682" spans="2:21" x14ac:dyDescent="0.25">
      <c r="B682" s="190">
        <v>2</v>
      </c>
      <c r="C682" s="190">
        <v>4</v>
      </c>
      <c r="N682" s="47">
        <v>2</v>
      </c>
      <c r="O682" s="47">
        <v>5</v>
      </c>
      <c r="T682" s="295">
        <v>2</v>
      </c>
      <c r="U682" s="295">
        <v>3</v>
      </c>
    </row>
    <row r="683" spans="2:21" x14ac:dyDescent="0.25">
      <c r="B683" s="190">
        <v>3</v>
      </c>
      <c r="C683" s="190">
        <v>3</v>
      </c>
      <c r="N683" s="47">
        <v>2</v>
      </c>
      <c r="O683" s="47">
        <v>3</v>
      </c>
      <c r="T683" s="295">
        <v>2</v>
      </c>
      <c r="U683" s="295">
        <v>3</v>
      </c>
    </row>
    <row r="684" spans="2:21" x14ac:dyDescent="0.25">
      <c r="B684" s="190">
        <v>4</v>
      </c>
      <c r="C684" s="190">
        <v>3</v>
      </c>
      <c r="N684" s="47">
        <v>2</v>
      </c>
      <c r="O684" s="47">
        <v>3</v>
      </c>
      <c r="T684" s="295">
        <v>3</v>
      </c>
      <c r="U684" s="295">
        <v>3</v>
      </c>
    </row>
    <row r="685" spans="2:21" x14ac:dyDescent="0.25">
      <c r="B685" s="190">
        <v>2</v>
      </c>
      <c r="C685" s="190">
        <v>3</v>
      </c>
      <c r="N685" s="47">
        <v>3</v>
      </c>
      <c r="O685" s="47">
        <v>5</v>
      </c>
      <c r="T685" s="295">
        <v>2</v>
      </c>
      <c r="U685" s="295">
        <v>3</v>
      </c>
    </row>
    <row r="686" spans="2:21" x14ac:dyDescent="0.25">
      <c r="B686" s="190">
        <v>4</v>
      </c>
      <c r="C686" s="190">
        <v>4</v>
      </c>
      <c r="N686" s="47">
        <v>2</v>
      </c>
      <c r="O686" s="47">
        <v>3</v>
      </c>
      <c r="T686" s="295">
        <v>3</v>
      </c>
      <c r="U686" s="295">
        <v>4</v>
      </c>
    </row>
    <row r="687" spans="2:21" x14ac:dyDescent="0.25">
      <c r="B687" s="190">
        <v>3</v>
      </c>
      <c r="C687" s="190">
        <v>3</v>
      </c>
      <c r="N687" s="47">
        <v>2</v>
      </c>
      <c r="O687" s="47">
        <v>3</v>
      </c>
      <c r="T687" s="295">
        <v>2</v>
      </c>
      <c r="U687" s="295">
        <v>4</v>
      </c>
    </row>
    <row r="688" spans="2:21" x14ac:dyDescent="0.25">
      <c r="B688" s="190">
        <v>2</v>
      </c>
      <c r="C688" s="190">
        <v>4</v>
      </c>
      <c r="N688" s="47">
        <v>2</v>
      </c>
      <c r="O688" s="47">
        <v>3</v>
      </c>
      <c r="T688" s="295">
        <v>2</v>
      </c>
      <c r="U688" s="295">
        <v>4</v>
      </c>
    </row>
    <row r="689" spans="2:21" x14ac:dyDescent="0.25">
      <c r="B689" s="190">
        <v>2</v>
      </c>
      <c r="C689" s="190">
        <v>3</v>
      </c>
      <c r="N689" s="47">
        <v>3</v>
      </c>
      <c r="O689" s="47">
        <v>3</v>
      </c>
      <c r="T689" s="295">
        <v>2</v>
      </c>
      <c r="U689" s="295">
        <v>4</v>
      </c>
    </row>
    <row r="690" spans="2:21" x14ac:dyDescent="0.25">
      <c r="B690" s="190">
        <v>3</v>
      </c>
      <c r="C690" s="190">
        <v>4</v>
      </c>
      <c r="N690" s="47">
        <v>3</v>
      </c>
      <c r="O690" s="47">
        <v>4</v>
      </c>
      <c r="T690" s="295">
        <v>3</v>
      </c>
      <c r="U690" s="295">
        <v>3</v>
      </c>
    </row>
    <row r="691" spans="2:21" x14ac:dyDescent="0.25">
      <c r="B691" s="190">
        <v>2</v>
      </c>
      <c r="C691" s="190">
        <v>3</v>
      </c>
      <c r="N691" s="47">
        <v>2</v>
      </c>
      <c r="O691" s="47">
        <v>3</v>
      </c>
      <c r="T691" s="295">
        <v>2</v>
      </c>
      <c r="U691" s="295">
        <v>4</v>
      </c>
    </row>
    <row r="692" spans="2:21" x14ac:dyDescent="0.25">
      <c r="B692" s="190">
        <v>2</v>
      </c>
      <c r="C692" s="190">
        <v>4</v>
      </c>
      <c r="N692" s="47">
        <v>2</v>
      </c>
      <c r="O692" s="47">
        <v>5</v>
      </c>
      <c r="T692" s="295">
        <v>4</v>
      </c>
      <c r="U692" s="295">
        <v>3</v>
      </c>
    </row>
    <row r="693" spans="2:21" x14ac:dyDescent="0.25">
      <c r="B693" s="190">
        <v>3</v>
      </c>
      <c r="C693" s="190">
        <v>4</v>
      </c>
      <c r="N693" s="47">
        <v>2</v>
      </c>
      <c r="O693" s="47">
        <v>3</v>
      </c>
      <c r="T693" s="295">
        <v>3</v>
      </c>
      <c r="U693" s="295">
        <v>3</v>
      </c>
    </row>
    <row r="694" spans="2:21" x14ac:dyDescent="0.25">
      <c r="B694" s="190">
        <v>2</v>
      </c>
      <c r="C694" s="190">
        <v>4</v>
      </c>
      <c r="N694" s="47">
        <v>2</v>
      </c>
      <c r="O694" s="47">
        <v>3</v>
      </c>
      <c r="T694" s="295">
        <v>2</v>
      </c>
      <c r="U694" s="295">
        <v>4</v>
      </c>
    </row>
    <row r="695" spans="2:21" x14ac:dyDescent="0.25">
      <c r="B695" s="190">
        <v>2</v>
      </c>
      <c r="C695" s="190">
        <v>5</v>
      </c>
      <c r="N695" s="47">
        <v>3</v>
      </c>
      <c r="O695" s="47">
        <v>3</v>
      </c>
      <c r="T695" s="295">
        <v>2</v>
      </c>
      <c r="U695" s="295">
        <v>3</v>
      </c>
    </row>
    <row r="696" spans="2:21" x14ac:dyDescent="0.25">
      <c r="B696" s="190">
        <v>3</v>
      </c>
      <c r="C696" s="190">
        <v>3</v>
      </c>
      <c r="N696" s="47">
        <v>2</v>
      </c>
      <c r="O696" s="47">
        <v>3</v>
      </c>
      <c r="T696" s="295">
        <v>3</v>
      </c>
      <c r="U696" s="295">
        <v>3</v>
      </c>
    </row>
    <row r="697" spans="2:21" x14ac:dyDescent="0.25">
      <c r="B697" s="190">
        <v>4</v>
      </c>
      <c r="C697" s="190">
        <v>3</v>
      </c>
      <c r="N697" s="47">
        <v>2</v>
      </c>
      <c r="O697" s="47">
        <v>3</v>
      </c>
      <c r="T697" s="295">
        <v>2</v>
      </c>
      <c r="U697" s="295">
        <v>5</v>
      </c>
    </row>
    <row r="698" spans="2:21" x14ac:dyDescent="0.25">
      <c r="B698" s="190">
        <v>3</v>
      </c>
      <c r="C698" s="190">
        <v>4</v>
      </c>
      <c r="N698" s="47">
        <v>3</v>
      </c>
      <c r="O698" s="47">
        <v>3</v>
      </c>
      <c r="T698" s="295">
        <v>3</v>
      </c>
      <c r="U698" s="295">
        <v>3</v>
      </c>
    </row>
    <row r="699" spans="2:21" x14ac:dyDescent="0.25">
      <c r="B699" s="190">
        <v>3</v>
      </c>
      <c r="C699" s="190">
        <v>3</v>
      </c>
      <c r="N699" s="47">
        <v>2</v>
      </c>
      <c r="O699" s="47">
        <v>4</v>
      </c>
      <c r="T699" s="295">
        <v>3</v>
      </c>
      <c r="U699" s="295">
        <v>3</v>
      </c>
    </row>
    <row r="700" spans="2:21" x14ac:dyDescent="0.25">
      <c r="B700" s="190">
        <v>3</v>
      </c>
      <c r="C700" s="190">
        <v>5</v>
      </c>
      <c r="N700" s="47">
        <v>2</v>
      </c>
      <c r="O700" s="47">
        <v>3</v>
      </c>
      <c r="T700" s="295">
        <v>4</v>
      </c>
      <c r="U700" s="295">
        <v>3</v>
      </c>
    </row>
    <row r="701" spans="2:21" x14ac:dyDescent="0.25">
      <c r="B701" s="190">
        <v>2</v>
      </c>
      <c r="C701" s="190">
        <v>4</v>
      </c>
      <c r="N701" s="47">
        <v>3</v>
      </c>
      <c r="O701" s="47">
        <v>3</v>
      </c>
      <c r="T701" s="295">
        <v>2</v>
      </c>
      <c r="U701" s="295">
        <v>3</v>
      </c>
    </row>
    <row r="702" spans="2:21" x14ac:dyDescent="0.25">
      <c r="B702" s="190">
        <v>2</v>
      </c>
      <c r="C702" s="190">
        <v>4</v>
      </c>
      <c r="N702" s="47">
        <v>2</v>
      </c>
      <c r="O702" s="47">
        <v>3</v>
      </c>
      <c r="T702" s="295">
        <v>3</v>
      </c>
      <c r="U702" s="295">
        <v>3</v>
      </c>
    </row>
    <row r="703" spans="2:21" x14ac:dyDescent="0.25">
      <c r="B703" s="190">
        <v>4</v>
      </c>
      <c r="C703" s="190">
        <v>5</v>
      </c>
      <c r="N703" s="47">
        <v>2</v>
      </c>
      <c r="O703" s="47">
        <v>3</v>
      </c>
      <c r="T703" s="295">
        <v>3</v>
      </c>
      <c r="U703" s="295">
        <v>5</v>
      </c>
    </row>
    <row r="704" spans="2:21" x14ac:dyDescent="0.25">
      <c r="B704" s="190">
        <v>3</v>
      </c>
      <c r="C704" s="190">
        <v>4</v>
      </c>
      <c r="N704" s="47">
        <v>3</v>
      </c>
      <c r="O704" s="47">
        <v>3</v>
      </c>
      <c r="T704" s="295">
        <v>3</v>
      </c>
      <c r="U704" s="295">
        <v>3</v>
      </c>
    </row>
    <row r="705" spans="2:21" x14ac:dyDescent="0.25">
      <c r="B705" s="190">
        <v>3</v>
      </c>
      <c r="C705" s="190">
        <v>5</v>
      </c>
      <c r="N705" s="47">
        <v>3</v>
      </c>
      <c r="O705" s="47">
        <v>4</v>
      </c>
      <c r="T705" s="295">
        <v>2</v>
      </c>
      <c r="U705" s="295">
        <v>4</v>
      </c>
    </row>
    <row r="706" spans="2:21" x14ac:dyDescent="0.25">
      <c r="B706" s="190">
        <v>2</v>
      </c>
      <c r="C706" s="190">
        <v>3</v>
      </c>
      <c r="N706" s="47">
        <v>3</v>
      </c>
      <c r="O706" s="47">
        <v>3</v>
      </c>
      <c r="T706" s="295">
        <v>2</v>
      </c>
      <c r="U706" s="295">
        <v>3</v>
      </c>
    </row>
    <row r="707" spans="2:21" x14ac:dyDescent="0.25">
      <c r="B707" s="190">
        <v>2</v>
      </c>
      <c r="C707" s="190">
        <v>3</v>
      </c>
      <c r="N707" s="47">
        <v>2</v>
      </c>
      <c r="O707" s="47">
        <v>3</v>
      </c>
      <c r="T707" s="295">
        <v>3</v>
      </c>
      <c r="U707" s="295">
        <v>3</v>
      </c>
    </row>
    <row r="708" spans="2:21" x14ac:dyDescent="0.25">
      <c r="B708" s="190">
        <v>2</v>
      </c>
      <c r="C708" s="190">
        <v>4</v>
      </c>
      <c r="N708" s="47">
        <v>2</v>
      </c>
      <c r="O708" s="47">
        <v>4</v>
      </c>
      <c r="T708" s="295">
        <v>2</v>
      </c>
      <c r="U708" s="295">
        <v>4</v>
      </c>
    </row>
    <row r="709" spans="2:21" x14ac:dyDescent="0.25">
      <c r="B709" s="190">
        <v>3</v>
      </c>
      <c r="C709" s="190">
        <v>4</v>
      </c>
      <c r="N709" s="47">
        <v>3</v>
      </c>
      <c r="O709" s="47">
        <v>3</v>
      </c>
      <c r="T709" s="295">
        <v>4</v>
      </c>
      <c r="U709" s="295">
        <v>4</v>
      </c>
    </row>
    <row r="710" spans="2:21" x14ac:dyDescent="0.25">
      <c r="B710" s="190">
        <v>3</v>
      </c>
      <c r="C710" s="190">
        <v>5</v>
      </c>
      <c r="N710" s="47">
        <v>3</v>
      </c>
      <c r="O710" s="47">
        <v>4</v>
      </c>
      <c r="T710" s="295">
        <v>2</v>
      </c>
      <c r="U710" s="295">
        <v>3</v>
      </c>
    </row>
    <row r="711" spans="2:21" x14ac:dyDescent="0.25">
      <c r="B711" s="190">
        <v>2</v>
      </c>
      <c r="C711" s="190">
        <v>3</v>
      </c>
      <c r="N711" s="47">
        <v>2</v>
      </c>
      <c r="O711" s="47">
        <v>3</v>
      </c>
      <c r="T711" s="295">
        <v>2</v>
      </c>
      <c r="U711" s="295">
        <v>3</v>
      </c>
    </row>
    <row r="712" spans="2:21" x14ac:dyDescent="0.25">
      <c r="B712" s="190">
        <v>2</v>
      </c>
      <c r="C712" s="190">
        <v>3</v>
      </c>
      <c r="N712" s="47">
        <v>2</v>
      </c>
      <c r="O712" s="47">
        <v>4</v>
      </c>
      <c r="T712" s="295">
        <v>3</v>
      </c>
      <c r="U712" s="295">
        <v>5</v>
      </c>
    </row>
    <row r="713" spans="2:21" x14ac:dyDescent="0.25">
      <c r="B713" s="190">
        <v>3</v>
      </c>
      <c r="C713" s="190">
        <v>3</v>
      </c>
      <c r="N713" s="47">
        <v>2</v>
      </c>
      <c r="O713" s="47">
        <v>3</v>
      </c>
      <c r="T713" s="295">
        <v>3</v>
      </c>
      <c r="U713" s="295">
        <v>3</v>
      </c>
    </row>
    <row r="714" spans="2:21" x14ac:dyDescent="0.25">
      <c r="B714" s="190">
        <v>3</v>
      </c>
      <c r="C714" s="190">
        <v>4</v>
      </c>
      <c r="N714" s="47">
        <v>4</v>
      </c>
      <c r="O714" s="47">
        <v>3</v>
      </c>
      <c r="T714" s="295">
        <v>4</v>
      </c>
      <c r="U714" s="295">
        <v>3</v>
      </c>
    </row>
    <row r="715" spans="2:21" x14ac:dyDescent="0.25">
      <c r="B715" s="190">
        <v>3</v>
      </c>
      <c r="C715" s="190">
        <v>3</v>
      </c>
      <c r="N715" s="47">
        <v>4</v>
      </c>
      <c r="O715" s="47">
        <v>3</v>
      </c>
      <c r="T715" s="295">
        <v>3</v>
      </c>
      <c r="U715" s="295">
        <v>3</v>
      </c>
    </row>
    <row r="716" spans="2:21" x14ac:dyDescent="0.25">
      <c r="B716" s="190">
        <v>2</v>
      </c>
      <c r="C716" s="190">
        <v>3</v>
      </c>
      <c r="N716" s="47">
        <v>4</v>
      </c>
      <c r="O716" s="47">
        <v>3</v>
      </c>
      <c r="T716" s="295">
        <v>2</v>
      </c>
      <c r="U716" s="295">
        <v>5</v>
      </c>
    </row>
    <row r="717" spans="2:21" x14ac:dyDescent="0.25">
      <c r="B717" s="190">
        <v>4</v>
      </c>
      <c r="C717" s="190">
        <v>3</v>
      </c>
      <c r="N717" s="47">
        <v>2</v>
      </c>
      <c r="O717" s="47">
        <v>4</v>
      </c>
      <c r="T717" s="295">
        <v>2</v>
      </c>
      <c r="U717" s="295">
        <v>3</v>
      </c>
    </row>
    <row r="718" spans="2:21" x14ac:dyDescent="0.25">
      <c r="B718" s="190">
        <v>3</v>
      </c>
      <c r="C718" s="190">
        <v>3</v>
      </c>
      <c r="N718" s="47">
        <v>2</v>
      </c>
      <c r="O718" s="47">
        <v>3</v>
      </c>
      <c r="T718" s="295">
        <v>3</v>
      </c>
      <c r="U718" s="295">
        <v>3</v>
      </c>
    </row>
    <row r="719" spans="2:21" x14ac:dyDescent="0.25">
      <c r="B719" s="190">
        <v>3</v>
      </c>
      <c r="C719" s="190">
        <v>4</v>
      </c>
      <c r="N719" s="47">
        <v>2</v>
      </c>
      <c r="O719" s="47">
        <v>3</v>
      </c>
      <c r="T719" s="295">
        <v>3</v>
      </c>
      <c r="U719" s="295">
        <v>3</v>
      </c>
    </row>
    <row r="720" spans="2:21" x14ac:dyDescent="0.25">
      <c r="B720" s="190">
        <v>2</v>
      </c>
      <c r="C720" s="190">
        <v>3</v>
      </c>
      <c r="N720" s="47">
        <v>3</v>
      </c>
      <c r="O720" s="47">
        <v>3</v>
      </c>
      <c r="T720" s="295">
        <v>2</v>
      </c>
      <c r="U720" s="295">
        <v>3</v>
      </c>
    </row>
    <row r="721" spans="2:21" x14ac:dyDescent="0.25">
      <c r="B721" s="190">
        <v>2</v>
      </c>
      <c r="C721" s="190">
        <v>3</v>
      </c>
      <c r="N721" s="47">
        <v>2</v>
      </c>
      <c r="O721" s="47">
        <v>4</v>
      </c>
      <c r="T721" s="295">
        <v>2</v>
      </c>
      <c r="U721" s="295">
        <v>3</v>
      </c>
    </row>
    <row r="722" spans="2:21" x14ac:dyDescent="0.25">
      <c r="B722" s="190">
        <v>3</v>
      </c>
      <c r="C722" s="190">
        <v>3</v>
      </c>
      <c r="N722" s="47">
        <v>3</v>
      </c>
      <c r="O722" s="47">
        <v>3</v>
      </c>
      <c r="T722" s="295">
        <v>2</v>
      </c>
      <c r="U722" s="295">
        <v>3</v>
      </c>
    </row>
    <row r="723" spans="2:21" x14ac:dyDescent="0.25">
      <c r="B723" s="190">
        <v>3</v>
      </c>
      <c r="C723" s="190">
        <v>3</v>
      </c>
      <c r="N723" s="47">
        <v>3</v>
      </c>
      <c r="O723" s="47">
        <v>3</v>
      </c>
      <c r="T723" s="295">
        <v>2</v>
      </c>
      <c r="U723" s="295">
        <v>5</v>
      </c>
    </row>
    <row r="724" spans="2:21" x14ac:dyDescent="0.25">
      <c r="B724" s="190">
        <v>3</v>
      </c>
      <c r="C724" s="190">
        <v>4</v>
      </c>
      <c r="N724" s="47">
        <v>3</v>
      </c>
      <c r="O724" s="47">
        <v>3</v>
      </c>
      <c r="T724" s="295">
        <v>2</v>
      </c>
      <c r="U724" s="295">
        <v>3</v>
      </c>
    </row>
    <row r="725" spans="2:21" x14ac:dyDescent="0.25">
      <c r="B725" s="190">
        <v>3</v>
      </c>
      <c r="C725" s="190">
        <v>5</v>
      </c>
      <c r="N725" s="47">
        <v>2</v>
      </c>
      <c r="O725" s="47">
        <v>3</v>
      </c>
      <c r="T725" s="295">
        <v>2</v>
      </c>
      <c r="U725" s="295">
        <v>3</v>
      </c>
    </row>
    <row r="726" spans="2:21" x14ac:dyDescent="0.25">
      <c r="B726" s="190">
        <v>3</v>
      </c>
      <c r="C726" s="190">
        <v>5</v>
      </c>
      <c r="N726" s="47">
        <v>3</v>
      </c>
      <c r="O726" s="47">
        <v>3</v>
      </c>
      <c r="T726" s="295">
        <v>3</v>
      </c>
      <c r="U726" s="295">
        <v>3</v>
      </c>
    </row>
    <row r="727" spans="2:21" x14ac:dyDescent="0.25">
      <c r="B727" s="190">
        <v>2</v>
      </c>
      <c r="C727" s="190">
        <v>4</v>
      </c>
      <c r="N727" s="47">
        <v>3</v>
      </c>
      <c r="O727" s="47">
        <v>3</v>
      </c>
      <c r="T727" s="295">
        <v>3</v>
      </c>
      <c r="U727" s="295">
        <v>3</v>
      </c>
    </row>
    <row r="728" spans="2:21" x14ac:dyDescent="0.25">
      <c r="B728" s="190">
        <v>2</v>
      </c>
      <c r="C728" s="190">
        <v>4</v>
      </c>
      <c r="N728" s="47">
        <v>2</v>
      </c>
      <c r="O728" s="47">
        <v>3</v>
      </c>
      <c r="T728" s="295">
        <v>2</v>
      </c>
      <c r="U728" s="295">
        <v>4</v>
      </c>
    </row>
    <row r="729" spans="2:21" x14ac:dyDescent="0.25">
      <c r="B729" s="190">
        <v>3</v>
      </c>
      <c r="C729" s="190">
        <v>3</v>
      </c>
      <c r="N729" s="47">
        <v>3</v>
      </c>
      <c r="O729" s="47">
        <v>3</v>
      </c>
      <c r="T729" s="295">
        <v>3</v>
      </c>
      <c r="U729" s="295">
        <v>3</v>
      </c>
    </row>
    <row r="730" spans="2:21" x14ac:dyDescent="0.25">
      <c r="B730" s="190">
        <v>3</v>
      </c>
      <c r="C730" s="190">
        <v>4</v>
      </c>
      <c r="N730" s="47">
        <v>2</v>
      </c>
      <c r="O730" s="47">
        <v>4</v>
      </c>
      <c r="T730" s="295">
        <v>2</v>
      </c>
      <c r="U730" s="295">
        <v>3</v>
      </c>
    </row>
    <row r="731" spans="2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2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2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2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2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2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  <c r="T933" s="295">
        <v>2</v>
      </c>
      <c r="U933" s="295">
        <v>3</v>
      </c>
    </row>
    <row r="934" spans="14:21" x14ac:dyDescent="0.25">
      <c r="N934" s="47">
        <v>2</v>
      </c>
      <c r="O934" s="47">
        <v>3</v>
      </c>
      <c r="T934" s="295">
        <v>2</v>
      </c>
      <c r="U934" s="295">
        <v>3</v>
      </c>
    </row>
    <row r="935" spans="14:21" x14ac:dyDescent="0.25">
      <c r="N935" s="47">
        <v>3</v>
      </c>
      <c r="O935" s="47">
        <v>3</v>
      </c>
      <c r="T935" s="295">
        <v>3</v>
      </c>
      <c r="U935" s="295">
        <v>4</v>
      </c>
    </row>
    <row r="936" spans="14:21" x14ac:dyDescent="0.25">
      <c r="N936" s="47">
        <v>4</v>
      </c>
      <c r="O936" s="47">
        <v>3</v>
      </c>
      <c r="T936" s="295">
        <v>2</v>
      </c>
      <c r="U936" s="295">
        <v>3</v>
      </c>
    </row>
    <row r="937" spans="14:21" x14ac:dyDescent="0.25">
      <c r="N937" s="47">
        <v>2</v>
      </c>
      <c r="O937" s="47">
        <v>5</v>
      </c>
      <c r="T937" s="295">
        <v>2</v>
      </c>
      <c r="U937" s="295">
        <v>3</v>
      </c>
    </row>
    <row r="938" spans="14:21" x14ac:dyDescent="0.25">
      <c r="N938" s="47">
        <v>3</v>
      </c>
      <c r="O938" s="47">
        <v>3</v>
      </c>
      <c r="T938" s="295">
        <v>3</v>
      </c>
      <c r="U938" s="295">
        <v>4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G30"/>
  <sheetViews>
    <sheetView workbookViewId="0">
      <selection activeCell="G24" sqref="G24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</cols>
  <sheetData>
    <row r="1" spans="1:7" x14ac:dyDescent="0.25">
      <c r="A1" s="829" t="s">
        <v>500</v>
      </c>
      <c r="B1" s="829" t="s">
        <v>501</v>
      </c>
      <c r="C1" s="829" t="s">
        <v>502</v>
      </c>
      <c r="D1" s="829" t="s">
        <v>503</v>
      </c>
      <c r="E1" s="829" t="s">
        <v>504</v>
      </c>
      <c r="F1" s="912" t="s">
        <v>505</v>
      </c>
      <c r="G1" s="912"/>
    </row>
    <row r="2" spans="1:7" x14ac:dyDescent="0.25">
      <c r="A2" s="1186">
        <v>8</v>
      </c>
      <c r="B2" s="688">
        <v>37</v>
      </c>
      <c r="C2" s="688">
        <v>0.66</v>
      </c>
      <c r="D2" s="688">
        <f>IF(B2,SUM(B$2:B2),"")</f>
        <v>37</v>
      </c>
      <c r="E2" s="688">
        <f>IF(C2,SUM(C$2:C2),"")</f>
        <v>0.66</v>
      </c>
      <c r="F2" s="1186">
        <v>3.63</v>
      </c>
      <c r="G2" s="1186"/>
    </row>
    <row r="3" spans="1:7" x14ac:dyDescent="0.25">
      <c r="A3" s="1186"/>
      <c r="B3" s="688">
        <v>29</v>
      </c>
      <c r="C3" s="688">
        <v>0.34</v>
      </c>
      <c r="D3" s="688">
        <f>IF(B3,SUM(B$2:B3),"")</f>
        <v>66</v>
      </c>
      <c r="E3" s="688">
        <f>IF(C3,SUM(C$2:C3),"")</f>
        <v>1</v>
      </c>
      <c r="F3" s="1186"/>
      <c r="G3" s="1186"/>
    </row>
    <row r="4" spans="1:7" x14ac:dyDescent="0.25">
      <c r="A4" s="830"/>
      <c r="B4" s="688">
        <v>56</v>
      </c>
      <c r="C4" s="688">
        <v>0.86</v>
      </c>
      <c r="D4" s="688">
        <f>IF(B4,SUM(B$2:B4),"")</f>
        <v>122</v>
      </c>
      <c r="E4" s="688">
        <f>IF(C4,SUM(C$2:C4),"")</f>
        <v>1.8599999999999999</v>
      </c>
      <c r="F4" s="912" t="str">
        <f>"Predicted left to " &amp; A2</f>
        <v>Predicted left to 8</v>
      </c>
      <c r="G4" s="912"/>
    </row>
    <row r="5" spans="1:7" ht="15" customHeight="1" x14ac:dyDescent="0.25">
      <c r="A5" s="831"/>
      <c r="B5" s="688">
        <v>62</v>
      </c>
      <c r="C5" s="688">
        <v>0.71</v>
      </c>
      <c r="D5" s="688">
        <f>IF(B5,SUM(B$2:B5),"")</f>
        <v>184</v>
      </c>
      <c r="E5" s="688">
        <f>IF(C5,SUM(C$2:C5),"")</f>
        <v>2.57</v>
      </c>
      <c r="F5" s="1185">
        <f>IF(F2&gt;A2,"",_xlfn.FORECAST.LINEAR(A2-F2, D:D, E:E))</f>
        <v>321.3372862182149</v>
      </c>
      <c r="G5" s="912" t="s">
        <v>506</v>
      </c>
    </row>
    <row r="6" spans="1:7" ht="15" customHeight="1" x14ac:dyDescent="0.25">
      <c r="A6" s="831"/>
      <c r="B6" s="688">
        <v>54</v>
      </c>
      <c r="C6" s="688">
        <v>0.63</v>
      </c>
      <c r="D6" s="688">
        <f>IF(B6,SUM(B$2:B6),"")</f>
        <v>238</v>
      </c>
      <c r="E6" s="688">
        <f>IF(C6,SUM(C$2:C6),"")</f>
        <v>3.1999999999999997</v>
      </c>
      <c r="F6" s="1185"/>
      <c r="G6" s="912"/>
    </row>
    <row r="7" spans="1:7" x14ac:dyDescent="0.25">
      <c r="A7" s="688"/>
      <c r="B7" s="688">
        <v>66</v>
      </c>
      <c r="C7" s="688">
        <v>0.98</v>
      </c>
      <c r="D7" s="688">
        <f>IF(B7,SUM(B$2:B7),"")</f>
        <v>304</v>
      </c>
      <c r="E7" s="688">
        <f>IF(C7,SUM(C$2:C7),"")</f>
        <v>4.18</v>
      </c>
      <c r="F7" s="912" t="str">
        <f>"Predicted total to " &amp; A2</f>
        <v>Predicted total to 8</v>
      </c>
      <c r="G7" s="912"/>
    </row>
    <row r="8" spans="1:7" x14ac:dyDescent="0.25">
      <c r="A8" s="688"/>
      <c r="B8" s="688"/>
      <c r="C8" s="688"/>
      <c r="D8" s="688" t="str">
        <f>IF(B8,SUM(B$2:B8),"")</f>
        <v/>
      </c>
      <c r="E8" s="688" t="str">
        <f>IF(C8,SUM(C$2:C8),"")</f>
        <v/>
      </c>
      <c r="F8" s="1185">
        <f>_xlfn.FORECAST.LINEAR(A2, D:D, E:E)</f>
        <v>599.50168573450662</v>
      </c>
      <c r="G8" s="912" t="s">
        <v>506</v>
      </c>
    </row>
    <row r="9" spans="1:7" x14ac:dyDescent="0.25">
      <c r="A9" s="688"/>
      <c r="B9" s="688"/>
      <c r="C9" s="688"/>
      <c r="D9" s="688" t="str">
        <f>IF(B9,SUM(B$2:B9),"")</f>
        <v/>
      </c>
      <c r="E9" s="688" t="str">
        <f>IF(C9,SUM(C$2:C9),"")</f>
        <v/>
      </c>
      <c r="F9" s="1185"/>
      <c r="G9" s="912"/>
    </row>
    <row r="10" spans="1:7" x14ac:dyDescent="0.25">
      <c r="B10" s="688"/>
      <c r="C10" s="688"/>
      <c r="D10" s="688" t="str">
        <f>IF(B10,SUM(B$2:B10),"")</f>
        <v/>
      </c>
      <c r="E10" s="688" t="str">
        <f>IF(C10,SUM(C$2:C10),"")</f>
        <v/>
      </c>
    </row>
    <row r="11" spans="1:7" x14ac:dyDescent="0.25">
      <c r="B11" s="688"/>
      <c r="C11" s="688"/>
      <c r="D11" s="688" t="str">
        <f>IF(B11,SUM(B$2:B11),"")</f>
        <v/>
      </c>
      <c r="E11" s="688" t="str">
        <f>IF(C11,SUM(C$2:C11),"")</f>
        <v/>
      </c>
    </row>
    <row r="12" spans="1:7" x14ac:dyDescent="0.25">
      <c r="B12" s="688"/>
      <c r="C12" s="688"/>
      <c r="D12" s="688" t="str">
        <f>IF(B12,SUM(B$2:B12),"")</f>
        <v/>
      </c>
      <c r="E12" s="688" t="str">
        <f>IF(C12,SUM(C$2:C12),"")</f>
        <v/>
      </c>
    </row>
    <row r="13" spans="1:7" x14ac:dyDescent="0.25">
      <c r="B13" s="688"/>
      <c r="C13" s="688"/>
      <c r="D13" s="688" t="str">
        <f>IF(B13,SUM(B$2:B13),"")</f>
        <v/>
      </c>
      <c r="E13" s="688" t="str">
        <f>IF(C13,SUM(C$2:C13),"")</f>
        <v/>
      </c>
    </row>
    <row r="14" spans="1:7" x14ac:dyDescent="0.25">
      <c r="B14" s="688"/>
      <c r="C14" s="688"/>
      <c r="D14" s="688" t="str">
        <f>IF(B14,SUM(B$2:B14),"")</f>
        <v/>
      </c>
      <c r="E14" s="688" t="str">
        <f>IF(C14,SUM(C$2:C14),"")</f>
        <v/>
      </c>
    </row>
    <row r="15" spans="1:7" x14ac:dyDescent="0.25">
      <c r="B15" s="688"/>
      <c r="C15" s="688"/>
      <c r="D15" s="688" t="str">
        <f>IF(B15,SUM(B$2:B15),"")</f>
        <v/>
      </c>
      <c r="E15" s="688" t="str">
        <f>IF(C15,SUM(C$2:C15),"")</f>
        <v/>
      </c>
    </row>
    <row r="16" spans="1:7" x14ac:dyDescent="0.25">
      <c r="B16" s="688"/>
      <c r="C16" s="688"/>
      <c r="D16" s="688" t="str">
        <f>IF(B16,SUM(B$2:B16),"")</f>
        <v/>
      </c>
      <c r="E16" s="688" t="str">
        <f>IF(C16,SUM(C$2:C16),"")</f>
        <v/>
      </c>
    </row>
    <row r="17" spans="2:5" x14ac:dyDescent="0.25">
      <c r="B17" s="688"/>
      <c r="C17" s="688"/>
      <c r="D17" s="688" t="str">
        <f>IF(B17,SUM(B$2:B17),"")</f>
        <v/>
      </c>
      <c r="E17" s="688" t="str">
        <f>IF(C17,SUM(C$2:C17),"")</f>
        <v/>
      </c>
    </row>
    <row r="18" spans="2:5" x14ac:dyDescent="0.25">
      <c r="B18" s="688"/>
      <c r="C18" s="688"/>
      <c r="D18" s="688" t="str">
        <f>IF(B18,SUM(B$2:B18),"")</f>
        <v/>
      </c>
      <c r="E18" s="688" t="str">
        <f>IF(C18,SUM(C$2:C18),"")</f>
        <v/>
      </c>
    </row>
    <row r="19" spans="2:5" x14ac:dyDescent="0.25">
      <c r="B19" s="688"/>
      <c r="C19" s="688"/>
      <c r="D19" s="688" t="str">
        <f>IF(B19,SUM(B$2:B19),"")</f>
        <v/>
      </c>
      <c r="E19" s="688" t="str">
        <f>IF(C19,SUM(C$2:C19),"")</f>
        <v/>
      </c>
    </row>
    <row r="20" spans="2:5" x14ac:dyDescent="0.25">
      <c r="B20" s="688"/>
      <c r="C20" s="688"/>
      <c r="D20" s="688" t="str">
        <f>IF(B20,SUM(B$2:B20),"")</f>
        <v/>
      </c>
      <c r="E20" s="688" t="str">
        <f>IF(C20,SUM(C$2:C20),"")</f>
        <v/>
      </c>
    </row>
    <row r="21" spans="2:5" x14ac:dyDescent="0.25">
      <c r="B21" s="688"/>
      <c r="C21" s="688"/>
      <c r="D21" s="688" t="str">
        <f>IF(B21,SUM(B$2:B21),"")</f>
        <v/>
      </c>
      <c r="E21" s="688" t="str">
        <f>IF(C21,SUM(C$2:C21),"")</f>
        <v/>
      </c>
    </row>
    <row r="22" spans="2:5" x14ac:dyDescent="0.25">
      <c r="B22" s="688"/>
      <c r="C22" s="688"/>
      <c r="D22" s="688" t="str">
        <f>IF(B22,SUM(B$2:B22),"")</f>
        <v/>
      </c>
      <c r="E22" s="688" t="str">
        <f>IF(C22,SUM(C$2:C22),"")</f>
        <v/>
      </c>
    </row>
    <row r="23" spans="2:5" x14ac:dyDescent="0.25">
      <c r="B23" s="688"/>
      <c r="C23" s="688"/>
      <c r="D23" s="688" t="str">
        <f>IF(B23,SUM(B$2:B23),"")</f>
        <v/>
      </c>
      <c r="E23" s="688" t="str">
        <f>IF(C23,SUM(C$2:C23),"")</f>
        <v/>
      </c>
    </row>
    <row r="24" spans="2:5" x14ac:dyDescent="0.25">
      <c r="B24" s="688"/>
      <c r="C24" s="688"/>
      <c r="D24" s="688" t="str">
        <f>IF(B24,SUM(B$2:B24),"")</f>
        <v/>
      </c>
      <c r="E24" s="688" t="str">
        <f>IF(C24,SUM(C$2:C24),"")</f>
        <v/>
      </c>
    </row>
    <row r="25" spans="2:5" x14ac:dyDescent="0.25">
      <c r="B25" s="688"/>
      <c r="C25" s="688"/>
      <c r="D25" s="688" t="str">
        <f>IF(B25,SUM(B$2:B25),"")</f>
        <v/>
      </c>
      <c r="E25" s="688" t="str">
        <f>IF(C25,SUM(C$2:C25),"")</f>
        <v/>
      </c>
    </row>
    <row r="26" spans="2:5" x14ac:dyDescent="0.25">
      <c r="B26" s="688"/>
      <c r="C26" s="688"/>
      <c r="D26" s="688" t="str">
        <f>IF(B26,SUM(B$2:B26),"")</f>
        <v/>
      </c>
      <c r="E26" s="688" t="str">
        <f>IF(C26,SUM(C$2:C26),"")</f>
        <v/>
      </c>
    </row>
    <row r="27" spans="2:5" x14ac:dyDescent="0.25">
      <c r="B27" s="688"/>
      <c r="C27" s="688"/>
      <c r="D27" s="688" t="str">
        <f>IF(B27,SUM(B$2:B27),"")</f>
        <v/>
      </c>
      <c r="E27" s="688" t="str">
        <f>IF(C27,SUM(C$2:C27),"")</f>
        <v/>
      </c>
    </row>
    <row r="28" spans="2:5" x14ac:dyDescent="0.25">
      <c r="D28" s="688" t="str">
        <f>IF(B28,SUM(B$2:B28),"")</f>
        <v/>
      </c>
      <c r="E28" s="688" t="str">
        <f>IF(C28,SUM(C$2:C28),"")</f>
        <v/>
      </c>
    </row>
    <row r="29" spans="2:5" x14ac:dyDescent="0.25">
      <c r="D29" s="688" t="str">
        <f>IF(B29,SUM(B$2:B29),"")</f>
        <v/>
      </c>
      <c r="E29" s="688" t="str">
        <f>IF(C29,SUM(C$2:C29),"")</f>
        <v/>
      </c>
    </row>
    <row r="30" spans="2:5" x14ac:dyDescent="0.25">
      <c r="D30" s="688" t="str">
        <f>IF(B30,SUM(B$2:B30),"")</f>
        <v/>
      </c>
      <c r="E30" s="688" t="str">
        <f>IF(C30,SUM(C$2:C30),"")</f>
        <v/>
      </c>
    </row>
  </sheetData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35"/>
  <sheetViews>
    <sheetView tabSelected="1" topLeftCell="A121" workbookViewId="0">
      <selection activeCell="K132" sqref="K132"/>
    </sheetView>
  </sheetViews>
  <sheetFormatPr defaultColWidth="9.140625" defaultRowHeight="15" x14ac:dyDescent="0.25"/>
  <cols>
    <col min="1" max="1" width="16.5703125" style="691" customWidth="1"/>
    <col min="2" max="2" width="27.140625" style="825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24"/>
      <c r="C1" s="703"/>
      <c r="D1" s="703"/>
      <c r="E1" s="1187" t="s">
        <v>443</v>
      </c>
      <c r="F1" s="1187"/>
      <c r="G1" s="1187"/>
      <c r="H1" s="1187"/>
      <c r="I1" s="1187"/>
      <c r="J1" s="1187"/>
      <c r="L1" s="1179" t="s">
        <v>444</v>
      </c>
      <c r="M1" s="1179"/>
    </row>
    <row r="2" spans="1:13" s="693" customFormat="1" ht="15" customHeight="1" x14ac:dyDescent="0.25">
      <c r="A2" s="703"/>
      <c r="B2" s="824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24"/>
      <c r="C3" s="702"/>
      <c r="D3" s="702"/>
      <c r="E3" s="706" cm="1">
        <f t="array" ref="E3">SUMIF($F6:$F99999,"&gt;0") / SCOUT_DAYS_FROM_EARLIEST * 30</f>
        <v>19586.39925743586</v>
      </c>
      <c r="F3" s="706" cm="1">
        <f t="array" ref="F3">SUMIF($H6:$H99999,"&gt;0") / SCOUT_DAYS_FROM_EARLIEST * 30</f>
        <v>50451.436408723763</v>
      </c>
      <c r="G3" s="706"/>
      <c r="H3" s="706" cm="1">
        <f t="array" ref="H3">(SUMIF($F6:$F99999,"&gt;0") + SUMIF($H6:$H99999,"&gt;0")) / SCOUT_DAYS_FROM_EARLIEST * 30</f>
        <v>70037.835666159634</v>
      </c>
      <c r="I3" s="706" cm="1">
        <f t="array" ref="I3">(SUMIF($F6:$F99999,"&lt;0") + SUMIF($H6:$H99999,"&lt;0")) / SCOUT_DAYS_FROM_EARLIEST * 30</f>
        <v>-71553.796635371837</v>
      </c>
      <c r="J3" s="706">
        <f>H3+I3</f>
        <v>-1515.9609692122031</v>
      </c>
      <c r="L3" s="95" cm="1">
        <f t="array" ref="L3">SUM(L6:L99999) / SCOUT_DAYS_FROM_EARLIEST * 30</f>
        <v>58097.872517282121</v>
      </c>
      <c r="M3" s="709" cm="1">
        <f t="array" ref="M3">SUM(M6:M99999) / SCOUT_DAYS_FROM_EARLIEST * 30</f>
        <v>1086.049679746189</v>
      </c>
    </row>
    <row r="4" spans="1:13" s="694" customFormat="1" ht="15" customHeight="1" x14ac:dyDescent="0.25">
      <c r="A4" s="1188" t="s">
        <v>388</v>
      </c>
      <c r="B4" s="1116" t="s">
        <v>395</v>
      </c>
      <c r="C4" s="1116" t="s">
        <v>82</v>
      </c>
      <c r="D4" s="1116"/>
      <c r="E4" s="1116"/>
      <c r="F4" s="1116" t="s">
        <v>94</v>
      </c>
      <c r="G4" s="1116"/>
      <c r="H4" s="1116"/>
      <c r="I4" s="1116"/>
      <c r="J4" s="1116"/>
      <c r="K4" s="790" t="s">
        <v>443</v>
      </c>
      <c r="L4" s="1116" t="s">
        <v>405</v>
      </c>
      <c r="M4" s="1116"/>
    </row>
    <row r="5" spans="1:13" s="687" customFormat="1" ht="15" customHeight="1" x14ac:dyDescent="0.25">
      <c r="A5" s="1189"/>
      <c r="B5" s="1042"/>
      <c r="C5" s="687" t="s">
        <v>389</v>
      </c>
      <c r="D5" s="687" t="s">
        <v>390</v>
      </c>
      <c r="E5" s="687" t="s">
        <v>392</v>
      </c>
      <c r="F5" s="689" t="s">
        <v>389</v>
      </c>
      <c r="G5" s="792" t="s">
        <v>476</v>
      </c>
      <c r="H5" s="689" t="s">
        <v>390</v>
      </c>
      <c r="I5" s="689" t="s">
        <v>392</v>
      </c>
      <c r="J5" s="221" t="s">
        <v>404</v>
      </c>
      <c r="K5" s="791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25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25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25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25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25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25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25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25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25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25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26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25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26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25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25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25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25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25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25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25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25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25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25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25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25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25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25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25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25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25" t="s">
        <v>472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25" t="s">
        <v>473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25" t="s">
        <v>474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26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25" t="s">
        <v>477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25" t="s">
        <v>496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  <row r="97" spans="1:13" x14ac:dyDescent="0.25">
      <c r="A97" s="691">
        <v>44008.402083333334</v>
      </c>
      <c r="B97" s="825" t="s">
        <v>499</v>
      </c>
      <c r="C97" s="688">
        <v>8260</v>
      </c>
      <c r="D97" s="688">
        <v>110115</v>
      </c>
      <c r="E97" s="688">
        <f t="shared" ref="E97" si="93">SUM(C97:D97)</f>
        <v>118375</v>
      </c>
      <c r="F97" s="690">
        <f t="shared" ref="F97" si="94">C97-C96</f>
        <v>1650</v>
      </c>
      <c r="G97" s="690">
        <f>SUMIF(F$6:F97,"&gt;0")</f>
        <v>77060</v>
      </c>
      <c r="H97" s="690">
        <f t="shared" ref="H97" si="95">D97-D96</f>
        <v>176</v>
      </c>
      <c r="I97" s="690">
        <f t="shared" ref="I97" si="96">SUM(F97,H97)</f>
        <v>1826</v>
      </c>
      <c r="J97" s="699">
        <f t="shared" ref="J97" si="97">I97/4200*80</f>
        <v>34.780952380952378</v>
      </c>
      <c r="K97" s="690">
        <f t="shared" ref="K97" si="98">G97 - _xlfn.XLOOKUP(A97-30, $A$6:$A$14999,G$6:G$14999,"",-1,2)</f>
        <v>22820</v>
      </c>
    </row>
    <row r="98" spans="1:13" x14ac:dyDescent="0.25">
      <c r="A98" s="691">
        <v>44009.829861111109</v>
      </c>
      <c r="C98" s="688">
        <v>8985</v>
      </c>
      <c r="D98" s="688">
        <v>110065</v>
      </c>
      <c r="E98" s="688">
        <f t="shared" ref="E98" si="99">SUM(C98:D98)</f>
        <v>119050</v>
      </c>
      <c r="F98" s="690">
        <f t="shared" ref="F98" si="100">C98-C97</f>
        <v>725</v>
      </c>
      <c r="G98" s="690">
        <f>SUMIF(F$6:F98,"&gt;0")</f>
        <v>77785</v>
      </c>
      <c r="H98" s="690">
        <f t="shared" ref="H98" si="101">D98-D97</f>
        <v>-50</v>
      </c>
      <c r="I98" s="690">
        <f t="shared" ref="I98" si="102">SUM(F98,H98)</f>
        <v>675</v>
      </c>
      <c r="J98" s="699">
        <f t="shared" ref="J98" si="103">I98/4200*80</f>
        <v>12.857142857142858</v>
      </c>
      <c r="K98" s="690">
        <f t="shared" ref="K98" si="104">G98 - _xlfn.XLOOKUP(A98-30, $A$6:$A$14999,G$6:G$14999,"",-1,2)</f>
        <v>22345</v>
      </c>
    </row>
    <row r="99" spans="1:13" x14ac:dyDescent="0.25">
      <c r="A99" s="691">
        <v>44010.193055555559</v>
      </c>
      <c r="C99" s="688">
        <v>9460</v>
      </c>
      <c r="D99" s="688">
        <v>110115</v>
      </c>
      <c r="E99" s="688">
        <f t="shared" ref="E99" si="105">SUM(C99:D99)</f>
        <v>119575</v>
      </c>
      <c r="F99" s="690">
        <f t="shared" ref="F99" si="106">C99-C98</f>
        <v>475</v>
      </c>
      <c r="G99" s="690">
        <f>SUMIF(F$6:F99,"&gt;0")</f>
        <v>78260</v>
      </c>
      <c r="H99" s="690">
        <f t="shared" ref="H99" si="107">D99-D98</f>
        <v>50</v>
      </c>
      <c r="I99" s="690">
        <f t="shared" ref="I99" si="108">SUM(F99,H99)</f>
        <v>525</v>
      </c>
      <c r="J99" s="699">
        <f t="shared" ref="J99" si="109">I99/4200*80</f>
        <v>10</v>
      </c>
      <c r="K99" s="690">
        <f t="shared" ref="K99" si="110">G99 - _xlfn.XLOOKUP(A99-30, $A$6:$A$14999,G$6:G$14999,"",-1,2)</f>
        <v>22820</v>
      </c>
    </row>
    <row r="100" spans="1:13" x14ac:dyDescent="0.25">
      <c r="A100" s="691">
        <v>44011.334027777775</v>
      </c>
      <c r="B100" s="825" t="s">
        <v>507</v>
      </c>
      <c r="C100" s="688">
        <v>9960</v>
      </c>
      <c r="D100" s="688">
        <v>108380</v>
      </c>
      <c r="E100" s="688">
        <f t="shared" ref="E100:E101" si="111">SUM(C100:D100)</f>
        <v>118340</v>
      </c>
      <c r="F100" s="690">
        <f t="shared" ref="F100" si="112">C100-C99</f>
        <v>500</v>
      </c>
      <c r="G100" s="690">
        <f>SUMIF(F$6:F100,"&gt;0")</f>
        <v>78760</v>
      </c>
      <c r="H100" s="690">
        <f t="shared" ref="H100" si="113">D100-D99</f>
        <v>-1735</v>
      </c>
      <c r="I100" s="690">
        <f t="shared" ref="I100" si="114">SUM(F100,H100)</f>
        <v>-1235</v>
      </c>
      <c r="J100" s="699">
        <f t="shared" ref="J100" si="115">I100/4200*80</f>
        <v>-23.523809523809526</v>
      </c>
      <c r="K100" s="690">
        <f t="shared" ref="K100:K105" si="116">G100 - _xlfn.XLOOKUP(A100-30, $A$6:$A$14999,G$6:G$14999,"",-1,2)</f>
        <v>16980</v>
      </c>
    </row>
    <row r="101" spans="1:13" x14ac:dyDescent="0.25">
      <c r="A101" s="691">
        <v>44012.677083333336</v>
      </c>
      <c r="B101" s="825" t="s">
        <v>508</v>
      </c>
      <c r="C101" s="688">
        <v>1015</v>
      </c>
      <c r="D101" s="688">
        <v>99790</v>
      </c>
      <c r="E101" s="688">
        <f t="shared" si="111"/>
        <v>100805</v>
      </c>
      <c r="F101" s="690">
        <f t="shared" ref="F101" si="117">C101-C100</f>
        <v>-8945</v>
      </c>
      <c r="G101" s="690">
        <f>SUMIF(F$6:F101,"&gt;0")</f>
        <v>78760</v>
      </c>
      <c r="H101" s="690">
        <f t="shared" ref="H101" si="118">D101-D100</f>
        <v>-8590</v>
      </c>
      <c r="I101" s="690">
        <f t="shared" ref="I101" si="119">SUM(F101,H101)</f>
        <v>-17535</v>
      </c>
      <c r="J101" s="699">
        <f t="shared" ref="J101" si="120">I101/4200*80</f>
        <v>-334</v>
      </c>
      <c r="K101" s="690">
        <f t="shared" si="116"/>
        <v>16980</v>
      </c>
    </row>
    <row r="102" spans="1:13" x14ac:dyDescent="0.25">
      <c r="A102" s="691">
        <v>44013.338888888888</v>
      </c>
      <c r="B102" s="825" t="s">
        <v>510</v>
      </c>
      <c r="C102" s="688">
        <v>1115</v>
      </c>
      <c r="D102" s="688">
        <v>156010</v>
      </c>
      <c r="E102" s="688">
        <f t="shared" ref="E102:E123" si="121">SUM(C102:D102)</f>
        <v>157125</v>
      </c>
      <c r="F102" s="690">
        <f t="shared" ref="F102" si="122">C102-C101</f>
        <v>100</v>
      </c>
      <c r="G102" s="690">
        <f>SUMIF(F$6:F102,"&gt;0")</f>
        <v>78860</v>
      </c>
      <c r="H102" s="690">
        <f t="shared" ref="H102" si="123">D102-D101</f>
        <v>56220</v>
      </c>
      <c r="I102" s="690">
        <f t="shared" ref="I102" si="124">SUM(F102,H102)</f>
        <v>56320</v>
      </c>
      <c r="J102" s="699">
        <f t="shared" ref="J102" si="125">I102/4200*80</f>
        <v>1072.7619047619048</v>
      </c>
      <c r="K102" s="690">
        <f t="shared" si="116"/>
        <v>16530</v>
      </c>
      <c r="L102" s="688">
        <v>56200</v>
      </c>
      <c r="M102" s="688">
        <v>1080</v>
      </c>
    </row>
    <row r="103" spans="1:13" x14ac:dyDescent="0.25">
      <c r="A103" s="691">
        <v>44014.411805555559</v>
      </c>
      <c r="C103" s="688">
        <v>1215</v>
      </c>
      <c r="D103" s="688">
        <v>156560</v>
      </c>
      <c r="E103" s="688">
        <f t="shared" si="121"/>
        <v>157775</v>
      </c>
      <c r="F103" s="690">
        <f t="shared" ref="F103" si="126">C103-C102</f>
        <v>100</v>
      </c>
      <c r="G103" s="690">
        <f>SUMIF(F$6:F103,"&gt;0")</f>
        <v>78960</v>
      </c>
      <c r="H103" s="690">
        <f t="shared" ref="H103" si="127">D103-D102</f>
        <v>550</v>
      </c>
      <c r="I103" s="690">
        <f t="shared" ref="I103" si="128">SUM(F103,H103)</f>
        <v>650</v>
      </c>
      <c r="J103" s="699">
        <f t="shared" ref="J103" si="129">I103/4200*80</f>
        <v>12.380952380952381</v>
      </c>
      <c r="K103" s="690">
        <f t="shared" si="116"/>
        <v>16630</v>
      </c>
    </row>
    <row r="104" spans="1:13" x14ac:dyDescent="0.25">
      <c r="A104" s="691">
        <v>44015.19027777778</v>
      </c>
      <c r="C104" s="688">
        <v>1440</v>
      </c>
      <c r="D104" s="688">
        <v>156580</v>
      </c>
      <c r="E104" s="688">
        <f t="shared" si="121"/>
        <v>158020</v>
      </c>
      <c r="F104" s="690">
        <f t="shared" ref="F104" si="130">C104-C103</f>
        <v>225</v>
      </c>
      <c r="G104" s="690">
        <f>SUMIF(F$6:F104,"&gt;0")</f>
        <v>79185</v>
      </c>
      <c r="H104" s="690">
        <f t="shared" ref="H104" si="131">D104-D103</f>
        <v>20</v>
      </c>
      <c r="I104" s="690">
        <f t="shared" ref="I104" si="132">SUM(F104,H104)</f>
        <v>245</v>
      </c>
      <c r="J104" s="699">
        <f t="shared" ref="J104" si="133">I104/4200*80</f>
        <v>4.666666666666667</v>
      </c>
      <c r="K104" s="690">
        <f t="shared" si="116"/>
        <v>16855</v>
      </c>
    </row>
    <row r="105" spans="1:13" x14ac:dyDescent="0.25">
      <c r="A105" s="691">
        <v>44017.495138888888</v>
      </c>
      <c r="B105" s="825" t="s">
        <v>507</v>
      </c>
      <c r="C105" s="688">
        <v>1640</v>
      </c>
      <c r="D105" s="688">
        <v>156170</v>
      </c>
      <c r="E105" s="688">
        <f t="shared" si="121"/>
        <v>157810</v>
      </c>
      <c r="F105" s="690">
        <f t="shared" ref="F105" si="134">C105-C104</f>
        <v>200</v>
      </c>
      <c r="G105" s="690">
        <f>SUMIF(F$6:F105,"&gt;0")</f>
        <v>79385</v>
      </c>
      <c r="H105" s="690">
        <f t="shared" ref="H105" si="135">D105-D104</f>
        <v>-410</v>
      </c>
      <c r="I105" s="690">
        <f t="shared" ref="I105" si="136">SUM(F105,H105)</f>
        <v>-210</v>
      </c>
      <c r="J105" s="699">
        <f t="shared" ref="J105" si="137">I105/4200*80</f>
        <v>-4</v>
      </c>
      <c r="K105" s="690">
        <f t="shared" si="116"/>
        <v>16180</v>
      </c>
    </row>
    <row r="106" spans="1:13" x14ac:dyDescent="0.25">
      <c r="A106" s="691">
        <v>44018.415277777778</v>
      </c>
      <c r="C106" s="688">
        <v>1740</v>
      </c>
      <c r="D106" s="688">
        <v>156245</v>
      </c>
      <c r="E106" s="688">
        <f t="shared" si="121"/>
        <v>157985</v>
      </c>
      <c r="F106" s="690">
        <f t="shared" ref="F106" si="138">C106-C105</f>
        <v>100</v>
      </c>
      <c r="G106" s="690">
        <f>SUMIF(F$6:F106,"&gt;0")</f>
        <v>79485</v>
      </c>
      <c r="H106" s="690">
        <f t="shared" ref="H106" si="139">D106-D105</f>
        <v>75</v>
      </c>
      <c r="I106" s="690">
        <f t="shared" ref="I106" si="140">SUM(F106,H106)</f>
        <v>175</v>
      </c>
      <c r="J106" s="699">
        <f t="shared" ref="J106" si="141">I106/4200*80</f>
        <v>3.333333333333333</v>
      </c>
      <c r="K106" s="690">
        <f t="shared" ref="K106" si="142">G106 - _xlfn.XLOOKUP(A106-30, $A$6:$A$14999,G$6:G$14999,"",-1,2)</f>
        <v>16155</v>
      </c>
      <c r="L106" s="688">
        <v>480</v>
      </c>
      <c r="M106" s="688">
        <v>8</v>
      </c>
    </row>
    <row r="107" spans="1:13" x14ac:dyDescent="0.25">
      <c r="A107" s="691">
        <v>44019.758333333331</v>
      </c>
      <c r="C107" s="688">
        <v>2065</v>
      </c>
      <c r="D107" s="688">
        <v>156175</v>
      </c>
      <c r="E107" s="688">
        <f t="shared" si="121"/>
        <v>158240</v>
      </c>
      <c r="F107" s="690">
        <f t="shared" ref="F107" si="143">C107-C106</f>
        <v>325</v>
      </c>
      <c r="G107" s="690">
        <f>SUMIF(F$6:F107,"&gt;0")</f>
        <v>79810</v>
      </c>
      <c r="H107" s="690">
        <f t="shared" ref="H107" si="144">D107-D106</f>
        <v>-70</v>
      </c>
      <c r="I107" s="690">
        <f t="shared" ref="I107" si="145">SUM(F107,H107)</f>
        <v>255</v>
      </c>
      <c r="J107" s="699">
        <f t="shared" ref="J107" si="146">I107/4200*80</f>
        <v>4.8571428571428568</v>
      </c>
      <c r="K107" s="690">
        <f t="shared" ref="K107" si="147">G107 - _xlfn.XLOOKUP(A107-30, $A$6:$A$14999,G$6:G$14999,"",-1,2)</f>
        <v>16480</v>
      </c>
    </row>
    <row r="108" spans="1:13" x14ac:dyDescent="0.25">
      <c r="A108" s="691">
        <v>44020.353472222225</v>
      </c>
      <c r="C108" s="688">
        <v>2565</v>
      </c>
      <c r="D108" s="688">
        <v>156755</v>
      </c>
      <c r="E108" s="688">
        <f t="shared" si="121"/>
        <v>159320</v>
      </c>
      <c r="F108" s="690">
        <f t="shared" ref="F108" si="148">C108-C107</f>
        <v>500</v>
      </c>
      <c r="G108" s="690">
        <f>SUMIF(F$6:F108,"&gt;0")</f>
        <v>80310</v>
      </c>
      <c r="H108" s="690">
        <f t="shared" ref="H108" si="149">D108-D107</f>
        <v>580</v>
      </c>
      <c r="I108" s="690">
        <f t="shared" ref="I108" si="150">SUM(F108,H108)</f>
        <v>1080</v>
      </c>
      <c r="J108" s="699">
        <f t="shared" ref="J108" si="151">I108/4200*80</f>
        <v>20.571428571428569</v>
      </c>
      <c r="K108" s="690">
        <f t="shared" ref="K108" si="152">G108 - _xlfn.XLOOKUP(A108-30, $A$6:$A$14999,G$6:G$14999,"",-1,2)</f>
        <v>16805</v>
      </c>
    </row>
    <row r="109" spans="1:13" x14ac:dyDescent="0.25">
      <c r="A109" s="691">
        <v>44021.128472222219</v>
      </c>
      <c r="C109" s="688">
        <v>2965</v>
      </c>
      <c r="D109" s="688">
        <v>156805</v>
      </c>
      <c r="E109" s="688">
        <f t="shared" si="121"/>
        <v>159770</v>
      </c>
      <c r="F109" s="690">
        <f t="shared" ref="F109" si="153">C109-C108</f>
        <v>400</v>
      </c>
      <c r="G109" s="690">
        <f>SUMIF(F$6:F109,"&gt;0")</f>
        <v>80710</v>
      </c>
      <c r="H109" s="690">
        <f t="shared" ref="H109" si="154">D109-D108</f>
        <v>50</v>
      </c>
      <c r="I109" s="690">
        <f t="shared" ref="I109" si="155">SUM(F109,H109)</f>
        <v>450</v>
      </c>
      <c r="J109" s="699">
        <f t="shared" ref="J109" si="156">I109/4200*80</f>
        <v>8.5714285714285712</v>
      </c>
      <c r="K109" s="690">
        <f t="shared" ref="K109" si="157">G109 - _xlfn.XLOOKUP(A109-30, $A$6:$A$14999,G$6:G$14999,"",-1,2)</f>
        <v>16855</v>
      </c>
    </row>
    <row r="110" spans="1:13" x14ac:dyDescent="0.25">
      <c r="A110" s="691">
        <v>44023.706250000003</v>
      </c>
      <c r="C110" s="688">
        <v>3165</v>
      </c>
      <c r="D110" s="688">
        <v>156855</v>
      </c>
      <c r="E110" s="688">
        <f t="shared" si="121"/>
        <v>160020</v>
      </c>
      <c r="F110" s="690">
        <f t="shared" ref="F110" si="158">C110-C109</f>
        <v>200</v>
      </c>
      <c r="G110" s="690">
        <f>SUMIF(F$6:F110,"&gt;0")</f>
        <v>80910</v>
      </c>
      <c r="H110" s="690">
        <f t="shared" ref="H110" si="159">D110-D109</f>
        <v>50</v>
      </c>
      <c r="I110" s="690">
        <f t="shared" ref="I110" si="160">SUM(F110,H110)</f>
        <v>250</v>
      </c>
      <c r="J110" s="699">
        <f t="shared" ref="J110" si="161">I110/4200*80</f>
        <v>4.7619047619047619</v>
      </c>
      <c r="K110" s="690">
        <f t="shared" ref="K110" si="162">G110 - _xlfn.XLOOKUP(A110-30, $A$6:$A$14999,G$6:G$14999,"",-1,2)</f>
        <v>16355</v>
      </c>
    </row>
    <row r="111" spans="1:13" x14ac:dyDescent="0.25">
      <c r="A111" s="691">
        <v>44024.893055555556</v>
      </c>
      <c r="C111" s="688">
        <v>3265</v>
      </c>
      <c r="D111" s="688">
        <v>156855</v>
      </c>
      <c r="E111" s="688">
        <f t="shared" si="121"/>
        <v>160120</v>
      </c>
      <c r="F111" s="690">
        <f t="shared" ref="F111" si="163">C111-C110</f>
        <v>100</v>
      </c>
      <c r="G111" s="690">
        <f>SUMIF(F$6:F111,"&gt;0")</f>
        <v>81010</v>
      </c>
      <c r="H111" s="690">
        <f t="shared" ref="H111" si="164">D111-D110</f>
        <v>0</v>
      </c>
      <c r="I111" s="690">
        <f t="shared" ref="I111" si="165">SUM(F111,H111)</f>
        <v>100</v>
      </c>
      <c r="J111" s="699">
        <f t="shared" ref="J111" si="166">I111/4200*80</f>
        <v>1.9047619047619047</v>
      </c>
      <c r="K111" s="690">
        <f t="shared" ref="K111" si="167">G111 - _xlfn.XLOOKUP(A111-30, $A$6:$A$14999,G$6:G$14999,"",-1,2)</f>
        <v>15345</v>
      </c>
    </row>
    <row r="112" spans="1:13" x14ac:dyDescent="0.25">
      <c r="A112" s="691">
        <v>44026.388194444444</v>
      </c>
      <c r="C112" s="688">
        <v>4645</v>
      </c>
      <c r="D112" s="688">
        <v>157600</v>
      </c>
      <c r="E112" s="688">
        <f t="shared" si="121"/>
        <v>162245</v>
      </c>
      <c r="F112" s="690">
        <f t="shared" ref="F112" si="168">C112-C111</f>
        <v>1380</v>
      </c>
      <c r="G112" s="690">
        <f>SUMIF(F$6:F112,"&gt;0")</f>
        <v>82390</v>
      </c>
      <c r="H112" s="690">
        <f t="shared" ref="H112" si="169">D112-D111</f>
        <v>745</v>
      </c>
      <c r="I112" s="690">
        <f t="shared" ref="I112" si="170">SUM(F112,H112)</f>
        <v>2125</v>
      </c>
      <c r="J112" s="699">
        <f t="shared" ref="J112" si="171">I112/4200*80</f>
        <v>40.476190476190474</v>
      </c>
      <c r="K112" s="690">
        <f t="shared" ref="K112" si="172">G112 - _xlfn.XLOOKUP(A112-30, $A$6:$A$14999,G$6:G$14999,"",-1,2)</f>
        <v>16500</v>
      </c>
      <c r="L112" s="688">
        <v>480</v>
      </c>
      <c r="M112" s="688">
        <v>8</v>
      </c>
    </row>
    <row r="113" spans="1:13" x14ac:dyDescent="0.25">
      <c r="A113" s="691">
        <v>44027.654166666667</v>
      </c>
      <c r="B113" s="825" t="s">
        <v>524</v>
      </c>
      <c r="C113" s="688">
        <v>1155</v>
      </c>
      <c r="D113" s="688">
        <v>125170</v>
      </c>
      <c r="E113" s="688">
        <f t="shared" si="121"/>
        <v>126325</v>
      </c>
      <c r="F113" s="690">
        <f t="shared" ref="F113" si="173">C113-C112</f>
        <v>-3490</v>
      </c>
      <c r="G113" s="690">
        <f>SUMIF(F$6:F113,"&gt;0")</f>
        <v>82390</v>
      </c>
      <c r="H113" s="690">
        <f t="shared" ref="H113" si="174">D113-D112</f>
        <v>-32430</v>
      </c>
      <c r="I113" s="690">
        <f t="shared" ref="I113" si="175">SUM(F113,H113)</f>
        <v>-35920</v>
      </c>
      <c r="J113" s="699">
        <f t="shared" ref="J113" si="176">I113/4200*80</f>
        <v>-684.19047619047615</v>
      </c>
      <c r="K113" s="690">
        <f t="shared" ref="K113" si="177">G113 - _xlfn.XLOOKUP(A113-30, $A$6:$A$14999,G$6:G$14999,"",-1,2)</f>
        <v>16440</v>
      </c>
    </row>
    <row r="114" spans="1:13" x14ac:dyDescent="0.25">
      <c r="A114" s="691">
        <v>44030.856249999997</v>
      </c>
      <c r="C114" s="688">
        <v>2345</v>
      </c>
      <c r="D114" s="688">
        <v>125320</v>
      </c>
      <c r="E114" s="688">
        <f t="shared" si="121"/>
        <v>127665</v>
      </c>
      <c r="F114" s="690">
        <f t="shared" ref="F114" si="178">C114-C113</f>
        <v>1190</v>
      </c>
      <c r="G114" s="690">
        <f>SUMIF(F$6:F114,"&gt;0")</f>
        <v>83580</v>
      </c>
      <c r="H114" s="690">
        <f t="shared" ref="H114" si="179">D114-D113</f>
        <v>150</v>
      </c>
      <c r="I114" s="690">
        <f t="shared" ref="I114" si="180">SUM(F114,H114)</f>
        <v>1340</v>
      </c>
      <c r="J114" s="699">
        <f t="shared" ref="J114" si="181">I114/4200*80</f>
        <v>25.523809523809522</v>
      </c>
      <c r="K114" s="690">
        <f t="shared" ref="K114" si="182">G114 - _xlfn.XLOOKUP(A114-30, $A$6:$A$14999,G$6:G$14999,"",-1,2)</f>
        <v>16715</v>
      </c>
    </row>
    <row r="115" spans="1:13" x14ac:dyDescent="0.25">
      <c r="A115" s="691">
        <v>44031.893750000003</v>
      </c>
      <c r="C115" s="688">
        <v>3405</v>
      </c>
      <c r="D115" s="688">
        <v>125370</v>
      </c>
      <c r="E115" s="688">
        <f t="shared" si="121"/>
        <v>128775</v>
      </c>
      <c r="F115" s="690">
        <f t="shared" ref="F115" si="183">C115-C114</f>
        <v>1060</v>
      </c>
      <c r="G115" s="690">
        <f>SUMIF(F$6:F115,"&gt;0")</f>
        <v>84640</v>
      </c>
      <c r="H115" s="690">
        <f t="shared" ref="H115" si="184">D115-D114</f>
        <v>50</v>
      </c>
      <c r="I115" s="690">
        <f t="shared" ref="I115" si="185">SUM(F115,H115)</f>
        <v>1110</v>
      </c>
      <c r="J115" s="699">
        <f t="shared" ref="J115" si="186">I115/4200*80</f>
        <v>21.142857142857142</v>
      </c>
      <c r="K115" s="690">
        <f t="shared" ref="K115" si="187">G115 - _xlfn.XLOOKUP(A115-30, $A$6:$A$14999,G$6:G$14999,"",-1,2)</f>
        <v>15325</v>
      </c>
    </row>
    <row r="116" spans="1:13" x14ac:dyDescent="0.25">
      <c r="A116" s="691">
        <v>44033.117361111108</v>
      </c>
      <c r="B116" s="825" t="s">
        <v>525</v>
      </c>
      <c r="C116" s="688">
        <v>5430</v>
      </c>
      <c r="D116" s="688">
        <v>125525</v>
      </c>
      <c r="E116" s="688">
        <f t="shared" si="121"/>
        <v>130955</v>
      </c>
      <c r="F116" s="690">
        <f t="shared" ref="F116" si="188">C116-C115</f>
        <v>2025</v>
      </c>
      <c r="G116" s="690">
        <f>SUMIF(F$6:F116,"&gt;0")</f>
        <v>86665</v>
      </c>
      <c r="H116" s="690">
        <f t="shared" ref="H116" si="189">D116-D115</f>
        <v>155</v>
      </c>
      <c r="I116" s="690">
        <f t="shared" ref="I116" si="190">SUM(F116,H116)</f>
        <v>2180</v>
      </c>
      <c r="J116" s="699">
        <f t="shared" ref="J116" si="191">I116/4200*80</f>
        <v>41.523809523809526</v>
      </c>
      <c r="K116" s="690">
        <f t="shared" ref="K116" si="192">G116 - _xlfn.XLOOKUP(A116-30, $A$6:$A$14999,G$6:G$14999,"",-1,2)</f>
        <v>17350</v>
      </c>
    </row>
    <row r="117" spans="1:13" x14ac:dyDescent="0.25">
      <c r="A117" s="691">
        <v>44033.922222222223</v>
      </c>
      <c r="B117" s="825" t="s">
        <v>526</v>
      </c>
      <c r="C117" s="688">
        <v>7430</v>
      </c>
      <c r="D117" s="688">
        <v>125515</v>
      </c>
      <c r="E117" s="688">
        <f t="shared" si="121"/>
        <v>132945</v>
      </c>
      <c r="F117" s="690">
        <f t="shared" ref="F117" si="193">C117-C116</f>
        <v>2000</v>
      </c>
      <c r="G117" s="690">
        <f>SUMIF(F$6:F117,"&gt;0")</f>
        <v>88665</v>
      </c>
      <c r="H117" s="690">
        <f t="shared" ref="H117" si="194">D117-D116</f>
        <v>-10</v>
      </c>
      <c r="I117" s="690">
        <f t="shared" ref="I117" si="195">SUM(F117,H117)</f>
        <v>1990</v>
      </c>
      <c r="J117" s="699">
        <f t="shared" ref="J117" si="196">I117/4200*80</f>
        <v>37.904761904761905</v>
      </c>
      <c r="K117" s="690">
        <f t="shared" ref="K117" si="197">G117 - _xlfn.XLOOKUP(A117-30, $A$6:$A$14999,G$6:G$14999,"",-1,2)</f>
        <v>19350</v>
      </c>
    </row>
    <row r="118" spans="1:13" x14ac:dyDescent="0.25">
      <c r="A118" s="691">
        <v>44035.056250000001</v>
      </c>
      <c r="B118" s="825" t="s">
        <v>529</v>
      </c>
      <c r="C118" s="688">
        <v>8755</v>
      </c>
      <c r="D118" s="688">
        <v>125505</v>
      </c>
      <c r="E118" s="688">
        <f t="shared" si="121"/>
        <v>134260</v>
      </c>
      <c r="F118" s="690">
        <f t="shared" ref="F118" si="198">C118-C117</f>
        <v>1325</v>
      </c>
      <c r="G118" s="690">
        <f>SUMIF(F$6:F118,"&gt;0")</f>
        <v>89990</v>
      </c>
      <c r="H118" s="690">
        <f t="shared" ref="H118" si="199">D118-D117</f>
        <v>-10</v>
      </c>
      <c r="I118" s="690">
        <f t="shared" ref="I118" si="200">SUM(F118,H118)</f>
        <v>1315</v>
      </c>
      <c r="J118" s="699">
        <f t="shared" ref="J118" si="201">I118/4200*80</f>
        <v>25.047619047619047</v>
      </c>
      <c r="K118" s="690">
        <f t="shared" ref="K118" si="202">G118 - _xlfn.XLOOKUP(A118-30, $A$6:$A$14999,G$6:G$14999,"",-1,2)</f>
        <v>15830</v>
      </c>
    </row>
    <row r="119" spans="1:13" x14ac:dyDescent="0.25">
      <c r="A119" s="691">
        <v>44036.682638888888</v>
      </c>
      <c r="B119" s="825" t="s">
        <v>401</v>
      </c>
      <c r="C119" s="688">
        <v>9405</v>
      </c>
      <c r="D119" s="688">
        <v>125555</v>
      </c>
      <c r="E119" s="688">
        <f t="shared" si="121"/>
        <v>134960</v>
      </c>
      <c r="F119" s="690">
        <f t="shared" ref="F119" si="203">C119-C118</f>
        <v>650</v>
      </c>
      <c r="G119" s="690">
        <f>SUMIF(F$6:F119,"&gt;0")</f>
        <v>90640</v>
      </c>
      <c r="H119" s="690">
        <f t="shared" ref="H119" si="204">D119-D118</f>
        <v>50</v>
      </c>
      <c r="I119" s="690">
        <f t="shared" ref="I119" si="205">SUM(F119,H119)</f>
        <v>700</v>
      </c>
      <c r="J119" s="699">
        <f t="shared" ref="J119" si="206">I119/4200*80</f>
        <v>13.333333333333332</v>
      </c>
      <c r="K119" s="690">
        <f t="shared" ref="K119" si="207">G119 - _xlfn.XLOOKUP(A119-30, $A$6:$A$14999,G$6:G$14999,"",-1,2)</f>
        <v>15955</v>
      </c>
    </row>
    <row r="120" spans="1:13" x14ac:dyDescent="0.25">
      <c r="A120" s="691">
        <v>44038.184027777781</v>
      </c>
      <c r="C120" s="688">
        <v>9780</v>
      </c>
      <c r="D120" s="688">
        <v>125685</v>
      </c>
      <c r="E120" s="688">
        <f t="shared" si="121"/>
        <v>135465</v>
      </c>
      <c r="F120" s="690">
        <f t="shared" ref="F120" si="208">C120-C119</f>
        <v>375</v>
      </c>
      <c r="G120" s="690">
        <f>SUMIF(F$6:F120,"&gt;0")</f>
        <v>91015</v>
      </c>
      <c r="H120" s="690">
        <f t="shared" ref="H120" si="209">D120-D119</f>
        <v>130</v>
      </c>
      <c r="I120" s="690">
        <f t="shared" ref="I120" si="210">SUM(F120,H120)</f>
        <v>505</v>
      </c>
      <c r="J120" s="699">
        <f t="shared" ref="J120" si="211">I120/4200*80</f>
        <v>9.6190476190476186</v>
      </c>
      <c r="K120" s="690">
        <f t="shared" ref="K120" si="212">G120 - _xlfn.XLOOKUP(A120-30, $A$6:$A$14999,G$6:G$14999,"",-1,2)</f>
        <v>15605</v>
      </c>
    </row>
    <row r="121" spans="1:13" x14ac:dyDescent="0.25">
      <c r="A121" s="691">
        <v>44039.043749999997</v>
      </c>
      <c r="B121" s="825" t="s">
        <v>528</v>
      </c>
      <c r="C121" s="688">
        <v>9805</v>
      </c>
      <c r="D121" s="688">
        <v>125535</v>
      </c>
      <c r="E121" s="688">
        <f t="shared" si="121"/>
        <v>135340</v>
      </c>
      <c r="F121" s="690">
        <f t="shared" ref="F121" si="213">C121-C120</f>
        <v>25</v>
      </c>
      <c r="G121" s="690">
        <f>SUMIF(F$6:F121,"&gt;0")</f>
        <v>91040</v>
      </c>
      <c r="H121" s="690">
        <f t="shared" ref="H121" si="214">D121-D120</f>
        <v>-150</v>
      </c>
      <c r="I121" s="690">
        <f t="shared" ref="I121" si="215">SUM(F121,H121)</f>
        <v>-125</v>
      </c>
      <c r="J121" s="699">
        <f t="shared" ref="J121" si="216">I121/4200*80</f>
        <v>-2.3809523809523809</v>
      </c>
      <c r="K121" s="690">
        <f t="shared" ref="K121" si="217">G121 - _xlfn.XLOOKUP(A121-30, $A$6:$A$14999,G$6:G$14999,"",-1,2)</f>
        <v>13980</v>
      </c>
    </row>
    <row r="122" spans="1:13" x14ac:dyDescent="0.25">
      <c r="A122" s="691">
        <v>44039.479861111111</v>
      </c>
      <c r="B122" s="825" t="s">
        <v>530</v>
      </c>
      <c r="C122" s="688">
        <v>10455</v>
      </c>
      <c r="D122" s="688">
        <v>125960</v>
      </c>
      <c r="E122" s="688">
        <f t="shared" si="121"/>
        <v>136415</v>
      </c>
      <c r="F122" s="690">
        <f t="shared" ref="F122" si="218">C122-C121</f>
        <v>650</v>
      </c>
      <c r="G122" s="690">
        <f>SUMIF(F$6:F122,"&gt;0")</f>
        <v>91690</v>
      </c>
      <c r="H122" s="690">
        <f t="shared" ref="H122" si="219">D122-D121</f>
        <v>425</v>
      </c>
      <c r="I122" s="690">
        <f t="shared" ref="I122" si="220">SUM(F122,H122)</f>
        <v>1075</v>
      </c>
      <c r="J122" s="699">
        <f t="shared" ref="J122" si="221">I122/4200*80</f>
        <v>20.476190476190474</v>
      </c>
      <c r="K122" s="690">
        <f t="shared" ref="K122" si="222">G122 - _xlfn.XLOOKUP(A122-30, $A$6:$A$14999,G$6:G$14999,"",-1,2)</f>
        <v>14630</v>
      </c>
      <c r="L122" s="688">
        <v>480</v>
      </c>
      <c r="M122" s="688">
        <v>8</v>
      </c>
    </row>
    <row r="123" spans="1:13" x14ac:dyDescent="0.25">
      <c r="A123" s="691">
        <v>44041.791666666664</v>
      </c>
      <c r="B123" s="825" t="s">
        <v>533</v>
      </c>
      <c r="C123" s="688">
        <v>12380</v>
      </c>
      <c r="D123" s="688">
        <v>124950</v>
      </c>
      <c r="E123" s="688">
        <f t="shared" si="121"/>
        <v>137330</v>
      </c>
      <c r="F123" s="690">
        <f t="shared" ref="F123:F124" si="223">C123-C122</f>
        <v>1925</v>
      </c>
      <c r="G123" s="690">
        <f>SUMIF(F$6:F123,"&gt;0")</f>
        <v>93615</v>
      </c>
      <c r="H123" s="690">
        <f t="shared" ref="H123:H124" si="224">D123-D122</f>
        <v>-1010</v>
      </c>
      <c r="I123" s="690">
        <f t="shared" ref="I123:I124" si="225">SUM(F123,H123)</f>
        <v>915</v>
      </c>
      <c r="J123" s="699">
        <f t="shared" ref="J123:J124" si="226">I123/4200*80</f>
        <v>17.428571428571431</v>
      </c>
      <c r="K123" s="690">
        <f t="shared" ref="K123:K124" si="227">G123 - _xlfn.XLOOKUP(A123-30, $A$6:$A$14999,G$6:G$14999,"",-1,2)</f>
        <v>14855</v>
      </c>
    </row>
    <row r="124" spans="1:13" x14ac:dyDescent="0.25">
      <c r="A124" s="691">
        <v>44042.136111111111</v>
      </c>
      <c r="B124" s="825" t="s">
        <v>532</v>
      </c>
      <c r="C124" s="688">
        <v>380</v>
      </c>
      <c r="D124" s="688">
        <v>121350</v>
      </c>
      <c r="E124" s="688">
        <f t="shared" ref="E124:E134" si="228">SUM(C124:D124)</f>
        <v>121730</v>
      </c>
      <c r="F124" s="690">
        <f t="shared" si="223"/>
        <v>-12000</v>
      </c>
      <c r="G124" s="690">
        <f>SUMIF(F$6:F124,"&gt;0")</f>
        <v>93615</v>
      </c>
      <c r="H124" s="690">
        <f t="shared" si="224"/>
        <v>-3600</v>
      </c>
      <c r="I124" s="690">
        <f t="shared" si="225"/>
        <v>-15600</v>
      </c>
      <c r="J124" s="699">
        <f t="shared" si="226"/>
        <v>-297.14285714285717</v>
      </c>
      <c r="K124" s="690">
        <f t="shared" si="227"/>
        <v>14855</v>
      </c>
    </row>
    <row r="125" spans="1:13" x14ac:dyDescent="0.25">
      <c r="A125" s="691">
        <v>44044.12222222222</v>
      </c>
      <c r="B125" s="825" t="s">
        <v>534</v>
      </c>
      <c r="C125" s="688">
        <v>1290</v>
      </c>
      <c r="D125" s="688">
        <v>122670</v>
      </c>
      <c r="E125" s="688">
        <f t="shared" si="228"/>
        <v>123960</v>
      </c>
      <c r="F125" s="690">
        <f t="shared" ref="F125" si="229">C125-C124</f>
        <v>910</v>
      </c>
      <c r="G125" s="690">
        <f>SUMIF(F$6:F125,"&gt;0")</f>
        <v>94525</v>
      </c>
      <c r="H125" s="690">
        <f t="shared" ref="H125" si="230">D125-D124</f>
        <v>1320</v>
      </c>
      <c r="I125" s="690">
        <f t="shared" ref="I125" si="231">SUM(F125,H125)</f>
        <v>2230</v>
      </c>
      <c r="J125" s="699">
        <f t="shared" ref="J125" si="232">I125/4200*80</f>
        <v>42.476190476190474</v>
      </c>
      <c r="K125" s="690">
        <f t="shared" ref="K125" si="233">G125 - _xlfn.XLOOKUP(A125-30, $A$6:$A$14999,G$6:G$14999,"",-1,2)</f>
        <v>15665</v>
      </c>
      <c r="L125" s="688">
        <v>700</v>
      </c>
      <c r="M125" s="688">
        <v>10</v>
      </c>
    </row>
    <row r="126" spans="1:13" x14ac:dyDescent="0.2">
      <c r="A126" s="691">
        <v>44045.277777777781</v>
      </c>
      <c r="B126" s="847" t="s">
        <v>559</v>
      </c>
      <c r="C126" s="688">
        <v>1715</v>
      </c>
      <c r="D126" s="688">
        <v>122720</v>
      </c>
      <c r="E126" s="688">
        <f t="shared" si="228"/>
        <v>124435</v>
      </c>
      <c r="F126" s="690">
        <f t="shared" ref="F126" si="234">C126-C125</f>
        <v>425</v>
      </c>
      <c r="G126" s="690">
        <f>SUMIF(F$6:F126,"&gt;0")</f>
        <v>94950</v>
      </c>
      <c r="H126" s="690">
        <f t="shared" ref="H126" si="235">D126-D125</f>
        <v>50</v>
      </c>
      <c r="I126" s="690">
        <f t="shared" ref="I126" si="236">SUM(F126,H126)</f>
        <v>475</v>
      </c>
      <c r="J126" s="699">
        <f t="shared" ref="J126" si="237">I126/4200*80</f>
        <v>9.0476190476190474</v>
      </c>
      <c r="K126" s="690">
        <f t="shared" ref="K126" si="238">G126 - _xlfn.XLOOKUP(A126-30, $A$6:$A$14999,G$6:G$14999,"",-1,2)</f>
        <v>15765</v>
      </c>
    </row>
    <row r="127" spans="1:13" x14ac:dyDescent="0.25">
      <c r="A127" s="691">
        <v>44047.069444444445</v>
      </c>
      <c r="B127" s="825" t="s">
        <v>560</v>
      </c>
      <c r="C127" s="688">
        <v>2240</v>
      </c>
      <c r="D127" s="688">
        <v>121750</v>
      </c>
      <c r="E127" s="688">
        <f t="shared" si="228"/>
        <v>123990</v>
      </c>
      <c r="F127" s="690">
        <f t="shared" ref="F127" si="239">C127-C126</f>
        <v>525</v>
      </c>
      <c r="G127" s="690">
        <f>SUMIF(F$6:F127,"&gt;0")</f>
        <v>95475</v>
      </c>
      <c r="H127" s="690">
        <f t="shared" ref="H127" si="240">D127-D126</f>
        <v>-970</v>
      </c>
      <c r="I127" s="690">
        <f t="shared" ref="I127" si="241">SUM(F127,H127)</f>
        <v>-445</v>
      </c>
      <c r="J127" s="699">
        <f t="shared" ref="J127" si="242">I127/4200*80</f>
        <v>-8.4761904761904763</v>
      </c>
      <c r="K127" s="690">
        <f t="shared" ref="K127" si="243">G127 - _xlfn.XLOOKUP(A127-30, $A$6:$A$14999,G$6:G$14999,"",-1,2)</f>
        <v>16290</v>
      </c>
    </row>
    <row r="128" spans="1:13" x14ac:dyDescent="0.25">
      <c r="A128" s="691">
        <v>44048.241666666669</v>
      </c>
      <c r="C128" s="688">
        <v>2240</v>
      </c>
      <c r="D128" s="688">
        <v>121800</v>
      </c>
      <c r="E128" s="688">
        <f t="shared" si="228"/>
        <v>124040</v>
      </c>
      <c r="F128" s="690">
        <f t="shared" ref="F128" si="244">C128-C127</f>
        <v>0</v>
      </c>
      <c r="G128" s="690">
        <f>SUMIF(F$6:F128,"&gt;0")</f>
        <v>95475</v>
      </c>
      <c r="H128" s="690">
        <f t="shared" ref="H128" si="245">D128-D127</f>
        <v>50</v>
      </c>
      <c r="I128" s="690">
        <f t="shared" ref="I128" si="246">SUM(F128,H128)</f>
        <v>50</v>
      </c>
      <c r="J128" s="699">
        <f t="shared" ref="J128" si="247">I128/4200*80</f>
        <v>0.95238095238095233</v>
      </c>
      <c r="K128" s="690">
        <f t="shared" ref="K128" si="248">G128 - _xlfn.XLOOKUP(A128-30, $A$6:$A$14999,G$6:G$14999,"",-1,2)</f>
        <v>16090</v>
      </c>
    </row>
    <row r="129" spans="1:11" x14ac:dyDescent="0.25">
      <c r="A129" s="691">
        <v>44050.146527777775</v>
      </c>
      <c r="C129" s="688">
        <v>2840</v>
      </c>
      <c r="D129" s="688">
        <v>122330</v>
      </c>
      <c r="E129" s="688">
        <f t="shared" si="228"/>
        <v>125170</v>
      </c>
      <c r="F129" s="690">
        <f t="shared" ref="F129" si="249">C129-C128</f>
        <v>600</v>
      </c>
      <c r="G129" s="690">
        <f>SUMIF(F$6:F129,"&gt;0")</f>
        <v>96075</v>
      </c>
      <c r="H129" s="690">
        <f t="shared" ref="H129" si="250">D129-D128</f>
        <v>530</v>
      </c>
      <c r="I129" s="690">
        <f t="shared" ref="I129" si="251">SUM(F129,H129)</f>
        <v>1130</v>
      </c>
      <c r="J129" s="699">
        <f t="shared" ref="J129" si="252">I129/4200*80</f>
        <v>21.523809523809522</v>
      </c>
      <c r="K129" s="690">
        <f t="shared" ref="K129" si="253">G129 - _xlfn.XLOOKUP(A129-30, $A$6:$A$14999,G$6:G$14999,"",-1,2)</f>
        <v>16265</v>
      </c>
    </row>
    <row r="130" spans="1:11" x14ac:dyDescent="0.25">
      <c r="A130" s="691">
        <v>44051.536805555559</v>
      </c>
      <c r="C130" s="688">
        <v>3240</v>
      </c>
      <c r="D130" s="688">
        <v>123005</v>
      </c>
      <c r="E130" s="688">
        <f t="shared" si="228"/>
        <v>126245</v>
      </c>
      <c r="F130" s="690">
        <f t="shared" ref="F130" si="254">C130-C129</f>
        <v>400</v>
      </c>
      <c r="G130" s="690">
        <f>SUMIF(F$6:F130,"&gt;0")</f>
        <v>96475</v>
      </c>
      <c r="H130" s="690">
        <f t="shared" ref="H130" si="255">D130-D129</f>
        <v>675</v>
      </c>
      <c r="I130" s="690">
        <f t="shared" ref="I130" si="256">SUM(F130,H130)</f>
        <v>1075</v>
      </c>
      <c r="J130" s="699">
        <f t="shared" ref="J130" si="257">I130/4200*80</f>
        <v>20.476190476190474</v>
      </c>
      <c r="K130" s="690">
        <f t="shared" ref="K130" si="258">G130 - _xlfn.XLOOKUP(A130-30, $A$6:$A$14999,G$6:G$14999,"",-1,2)</f>
        <v>15765</v>
      </c>
    </row>
    <row r="131" spans="1:11" x14ac:dyDescent="0.25">
      <c r="A131" s="691">
        <v>44052.595138888886</v>
      </c>
      <c r="C131" s="688">
        <v>3340</v>
      </c>
      <c r="D131" s="688">
        <v>123055</v>
      </c>
      <c r="E131" s="688">
        <f t="shared" si="228"/>
        <v>126395</v>
      </c>
      <c r="F131" s="690">
        <f t="shared" ref="F131" si="259">C131-C130</f>
        <v>100</v>
      </c>
      <c r="G131" s="690">
        <f>SUMIF(F$6:F131,"&gt;0")</f>
        <v>96575</v>
      </c>
      <c r="H131" s="690">
        <f t="shared" ref="H131" si="260">D131-D130</f>
        <v>50</v>
      </c>
      <c r="I131" s="690">
        <f t="shared" ref="I131" si="261">SUM(F131,H131)</f>
        <v>150</v>
      </c>
      <c r="J131" s="699">
        <f t="shared" ref="J131" si="262">I131/4200*80</f>
        <v>2.8571428571428568</v>
      </c>
      <c r="K131" s="690">
        <f t="shared" ref="K131" si="263">G131 - _xlfn.XLOOKUP(A131-30, $A$6:$A$14999,G$6:G$14999,"",-1,2)</f>
        <v>15865</v>
      </c>
    </row>
    <row r="132" spans="1:11" x14ac:dyDescent="0.25">
      <c r="A132" s="691">
        <v>44053.20416666667</v>
      </c>
      <c r="C132" s="688">
        <v>3515</v>
      </c>
      <c r="D132" s="688">
        <v>123105</v>
      </c>
      <c r="E132" s="688">
        <f t="shared" si="228"/>
        <v>126620</v>
      </c>
      <c r="F132" s="690">
        <f t="shared" ref="F132" si="264">C132-C131</f>
        <v>175</v>
      </c>
      <c r="G132" s="690">
        <f>SUMIF(F$6:F132,"&gt;0")</f>
        <v>96750</v>
      </c>
      <c r="H132" s="690">
        <f t="shared" ref="H132" si="265">D132-D131</f>
        <v>50</v>
      </c>
      <c r="I132" s="690">
        <f t="shared" ref="I132" si="266">SUM(F132,H132)</f>
        <v>225</v>
      </c>
      <c r="J132" s="699">
        <f t="shared" ref="J132" si="267">I132/4200*80</f>
        <v>4.2857142857142856</v>
      </c>
      <c r="K132" s="690">
        <f t="shared" ref="K132" si="268">G132 - _xlfn.XLOOKUP(A132-30, $A$6:$A$14999,G$6:G$14999,"",-1,2)</f>
        <v>16040</v>
      </c>
    </row>
    <row r="133" spans="1:11" x14ac:dyDescent="0.25">
      <c r="A133" s="691">
        <v>44056.448611111111</v>
      </c>
      <c r="B133" s="825" t="s">
        <v>582</v>
      </c>
      <c r="C133" s="688">
        <v>4885</v>
      </c>
      <c r="D133" s="688">
        <v>123285</v>
      </c>
      <c r="E133" s="688">
        <f t="shared" si="228"/>
        <v>128170</v>
      </c>
      <c r="F133" s="690">
        <f t="shared" ref="F133" si="269">C133-C132</f>
        <v>1370</v>
      </c>
      <c r="G133" s="690">
        <f>SUMIF(F$6:F133,"&gt;0")</f>
        <v>98120</v>
      </c>
      <c r="H133" s="690">
        <f t="shared" ref="H133" si="270">D133-D132</f>
        <v>180</v>
      </c>
      <c r="I133" s="690">
        <f t="shared" ref="I133" si="271">SUM(F133,H133)</f>
        <v>1550</v>
      </c>
      <c r="J133" s="699">
        <f t="shared" ref="J133" si="272">I133/4200*80</f>
        <v>29.523809523809526</v>
      </c>
      <c r="K133" s="690">
        <f t="shared" ref="K133" si="273">G133 - _xlfn.XLOOKUP(A133-30, $A$6:$A$14999,G$6:G$14999,"",-1,2)</f>
        <v>15730</v>
      </c>
    </row>
    <row r="134" spans="1:11" x14ac:dyDescent="0.25">
      <c r="A134" s="691">
        <v>44057.05</v>
      </c>
      <c r="B134" s="825" t="s">
        <v>584</v>
      </c>
      <c r="C134" s="688">
        <v>85</v>
      </c>
      <c r="D134" s="688">
        <v>118455</v>
      </c>
      <c r="E134" s="688">
        <f t="shared" si="228"/>
        <v>118540</v>
      </c>
      <c r="F134" s="690">
        <f t="shared" ref="F134" si="274">C134-C133</f>
        <v>-4800</v>
      </c>
      <c r="G134" s="690">
        <f>SUMIF(F$6:F134,"&gt;0")</f>
        <v>98120</v>
      </c>
      <c r="H134" s="690">
        <f t="shared" ref="H134" si="275">D134-D133</f>
        <v>-4830</v>
      </c>
      <c r="I134" s="690">
        <f t="shared" ref="I134" si="276">SUM(F134,H134)</f>
        <v>-9630</v>
      </c>
      <c r="J134" s="699">
        <f t="shared" ref="J134" si="277">I134/4200*80</f>
        <v>-183.42857142857142</v>
      </c>
      <c r="K134" s="690">
        <f t="shared" ref="K134" si="278">G134 - _xlfn.XLOOKUP(A134-30, $A$6:$A$14999,G$6:G$14999,"",-1,2)</f>
        <v>15730</v>
      </c>
    </row>
    <row r="135" spans="1:11" x14ac:dyDescent="0.25">
      <c r="C135" s="688">
        <v>145</v>
      </c>
      <c r="D135" s="688">
        <v>118505</v>
      </c>
      <c r="E135" s="688">
        <f t="shared" ref="E135" si="279">SUM(C135:D135)</f>
        <v>118650</v>
      </c>
      <c r="F135" s="690">
        <f t="shared" ref="F135" si="280">C135-C134</f>
        <v>60</v>
      </c>
      <c r="G135" s="690">
        <f>SUMIF(F$6:F135,"&gt;0")</f>
        <v>98180</v>
      </c>
      <c r="H135" s="690">
        <f t="shared" ref="H135" si="281">D135-D134</f>
        <v>50</v>
      </c>
      <c r="I135" s="690">
        <f t="shared" ref="I135" si="282">SUM(F135,H135)</f>
        <v>110</v>
      </c>
      <c r="J135" s="699">
        <f t="shared" ref="J135" si="283">I135/4200*80</f>
        <v>2.0952380952380953</v>
      </c>
      <c r="K135" s="690" t="e">
        <f t="shared" ref="K135" si="284">G135 - _xlfn.XLOOKUP(A135-30, $A$6:$A$14999,G$6:G$14999,"",-1,2)</f>
        <v>#VALUE!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3"/>
  <sheetViews>
    <sheetView topLeftCell="A13" workbookViewId="0">
      <selection activeCell="H25" sqref="H25"/>
    </sheetView>
  </sheetViews>
  <sheetFormatPr defaultColWidth="9.140625" defaultRowHeight="17.100000000000001" customHeight="1" x14ac:dyDescent="0.25"/>
  <cols>
    <col min="1" max="2" width="11.5703125" style="778" customWidth="1"/>
    <col min="3" max="3" width="46.5703125" style="776" customWidth="1"/>
    <col min="4" max="4" width="7.7109375" style="834" customWidth="1"/>
    <col min="5" max="5" width="8.42578125" style="845" customWidth="1"/>
    <col min="6" max="7" width="9.140625" style="599"/>
    <col min="8" max="8" width="9.140625" style="834" customWidth="1"/>
    <col min="9" max="16384" width="9.140625" style="776"/>
  </cols>
  <sheetData>
    <row r="1" spans="1:15" s="780" customFormat="1" ht="17.100000000000001" customHeight="1" x14ac:dyDescent="0.25">
      <c r="A1" s="793"/>
      <c r="B1" s="793"/>
      <c r="C1" s="793"/>
      <c r="D1" s="793"/>
      <c r="E1" s="221" t="s">
        <v>468</v>
      </c>
      <c r="F1" s="779" t="s">
        <v>467</v>
      </c>
      <c r="G1" s="779"/>
      <c r="H1" s="779" t="s">
        <v>467</v>
      </c>
      <c r="J1" s="912" t="s">
        <v>44</v>
      </c>
      <c r="K1" s="782" t="s">
        <v>133</v>
      </c>
      <c r="L1" s="782" t="s">
        <v>469</v>
      </c>
      <c r="M1" s="782" t="s">
        <v>389</v>
      </c>
      <c r="N1" s="782" t="s">
        <v>471</v>
      </c>
      <c r="O1" s="785" t="s">
        <v>470</v>
      </c>
    </row>
    <row r="2" spans="1:15" s="780" customFormat="1" ht="17.100000000000001" customHeight="1" x14ac:dyDescent="0.25">
      <c r="A2" s="794"/>
      <c r="B2" s="794"/>
      <c r="C2" s="794"/>
      <c r="D2" s="836"/>
      <c r="E2" s="844">
        <f>SUM(E4:E1048576)</f>
        <v>5935</v>
      </c>
      <c r="F2" s="599">
        <f ca="1">E2/(NOW()-$A$4)</f>
        <v>28.999780145060821</v>
      </c>
      <c r="G2" s="599"/>
      <c r="H2" s="599">
        <f>AVERAGE(H4:H1048576)</f>
        <v>25.498587698850859</v>
      </c>
      <c r="J2" s="912"/>
      <c r="K2" s="846">
        <v>22</v>
      </c>
      <c r="L2" s="846">
        <v>0</v>
      </c>
      <c r="M2" s="846">
        <v>4885</v>
      </c>
      <c r="N2" s="846">
        <v>123255</v>
      </c>
      <c r="O2" s="780">
        <v>0</v>
      </c>
    </row>
    <row r="3" spans="1:15" s="777" customFormat="1" ht="17.100000000000001" customHeight="1" x14ac:dyDescent="0.25">
      <c r="A3" s="783" t="s">
        <v>457</v>
      </c>
      <c r="B3" s="783" t="s">
        <v>459</v>
      </c>
      <c r="C3" s="781" t="s">
        <v>456</v>
      </c>
      <c r="D3" s="835" t="s">
        <v>514</v>
      </c>
      <c r="E3" s="843" t="s">
        <v>458</v>
      </c>
      <c r="F3" s="784" t="s">
        <v>467</v>
      </c>
      <c r="G3" s="835" t="s">
        <v>515</v>
      </c>
      <c r="H3" s="835" t="s">
        <v>467</v>
      </c>
      <c r="J3" s="1179" t="s">
        <v>45</v>
      </c>
      <c r="K3" s="782" t="s">
        <v>133</v>
      </c>
      <c r="L3" s="782" t="s">
        <v>469</v>
      </c>
      <c r="M3" s="782" t="s">
        <v>389</v>
      </c>
      <c r="N3" s="785" t="s">
        <v>471</v>
      </c>
      <c r="O3" s="777" t="s">
        <v>511</v>
      </c>
    </row>
    <row r="4" spans="1:15" ht="17.100000000000001" customHeight="1" x14ac:dyDescent="0.25">
      <c r="A4" s="778">
        <v>43853</v>
      </c>
      <c r="B4" s="778">
        <v>43859</v>
      </c>
      <c r="C4" s="776" t="s">
        <v>460</v>
      </c>
      <c r="D4" s="834">
        <v>1</v>
      </c>
      <c r="E4" s="845">
        <v>762</v>
      </c>
      <c r="F4" s="599">
        <f t="shared" ref="F4:F21" si="0">E4/(B4-A4)</f>
        <v>127</v>
      </c>
      <c r="G4" s="599">
        <f>E4/D4</f>
        <v>762</v>
      </c>
      <c r="H4" s="599">
        <f>G4/(B4-A4)</f>
        <v>127</v>
      </c>
      <c r="J4" s="1179"/>
      <c r="K4" s="776">
        <v>0</v>
      </c>
      <c r="L4" s="776">
        <v>0</v>
      </c>
      <c r="M4" s="776">
        <v>85</v>
      </c>
      <c r="N4" s="776">
        <v>118455</v>
      </c>
      <c r="O4" s="832">
        <v>8</v>
      </c>
    </row>
    <row r="5" spans="1:15" ht="17.100000000000001" customHeight="1" x14ac:dyDescent="0.25">
      <c r="A5" s="778">
        <v>43859</v>
      </c>
      <c r="B5" s="778">
        <v>43878</v>
      </c>
      <c r="C5" s="776" t="s">
        <v>516</v>
      </c>
      <c r="D5" s="834">
        <v>2</v>
      </c>
      <c r="E5" s="845">
        <v>217</v>
      </c>
      <c r="F5" s="599">
        <f t="shared" si="0"/>
        <v>11.421052631578947</v>
      </c>
      <c r="G5" s="599">
        <f t="shared" ref="G5:G21" si="1">E5/D5</f>
        <v>108.5</v>
      </c>
      <c r="H5" s="599">
        <f t="shared" ref="H5:H21" si="2">G5/(B5-A5)</f>
        <v>5.7105263157894735</v>
      </c>
    </row>
    <row r="6" spans="1:15" ht="17.100000000000001" customHeight="1" x14ac:dyDescent="0.25">
      <c r="A6" s="778">
        <v>43865</v>
      </c>
      <c r="B6" s="778">
        <v>43878</v>
      </c>
      <c r="C6" s="776" t="s">
        <v>517</v>
      </c>
      <c r="D6" s="834">
        <v>2</v>
      </c>
      <c r="E6" s="845">
        <v>224</v>
      </c>
      <c r="F6" s="599">
        <f t="shared" si="0"/>
        <v>17.23076923076923</v>
      </c>
      <c r="G6" s="599">
        <f t="shared" si="1"/>
        <v>112</v>
      </c>
      <c r="H6" s="599">
        <f t="shared" si="2"/>
        <v>8.615384615384615</v>
      </c>
      <c r="N6" s="776" t="s">
        <v>468</v>
      </c>
      <c r="O6" s="776">
        <f>-((K4-K2) + (L4-L2) * 10 + (M4-M2) / 120 + (N4-N2) / 120 + O2)</f>
        <v>102</v>
      </c>
    </row>
    <row r="7" spans="1:15" ht="17.100000000000001" customHeight="1" x14ac:dyDescent="0.25">
      <c r="A7" s="778">
        <v>43875</v>
      </c>
      <c r="B7" s="778">
        <v>43889</v>
      </c>
      <c r="C7" s="776" t="s">
        <v>518</v>
      </c>
      <c r="D7" s="834">
        <v>2</v>
      </c>
      <c r="E7" s="845">
        <v>250</v>
      </c>
      <c r="F7" s="599">
        <f t="shared" si="0"/>
        <v>17.857142857142858</v>
      </c>
      <c r="G7" s="599">
        <f t="shared" si="1"/>
        <v>125</v>
      </c>
      <c r="H7" s="599">
        <f t="shared" si="2"/>
        <v>8.9285714285714288</v>
      </c>
      <c r="M7" s="776" t="s">
        <v>512</v>
      </c>
      <c r="N7" s="776" t="s">
        <v>513</v>
      </c>
      <c r="O7" s="833">
        <f>O4/O6%</f>
        <v>7.8431372549019605</v>
      </c>
    </row>
    <row r="8" spans="1:15" ht="17.100000000000001" customHeight="1" x14ac:dyDescent="0.25">
      <c r="A8" s="778">
        <v>43889</v>
      </c>
      <c r="B8" s="778">
        <v>43902</v>
      </c>
      <c r="C8" s="776" t="s">
        <v>519</v>
      </c>
      <c r="D8" s="834">
        <v>2</v>
      </c>
      <c r="E8" s="845">
        <v>785</v>
      </c>
      <c r="F8" s="599">
        <f t="shared" si="0"/>
        <v>60.384615384615387</v>
      </c>
      <c r="G8" s="599">
        <f t="shared" si="1"/>
        <v>392.5</v>
      </c>
      <c r="H8" s="599">
        <f t="shared" si="2"/>
        <v>30.192307692307693</v>
      </c>
    </row>
    <row r="9" spans="1:15" ht="17.100000000000001" customHeight="1" x14ac:dyDescent="0.25">
      <c r="A9" s="778">
        <v>43893</v>
      </c>
      <c r="B9" s="778">
        <v>43902</v>
      </c>
      <c r="C9" s="776" t="s">
        <v>461</v>
      </c>
      <c r="D9" s="834">
        <v>1</v>
      </c>
      <c r="E9" s="845">
        <v>6</v>
      </c>
      <c r="F9" s="599">
        <f t="shared" si="0"/>
        <v>0.66666666666666663</v>
      </c>
      <c r="G9" s="599">
        <f t="shared" si="1"/>
        <v>6</v>
      </c>
      <c r="H9" s="599">
        <f t="shared" si="2"/>
        <v>0.66666666666666663</v>
      </c>
    </row>
    <row r="10" spans="1:15" ht="17.100000000000001" customHeight="1" x14ac:dyDescent="0.25">
      <c r="A10" s="778">
        <v>43902</v>
      </c>
      <c r="B10" s="778">
        <v>43917</v>
      </c>
      <c r="C10" s="776" t="s">
        <v>520</v>
      </c>
      <c r="D10" s="834">
        <v>2</v>
      </c>
      <c r="E10" s="845">
        <v>334</v>
      </c>
      <c r="F10" s="599">
        <f t="shared" si="0"/>
        <v>22.266666666666666</v>
      </c>
      <c r="G10" s="599">
        <f t="shared" si="1"/>
        <v>167</v>
      </c>
      <c r="H10" s="599">
        <f t="shared" si="2"/>
        <v>11.133333333333333</v>
      </c>
    </row>
    <row r="11" spans="1:15" ht="17.100000000000001" customHeight="1" x14ac:dyDescent="0.25">
      <c r="A11" s="778">
        <v>43917</v>
      </c>
      <c r="B11" s="778">
        <v>43923</v>
      </c>
      <c r="C11" s="776" t="s">
        <v>462</v>
      </c>
      <c r="D11" s="834">
        <v>1</v>
      </c>
      <c r="E11" s="845">
        <v>359</v>
      </c>
      <c r="F11" s="599">
        <f t="shared" si="0"/>
        <v>59.833333333333336</v>
      </c>
      <c r="G11" s="599">
        <f t="shared" si="1"/>
        <v>359</v>
      </c>
      <c r="H11" s="599">
        <f t="shared" si="2"/>
        <v>59.833333333333336</v>
      </c>
    </row>
    <row r="12" spans="1:15" ht="17.100000000000001" customHeight="1" x14ac:dyDescent="0.25">
      <c r="A12" s="778">
        <v>43923</v>
      </c>
      <c r="B12" s="778">
        <v>43934</v>
      </c>
      <c r="C12" s="776" t="s">
        <v>521</v>
      </c>
      <c r="D12" s="834">
        <v>2</v>
      </c>
      <c r="E12" s="845">
        <v>20</v>
      </c>
      <c r="F12" s="599">
        <f t="shared" si="0"/>
        <v>1.8181818181818181</v>
      </c>
      <c r="G12" s="599">
        <f t="shared" si="1"/>
        <v>10</v>
      </c>
      <c r="H12" s="599">
        <f t="shared" si="2"/>
        <v>0.90909090909090906</v>
      </c>
    </row>
    <row r="13" spans="1:15" ht="17.100000000000001" customHeight="1" x14ac:dyDescent="0.25">
      <c r="A13" s="778">
        <v>43927</v>
      </c>
      <c r="B13" s="778">
        <v>43934</v>
      </c>
      <c r="C13" s="776" t="s">
        <v>463</v>
      </c>
      <c r="D13" s="834">
        <v>1</v>
      </c>
      <c r="E13" s="845">
        <v>429</v>
      </c>
      <c r="F13" s="599">
        <f t="shared" si="0"/>
        <v>61.285714285714285</v>
      </c>
      <c r="G13" s="599">
        <f t="shared" si="1"/>
        <v>429</v>
      </c>
      <c r="H13" s="599">
        <f t="shared" si="2"/>
        <v>61.285714285714285</v>
      </c>
    </row>
    <row r="14" spans="1:15" ht="17.100000000000001" customHeight="1" x14ac:dyDescent="0.25">
      <c r="A14" s="778">
        <v>43934</v>
      </c>
      <c r="B14" s="778">
        <v>43941</v>
      </c>
      <c r="C14" s="776" t="s">
        <v>464</v>
      </c>
      <c r="D14" s="834">
        <v>2</v>
      </c>
      <c r="E14" s="845">
        <v>60</v>
      </c>
      <c r="F14" s="599">
        <f t="shared" si="0"/>
        <v>8.5714285714285712</v>
      </c>
      <c r="G14" s="599">
        <f t="shared" si="1"/>
        <v>30</v>
      </c>
      <c r="H14" s="599">
        <f t="shared" si="2"/>
        <v>4.2857142857142856</v>
      </c>
    </row>
    <row r="15" spans="1:15" ht="17.100000000000001" customHeight="1" x14ac:dyDescent="0.25">
      <c r="A15" s="778">
        <v>43945</v>
      </c>
      <c r="B15" s="778">
        <v>43951</v>
      </c>
      <c r="C15" s="776" t="s">
        <v>465</v>
      </c>
      <c r="D15" s="834">
        <v>1</v>
      </c>
      <c r="E15" s="845">
        <v>226</v>
      </c>
      <c r="F15" s="599">
        <f t="shared" si="0"/>
        <v>37.666666666666664</v>
      </c>
      <c r="G15" s="599">
        <f t="shared" si="1"/>
        <v>226</v>
      </c>
      <c r="H15" s="599">
        <f t="shared" si="2"/>
        <v>37.666666666666664</v>
      </c>
    </row>
    <row r="16" spans="1:15" ht="17.100000000000001" customHeight="1" x14ac:dyDescent="0.25">
      <c r="A16" s="778">
        <v>43951</v>
      </c>
      <c r="B16" s="778">
        <v>43963</v>
      </c>
      <c r="C16" s="776" t="s">
        <v>466</v>
      </c>
      <c r="D16" s="834">
        <v>3</v>
      </c>
      <c r="E16" s="845">
        <v>292</v>
      </c>
      <c r="F16" s="599">
        <f t="shared" si="0"/>
        <v>24.333333333333332</v>
      </c>
      <c r="G16" s="599">
        <f t="shared" si="1"/>
        <v>97.333333333333329</v>
      </c>
      <c r="H16" s="599">
        <f t="shared" si="2"/>
        <v>8.1111111111111107</v>
      </c>
    </row>
    <row r="17" spans="1:8" ht="17.100000000000001" customHeight="1" x14ac:dyDescent="0.25">
      <c r="A17" s="778">
        <v>43963</v>
      </c>
      <c r="B17" s="778">
        <v>43980</v>
      </c>
      <c r="C17" s="776" t="s">
        <v>522</v>
      </c>
      <c r="D17" s="834">
        <v>3</v>
      </c>
      <c r="E17" s="845">
        <v>595</v>
      </c>
      <c r="F17" s="599">
        <f t="shared" si="0"/>
        <v>35</v>
      </c>
      <c r="G17" s="599">
        <f t="shared" si="1"/>
        <v>198.33333333333334</v>
      </c>
      <c r="H17" s="599">
        <f t="shared" si="2"/>
        <v>11.666666666666668</v>
      </c>
    </row>
    <row r="18" spans="1:8" ht="17.100000000000001" customHeight="1" x14ac:dyDescent="0.25">
      <c r="A18" s="778">
        <v>43980</v>
      </c>
      <c r="B18" s="778">
        <v>43985</v>
      </c>
      <c r="C18" s="776" t="s">
        <v>523</v>
      </c>
      <c r="D18" s="834">
        <v>4</v>
      </c>
      <c r="E18" s="845">
        <v>238</v>
      </c>
      <c r="F18" s="599">
        <f t="shared" si="0"/>
        <v>47.6</v>
      </c>
      <c r="G18" s="599">
        <f t="shared" si="1"/>
        <v>59.5</v>
      </c>
      <c r="H18" s="599">
        <f t="shared" si="2"/>
        <v>11.9</v>
      </c>
    </row>
    <row r="19" spans="1:8" ht="17.100000000000001" customHeight="1" x14ac:dyDescent="0.25">
      <c r="A19" s="778">
        <v>43994</v>
      </c>
      <c r="B19" s="778">
        <v>44004</v>
      </c>
      <c r="C19" s="789" t="s">
        <v>475</v>
      </c>
      <c r="D19" s="834">
        <v>2</v>
      </c>
      <c r="E19" s="845">
        <v>176</v>
      </c>
      <c r="F19" s="599">
        <f t="shared" si="0"/>
        <v>17.600000000000001</v>
      </c>
      <c r="G19" s="599">
        <f t="shared" si="1"/>
        <v>88</v>
      </c>
      <c r="H19" s="599">
        <f t="shared" si="2"/>
        <v>8.8000000000000007</v>
      </c>
    </row>
    <row r="20" spans="1:8" ht="17.100000000000001" customHeight="1" x14ac:dyDescent="0.25">
      <c r="A20" s="778">
        <v>44011</v>
      </c>
      <c r="B20" s="778">
        <v>44015</v>
      </c>
      <c r="C20" s="776" t="s">
        <v>509</v>
      </c>
      <c r="D20" s="834">
        <v>3</v>
      </c>
      <c r="E20" s="845">
        <v>261</v>
      </c>
      <c r="F20" s="599">
        <f t="shared" si="0"/>
        <v>65.25</v>
      </c>
      <c r="G20" s="599">
        <f t="shared" si="1"/>
        <v>87</v>
      </c>
      <c r="H20" s="599">
        <f t="shared" si="2"/>
        <v>21.75</v>
      </c>
    </row>
    <row r="21" spans="1:8" ht="17.100000000000001" customHeight="1" x14ac:dyDescent="0.25">
      <c r="A21" s="778">
        <v>44027</v>
      </c>
      <c r="B21" s="778">
        <v>44030</v>
      </c>
      <c r="C21" s="776" t="s">
        <v>524</v>
      </c>
      <c r="D21" s="834">
        <v>2</v>
      </c>
      <c r="E21" s="845">
        <v>382</v>
      </c>
      <c r="F21" s="599">
        <f t="shared" si="0"/>
        <v>127.33333333333333</v>
      </c>
      <c r="G21" s="599">
        <f t="shared" si="1"/>
        <v>191</v>
      </c>
      <c r="H21" s="599">
        <f t="shared" si="2"/>
        <v>63.666666666666664</v>
      </c>
    </row>
    <row r="22" spans="1:8" ht="17.100000000000001" customHeight="1" x14ac:dyDescent="0.25">
      <c r="A22" s="778">
        <v>44042</v>
      </c>
      <c r="B22" s="778">
        <v>44047</v>
      </c>
      <c r="C22" s="776" t="s">
        <v>531</v>
      </c>
      <c r="D22" s="834">
        <v>4</v>
      </c>
      <c r="E22" s="845">
        <v>217</v>
      </c>
      <c r="F22" s="599">
        <f>E22/(B22-A22)</f>
        <v>43.4</v>
      </c>
      <c r="G22" s="599">
        <f>E22/D22</f>
        <v>54.25</v>
      </c>
      <c r="H22" s="834">
        <f>G22/(B22-A22)</f>
        <v>10.85</v>
      </c>
    </row>
    <row r="23" spans="1:8" ht="17.100000000000001" customHeight="1" x14ac:dyDescent="0.25">
      <c r="A23" s="778">
        <v>44057</v>
      </c>
      <c r="B23" s="778">
        <v>44060</v>
      </c>
      <c r="C23" s="776" t="s">
        <v>583</v>
      </c>
      <c r="D23" s="834">
        <v>2</v>
      </c>
      <c r="E23" s="845">
        <v>102</v>
      </c>
      <c r="F23" s="599">
        <f>E23/(B23-A23)</f>
        <v>34</v>
      </c>
      <c r="G23" s="599">
        <f>E23/D23</f>
        <v>51</v>
      </c>
      <c r="H23" s="834">
        <f>G23/(B23-A23)</f>
        <v>17</v>
      </c>
    </row>
  </sheetData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N9" sqref="N9"/>
    </sheetView>
  </sheetViews>
  <sheetFormatPr defaultRowHeight="15" customHeight="1" x14ac:dyDescent="0.25"/>
  <cols>
    <col min="1" max="1" width="5.140625" style="795" customWidth="1"/>
    <col min="2" max="4" width="7.7109375" style="795" customWidth="1"/>
    <col min="5" max="5" width="7.7109375" style="800" customWidth="1"/>
    <col min="6" max="7" width="7.28515625" style="795" customWidth="1"/>
    <col min="8" max="16384" width="9.140625" style="795"/>
  </cols>
  <sheetData>
    <row r="1" spans="1:7" ht="43.5" customHeight="1" x14ac:dyDescent="0.25">
      <c r="A1" s="1193" t="s">
        <v>495</v>
      </c>
      <c r="B1" s="1194"/>
      <c r="C1" s="1194"/>
      <c r="D1" s="1194"/>
      <c r="E1" s="1194"/>
      <c r="F1" s="1194"/>
      <c r="G1" s="1195"/>
    </row>
    <row r="2" spans="1:7" s="807" customFormat="1" ht="17.25" customHeight="1" x14ac:dyDescent="0.25">
      <c r="A2" s="1115" t="s">
        <v>486</v>
      </c>
      <c r="B2" s="1116"/>
      <c r="C2" s="1116"/>
      <c r="D2" s="1116"/>
      <c r="E2" s="1117"/>
      <c r="F2" s="1116" t="s">
        <v>491</v>
      </c>
      <c r="G2" s="1117"/>
    </row>
    <row r="3" spans="1:7" s="799" customFormat="1" ht="15" customHeight="1" x14ac:dyDescent="0.25">
      <c r="A3" s="803" t="s">
        <v>479</v>
      </c>
      <c r="B3" s="804" t="s">
        <v>481</v>
      </c>
      <c r="C3" s="804" t="s">
        <v>482</v>
      </c>
      <c r="D3" s="804" t="s">
        <v>483</v>
      </c>
      <c r="E3" s="805" t="s">
        <v>492</v>
      </c>
      <c r="F3" s="804" t="s">
        <v>484</v>
      </c>
      <c r="G3" s="798" t="s">
        <v>485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08" t="s">
        <v>12</v>
      </c>
      <c r="B5" s="816">
        <f>SUM(D虛空!B:B) / SUM(D虛空!A:A)</f>
        <v>13.080597014925374</v>
      </c>
      <c r="C5" s="816">
        <f>SUM(D虛空!D:D) / SUM(D虛空!C:C)</f>
        <v>4.5104477611940297</v>
      </c>
      <c r="D5" s="821">
        <f>SUM(D虛空!F:F) / SUM(D虛空!E:E)</f>
        <v>0.52054794520547942</v>
      </c>
      <c r="E5" s="823">
        <f>SUM(D虛空!H:H) / SUM(D虛空!G:G)</f>
        <v>0.97777777777777775</v>
      </c>
      <c r="F5" s="822">
        <f>MAX(75*SUBSTITUTE(F$3,"把","")/$B5,20*SUBSTITUTE(F$3,"把","")/$C5,3*SUBSTITUTE(F$3,"把","")/$D5)</f>
        <v>5.7631578947368425</v>
      </c>
      <c r="G5" s="818">
        <f>MAX(75*SUBSTITUTE(G$3,"把","")/$B5,20*SUBSTITUTE(G$3,"把","")/$C5,3*SUBSTITUTE(G$3,"把","")/$D5)</f>
        <v>46.10526315789474</v>
      </c>
    </row>
    <row r="6" spans="1:7" ht="15" customHeight="1" x14ac:dyDescent="0.25">
      <c r="A6" s="806" t="s">
        <v>11</v>
      </c>
      <c r="B6" s="817"/>
      <c r="C6" s="817"/>
      <c r="D6" s="47"/>
      <c r="E6" s="813"/>
      <c r="F6" s="239"/>
      <c r="G6" s="578"/>
    </row>
    <row r="7" spans="1:7" ht="15" customHeight="1" x14ac:dyDescent="0.25">
      <c r="A7" s="819" t="s">
        <v>9</v>
      </c>
      <c r="B7" s="840">
        <f>SUM(D虛空!J:J) / SUM(D虛空!I:I)</f>
        <v>13.717171717171718</v>
      </c>
      <c r="C7" s="840">
        <f>SUM(D虛空!L:L) / SUM(D虛空!K:K)</f>
        <v>4.8383838383838382</v>
      </c>
      <c r="D7" s="841">
        <f>SUM(D虛空!N:N) / SUM(D虛空!M:M)</f>
        <v>0.59595959595959591</v>
      </c>
      <c r="E7" s="842">
        <f>SUM(D虛空!P:P) / SUM(D虛空!O:O)</f>
        <v>1.1717171717171717</v>
      </c>
      <c r="F7" s="822">
        <f>MAX(75*SUBSTITUTE(F$3,"把","")/$B7,20*SUBSTITUTE(F$3,"把","")/$C7,3*SUBSTITUTE(F$3,"把","")/$D7)</f>
        <v>5.4675994108983792</v>
      </c>
      <c r="G7" s="818">
        <f>MAX(75*SUBSTITUTE(G$3,"把","")/$B7,20*SUBSTITUTE(G$3,"把","")/$C7,3*SUBSTITUTE(G$3,"把","")/$D7)</f>
        <v>43.740795287187034</v>
      </c>
    </row>
    <row r="8" spans="1:7" ht="15" customHeight="1" x14ac:dyDescent="0.25">
      <c r="A8" s="801" t="s">
        <v>8</v>
      </c>
      <c r="B8" s="168"/>
      <c r="C8" s="168"/>
      <c r="D8" s="168"/>
      <c r="E8" s="815"/>
      <c r="F8" s="802"/>
      <c r="G8" s="580"/>
    </row>
    <row r="9" spans="1:7" ht="15" customHeight="1" x14ac:dyDescent="0.25">
      <c r="A9" s="1196" t="s">
        <v>487</v>
      </c>
      <c r="B9" s="1197"/>
      <c r="C9" s="1197"/>
      <c r="D9" s="1197"/>
      <c r="E9" s="1197"/>
      <c r="F9" s="1197"/>
      <c r="G9" s="1198"/>
    </row>
    <row r="10" spans="1:7" ht="15" customHeight="1" x14ac:dyDescent="0.25">
      <c r="A10" s="1203" t="s">
        <v>494</v>
      </c>
      <c r="B10" s="1204"/>
      <c r="C10" s="1204"/>
      <c r="D10" s="1204"/>
      <c r="E10" s="1204"/>
      <c r="F10" s="1204"/>
      <c r="G10" s="1205"/>
    </row>
    <row r="11" spans="1:7" s="800" customFormat="1" ht="7.5" customHeight="1" x14ac:dyDescent="0.25">
      <c r="A11" s="1202" t="s">
        <v>493</v>
      </c>
      <c r="B11" s="1200"/>
      <c r="C11" s="1200"/>
      <c r="D11" s="1200"/>
      <c r="E11" s="1200"/>
      <c r="F11" s="1200"/>
      <c r="G11" s="1201"/>
    </row>
    <row r="12" spans="1:7" s="800" customFormat="1" ht="15" customHeight="1" x14ac:dyDescent="0.25">
      <c r="A12" s="1199" t="s">
        <v>490</v>
      </c>
      <c r="B12" s="1200"/>
      <c r="C12" s="1200"/>
      <c r="D12" s="1200"/>
      <c r="E12" s="1200"/>
      <c r="F12" s="1200"/>
      <c r="G12" s="1201"/>
    </row>
    <row r="13" spans="1:7" s="800" customFormat="1" ht="7.5" customHeight="1" x14ac:dyDescent="0.25">
      <c r="A13" s="1202" t="s">
        <v>493</v>
      </c>
      <c r="B13" s="1200"/>
      <c r="C13" s="1200"/>
      <c r="D13" s="1200"/>
      <c r="E13" s="1200"/>
      <c r="F13" s="1200"/>
      <c r="G13" s="1201"/>
    </row>
    <row r="14" spans="1:7" ht="15" customHeight="1" x14ac:dyDescent="0.25">
      <c r="A14" s="1192" t="s">
        <v>489</v>
      </c>
      <c r="B14" s="1190"/>
      <c r="C14" s="1190"/>
      <c r="D14" s="1190"/>
      <c r="E14" s="820"/>
      <c r="F14" s="1190" t="s">
        <v>488</v>
      </c>
      <c r="G14" s="1191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P10"/>
  <sheetViews>
    <sheetView workbookViewId="0">
      <selection activeCell="M15" sqref="M15"/>
    </sheetView>
  </sheetViews>
  <sheetFormatPr defaultRowHeight="15" customHeight="1" x14ac:dyDescent="0.25"/>
  <cols>
    <col min="1" max="1" width="5.140625" style="809" customWidth="1"/>
    <col min="2" max="7" width="5.140625" style="265" customWidth="1"/>
    <col min="8" max="8" width="5.140625" style="810" customWidth="1"/>
    <col min="9" max="9" width="5.140625" style="839" customWidth="1"/>
    <col min="10" max="15" width="5.140625" style="262" customWidth="1"/>
    <col min="16" max="16" width="5.140625" style="814" customWidth="1"/>
    <col min="17" max="16384" width="9.140625" style="795"/>
  </cols>
  <sheetData>
    <row r="1" spans="1:16" s="797" customFormat="1" ht="15" customHeight="1" x14ac:dyDescent="0.25">
      <c r="A1" s="1206" t="s">
        <v>480</v>
      </c>
      <c r="B1" s="1207"/>
      <c r="C1" s="1207"/>
      <c r="D1" s="1207"/>
      <c r="E1" s="1207"/>
      <c r="F1" s="1207"/>
      <c r="G1" s="1207"/>
      <c r="H1" s="1208"/>
      <c r="I1" s="1209" t="s">
        <v>527</v>
      </c>
      <c r="J1" s="1210"/>
      <c r="K1" s="1210"/>
      <c r="L1" s="1210"/>
      <c r="M1" s="1210"/>
      <c r="N1" s="1210"/>
      <c r="O1" s="1210"/>
      <c r="P1" s="1211"/>
    </row>
    <row r="2" spans="1:16" s="796" customFormat="1" ht="15" customHeight="1" x14ac:dyDescent="0.25">
      <c r="A2" s="811" t="s">
        <v>25</v>
      </c>
      <c r="B2" s="144" t="s">
        <v>78</v>
      </c>
      <c r="C2" s="144" t="s">
        <v>25</v>
      </c>
      <c r="D2" s="144" t="s">
        <v>478</v>
      </c>
      <c r="E2" s="144" t="s">
        <v>25</v>
      </c>
      <c r="F2" s="144" t="s">
        <v>218</v>
      </c>
      <c r="G2" s="144" t="s">
        <v>25</v>
      </c>
      <c r="H2" s="812" t="s">
        <v>213</v>
      </c>
      <c r="I2" s="837" t="s">
        <v>25</v>
      </c>
      <c r="J2" s="160" t="s">
        <v>78</v>
      </c>
      <c r="K2" s="160" t="s">
        <v>25</v>
      </c>
      <c r="L2" s="160" t="s">
        <v>478</v>
      </c>
      <c r="M2" s="160" t="s">
        <v>25</v>
      </c>
      <c r="N2" s="160" t="s">
        <v>218</v>
      </c>
      <c r="O2" s="160" t="s">
        <v>25</v>
      </c>
      <c r="P2" s="838" t="s">
        <v>213</v>
      </c>
    </row>
    <row r="3" spans="1:16" ht="15" customHeight="1" x14ac:dyDescent="0.25">
      <c r="A3" s="809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0">
        <v>84</v>
      </c>
      <c r="I3" s="839">
        <v>99</v>
      </c>
      <c r="J3" s="262">
        <v>1358</v>
      </c>
      <c r="K3" s="262">
        <v>99</v>
      </c>
      <c r="L3" s="262">
        <v>479</v>
      </c>
      <c r="M3" s="262">
        <v>99</v>
      </c>
      <c r="N3" s="262">
        <v>59</v>
      </c>
      <c r="O3" s="262">
        <v>99</v>
      </c>
      <c r="P3" s="814">
        <v>116</v>
      </c>
    </row>
    <row r="4" spans="1:16" ht="15" customHeight="1" x14ac:dyDescent="0.25">
      <c r="A4" s="809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0">
        <v>90</v>
      </c>
    </row>
    <row r="5" spans="1:16" ht="15" customHeight="1" x14ac:dyDescent="0.25">
      <c r="A5" s="809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0">
        <v>98</v>
      </c>
    </row>
    <row r="6" spans="1:16" ht="15" customHeight="1" x14ac:dyDescent="0.25">
      <c r="A6" s="809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0">
        <v>36</v>
      </c>
    </row>
    <row r="7" spans="1:16" ht="15" customHeight="1" x14ac:dyDescent="0.25">
      <c r="A7" s="809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16" ht="15" customHeight="1" x14ac:dyDescent="0.25">
      <c r="E8" s="265">
        <v>99</v>
      </c>
      <c r="F8" s="265">
        <v>45</v>
      </c>
    </row>
    <row r="9" spans="1:16" ht="15" customHeight="1" x14ac:dyDescent="0.25">
      <c r="E9" s="265">
        <v>99</v>
      </c>
      <c r="F9" s="265">
        <v>46</v>
      </c>
    </row>
    <row r="10" spans="1:16" ht="15" customHeight="1" x14ac:dyDescent="0.25">
      <c r="E10" s="265">
        <v>37</v>
      </c>
      <c r="F10" s="265">
        <v>18</v>
      </c>
    </row>
  </sheetData>
  <mergeCells count="2">
    <mergeCell ref="A1:H1"/>
    <mergeCell ref="I1:P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A3A-654A-4481-8216-8E03D04A03DE}">
  <dimension ref="A1:O14"/>
  <sheetViews>
    <sheetView workbookViewId="0">
      <selection activeCell="H34" sqref="H34"/>
    </sheetView>
  </sheetViews>
  <sheetFormatPr defaultRowHeight="15" x14ac:dyDescent="0.25"/>
  <cols>
    <col min="1" max="3" width="9.140625" style="848"/>
    <col min="4" max="4" width="9.140625" style="52"/>
    <col min="5" max="7" width="9.140625" style="848"/>
    <col min="8" max="8" width="9.140625" style="52"/>
    <col min="9" max="10" width="9.140625" style="848"/>
    <col min="11" max="11" width="9.140625" style="52"/>
    <col min="12" max="12" width="9.140625" style="848"/>
    <col min="13" max="13" width="2.28515625" style="848" customWidth="1"/>
    <col min="14" max="14" width="13.85546875" style="848" customWidth="1"/>
    <col min="15" max="15" width="12.140625" style="848" customWidth="1"/>
    <col min="16" max="16384" width="9.140625" style="848"/>
  </cols>
  <sheetData>
    <row r="1" spans="1:15" x14ac:dyDescent="0.25">
      <c r="A1" s="912" t="s">
        <v>535</v>
      </c>
      <c r="B1" s="912"/>
      <c r="C1" s="912"/>
      <c r="D1" s="912"/>
      <c r="E1" s="912" t="s">
        <v>536</v>
      </c>
      <c r="F1" s="912"/>
      <c r="G1" s="912"/>
      <c r="H1" s="912"/>
      <c r="I1" s="912" t="s">
        <v>537</v>
      </c>
      <c r="J1" s="912"/>
      <c r="K1" s="912"/>
      <c r="L1" s="912" t="s">
        <v>538</v>
      </c>
      <c r="N1" s="912" t="s">
        <v>557</v>
      </c>
      <c r="O1" s="912"/>
    </row>
    <row r="2" spans="1:15" x14ac:dyDescent="0.25">
      <c r="A2" s="848" t="s">
        <v>539</v>
      </c>
      <c r="B2" s="848" t="s">
        <v>540</v>
      </c>
      <c r="C2" s="848" t="s">
        <v>541</v>
      </c>
      <c r="D2" s="52" t="s">
        <v>542</v>
      </c>
      <c r="E2" s="848" t="s">
        <v>543</v>
      </c>
      <c r="F2" s="848" t="s">
        <v>540</v>
      </c>
      <c r="G2" s="848" t="s">
        <v>541</v>
      </c>
      <c r="H2" s="52" t="s">
        <v>542</v>
      </c>
      <c r="I2" s="848" t="s">
        <v>541</v>
      </c>
      <c r="J2" s="848" t="s">
        <v>544</v>
      </c>
      <c r="K2" s="52" t="s">
        <v>542</v>
      </c>
      <c r="L2" s="912"/>
      <c r="N2" s="912"/>
      <c r="O2" s="912"/>
    </row>
    <row r="3" spans="1:15" x14ac:dyDescent="0.25">
      <c r="A3" s="849">
        <v>0.02</v>
      </c>
      <c r="B3" s="849">
        <v>0.1</v>
      </c>
      <c r="C3" s="849">
        <v>0.15</v>
      </c>
      <c r="D3" s="850">
        <f>SUM(A3:C3)</f>
        <v>0.27</v>
      </c>
      <c r="E3" s="849">
        <v>0.7</v>
      </c>
      <c r="F3" s="849">
        <v>0.3</v>
      </c>
      <c r="G3" s="849">
        <v>0</v>
      </c>
      <c r="H3" s="850">
        <f>SUM(E3:G3)</f>
        <v>1</v>
      </c>
      <c r="I3" s="849">
        <v>0.2</v>
      </c>
      <c r="J3" s="849">
        <v>0.9</v>
      </c>
      <c r="K3" s="850">
        <f>SUM(I3:J3)*1.1</f>
        <v>1.2100000000000002</v>
      </c>
      <c r="L3" s="851">
        <f>((100*D3)*(1+H3)+(100-100*D3))*(1+K3)/100</f>
        <v>2.8067000000000002</v>
      </c>
      <c r="M3" s="848">
        <f>_xlfn.RANK.EQ(L3,L:L,0)</f>
        <v>1</v>
      </c>
      <c r="N3" s="848" t="s">
        <v>545</v>
      </c>
      <c r="O3" s="848" t="s">
        <v>546</v>
      </c>
    </row>
    <row r="4" spans="1:15" x14ac:dyDescent="0.25">
      <c r="A4" s="849">
        <v>0.02</v>
      </c>
      <c r="B4" s="849">
        <v>0.1</v>
      </c>
      <c r="C4" s="849">
        <v>0.1</v>
      </c>
      <c r="D4" s="850">
        <f>SUM(A4:C4)</f>
        <v>0.22000000000000003</v>
      </c>
      <c r="E4" s="849">
        <v>0.7</v>
      </c>
      <c r="F4" s="849">
        <v>0.3</v>
      </c>
      <c r="G4" s="849">
        <v>0.15</v>
      </c>
      <c r="H4" s="850">
        <f>SUM(E4:G4)</f>
        <v>1.1499999999999999</v>
      </c>
      <c r="I4" s="849">
        <v>0.15</v>
      </c>
      <c r="J4" s="849">
        <v>0.9</v>
      </c>
      <c r="K4" s="850">
        <f>SUM(I4:J4)*1.1</f>
        <v>1.1550000000000002</v>
      </c>
      <c r="L4" s="851">
        <f>((100*D4)*(1+H4)+(100-100*D4))*(1+K4)/100</f>
        <v>2.7002150000000005</v>
      </c>
      <c r="M4" s="848">
        <f>_xlfn.RANK.EQ(L4,L:L,0)</f>
        <v>4</v>
      </c>
      <c r="N4" s="848" t="s">
        <v>547</v>
      </c>
      <c r="O4" s="848" t="s">
        <v>548</v>
      </c>
    </row>
    <row r="5" spans="1:15" x14ac:dyDescent="0.25">
      <c r="A5" s="849">
        <v>0.02</v>
      </c>
      <c r="B5" s="849">
        <v>0.1</v>
      </c>
      <c r="C5" s="849">
        <v>0.08</v>
      </c>
      <c r="D5" s="850">
        <f>SUM(A5:C5)</f>
        <v>0.2</v>
      </c>
      <c r="E5" s="849">
        <v>0.7</v>
      </c>
      <c r="F5" s="849">
        <v>0.3</v>
      </c>
      <c r="G5" s="849">
        <v>0.22</v>
      </c>
      <c r="H5" s="850">
        <f>SUM(E5:G5)</f>
        <v>1.22</v>
      </c>
      <c r="I5" s="849">
        <v>0.15</v>
      </c>
      <c r="J5" s="849">
        <v>0.9</v>
      </c>
      <c r="K5" s="850">
        <f>SUM(I5:J5)*1.1</f>
        <v>1.1550000000000002</v>
      </c>
      <c r="L5" s="851">
        <f>((100*D5)*(1+H5)+(100-100*D5))*(1+K5)/100</f>
        <v>2.6808199999999998</v>
      </c>
      <c r="M5" s="848">
        <f>_xlfn.RANK.EQ(L5,L:L,0)</f>
        <v>5</v>
      </c>
      <c r="N5" s="848" t="s">
        <v>549</v>
      </c>
      <c r="O5" s="848" t="s">
        <v>546</v>
      </c>
    </row>
    <row r="6" spans="1:15" x14ac:dyDescent="0.25">
      <c r="A6" s="849">
        <v>0.02</v>
      </c>
      <c r="B6" s="849">
        <v>0.1</v>
      </c>
      <c r="C6" s="849">
        <v>0.1</v>
      </c>
      <c r="D6" s="850">
        <f>SUM(A6:C6)</f>
        <v>0.22000000000000003</v>
      </c>
      <c r="E6" s="849">
        <v>0.7</v>
      </c>
      <c r="F6" s="849">
        <v>0.3</v>
      </c>
      <c r="G6" s="849">
        <v>0.17</v>
      </c>
      <c r="H6" s="850">
        <f>SUM(E6:G6)</f>
        <v>1.17</v>
      </c>
      <c r="I6" s="849">
        <v>0.2</v>
      </c>
      <c r="J6" s="849">
        <v>0.9</v>
      </c>
      <c r="K6" s="850">
        <f>SUM(I6:J6)*1.1</f>
        <v>1.2100000000000002</v>
      </c>
      <c r="L6" s="851">
        <f>((100*D6)*(1+H6)+(100-100*D6))*(1+K6)/100</f>
        <v>2.7788539999999999</v>
      </c>
      <c r="M6" s="848">
        <f>_xlfn.RANK.EQ(L6,L:L,0)</f>
        <v>3</v>
      </c>
      <c r="N6" s="848" t="s">
        <v>550</v>
      </c>
      <c r="O6" s="848" t="s">
        <v>546</v>
      </c>
    </row>
    <row r="7" spans="1:15" s="853" customFormat="1" x14ac:dyDescent="0.25">
      <c r="A7" s="849">
        <v>0.02</v>
      </c>
      <c r="B7" s="849">
        <v>0.1</v>
      </c>
      <c r="C7" s="849">
        <v>0.15</v>
      </c>
      <c r="D7" s="850">
        <f>SUM(A7:C7)</f>
        <v>0.27</v>
      </c>
      <c r="E7" s="849">
        <v>0.7</v>
      </c>
      <c r="F7" s="849">
        <v>0.3</v>
      </c>
      <c r="G7" s="849">
        <v>0</v>
      </c>
      <c r="H7" s="850">
        <f>SUM(E7:G7)</f>
        <v>1</v>
      </c>
      <c r="I7" s="849">
        <v>0.2</v>
      </c>
      <c r="J7" s="849">
        <v>0.9</v>
      </c>
      <c r="K7" s="850">
        <f>SUM(I7:J7)*1.1</f>
        <v>1.2100000000000002</v>
      </c>
      <c r="L7" s="851">
        <f>((100*D7)*(1+H7)+(100-100*D7))*(1+K7)/100</f>
        <v>2.8067000000000002</v>
      </c>
      <c r="M7" s="853">
        <f>_xlfn.RANK.EQ(L7,L:L,0)</f>
        <v>1</v>
      </c>
      <c r="N7" s="853" t="s">
        <v>558</v>
      </c>
      <c r="O7" s="853" t="s">
        <v>546</v>
      </c>
    </row>
    <row r="9" spans="1:15" x14ac:dyDescent="0.25">
      <c r="N9" s="852" t="s">
        <v>551</v>
      </c>
    </row>
    <row r="10" spans="1:15" x14ac:dyDescent="0.25">
      <c r="N10" s="852" t="s">
        <v>552</v>
      </c>
    </row>
    <row r="11" spans="1:15" x14ac:dyDescent="0.25">
      <c r="N11" s="852" t="s">
        <v>553</v>
      </c>
    </row>
    <row r="12" spans="1:15" x14ac:dyDescent="0.25">
      <c r="N12" s="852" t="s">
        <v>554</v>
      </c>
    </row>
    <row r="13" spans="1:15" x14ac:dyDescent="0.25">
      <c r="N13" s="852" t="s">
        <v>555</v>
      </c>
    </row>
    <row r="14" spans="1:15" x14ac:dyDescent="0.25">
      <c r="N14" s="852" t="s">
        <v>556</v>
      </c>
    </row>
  </sheetData>
  <mergeCells count="5">
    <mergeCell ref="A1:D1"/>
    <mergeCell ref="E1:H1"/>
    <mergeCell ref="I1:K1"/>
    <mergeCell ref="L1:L2"/>
    <mergeCell ref="N1:O2"/>
  </mergeCells>
  <hyperlinks>
    <hyperlink ref="N9" r:id="rId1" xr:uid="{49448E1B-748D-4666-9178-9CAF8E239FC6}"/>
    <hyperlink ref="N11" r:id="rId2" xr:uid="{27652BE1-6226-4003-9670-5706E0B135AD}"/>
    <hyperlink ref="N10" r:id="rId3" xr:uid="{ABBCD700-A914-46DB-B185-3014E9FBC5D8}"/>
    <hyperlink ref="N12" r:id="rId4" xr:uid="{D36F8DF3-DA44-479A-A306-E3E0452977A6}"/>
    <hyperlink ref="N13" r:id="rId5" location="Initial_Vestige" display="Initial_Vestige" xr:uid="{B2CF25B8-2CB4-44EE-9733-6BBC87A01873}"/>
    <hyperlink ref="N14" r:id="rId6" xr:uid="{75488913-046F-4B44-910D-754E03337D4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2F24-5E76-4BAA-95F0-1CFBD231B498}">
  <dimension ref="A1:R39"/>
  <sheetViews>
    <sheetView topLeftCell="A10" workbookViewId="0">
      <selection activeCell="D6" sqref="D6"/>
    </sheetView>
  </sheetViews>
  <sheetFormatPr defaultRowHeight="15" x14ac:dyDescent="0.25"/>
  <sheetData>
    <row r="1" spans="1:18" ht="33" customHeight="1" x14ac:dyDescent="0.25">
      <c r="A1" s="1212">
        <v>70</v>
      </c>
      <c r="B1" s="1212"/>
      <c r="C1" s="1212"/>
      <c r="D1" s="1212"/>
      <c r="E1" s="1212"/>
      <c r="F1" s="1212"/>
      <c r="G1" s="1212"/>
      <c r="H1" s="1212"/>
      <c r="I1" s="1212"/>
      <c r="J1" s="1212">
        <v>50</v>
      </c>
      <c r="K1" s="1212"/>
      <c r="L1" s="1212"/>
      <c r="M1" s="1212"/>
      <c r="N1" s="1212"/>
      <c r="O1" s="1212"/>
      <c r="P1" s="1212"/>
      <c r="Q1" s="1212"/>
      <c r="R1" s="1212"/>
    </row>
    <row r="2" spans="1:18" x14ac:dyDescent="0.25">
      <c r="A2" t="s">
        <v>564</v>
      </c>
      <c r="B2">
        <v>819</v>
      </c>
      <c r="C2">
        <v>4548</v>
      </c>
      <c r="D2">
        <v>3.3</v>
      </c>
      <c r="J2" t="s">
        <v>564</v>
      </c>
      <c r="K2">
        <v>805</v>
      </c>
      <c r="L2">
        <v>2450</v>
      </c>
      <c r="M2">
        <v>3.3</v>
      </c>
    </row>
    <row r="3" spans="1:18" x14ac:dyDescent="0.25">
      <c r="A3" t="s">
        <v>566</v>
      </c>
      <c r="B3">
        <v>850</v>
      </c>
      <c r="C3">
        <v>5252</v>
      </c>
      <c r="D3">
        <v>1.6</v>
      </c>
      <c r="J3" t="s">
        <v>566</v>
      </c>
      <c r="K3">
        <v>830</v>
      </c>
      <c r="L3">
        <v>5252</v>
      </c>
      <c r="M3">
        <v>3.3</v>
      </c>
    </row>
    <row r="4" spans="1:18" x14ac:dyDescent="0.25">
      <c r="A4" t="s">
        <v>568</v>
      </c>
      <c r="B4">
        <v>92.4</v>
      </c>
      <c r="C4">
        <v>120</v>
      </c>
      <c r="D4">
        <v>0.75</v>
      </c>
      <c r="J4" t="s">
        <v>568</v>
      </c>
      <c r="K4">
        <v>92.4</v>
      </c>
      <c r="L4">
        <v>120</v>
      </c>
      <c r="M4">
        <v>0.75</v>
      </c>
    </row>
    <row r="5" spans="1:18" x14ac:dyDescent="0.25">
      <c r="A5" t="s">
        <v>567</v>
      </c>
      <c r="B5">
        <f>B4+49.5</f>
        <v>141.9</v>
      </c>
      <c r="C5">
        <v>360</v>
      </c>
      <c r="D5">
        <v>1.5</v>
      </c>
      <c r="J5" t="s">
        <v>567</v>
      </c>
      <c r="K5">
        <f>K4+49.5</f>
        <v>141.9</v>
      </c>
      <c r="L5">
        <v>360</v>
      </c>
      <c r="M5">
        <v>1.5</v>
      </c>
    </row>
    <row r="6" spans="1:18" x14ac:dyDescent="0.25">
      <c r="A6" t="s">
        <v>569</v>
      </c>
      <c r="B6">
        <f>B5 + 118.8</f>
        <v>260.7</v>
      </c>
      <c r="C6">
        <v>480</v>
      </c>
      <c r="D6">
        <v>2.15</v>
      </c>
      <c r="J6" t="s">
        <v>569</v>
      </c>
      <c r="K6">
        <f>K5 + 118.8</f>
        <v>260.7</v>
      </c>
      <c r="L6">
        <v>480</v>
      </c>
      <c r="M6">
        <v>2.15</v>
      </c>
    </row>
    <row r="7" spans="1:18" x14ac:dyDescent="0.25">
      <c r="A7" t="s">
        <v>565</v>
      </c>
      <c r="B7">
        <f>B6+165</f>
        <v>425.7</v>
      </c>
      <c r="C7">
        <v>960</v>
      </c>
      <c r="D7">
        <v>2.85</v>
      </c>
      <c r="J7" t="s">
        <v>565</v>
      </c>
      <c r="K7">
        <f>K6+165</f>
        <v>425.7</v>
      </c>
      <c r="L7">
        <v>960</v>
      </c>
      <c r="M7">
        <v>2.85</v>
      </c>
    </row>
    <row r="8" spans="1:18" x14ac:dyDescent="0.25">
      <c r="A8" t="s">
        <v>562</v>
      </c>
      <c r="B8">
        <f>B7+123.2</f>
        <v>548.9</v>
      </c>
      <c r="C8">
        <v>1560</v>
      </c>
      <c r="D8">
        <v>4.1500000000000004</v>
      </c>
      <c r="J8" t="s">
        <v>562</v>
      </c>
      <c r="K8">
        <f>K7+123.2</f>
        <v>548.9</v>
      </c>
      <c r="L8">
        <v>1560</v>
      </c>
      <c r="M8">
        <v>4.1500000000000004</v>
      </c>
    </row>
    <row r="9" spans="1:18" x14ac:dyDescent="0.25">
      <c r="A9" t="s">
        <v>570</v>
      </c>
      <c r="B9">
        <v>60.06</v>
      </c>
      <c r="C9">
        <v>180</v>
      </c>
      <c r="D9">
        <v>0.75</v>
      </c>
      <c r="J9" t="s">
        <v>570</v>
      </c>
      <c r="K9">
        <v>92.4</v>
      </c>
      <c r="L9">
        <v>120</v>
      </c>
      <c r="M9">
        <v>0.75</v>
      </c>
    </row>
    <row r="10" spans="1:18" x14ac:dyDescent="0.25">
      <c r="A10" t="s">
        <v>571</v>
      </c>
      <c r="B10">
        <f>B9+32.175</f>
        <v>92.234999999999999</v>
      </c>
      <c r="C10">
        <f>C9+360</f>
        <v>540</v>
      </c>
      <c r="D10">
        <v>1.5</v>
      </c>
      <c r="J10" t="s">
        <v>571</v>
      </c>
      <c r="K10">
        <f>K9+49.5</f>
        <v>141.9</v>
      </c>
      <c r="L10">
        <v>360</v>
      </c>
      <c r="M10">
        <v>1.5</v>
      </c>
    </row>
    <row r="11" spans="1:18" x14ac:dyDescent="0.25">
      <c r="A11" t="s">
        <v>572</v>
      </c>
      <c r="B11">
        <f>B10+77.22</f>
        <v>169.45499999999998</v>
      </c>
      <c r="C11">
        <f>C10+180</f>
        <v>720</v>
      </c>
      <c r="D11">
        <v>2.15</v>
      </c>
      <c r="J11" t="s">
        <v>572</v>
      </c>
      <c r="K11">
        <f>K10 + 118.8</f>
        <v>260.7</v>
      </c>
      <c r="L11">
        <v>480</v>
      </c>
      <c r="M11">
        <v>2.15</v>
      </c>
    </row>
    <row r="12" spans="1:18" x14ac:dyDescent="0.25">
      <c r="A12" t="s">
        <v>573</v>
      </c>
      <c r="B12">
        <f>B11+107.25</f>
        <v>276.70499999999998</v>
      </c>
      <c r="C12">
        <f>C11+720</f>
        <v>1440</v>
      </c>
      <c r="D12">
        <v>2.85</v>
      </c>
      <c r="J12" t="s">
        <v>573</v>
      </c>
      <c r="K12">
        <f>K11+165</f>
        <v>425.7</v>
      </c>
      <c r="L12">
        <v>960</v>
      </c>
      <c r="M12">
        <v>2.85</v>
      </c>
    </row>
    <row r="13" spans="1:18" x14ac:dyDescent="0.25">
      <c r="A13" t="s">
        <v>574</v>
      </c>
      <c r="B13">
        <f>B12+80.08</f>
        <v>356.78499999999997</v>
      </c>
      <c r="C13">
        <f>C12+900</f>
        <v>2340</v>
      </c>
      <c r="D13">
        <v>4.1500000000000004</v>
      </c>
      <c r="J13" t="s">
        <v>574</v>
      </c>
      <c r="K13">
        <f>K12+123.2</f>
        <v>548.9</v>
      </c>
      <c r="L13">
        <v>1560</v>
      </c>
      <c r="M13">
        <v>4.1500000000000004</v>
      </c>
    </row>
    <row r="15" spans="1:18" x14ac:dyDescent="0.25">
      <c r="E15" t="s">
        <v>581</v>
      </c>
      <c r="N15" t="s">
        <v>581</v>
      </c>
    </row>
    <row r="16" spans="1:18" x14ac:dyDescent="0.25">
      <c r="B16">
        <f>SUM(B27:B38)</f>
        <v>7642.5380999999998</v>
      </c>
      <c r="C16">
        <f>SUM(C27:C38)</f>
        <v>39.6</v>
      </c>
      <c r="D16">
        <f>SUM(D19:D103)</f>
        <v>25540</v>
      </c>
      <c r="E16" s="857">
        <f>B16/C16</f>
        <v>192.99338636363635</v>
      </c>
      <c r="K16">
        <f>SUM(K24:K31)</f>
        <v>4439.62</v>
      </c>
      <c r="L16">
        <f>SUM(L24:L31)</f>
        <v>23.300000000000004</v>
      </c>
      <c r="M16">
        <f>SUM(M19:M103)</f>
        <v>14680</v>
      </c>
      <c r="N16" s="857">
        <f>K16/L16</f>
        <v>190.5416309012875</v>
      </c>
    </row>
    <row r="18" spans="1:18" x14ac:dyDescent="0.25">
      <c r="B18" t="s">
        <v>538</v>
      </c>
      <c r="C18" t="s">
        <v>575</v>
      </c>
      <c r="D18" t="s">
        <v>563</v>
      </c>
      <c r="E18" t="s">
        <v>564</v>
      </c>
      <c r="F18" t="s">
        <v>566</v>
      </c>
      <c r="G18" t="s">
        <v>581</v>
      </c>
      <c r="K18" t="s">
        <v>538</v>
      </c>
      <c r="L18" t="s">
        <v>575</v>
      </c>
      <c r="M18" t="s">
        <v>563</v>
      </c>
      <c r="N18" t="s">
        <v>564</v>
      </c>
      <c r="O18" t="s">
        <v>566</v>
      </c>
      <c r="P18" t="s">
        <v>581</v>
      </c>
    </row>
    <row r="19" spans="1:18" x14ac:dyDescent="0.25">
      <c r="A19" t="s">
        <v>562</v>
      </c>
      <c r="B19">
        <f>VLOOKUP(A19, $A$2:$D$13, 2, FALSE)</f>
        <v>548.9</v>
      </c>
      <c r="C19">
        <f t="shared" ref="C19:C39" si="0">VLOOKUP(A19, $A$2:$D$13, 4, FALSE)</f>
        <v>4.1500000000000004</v>
      </c>
      <c r="D19">
        <f>VLOOKUP(A19, $A$2:$C$13, 3, FALSE)</f>
        <v>1560</v>
      </c>
      <c r="E19">
        <v>1560</v>
      </c>
      <c r="F19">
        <v>1560</v>
      </c>
      <c r="G19">
        <f>SUM(B$19:B19) / SUM(C$19:C19)</f>
        <v>132.26506024096383</v>
      </c>
      <c r="J19" t="s">
        <v>562</v>
      </c>
      <c r="K19">
        <f t="shared" ref="K19:K24" si="1">VLOOKUP(J19, $J$2:$L$13, 2, FALSE)</f>
        <v>548.9</v>
      </c>
      <c r="L19">
        <f t="shared" ref="L19:L37" si="2">VLOOKUP(J19, $J$2:$M$13, 4, FALSE)</f>
        <v>4.1500000000000004</v>
      </c>
      <c r="M19">
        <f>VLOOKUP(J19, $J$2:$L$13, 3, FALSE)</f>
        <v>1560</v>
      </c>
      <c r="N19">
        <v>1560</v>
      </c>
      <c r="O19">
        <v>1560</v>
      </c>
      <c r="P19">
        <f>SUM(K$19:K19) / SUM(L$19:L19)</f>
        <v>132.26506024096383</v>
      </c>
    </row>
    <row r="20" spans="1:18" x14ac:dyDescent="0.25">
      <c r="A20" t="s">
        <v>562</v>
      </c>
      <c r="B20">
        <f t="shared" ref="B20:B27" si="3">VLOOKUP(A20, $A$2:$C$13, 2, FALSE)</f>
        <v>548.9</v>
      </c>
      <c r="C20">
        <f t="shared" si="0"/>
        <v>4.1500000000000004</v>
      </c>
      <c r="D20">
        <f>VLOOKUP(A20, $A$2:$C$13, 3, FALSE)</f>
        <v>1560</v>
      </c>
      <c r="E20">
        <f>E19+D20</f>
        <v>3120</v>
      </c>
      <c r="F20">
        <f>F19+D20</f>
        <v>3120</v>
      </c>
      <c r="G20">
        <f>SUM(B$19:B20) / SUM(C$19:C20)</f>
        <v>132.26506024096383</v>
      </c>
      <c r="J20" t="s">
        <v>565</v>
      </c>
      <c r="K20">
        <f t="shared" si="1"/>
        <v>425.7</v>
      </c>
      <c r="L20">
        <f t="shared" si="2"/>
        <v>2.85</v>
      </c>
      <c r="M20">
        <f>VLOOKUP(J20, $J$2:$L$13, 3, FALSE)</f>
        <v>960</v>
      </c>
      <c r="N20">
        <f>N19+M20</f>
        <v>2520</v>
      </c>
      <c r="O20">
        <f>O19+M20</f>
        <v>2520</v>
      </c>
      <c r="P20">
        <f>SUM(K$19:K20) / SUM(L$19:L20)</f>
        <v>139.22857142857143</v>
      </c>
    </row>
    <row r="21" spans="1:18" x14ac:dyDescent="0.25">
      <c r="A21" t="s">
        <v>562</v>
      </c>
      <c r="B21">
        <f t="shared" si="3"/>
        <v>548.9</v>
      </c>
      <c r="C21">
        <f t="shared" si="0"/>
        <v>4.1500000000000004</v>
      </c>
      <c r="D21">
        <f>VLOOKUP(A21, $A$2:$C$13, 3, FALSE)</f>
        <v>1560</v>
      </c>
      <c r="E21">
        <f>E20+D21</f>
        <v>4680</v>
      </c>
      <c r="F21">
        <f>F20+D21</f>
        <v>4680</v>
      </c>
      <c r="G21">
        <f>SUM(B$19:B21) / SUM(C$19:C21)</f>
        <v>132.26506024096383</v>
      </c>
      <c r="J21" t="s">
        <v>564</v>
      </c>
      <c r="K21">
        <f t="shared" si="1"/>
        <v>805</v>
      </c>
      <c r="L21">
        <f t="shared" si="2"/>
        <v>3.3</v>
      </c>
      <c r="N21">
        <v>0</v>
      </c>
      <c r="O21">
        <f>O20+M21</f>
        <v>2520</v>
      </c>
      <c r="P21">
        <f>SUM(K$19:K21) / SUM(L$19:L21)</f>
        <v>172.77669902912621</v>
      </c>
      <c r="Q21" t="s">
        <v>579</v>
      </c>
    </row>
    <row r="22" spans="1:18" x14ac:dyDescent="0.25">
      <c r="A22" t="s">
        <v>564</v>
      </c>
      <c r="B22">
        <f t="shared" si="3"/>
        <v>819</v>
      </c>
      <c r="C22">
        <f t="shared" si="0"/>
        <v>3.3</v>
      </c>
      <c r="E22">
        <v>0</v>
      </c>
      <c r="F22">
        <f>F21+D22</f>
        <v>4680</v>
      </c>
      <c r="G22">
        <f>SUM(B$19:B22) / SUM(C$19:C22)</f>
        <v>156.55238095238093</v>
      </c>
      <c r="H22" t="s">
        <v>579</v>
      </c>
      <c r="J22" t="s">
        <v>562</v>
      </c>
      <c r="K22">
        <f t="shared" si="1"/>
        <v>548.9</v>
      </c>
      <c r="L22">
        <f t="shared" si="2"/>
        <v>4.1500000000000004</v>
      </c>
      <c r="M22">
        <f>VLOOKUP(J22, $J$2:$L$13, 3, FALSE)</f>
        <v>1560</v>
      </c>
      <c r="N22">
        <f>N21+M22</f>
        <v>1560</v>
      </c>
      <c r="O22">
        <f>O21+N22</f>
        <v>4080</v>
      </c>
      <c r="P22">
        <f>SUM(K$19:K22) / SUM(L$19:L22)</f>
        <v>161.1418685121107</v>
      </c>
    </row>
    <row r="23" spans="1:18" x14ac:dyDescent="0.25">
      <c r="A23" t="s">
        <v>565</v>
      </c>
      <c r="B23">
        <f t="shared" si="3"/>
        <v>425.7</v>
      </c>
      <c r="C23">
        <f t="shared" si="0"/>
        <v>2.85</v>
      </c>
      <c r="D23">
        <f>VLOOKUP(A23, $A$2:$C$13, 3, FALSE)</f>
        <v>960</v>
      </c>
      <c r="E23">
        <f>E22+D23</f>
        <v>960</v>
      </c>
      <c r="F23">
        <f>F22+D23</f>
        <v>5640</v>
      </c>
      <c r="G23">
        <f>SUM(B$19:B23) / SUM(C$19:C23)</f>
        <v>155.45161290322577</v>
      </c>
      <c r="J23" t="s">
        <v>565</v>
      </c>
      <c r="K23">
        <f t="shared" si="1"/>
        <v>425.7</v>
      </c>
      <c r="L23">
        <f t="shared" si="2"/>
        <v>2.85</v>
      </c>
      <c r="M23">
        <f>VLOOKUP(J23, $J$2:$L$13, 3, FALSE)</f>
        <v>960</v>
      </c>
      <c r="N23">
        <f>N22+M23</f>
        <v>2520</v>
      </c>
      <c r="O23">
        <f>O22+M23</f>
        <v>5040</v>
      </c>
      <c r="P23">
        <f>SUM(K$19:K23) / SUM(L$19:L23)</f>
        <v>159.2023121387283</v>
      </c>
    </row>
    <row r="24" spans="1:18" x14ac:dyDescent="0.25">
      <c r="A24" t="s">
        <v>566</v>
      </c>
      <c r="B24">
        <f t="shared" si="3"/>
        <v>850</v>
      </c>
      <c r="C24">
        <f t="shared" si="0"/>
        <v>1.6</v>
      </c>
      <c r="D24">
        <v>700</v>
      </c>
      <c r="E24">
        <f>E23+D24</f>
        <v>1660</v>
      </c>
      <c r="F24">
        <v>700</v>
      </c>
      <c r="G24">
        <f>SUM(B$19:B24) / SUM(C$19:C24)</f>
        <v>185.21782178217816</v>
      </c>
      <c r="H24" t="s">
        <v>576</v>
      </c>
      <c r="J24" s="859" t="s">
        <v>564</v>
      </c>
      <c r="K24" s="860">
        <f t="shared" si="1"/>
        <v>805</v>
      </c>
      <c r="L24" s="860">
        <f t="shared" si="2"/>
        <v>3.3</v>
      </c>
      <c r="M24" s="860"/>
      <c r="N24" s="860">
        <v>0</v>
      </c>
      <c r="O24" s="860">
        <f>O23+M24</f>
        <v>5040</v>
      </c>
      <c r="P24" s="860">
        <f>SUM(K$19:K24) / SUM(L$19:L24)</f>
        <v>172.77669902912621</v>
      </c>
      <c r="Q24" s="860" t="s">
        <v>580</v>
      </c>
      <c r="R24" s="861"/>
    </row>
    <row r="25" spans="1:18" x14ac:dyDescent="0.25">
      <c r="A25" t="s">
        <v>574</v>
      </c>
      <c r="B25">
        <f t="shared" si="3"/>
        <v>356.78499999999997</v>
      </c>
      <c r="C25">
        <f t="shared" si="0"/>
        <v>4.1500000000000004</v>
      </c>
      <c r="D25">
        <f>VLOOKUP(A25, $A$2:$C$13, 3, FALSE)</f>
        <v>2340</v>
      </c>
      <c r="E25">
        <f>E24+D25</f>
        <v>4000</v>
      </c>
      <c r="F25">
        <f>F24+D25</f>
        <v>3040</v>
      </c>
      <c r="G25">
        <f>SUM(B$19:B25) / SUM(C$19:C25)</f>
        <v>168.30328542094452</v>
      </c>
      <c r="J25" s="862" t="s">
        <v>567</v>
      </c>
      <c r="K25" s="50">
        <f>VLOOKUP(J25, $J$2:$L$13, 2, FALSE) * 1.1</f>
        <v>156.09000000000003</v>
      </c>
      <c r="L25" s="50">
        <f t="shared" si="2"/>
        <v>1.5</v>
      </c>
      <c r="M25" s="50">
        <f>VLOOKUP(J25, $J$2:$L$13, 3, FALSE)</f>
        <v>360</v>
      </c>
      <c r="N25" s="50">
        <f>N24+M25</f>
        <v>360</v>
      </c>
      <c r="O25" s="50">
        <f>O24+M25</f>
        <v>5400</v>
      </c>
      <c r="P25" s="50">
        <f>SUM(K$19:K25) / SUM(L$19:L25)</f>
        <v>168.11266968325791</v>
      </c>
      <c r="Q25" s="50"/>
      <c r="R25" s="863"/>
    </row>
    <row r="26" spans="1:18" x14ac:dyDescent="0.25">
      <c r="A26" t="s">
        <v>572</v>
      </c>
      <c r="B26">
        <f t="shared" si="3"/>
        <v>169.45499999999998</v>
      </c>
      <c r="C26">
        <f t="shared" si="0"/>
        <v>2.15</v>
      </c>
      <c r="D26">
        <f>VLOOKUP(A26, $A$2:$C$13, 3, FALSE)</f>
        <v>720</v>
      </c>
      <c r="E26">
        <f>E25+D26</f>
        <v>4720</v>
      </c>
      <c r="F26">
        <f>F25+D26</f>
        <v>3760</v>
      </c>
      <c r="G26">
        <f>SUM(B$19:B26) / SUM(C$19:C26)</f>
        <v>161.0430188679245</v>
      </c>
      <c r="J26" s="862" t="s">
        <v>566</v>
      </c>
      <c r="K26" s="50">
        <f>VLOOKUP(J26, $J$2:$L$13, 2, FALSE) * 1.1</f>
        <v>913.00000000000011</v>
      </c>
      <c r="L26" s="50">
        <f t="shared" si="2"/>
        <v>3.3</v>
      </c>
      <c r="M26" s="50">
        <v>500</v>
      </c>
      <c r="N26" s="50">
        <f>N25+M26</f>
        <v>860</v>
      </c>
      <c r="O26" s="50">
        <v>500</v>
      </c>
      <c r="P26" s="50">
        <f>SUM(K$19:K26) / SUM(L$19:L26)</f>
        <v>182.21614173228346</v>
      </c>
      <c r="Q26" s="50"/>
      <c r="R26" s="863"/>
    </row>
    <row r="27" spans="1:18" x14ac:dyDescent="0.25">
      <c r="A27" s="859" t="s">
        <v>564</v>
      </c>
      <c r="B27" s="860">
        <f t="shared" si="3"/>
        <v>819</v>
      </c>
      <c r="C27" s="860">
        <f t="shared" si="0"/>
        <v>3.3</v>
      </c>
      <c r="D27" s="860"/>
      <c r="E27" s="860">
        <v>0</v>
      </c>
      <c r="F27" s="860">
        <f>F26+D27</f>
        <v>3760</v>
      </c>
      <c r="G27" s="860">
        <f>SUM(B$19:B27) / SUM(C$19:C27)</f>
        <v>170.6926174496644</v>
      </c>
      <c r="H27" s="860" t="s">
        <v>577</v>
      </c>
      <c r="I27" s="861"/>
      <c r="J27" s="50" t="s">
        <v>562</v>
      </c>
      <c r="K27" s="50">
        <f>VLOOKUP(J27, $J$2:$L$13, 2, FALSE) * 1.1</f>
        <v>603.79000000000008</v>
      </c>
      <c r="L27" s="50">
        <f t="shared" si="2"/>
        <v>4.1500000000000004</v>
      </c>
      <c r="M27" s="50">
        <f>VLOOKUP(J27, $J$2:$L$13, 3, FALSE)</f>
        <v>1560</v>
      </c>
      <c r="N27" s="50">
        <f>N26+M27</f>
        <v>2420</v>
      </c>
      <c r="O27" s="50">
        <f t="shared" ref="O27:O33" si="4">O26+M27</f>
        <v>2060</v>
      </c>
      <c r="P27" s="50">
        <f>SUM(K$19:K27) / SUM(L$19:L27)</f>
        <v>177.05854483925546</v>
      </c>
      <c r="Q27" s="50"/>
      <c r="R27" s="863"/>
    </row>
    <row r="28" spans="1:18" x14ac:dyDescent="0.25">
      <c r="A28" s="862" t="s">
        <v>574</v>
      </c>
      <c r="B28" s="50">
        <f>VLOOKUP(A28, $A$2:$C$13, 2, FALSE)*1.13</f>
        <v>403.1670499999999</v>
      </c>
      <c r="C28" s="50">
        <f t="shared" si="0"/>
        <v>4.1500000000000004</v>
      </c>
      <c r="D28" s="50">
        <f>VLOOKUP(A28, $A$2:$C$13, 3, FALSE)</f>
        <v>2340</v>
      </c>
      <c r="E28" s="50">
        <f>E27+D28</f>
        <v>2340</v>
      </c>
      <c r="F28" s="50">
        <f>F27+D28</f>
        <v>6100</v>
      </c>
      <c r="G28" s="50">
        <f>SUM(B$19:B28) / SUM(C$19:C28)</f>
        <v>161.70271134020615</v>
      </c>
      <c r="H28" s="50"/>
      <c r="I28" s="863"/>
      <c r="J28" s="50" t="s">
        <v>568</v>
      </c>
      <c r="K28" s="50">
        <f>VLOOKUP(J28, $J$2:$L$13, 2, FALSE) * 1.1</f>
        <v>101.64000000000001</v>
      </c>
      <c r="L28" s="50">
        <f t="shared" si="2"/>
        <v>0.75</v>
      </c>
      <c r="M28" s="50">
        <f>VLOOKUP(J28, $J$2:$L$13, 3, FALSE)</f>
        <v>120</v>
      </c>
      <c r="N28" s="50">
        <f>N27+M28</f>
        <v>2540</v>
      </c>
      <c r="O28" s="50">
        <f t="shared" si="4"/>
        <v>2180</v>
      </c>
      <c r="P28" s="50">
        <f>SUM(K$19:K28) / SUM(L$19:L28)</f>
        <v>176.03036303630361</v>
      </c>
      <c r="Q28" s="50"/>
      <c r="R28" s="863"/>
    </row>
    <row r="29" spans="1:18" x14ac:dyDescent="0.25">
      <c r="A29" s="862" t="s">
        <v>566</v>
      </c>
      <c r="B29" s="50">
        <f>VLOOKUP(A29, $A$2:$C$13, 2, FALSE)*1.13</f>
        <v>960.49999999999989</v>
      </c>
      <c r="C29" s="50">
        <f t="shared" si="0"/>
        <v>1.6</v>
      </c>
      <c r="D29" s="50">
        <v>700</v>
      </c>
      <c r="E29" s="50">
        <f>E28+D29</f>
        <v>3040</v>
      </c>
      <c r="F29" s="50">
        <v>700</v>
      </c>
      <c r="G29" s="50">
        <f>SUM(B$19:B29) / SUM(C$19:C29)</f>
        <v>181.44323628691978</v>
      </c>
      <c r="H29" s="50" t="s">
        <v>576</v>
      </c>
      <c r="I29" s="863"/>
      <c r="J29" s="50" t="s">
        <v>564</v>
      </c>
      <c r="K29" s="50">
        <f>VLOOKUP(J29, $J$2:$L$13, 2, FALSE) * 1.1</f>
        <v>885.50000000000011</v>
      </c>
      <c r="L29" s="50">
        <f t="shared" si="2"/>
        <v>3.3</v>
      </c>
      <c r="M29" s="50"/>
      <c r="N29" s="50">
        <v>0</v>
      </c>
      <c r="O29" s="50">
        <f t="shared" si="4"/>
        <v>2180</v>
      </c>
      <c r="P29" s="50">
        <f>SUM(K$19:K29) / SUM(L$19:L29)</f>
        <v>185.09583333333333</v>
      </c>
      <c r="Q29" s="50" t="s">
        <v>579</v>
      </c>
      <c r="R29" s="863"/>
    </row>
    <row r="30" spans="1:18" x14ac:dyDescent="0.25">
      <c r="A30" s="862" t="s">
        <v>574</v>
      </c>
      <c r="B30" s="50">
        <f>VLOOKUP(A30, $A$2:$C$13, 2, FALSE)*1.13</f>
        <v>403.1670499999999</v>
      </c>
      <c r="C30" s="50">
        <f t="shared" si="0"/>
        <v>4.1500000000000004</v>
      </c>
      <c r="D30" s="50">
        <f>VLOOKUP(A30, $A$2:$C$13, 3, FALSE)</f>
        <v>2340</v>
      </c>
      <c r="E30" s="50">
        <f>E29+D30</f>
        <v>5380</v>
      </c>
      <c r="F30" s="50">
        <f>F29+D30</f>
        <v>3040</v>
      </c>
      <c r="G30" s="50">
        <f>SUM(B$19:B30) / SUM(C$19:C30)</f>
        <v>172.63158942065488</v>
      </c>
      <c r="H30" s="50"/>
      <c r="I30" s="863"/>
      <c r="J30" s="50" t="s">
        <v>562</v>
      </c>
      <c r="K30" s="50">
        <f>VLOOKUP(J30, $J$2:$L$13, 2, FALSE)</f>
        <v>548.9</v>
      </c>
      <c r="L30" s="50">
        <f t="shared" si="2"/>
        <v>4.1500000000000004</v>
      </c>
      <c r="M30" s="50">
        <f>VLOOKUP(J30, $J$2:$L$13, 3, FALSE)</f>
        <v>1560</v>
      </c>
      <c r="N30" s="50">
        <f>N29+M30</f>
        <v>1560</v>
      </c>
      <c r="O30" s="50">
        <f t="shared" si="4"/>
        <v>3740</v>
      </c>
      <c r="P30" s="50">
        <f>SUM(K$19:K30) / SUM(L$19:L30)</f>
        <v>179.28794701986754</v>
      </c>
      <c r="Q30" s="50"/>
      <c r="R30" s="863"/>
    </row>
    <row r="31" spans="1:18" x14ac:dyDescent="0.25">
      <c r="A31" s="862" t="s">
        <v>564</v>
      </c>
      <c r="B31" s="50">
        <f>982.8*1.13</f>
        <v>1110.5639999999999</v>
      </c>
      <c r="C31" s="50">
        <f t="shared" si="0"/>
        <v>3.3</v>
      </c>
      <c r="D31" s="50"/>
      <c r="E31" s="50">
        <v>0</v>
      </c>
      <c r="F31" s="50">
        <f>F30+D31</f>
        <v>3040</v>
      </c>
      <c r="G31" s="50">
        <f>SUM(B$19:B31) / SUM(C$19:C31)</f>
        <v>185.21018837209303</v>
      </c>
      <c r="H31" s="50" t="s">
        <v>578</v>
      </c>
      <c r="I31" s="863"/>
      <c r="J31" s="865" t="s">
        <v>565</v>
      </c>
      <c r="K31" s="865">
        <f>VLOOKUP(J31, $J$2:$L$13, 2, FALSE)</f>
        <v>425.7</v>
      </c>
      <c r="L31" s="865">
        <f t="shared" si="2"/>
        <v>2.85</v>
      </c>
      <c r="M31" s="865">
        <f>VLOOKUP(J31, $J$2:$L$13, 3, FALSE)</f>
        <v>960</v>
      </c>
      <c r="N31" s="865">
        <f>N30+M31</f>
        <v>2520</v>
      </c>
      <c r="O31" s="865">
        <f t="shared" si="4"/>
        <v>4700</v>
      </c>
      <c r="P31" s="865">
        <f>SUM(K$19:K31) / SUM(L$19:L31)</f>
        <v>177.18768472906402</v>
      </c>
      <c r="Q31" s="865"/>
      <c r="R31" s="866"/>
    </row>
    <row r="32" spans="1:18" x14ac:dyDescent="0.25">
      <c r="A32" s="862" t="s">
        <v>574</v>
      </c>
      <c r="B32" s="50">
        <f t="shared" ref="B32:B39" si="5">VLOOKUP(A32, $A$2:$C$13, 2, FALSE)</f>
        <v>356.78499999999997</v>
      </c>
      <c r="C32" s="50">
        <f t="shared" si="0"/>
        <v>4.1500000000000004</v>
      </c>
      <c r="D32" s="50">
        <f>VLOOKUP(A32, $A$2:$C$13, 3, FALSE)</f>
        <v>2340</v>
      </c>
      <c r="E32" s="50">
        <f>E31+D32</f>
        <v>2340</v>
      </c>
      <c r="F32" s="50">
        <f>F31+D32</f>
        <v>5380</v>
      </c>
      <c r="G32" s="50">
        <f>SUM(B$19:B32) / SUM(C$19:C32)</f>
        <v>176.47556945917285</v>
      </c>
      <c r="H32" s="50"/>
      <c r="I32" s="863"/>
      <c r="J32" t="s">
        <v>564</v>
      </c>
      <c r="K32">
        <f>VLOOKUP(J32, $J$2:$L$13, 2, FALSE)</f>
        <v>805</v>
      </c>
      <c r="L32">
        <f t="shared" si="2"/>
        <v>3.3</v>
      </c>
      <c r="N32">
        <v>0</v>
      </c>
      <c r="O32">
        <f t="shared" si="4"/>
        <v>4700</v>
      </c>
      <c r="P32">
        <f>SUM(K$19:K32) / SUM(L$19:L32)</f>
        <v>182.20546697038725</v>
      </c>
      <c r="Q32" t="s">
        <v>580</v>
      </c>
    </row>
    <row r="33" spans="1:18" x14ac:dyDescent="0.25">
      <c r="A33" s="862" t="s">
        <v>566</v>
      </c>
      <c r="B33" s="50">
        <f t="shared" si="5"/>
        <v>850</v>
      </c>
      <c r="C33" s="50">
        <f t="shared" si="0"/>
        <v>1.6</v>
      </c>
      <c r="D33" s="50">
        <v>700</v>
      </c>
      <c r="E33" s="50">
        <f>E32+D33</f>
        <v>3040</v>
      </c>
      <c r="F33" s="50">
        <v>700</v>
      </c>
      <c r="G33" s="50">
        <f>SUM(B$19:B33) / SUM(C$19:C33)</f>
        <v>188.11944820512821</v>
      </c>
      <c r="H33" s="50" t="s">
        <v>576</v>
      </c>
      <c r="I33" s="863"/>
      <c r="J33" t="s">
        <v>565</v>
      </c>
      <c r="K33">
        <f>VLOOKUP(J33, $J$2:$L$13, 2, FALSE) * 1.1</f>
        <v>468.27000000000004</v>
      </c>
      <c r="L33">
        <f t="shared" si="2"/>
        <v>2.85</v>
      </c>
      <c r="M33">
        <f>VLOOKUP(J33, $J$2:$L$13, 3, FALSE)</f>
        <v>960</v>
      </c>
      <c r="N33">
        <f>N32+M33</f>
        <v>960</v>
      </c>
      <c r="O33">
        <f t="shared" si="4"/>
        <v>5660</v>
      </c>
      <c r="P33">
        <f>SUM(K$19:K33) / SUM(L$19:L33)</f>
        <v>181.11422459893049</v>
      </c>
    </row>
    <row r="34" spans="1:18" x14ac:dyDescent="0.25">
      <c r="A34" s="862" t="s">
        <v>574</v>
      </c>
      <c r="B34" s="50">
        <f t="shared" si="5"/>
        <v>356.78499999999997</v>
      </c>
      <c r="C34" s="50">
        <f t="shared" si="0"/>
        <v>4.1500000000000004</v>
      </c>
      <c r="D34" s="50">
        <f>VLOOKUP(A34, $A$2:$C$13, 3, FALSE)</f>
        <v>2340</v>
      </c>
      <c r="E34" s="50">
        <f>E33+D34</f>
        <v>5380</v>
      </c>
      <c r="F34" s="50">
        <f>F33+D34</f>
        <v>3040</v>
      </c>
      <c r="G34" s="50">
        <f>SUM(B$19:B34) / SUM(C$19:C34)</f>
        <v>180.10601323251419</v>
      </c>
      <c r="H34" s="50"/>
      <c r="I34" s="863"/>
      <c r="J34" t="s">
        <v>566</v>
      </c>
      <c r="K34">
        <f>VLOOKUP(J34, $J$2:$L$13, 2, FALSE) * 1.1</f>
        <v>913.00000000000011</v>
      </c>
      <c r="L34">
        <f t="shared" si="2"/>
        <v>3.3</v>
      </c>
      <c r="M34">
        <v>500</v>
      </c>
      <c r="N34">
        <f>N33+M34</f>
        <v>1460</v>
      </c>
      <c r="O34">
        <v>500</v>
      </c>
      <c r="P34">
        <f>SUM(K$19:K34) / SUM(L$19:L34)</f>
        <v>187.41438561438562</v>
      </c>
    </row>
    <row r="35" spans="1:18" x14ac:dyDescent="0.25">
      <c r="A35" s="862" t="s">
        <v>564</v>
      </c>
      <c r="B35" s="50">
        <f t="shared" si="5"/>
        <v>819</v>
      </c>
      <c r="C35" s="50">
        <f t="shared" si="0"/>
        <v>3.3</v>
      </c>
      <c r="D35" s="50"/>
      <c r="E35" s="50">
        <v>0</v>
      </c>
      <c r="F35" s="50">
        <f>F34+D35</f>
        <v>3040</v>
      </c>
      <c r="G35" s="50">
        <f>SUM(B$19:B35) / SUM(C$19:C35)</f>
        <v>184.10334697508898</v>
      </c>
      <c r="H35" s="50" t="s">
        <v>579</v>
      </c>
      <c r="I35" s="863"/>
      <c r="J35" t="s">
        <v>562</v>
      </c>
      <c r="K35">
        <f>VLOOKUP(J35, $J$2:$L$13, 2, FALSE) * 1.1</f>
        <v>603.79000000000008</v>
      </c>
      <c r="L35">
        <f t="shared" si="2"/>
        <v>4.1500000000000004</v>
      </c>
      <c r="M35">
        <f>VLOOKUP(J35, $J$2:$L$13, 3, FALSE)</f>
        <v>1560</v>
      </c>
      <c r="N35">
        <f>N34+M35</f>
        <v>3020</v>
      </c>
      <c r="O35">
        <f>O34+M35</f>
        <v>2060</v>
      </c>
      <c r="P35">
        <f>SUM(K$19:K35) / SUM(L$19:L35)</f>
        <v>184.20442804428046</v>
      </c>
    </row>
    <row r="36" spans="1:18" x14ac:dyDescent="0.25">
      <c r="A36" s="862" t="s">
        <v>574</v>
      </c>
      <c r="B36" s="50">
        <f t="shared" si="5"/>
        <v>356.78499999999997</v>
      </c>
      <c r="C36" s="50">
        <f t="shared" si="0"/>
        <v>4.1500000000000004</v>
      </c>
      <c r="D36" s="50">
        <f>VLOOKUP(A36, $A$2:$C$13, 3, FALSE)</f>
        <v>2340</v>
      </c>
      <c r="E36" s="50">
        <f>E35+D36</f>
        <v>2340</v>
      </c>
      <c r="F36" s="50">
        <f>F35+D36</f>
        <v>5380</v>
      </c>
      <c r="G36" s="50">
        <f>SUM(B$19:B36) / SUM(C$19:C36)</f>
        <v>177.35531234465617</v>
      </c>
      <c r="H36" s="50"/>
      <c r="I36" s="863"/>
      <c r="J36" t="s">
        <v>564</v>
      </c>
      <c r="K36">
        <f>VLOOKUP(J36, $J$2:$L$13, 2, FALSE) * 1.1</f>
        <v>885.50000000000011</v>
      </c>
      <c r="L36">
        <f t="shared" si="2"/>
        <v>3.3</v>
      </c>
      <c r="N36">
        <v>0</v>
      </c>
      <c r="O36">
        <f>O35+M36</f>
        <v>2060</v>
      </c>
      <c r="P36">
        <f>SUM(K$19:K36) / SUM(L$19:L36)</f>
        <v>189.03269565217394</v>
      </c>
    </row>
    <row r="37" spans="1:18" x14ac:dyDescent="0.25">
      <c r="A37" s="862" t="s">
        <v>566</v>
      </c>
      <c r="B37" s="50">
        <f t="shared" si="5"/>
        <v>850</v>
      </c>
      <c r="C37" s="50">
        <f t="shared" si="0"/>
        <v>1.6</v>
      </c>
      <c r="D37" s="50">
        <v>700</v>
      </c>
      <c r="E37" s="50">
        <f>E36+D37</f>
        <v>3040</v>
      </c>
      <c r="F37" s="50">
        <v>700</v>
      </c>
      <c r="G37" s="50">
        <f>SUM(B$19:B37) / SUM(C$19:C37)</f>
        <v>186.49544955609363</v>
      </c>
      <c r="H37" s="50" t="s">
        <v>576</v>
      </c>
      <c r="I37" s="863"/>
      <c r="J37" t="s">
        <v>562</v>
      </c>
      <c r="K37">
        <f>VLOOKUP(J37, $J$2:$L$13, 2, FALSE)</f>
        <v>548.9</v>
      </c>
      <c r="L37">
        <f t="shared" si="2"/>
        <v>4.1500000000000004</v>
      </c>
      <c r="M37">
        <f>VLOOKUP(J37, $J$2:$L$13, 3, FALSE)</f>
        <v>1560</v>
      </c>
      <c r="N37">
        <f>N36+M37</f>
        <v>1560</v>
      </c>
      <c r="O37">
        <f>O36+M37</f>
        <v>3620</v>
      </c>
      <c r="P37">
        <f>SUM(K$19:K37) / SUM(L$19:L37)</f>
        <v>185.21135442011359</v>
      </c>
    </row>
    <row r="38" spans="1:18" x14ac:dyDescent="0.25">
      <c r="A38" s="864" t="s">
        <v>574</v>
      </c>
      <c r="B38" s="865">
        <f t="shared" si="5"/>
        <v>356.78499999999997</v>
      </c>
      <c r="C38" s="865">
        <f t="shared" si="0"/>
        <v>4.1500000000000004</v>
      </c>
      <c r="D38" s="865">
        <f>VLOOKUP(A38, $A$2:$C$13, 3, FALSE)</f>
        <v>2340</v>
      </c>
      <c r="E38" s="865">
        <f>E37+D38</f>
        <v>5380</v>
      </c>
      <c r="F38" s="865">
        <f>F37+D38</f>
        <v>3040</v>
      </c>
      <c r="G38" s="865">
        <f>SUM(B$19:B38) / SUM(C$19:C38)</f>
        <v>180.18423751891075</v>
      </c>
      <c r="H38" s="865"/>
      <c r="I38" s="866"/>
    </row>
    <row r="39" spans="1:18" x14ac:dyDescent="0.25">
      <c r="A39" s="858" t="s">
        <v>564</v>
      </c>
      <c r="B39">
        <f t="shared" si="5"/>
        <v>819</v>
      </c>
      <c r="C39">
        <f t="shared" si="0"/>
        <v>3.3</v>
      </c>
      <c r="E39">
        <v>0</v>
      </c>
      <c r="F39">
        <f>F38+D39</f>
        <v>3040</v>
      </c>
      <c r="G39">
        <f>SUM(B$19:B39) / SUM(C$19:C39)</f>
        <v>183.41755187319885</v>
      </c>
      <c r="H39" s="858" t="s">
        <v>577</v>
      </c>
      <c r="I39" s="858"/>
      <c r="J39" s="858"/>
      <c r="K39" s="858"/>
      <c r="L39" s="858"/>
      <c r="M39" s="858"/>
      <c r="N39" s="858"/>
      <c r="O39" s="858"/>
      <c r="Q39" s="858"/>
      <c r="R39" s="858"/>
    </row>
  </sheetData>
  <mergeCells count="2">
    <mergeCell ref="A1:I1"/>
    <mergeCell ref="J1:R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213" t="str">
        <f>B1&amp; "日"</f>
        <v>1日</v>
      </c>
      <c r="G1" s="1214"/>
      <c r="H1" s="1214"/>
      <c r="I1" s="1213" t="str">
        <f>C1 &amp; "日"</f>
        <v>7日</v>
      </c>
      <c r="J1" s="1214"/>
      <c r="K1" s="1214"/>
      <c r="L1" s="1213" t="s">
        <v>147</v>
      </c>
      <c r="M1" s="1214"/>
      <c r="N1" s="1214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-308 D 11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-311 D 02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-319 D 21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-325 D 08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-311 D 22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-106 D 07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-204 D 07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-257 D 00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-273 D 07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-292 D 20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-304 D 20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-329 D 11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-308 D 12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-314 D 05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-318 D 13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-325 D 09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-327 D 07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-322 D 01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-296 D 08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-285 D 07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-301 D 13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-300 D 14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-311 D 11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-303 D 04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-307 D 03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-307 D 12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-302 D 22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-304 D 06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-315 D 20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-303 D 12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-304 D 19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-315 D 04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-305 D 17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-304 D 23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-314 D 18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-305 D 20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-305 D 06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-295 D 05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-306 D 02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-305 D 20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-294 D 01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-306 D 21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-303 D 03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-300 D 22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-307 D 05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-305 D 16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-308 D 03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-307 D 12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-306 D 12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-314 D 16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-307 D 19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-306 D 21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-319 D 16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-308 D 07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-307 D 22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-310 D 12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-307 D 05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-305 D 01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-311 D 04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-306 D 02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-305 D 18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-296 D 23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-305 D 21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-307 D 00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-296 D 01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-305 D 03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-304 D 07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-293 D 03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-304 D 03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-304 D 11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-281 D 14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-304 D 01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-304 D 17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-285 D 00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-303 D 15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-304 D 23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-290 D 21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-303 D 20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-305 D 12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-297 D 01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-303 D 23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-306 D 01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-289 D 10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-305 D 08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-304 D 04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-305 D 23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-305 D 08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-305 D 02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-306 D 00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-305 D 11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-305 D 10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-290 D 16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-304 D 20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-304 D 03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-299 D 03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-305 D 08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-305 D 07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-316 D 14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-306 D 13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-307 D 10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-316 D 00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-306 D 18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-306 D 13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-320 D 02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-307 D 13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-307 D 10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-325 D 04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-308 D 05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-308 D 21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-327 D 19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-309 D 14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-309 D 20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-329 D 02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-310 D 13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-310 D 00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-336 D 08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-312 D 01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-310 D 13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-336 D 11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-313 D 02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-311 D 01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-336 D 17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-314 D 01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-311 D 08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-337 D 12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-314 D 21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-311 D 21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-337 D 21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-315 D 21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-312 D 04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-336 D 11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-316 D 10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-312 D 05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-336 D 14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-317 D 09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-312 D 13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-336 D 19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-317 D 21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-312 D 18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-331 D 18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-318 D 00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-312 D 01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-329 D 09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-318 D 07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-312 D 07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-328 D 17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-318 D 14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-312 D 14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-323 D 03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-319 D 12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-313 D 04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-325 D 23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-319 D 22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-313 D 17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-328 D 00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-320 D 14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-314 D 07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-331 D 00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-321 D 11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-314 D 19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-337 D 03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-323 D 02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-315 D 08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-340 D 16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-324 D 18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-316 D 15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-340 D 07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-325 D 20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-317 D 01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-338 D 23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-326 D 08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-317 D 06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-338 D 19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-326 D 20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-317 D 13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-338 D 17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-327 D 20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-317 D 16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-338 D 18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-328 D 05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-317 D 19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-335 D 10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-328 D 10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-317 D 22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-329 D 01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-330 D 10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-318 D 08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-328 D 20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-331 D 03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-318 D 13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-328 D 10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-331 D 07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-318 D 14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-328 D 20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-332 D 01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-318 D 18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-326 D 15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-333 D 12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-318 D 19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-326 D 17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-333 D 11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-319 D 09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-328 D 05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-333 D 08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-319 D 16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-329 D 08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-333 D 18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-320 D 01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-334 D 01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-333 D 19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-320 D 17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-334 D 05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-333 D 18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-320 D 19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-324 D 14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-333 D 05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-319 D 22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-322 D 12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-332 D 23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-320 D 03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-320 D 22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-332 D 22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-320 D 19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-332 D 20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-332 D 20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-321 D 21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-335 D 07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-332 D 20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-322 D 01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-338 D 16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-332 D 17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-322 D 14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-338 D 02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-332 D 18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-322 D 18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-337 D 20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-332 D 20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-322 D 21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-338 D 01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-332 D 22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-323 D 03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-338 D 04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-333 D 01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-323 D 06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-324 D 17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-332 D 02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-322 D 02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-301 D 10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-331 D 08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-322 D 04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-304 D 23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-331 D 03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-322 D 11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-309 D 21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-331 D 01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-322 D 14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-318 D 23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-330 D 19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-322 D 18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-333 D 00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-330 D 16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-323 D 00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-333 D 14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-330 D 16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-323 D 03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-333 D 22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-330 D 16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-323 D 06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-335 D 08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-330 D 18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-323 D 14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-335 D 21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-330 D 23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-323 D 18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-331 D 23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-330 D 15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-323 D 06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-325 D 11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-330 D 13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-323 D 07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-322 D 05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-330 D 10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-323 D 06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-322 D 07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-330 D 08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-323 D 08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-285 D 16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-329 D 01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-321 D 23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-307 D 05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-328 D 21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-322 D 21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-339 D 07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-328 D 21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-324 D 11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-271 D 04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-324 D 03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-322 D 11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-279 D 22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-322 D 06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-322 D 00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-285 D 09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-321 D 13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-322 D 02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-318 D 04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-321 D 02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-322 D 02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-327 D 23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-320 D 12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-322 D 15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-323 D 10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-319 D 11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-322 D 06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-321 D 13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-320 D 04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-322 D 15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-324 D 02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-320 D 20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-322 D 18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-326 D 16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-321 D 06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-322 D 14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-326 D 05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-322 D 09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-322 D 23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-326 D 17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-321 D 19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-322 D 19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-327 D 12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-322 D 11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-323 D 02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-323 D 15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-322 D 18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-322 D 23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-326 D 09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-323 D 07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-323 D 05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-327 D 12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-326 D 07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-323 D 18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-327 D 02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-326 D 08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-323 D 17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-326 D 05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-326 D 05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-323 D 16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-324 D 20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-325 D 22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-323 D 19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-324 D 00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-325 D 07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-323 D 16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-324 D 03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-325 D 06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-323 D 18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-324 D 21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-325 D 04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-323 D 22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-325 D 15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-325 D 05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-323 D 22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-319 D 02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-324 D 16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-323 D 13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-318 D 23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-324 D 05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-323 D 15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-319 D 02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-323 D 23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-323 D 13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-320 D 13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-323 D 22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-323 D 14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-324 D 06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-323 D 22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-323 D 16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-324 D 18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-324 D 00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-323 D 18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-325 D 12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-324 D 01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-323 D 19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-323 D 02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-323 D 18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-323 D 12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-328 D 02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-323 D 18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-323 D 21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-327 D 13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-323 D 21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-323 D 20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-325 D 14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-323 D 18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-323 D 17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-325 D 08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-323 D 20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-323 D 19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-323 D 23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-324 D 03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-324 D 00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-327 D 03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-324 D 10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-324 D 04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-327 D 21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-324 D 13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-324 D 04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-326 D 19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-324 D 12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-324 D 01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-327 D 11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-324 D 14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-324 D 02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-326 D 05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-324 D 16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-324 D 03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-325 D 07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-324 D 20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-324 D 06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-325 D 21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-325 D 03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-324 D 09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-327 D 15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-325 D 07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-324 D 09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-324 D 14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-325 D 06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-324 D 07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-324 D 18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-325 D 08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-324 D 08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-325 D 12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-325 D 16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-324 D 14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-325 D 19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-325 D 19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-324 D 12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-327 D 00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-325 D 21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-324 D 14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-326 D 09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-326 D 02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-324 D 14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-325 D 16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-326 D 03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-324 D 16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-324 D 07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-326 D 04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-324 D 15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-324 D 17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-326 D 04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-324 D 17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-324 D 23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-326 D 07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-324 D 17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-324 D 23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-326 D 06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-324 D 17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-325 D 07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-326 D 07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-324 D 19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-325 D 11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-326 D 07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-324 D 19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-325 D 12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-326 D 06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-324 D 19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-324 D 08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-326 D 02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-324 D 17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-325 D 13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-326 D 05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-324 D 22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-327 D 03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-326 D 08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-325 D 02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-326 D 21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-326 D 06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-325 D 01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-326 D 23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-326 D 07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-325 D 02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-328 D 00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-326 D 09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-325 D 05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-328 D 04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-326 D 09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-325 D 06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-328 D 06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-326 D 13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-325 D 10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-328 D 17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-326 D 16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-325 D 12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-325 D 15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-326 D 08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-325 D 03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-322 D 10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-326 D 08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-325 D 04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-322 D 07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-326 D 09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-325 D 06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-323 D 01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-326 D 09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-325 D 07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-323 D 17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-326 D 09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-325 D 07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-322 D 21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-326 D 03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-325 D 01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-324 D 07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-326 D 03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-325 D 03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-321 D 16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-325 D 22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-325 D 00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-322 D 10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-325 D 22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-325 D 02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-323 D 05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-325 D 21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-325 D 03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-323 D 20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-325 D 22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-325 D 04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-324 D 06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-325 D 22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-325 D 04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-325 D 01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-325 D 23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-325 D 06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-326 D 20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-326 D 00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-325 D 07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-325 D 13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-325 D 16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-325 D 01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-325 D 06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-325 D 17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-325 D 02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-326 D 02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-325 D 23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-325 D 11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-326 D 13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-325 D 21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-325 D 09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-326 D 18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-325 D 23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-325 D 11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-327 D 15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-326 D 01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-325 D 13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-327 D 16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-326 D 03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-325 D 15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-327 D 20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-326 D 05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-325 D 16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-328 D 02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-326 D 08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-325 D 20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-328 D 07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-326 D 11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-325 D 22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-328 D 19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-326 D 16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-326 D 03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-328 D 20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-326 D 18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-326 D 04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-328 D 21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-326 D 20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-326 D 06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-329 D 07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-327 D 03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-326 D 13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-329 D 05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-327 D 05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-326 D 13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-329 D 21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-327 D 23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-327 D 10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-330 D 01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-328 D 04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-327 D 14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-330 D 02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-328 D 08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-327 D 16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-330 D 02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-328 D 12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-327 D 20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-330 D 03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-328 D 17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-328 D 01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-330 D 03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-328 D 19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-328 D 02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-329 D 15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-329 D 01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-328 D 10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216">
        <v>43677.583333333336</v>
      </c>
      <c r="C1" s="1216"/>
      <c r="D1" s="233" t="s">
        <v>124</v>
      </c>
      <c r="E1" s="231" t="s">
        <v>77</v>
      </c>
      <c r="F1" s="231" t="s">
        <v>69</v>
      </c>
      <c r="G1" s="1179" t="s">
        <v>70</v>
      </c>
      <c r="H1" s="1179"/>
      <c r="I1" s="1179"/>
      <c r="J1" s="1179"/>
      <c r="K1" s="25"/>
      <c r="L1" s="230" t="s">
        <v>72</v>
      </c>
      <c r="M1" s="230"/>
      <c r="N1" s="912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216">
        <v>43688.583333333336</v>
      </c>
      <c r="C2" s="1216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215" t="str">
        <f ca="1">IF(NOW() &gt; $B$2,"",(NOW()-$B$1)/($B$2-$B$1))</f>
        <v/>
      </c>
      <c r="H2" s="1215"/>
      <c r="I2" s="1215"/>
      <c r="J2" s="1215"/>
      <c r="K2" s="25" t="s">
        <v>74</v>
      </c>
      <c r="L2" s="123">
        <v>100000</v>
      </c>
      <c r="N2" s="912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912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912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217" t="s">
        <v>71</v>
      </c>
      <c r="C5" s="1217"/>
      <c r="D5" s="1218" t="s">
        <v>128</v>
      </c>
      <c r="E5" s="1218"/>
      <c r="F5" s="1218" t="s">
        <v>73</v>
      </c>
      <c r="G5" s="1218"/>
      <c r="H5" s="1218" t="s">
        <v>76</v>
      </c>
      <c r="I5" s="1218"/>
      <c r="J5" s="1179" t="s">
        <v>126</v>
      </c>
      <c r="K5" s="1179"/>
      <c r="L5" s="1219" t="s">
        <v>127</v>
      </c>
      <c r="M5" s="1219"/>
      <c r="N5" s="1179" t="s">
        <v>125</v>
      </c>
      <c r="O5" s="1179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220" t="s">
        <v>204</v>
      </c>
      <c r="C2" s="1220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221" t="s">
        <v>17</v>
      </c>
      <c r="U3" s="1221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228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60">
        <f>SUM(D迎擊!C:C)</f>
        <v>29</v>
      </c>
      <c r="R4" s="1242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243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229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61">
        <f>SUM(D迎擊!F:F)</f>
        <v>29</v>
      </c>
      <c r="R5" s="1242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243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34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62">
        <f>SUM(D迎擊!I:I)</f>
        <v>18</v>
      </c>
      <c r="R6" s="1241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222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35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63">
        <f>SUM(D迎擊!L:L)</f>
        <v>18</v>
      </c>
      <c r="R7" s="1241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222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230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64">
        <f>SUM(D迎擊!O:O)</f>
        <v>794</v>
      </c>
      <c r="R8" s="1240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223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231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65">
        <f>SUM(D迎擊!R:R)</f>
        <v>794</v>
      </c>
      <c r="R9" s="1240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223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36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66">
        <f>SUM(D迎擊!U:U)</f>
        <v>204</v>
      </c>
      <c r="R10" s="1239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38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37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67">
        <f>SUM(D迎擊!X:X)</f>
        <v>204</v>
      </c>
      <c r="R11" s="1239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38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32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33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53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226">
        <f ca="1">SUM(MAX(L4,L5),MAX(L6,L7),MAX(L8,L9),MAX(L10,L11),MAX(L12,L13))</f>
        <v>0</v>
      </c>
      <c r="M14" s="1226">
        <f ca="1">SUM(MAX(M4,M5),MAX(M6,M7),MAX(M8,M9),MAX(M10,M11),MAX(M12,M13))</f>
        <v>0</v>
      </c>
      <c r="N14" s="1224">
        <f ca="1">MAX(SUM(N4,N6,N8,N10,N12),SUM(N5,N7,N9,N11,N13),N16,N17,N18)</f>
        <v>0</v>
      </c>
      <c r="O14" s="336">
        <f>IF(P$14=0,0,(O4*P4+O6*P6+O8*P8+O10*P10+O12*P12) / P$14)</f>
        <v>10.576076555023924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54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227"/>
      <c r="M15" s="1227"/>
      <c r="N15" s="1225"/>
      <c r="O15" s="371">
        <f>IF(P$15=0,0,(O5*P5+O7*P7+O9*P9+O11*P11+O13*P13) / P$15)</f>
        <v>4.5502392344497604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54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244">
        <f ca="1">IFERROR(ROUND(J16/(O16*INPUT_IO_DROP_RATE),0),NA())</f>
        <v>0</v>
      </c>
      <c r="M16" s="1244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12.598086124401913</v>
      </c>
      <c r="P16" s="1255">
        <f>SUM(D迎擊!AK:AK)</f>
        <v>1045</v>
      </c>
      <c r="AD16" s="49"/>
    </row>
    <row r="17" spans="2:27" x14ac:dyDescent="0.25">
      <c r="B17" s="1254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244">
        <f ca="1">IFERROR(ROUND(J17/O17,0),NA())</f>
        <v>0</v>
      </c>
      <c r="M17" s="1244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1.8889952153110048</v>
      </c>
      <c r="P17" s="1255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54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244">
        <f ca="1">IFERROR(ROUND(J18/O18,0),NA())</f>
        <v>0</v>
      </c>
      <c r="M18" s="1244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3.5578947368421052</v>
      </c>
      <c r="P18" s="1255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56" t="s">
        <v>132</v>
      </c>
      <c r="C20" s="1257"/>
      <c r="D20" s="1257"/>
      <c r="E20" s="1257"/>
      <c r="F20" s="1257"/>
      <c r="G20" s="1257"/>
      <c r="H20" s="1257"/>
      <c r="I20" s="1245">
        <v>1</v>
      </c>
      <c r="J20" s="1249" t="s">
        <v>164</v>
      </c>
      <c r="K20" s="1250"/>
      <c r="L20" s="1245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245"/>
      <c r="N20" s="1245"/>
      <c r="O20" s="1245"/>
      <c r="P20" s="1246"/>
    </row>
    <row r="21" spans="2:27" ht="22.5" customHeight="1" thickBot="1" x14ac:dyDescent="0.3">
      <c r="B21" s="1258"/>
      <c r="C21" s="1259"/>
      <c r="D21" s="1259"/>
      <c r="E21" s="1259"/>
      <c r="F21" s="1259"/>
      <c r="G21" s="1259"/>
      <c r="H21" s="1259"/>
      <c r="I21" s="1247"/>
      <c r="J21" s="1251"/>
      <c r="K21" s="1252"/>
      <c r="L21" s="1247"/>
      <c r="M21" s="1247"/>
      <c r="N21" s="1247"/>
      <c r="O21" s="1247"/>
      <c r="P21" s="1248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60" t="s">
        <v>80</v>
      </c>
      <c r="B1" s="1260"/>
      <c r="C1" s="1265" t="s">
        <v>26</v>
      </c>
      <c r="D1" s="1265" t="s">
        <v>79</v>
      </c>
      <c r="E1" s="1265"/>
      <c r="F1" s="1265" t="s">
        <v>26</v>
      </c>
      <c r="G1" s="1271" t="s">
        <v>80</v>
      </c>
      <c r="H1" s="1271"/>
      <c r="I1" s="1266" t="s">
        <v>26</v>
      </c>
      <c r="J1" s="1266" t="s">
        <v>79</v>
      </c>
      <c r="K1" s="1266"/>
      <c r="L1" s="1266" t="s">
        <v>26</v>
      </c>
      <c r="M1" s="1270" t="s">
        <v>80</v>
      </c>
      <c r="N1" s="1270"/>
      <c r="O1" s="1267" t="s">
        <v>26</v>
      </c>
      <c r="P1" s="1267" t="s">
        <v>79</v>
      </c>
      <c r="Q1" s="1267"/>
      <c r="R1" s="1267" t="s">
        <v>26</v>
      </c>
      <c r="S1" s="1274" t="s">
        <v>80</v>
      </c>
      <c r="T1" s="1274"/>
      <c r="U1" s="1268" t="s">
        <v>26</v>
      </c>
      <c r="V1" s="1268" t="s">
        <v>79</v>
      </c>
      <c r="W1" s="1268"/>
      <c r="X1" s="1268" t="s">
        <v>26</v>
      </c>
      <c r="Y1" s="1273" t="s">
        <v>80</v>
      </c>
      <c r="Z1" s="1273"/>
      <c r="AA1" s="1269" t="s">
        <v>26</v>
      </c>
      <c r="AB1" s="1269" t="s">
        <v>79</v>
      </c>
      <c r="AC1" s="1269"/>
      <c r="AD1" s="1269" t="s">
        <v>26</v>
      </c>
      <c r="AE1" s="1263" t="s">
        <v>88</v>
      </c>
      <c r="AF1" s="1263"/>
      <c r="AG1" s="1264" t="s">
        <v>89</v>
      </c>
      <c r="AH1" s="1264"/>
      <c r="AI1" s="1261" t="s">
        <v>90</v>
      </c>
      <c r="AJ1" s="1261"/>
      <c r="AK1" s="1262" t="s">
        <v>26</v>
      </c>
      <c r="AM1" s="963" t="s">
        <v>129</v>
      </c>
      <c r="AN1" s="1272"/>
      <c r="AO1" s="1272"/>
      <c r="AP1" s="1272"/>
      <c r="AQ1" s="1272"/>
      <c r="AR1" s="1272"/>
      <c r="AS1" s="1272"/>
      <c r="AT1" s="1272"/>
      <c r="AU1" s="964"/>
      <c r="AV1" s="239"/>
      <c r="AW1" s="963" t="s">
        <v>58</v>
      </c>
      <c r="AX1" s="1272"/>
      <c r="AY1" s="1272"/>
      <c r="AZ1" s="1272"/>
      <c r="BA1" s="1272"/>
      <c r="BB1" s="1272"/>
      <c r="BC1" s="1272"/>
      <c r="BD1" s="1272"/>
      <c r="BE1" s="964"/>
    </row>
    <row r="2" spans="1:57" x14ac:dyDescent="0.25">
      <c r="A2" s="260" t="s">
        <v>28</v>
      </c>
      <c r="B2" s="106" t="s">
        <v>87</v>
      </c>
      <c r="C2" s="1265"/>
      <c r="D2" s="104" t="s">
        <v>28</v>
      </c>
      <c r="E2" s="106" t="s">
        <v>87</v>
      </c>
      <c r="F2" s="1265"/>
      <c r="G2" s="256" t="s">
        <v>28</v>
      </c>
      <c r="H2" s="107" t="s">
        <v>87</v>
      </c>
      <c r="I2" s="1266"/>
      <c r="J2" s="258" t="s">
        <v>28</v>
      </c>
      <c r="K2" s="102" t="s">
        <v>87</v>
      </c>
      <c r="L2" s="1266"/>
      <c r="M2" s="254" t="s">
        <v>28</v>
      </c>
      <c r="N2" s="100" t="s">
        <v>87</v>
      </c>
      <c r="O2" s="1267"/>
      <c r="P2" s="254" t="s">
        <v>28</v>
      </c>
      <c r="Q2" s="100" t="s">
        <v>87</v>
      </c>
      <c r="R2" s="1267"/>
      <c r="S2" s="249" t="s">
        <v>28</v>
      </c>
      <c r="T2" s="98" t="s">
        <v>87</v>
      </c>
      <c r="U2" s="1268"/>
      <c r="V2" s="249" t="s">
        <v>28</v>
      </c>
      <c r="W2" s="98" t="s">
        <v>87</v>
      </c>
      <c r="X2" s="1268"/>
      <c r="Y2" s="251" t="s">
        <v>28</v>
      </c>
      <c r="Z2" s="109" t="s">
        <v>87</v>
      </c>
      <c r="AA2" s="1269"/>
      <c r="AB2" s="251" t="s">
        <v>28</v>
      </c>
      <c r="AC2" s="109" t="s">
        <v>87</v>
      </c>
      <c r="AD2" s="1269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62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76" t="s">
        <v>158</v>
      </c>
      <c r="B1" s="1278" t="s">
        <v>161</v>
      </c>
      <c r="C1" s="1278"/>
      <c r="D1" s="1278"/>
      <c r="E1" s="1278"/>
      <c r="F1" s="1278"/>
      <c r="G1" s="1278"/>
      <c r="H1" s="1278"/>
      <c r="I1" s="328"/>
      <c r="J1" s="1278" t="s">
        <v>159</v>
      </c>
      <c r="K1" s="1278"/>
      <c r="L1" s="1278"/>
      <c r="M1" s="1278"/>
      <c r="N1" s="1278"/>
      <c r="O1" s="423" t="s">
        <v>200</v>
      </c>
      <c r="P1" s="328"/>
      <c r="Q1" s="1279" t="s">
        <v>160</v>
      </c>
      <c r="R1" s="1279"/>
      <c r="S1" s="1279"/>
      <c r="T1" s="1279"/>
      <c r="U1" s="1279"/>
      <c r="V1" s="1279"/>
      <c r="W1" s="1279"/>
    </row>
    <row r="2" spans="1:23" ht="25.5" customHeight="1" x14ac:dyDescent="0.25">
      <c r="A2" s="1276"/>
      <c r="B2" s="1284" t="s">
        <v>51</v>
      </c>
      <c r="C2" s="1284"/>
      <c r="D2" s="1285" t="s">
        <v>53</v>
      </c>
      <c r="E2" s="1285"/>
      <c r="F2" s="1283" t="s">
        <v>55</v>
      </c>
      <c r="G2" s="1283"/>
      <c r="H2" s="1283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76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81">
        <f>FLOOR(C7/MAX(DATA_DRAG_ACCU_EXP),1)</f>
        <v>60</v>
      </c>
      <c r="H3" s="1281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76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81">
        <f>MATCH(C10,DATA_DRAG_ACCU_EXP,0)</f>
        <v>97</v>
      </c>
      <c r="H4" s="1281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76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81">
        <f>INDEX(DATA_DRAG_LV_EXP,G4)-(C9-C10)</f>
        <v>23760</v>
      </c>
      <c r="H5" s="1281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76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280" t="str">
        <f>IF(R7&gt;0,R6/R7,"")</f>
        <v/>
      </c>
      <c r="V6" s="1280"/>
      <c r="W6" s="1280"/>
    </row>
    <row r="7" spans="1:23" ht="25.5" customHeight="1" x14ac:dyDescent="0.25">
      <c r="A7" s="1276"/>
      <c r="B7" s="118" t="s">
        <v>85</v>
      </c>
      <c r="C7" s="119">
        <f>C6-C8</f>
        <v>75540600</v>
      </c>
      <c r="D7" s="82" t="s">
        <v>54</v>
      </c>
      <c r="E7" s="83"/>
      <c r="F7" s="1179" t="s">
        <v>66</v>
      </c>
      <c r="G7" s="1179"/>
      <c r="H7" s="1179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76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79" t="s">
        <v>50</v>
      </c>
      <c r="G8" s="1282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76"/>
      <c r="B9" s="90" t="s">
        <v>82</v>
      </c>
      <c r="C9" s="90">
        <f>MOD(C7,DRAG_EXP_100)</f>
        <v>1139400</v>
      </c>
      <c r="F9" s="1179"/>
      <c r="G9" s="1282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76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76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76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75" t="s">
        <v>162</v>
      </c>
      <c r="B13" s="1277" t="s">
        <v>163</v>
      </c>
      <c r="C13" s="1277"/>
      <c r="D13" s="1277"/>
      <c r="E13" s="1277"/>
      <c r="F13" s="1277"/>
      <c r="G13" s="1277"/>
      <c r="H13" s="1277"/>
      <c r="O13" s="422"/>
    </row>
    <row r="14" spans="1:23" s="239" customFormat="1" ht="25.5" customHeight="1" x14ac:dyDescent="0.25">
      <c r="A14" s="1276"/>
      <c r="B14" s="1284" t="s">
        <v>51</v>
      </c>
      <c r="C14" s="1284"/>
      <c r="D14" s="1285" t="s">
        <v>53</v>
      </c>
      <c r="E14" s="1285"/>
      <c r="F14" s="1286" t="s">
        <v>55</v>
      </c>
      <c r="G14" s="1286"/>
      <c r="H14" s="1286"/>
    </row>
    <row r="15" spans="1:23" ht="25.5" customHeight="1" x14ac:dyDescent="0.25">
      <c r="A15" s="1276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87">
        <f>FLOOR(C19/MAX(DATA_WYRM_ACCU_EXP),1)</f>
        <v>133</v>
      </c>
      <c r="H15" s="1287"/>
    </row>
    <row r="16" spans="1:23" ht="25.5" customHeight="1" x14ac:dyDescent="0.25">
      <c r="A16" s="1276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81">
        <f>MATCH(C22,DATA_WYRM_ACCU_EXP,0)</f>
        <v>48</v>
      </c>
      <c r="H16" s="1281"/>
    </row>
    <row r="17" spans="1:8" ht="25.5" customHeight="1" x14ac:dyDescent="0.25">
      <c r="A17" s="1276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81">
        <f>INDEX(DATA_WYRM_LV_EXP,G16)-(C21-C22)</f>
        <v>530</v>
      </c>
      <c r="H17" s="1281"/>
    </row>
    <row r="18" spans="1:8" ht="25.5" customHeight="1" x14ac:dyDescent="0.25">
      <c r="A18" s="1276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76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67" t="s">
        <v>96</v>
      </c>
      <c r="B1" s="1267"/>
      <c r="C1" s="1267"/>
      <c r="D1" s="209"/>
      <c r="E1" s="1289" t="s">
        <v>97</v>
      </c>
      <c r="F1" s="1289"/>
      <c r="G1" s="1289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288">
        <v>67</v>
      </c>
      <c r="C8" s="1288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291" t="s">
        <v>41</v>
      </c>
      <c r="J24" s="1291"/>
      <c r="K24" s="1290">
        <f>K14+K22</f>
        <v>0</v>
      </c>
      <c r="L24" s="1290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912" t="s">
        <v>96</v>
      </c>
      <c r="B1" s="912"/>
      <c r="C1" s="912"/>
      <c r="D1" s="912"/>
      <c r="E1" s="912"/>
      <c r="F1" s="912"/>
      <c r="G1" s="912" t="s">
        <v>97</v>
      </c>
      <c r="H1" s="912"/>
      <c r="I1" s="912"/>
      <c r="J1" s="912"/>
      <c r="K1" s="912"/>
      <c r="L1" s="912"/>
      <c r="N1" s="912" t="s">
        <v>104</v>
      </c>
      <c r="O1" s="912"/>
    </row>
    <row r="2" spans="1:15" x14ac:dyDescent="0.25">
      <c r="A2" s="1292" t="s">
        <v>102</v>
      </c>
      <c r="B2" s="1292"/>
      <c r="C2" s="1294" t="s">
        <v>95</v>
      </c>
      <c r="D2" s="1294"/>
      <c r="E2" s="1293" t="s">
        <v>103</v>
      </c>
      <c r="F2" s="1293"/>
      <c r="G2" s="1296" t="s">
        <v>99</v>
      </c>
      <c r="H2" s="1296"/>
      <c r="I2" s="1293" t="s">
        <v>100</v>
      </c>
      <c r="J2" s="1293"/>
      <c r="K2" s="1295" t="s">
        <v>101</v>
      </c>
      <c r="L2" s="1295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299" t="s">
        <v>155</v>
      </c>
      <c r="D1" s="1298">
        <f>INDEX(DATA_EVTBLD,B1,3)-B3</f>
        <v>2428</v>
      </c>
      <c r="E1" s="1297" t="s">
        <v>24</v>
      </c>
      <c r="F1" s="1300">
        <f>1-(INDEX(DATA_EVTBLD,B1,3)-B3)/DATA_EVTBLD_MAX</f>
        <v>0.68935516888433979</v>
      </c>
      <c r="G1" s="1300"/>
      <c r="H1" s="1300"/>
      <c r="I1" s="1300"/>
      <c r="J1" s="1300"/>
      <c r="K1" s="1300"/>
      <c r="L1" s="1300"/>
    </row>
    <row r="2" spans="1:12" ht="14.65" customHeight="1" x14ac:dyDescent="0.25">
      <c r="A2" s="312" t="s">
        <v>374</v>
      </c>
      <c r="B2" s="318">
        <v>30</v>
      </c>
      <c r="C2" s="1299"/>
      <c r="D2" s="1298"/>
      <c r="E2" s="1297"/>
      <c r="F2" s="1300"/>
      <c r="G2" s="1300"/>
      <c r="H2" s="1300"/>
      <c r="I2" s="1300"/>
      <c r="J2" s="1300"/>
      <c r="K2" s="1300"/>
      <c r="L2" s="1300"/>
    </row>
    <row r="3" spans="1:12" ht="14.65" customHeight="1" x14ac:dyDescent="0.25">
      <c r="A3" s="312" t="s">
        <v>154</v>
      </c>
      <c r="B3" s="318">
        <v>2122</v>
      </c>
      <c r="C3" s="1299"/>
      <c r="D3" s="1298"/>
      <c r="E3" s="1297"/>
      <c r="F3" s="1300"/>
      <c r="G3" s="1300"/>
      <c r="H3" s="1300"/>
      <c r="I3" s="1300"/>
      <c r="J3" s="1300"/>
      <c r="K3" s="1300"/>
      <c r="L3" s="1300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30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141</vt:i4>
      </vt:variant>
    </vt:vector>
  </HeadingPairs>
  <TitlesOfParts>
    <vt:vector size="175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傷害估算</vt:lpstr>
      <vt:lpstr>Sheet1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2020-08-14T20:45:41Z</dcterms:modified>
</cp:coreProperties>
</file>