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346" documentId="1_{5CA1B34A-CC10-4845-8D16-1F5B572F351D}" xr6:coauthVersionLast="45" xr6:coauthVersionMax="45" xr10:uidLastSave="{025AB324-F867-43AB-9CE2-60615EA07510}"/>
  <bookViews>
    <workbookView xWindow="1950" yWindow="1950" windowWidth="21600" windowHeight="11385" firstSheet="11" activeTab="16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虛空" sheetId="52" r:id="rId17"/>
    <sheet name="D虛空" sheetId="53" r:id="rId18"/>
    <sheet name="玩家EXP" sheetId="33" state="hidden" r:id="rId19"/>
    <sheet name="D玩家EXP" sheetId="32" state="hidden" r:id="rId20"/>
    <sheet name="E速度" sheetId="36" state="hidden" r:id="rId21"/>
    <sheet name="Raid" sheetId="16" state="hidden" r:id="rId22"/>
    <sheet name="R速度" sheetId="30" state="hidden" r:id="rId23"/>
    <sheet name="R預估差" sheetId="31" state="hidden" r:id="rId24"/>
    <sheet name="迎擊" sheetId="18" state="hidden" r:id="rId25"/>
    <sheet name="D迎擊" sheetId="7" state="hidden" r:id="rId26"/>
    <sheet name="龍煉-護符" sheetId="19" state="hidden" r:id="rId27"/>
    <sheet name="D龍煉-護符" sheetId="4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8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4" i="47" l="1"/>
  <c r="J94" i="47" s="1"/>
  <c r="H94" i="47"/>
  <c r="G94" i="47"/>
  <c r="K94" i="47" s="1"/>
  <c r="F94" i="47"/>
  <c r="E94" i="47"/>
  <c r="I93" i="47" l="1"/>
  <c r="J93" i="47" s="1"/>
  <c r="H93" i="47"/>
  <c r="G93" i="47"/>
  <c r="K93" i="47" s="1"/>
  <c r="F93" i="47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G91" i="47"/>
  <c r="K91" i="47"/>
  <c r="F91" i="47"/>
  <c r="G92" i="47"/>
  <c r="K92" i="47"/>
  <c r="E91" i="47"/>
  <c r="I91" i="47"/>
  <c r="J91" i="47"/>
  <c r="I90" i="47"/>
  <c r="J90" i="47"/>
  <c r="H90" i="47"/>
  <c r="G90" i="47"/>
  <c r="K90" i="47"/>
  <c r="F90" i="47"/>
  <c r="E90" i="47"/>
  <c r="H89" i="47"/>
  <c r="F89" i="47"/>
  <c r="I89" i="47"/>
  <c r="J89" i="47"/>
  <c r="E89" i="47"/>
  <c r="G6" i="47"/>
  <c r="K6" i="47" a="1"/>
  <c r="K6" i="47" s="1"/>
  <c r="I6" i="47"/>
  <c r="H88" i="47"/>
  <c r="F88" i="47"/>
  <c r="I88" i="47"/>
  <c r="J88" i="47"/>
  <c r="E88" i="47"/>
  <c r="H87" i="47"/>
  <c r="F87" i="47"/>
  <c r="I87" i="47"/>
  <c r="E87" i="47"/>
  <c r="J87" i="47"/>
  <c r="H86" i="47"/>
  <c r="F86" i="47"/>
  <c r="I86" i="47"/>
  <c r="J86" i="47"/>
  <c r="E86" i="47"/>
  <c r="H85" i="47"/>
  <c r="F85" i="47"/>
  <c r="E85" i="47"/>
  <c r="I85" i="47"/>
  <c r="J85" i="47"/>
  <c r="H84" i="47"/>
  <c r="F84" i="47"/>
  <c r="I84" i="47"/>
  <c r="E84" i="47"/>
  <c r="J84" i="47"/>
  <c r="E19" i="50"/>
  <c r="H83" i="47"/>
  <c r="F83" i="47"/>
  <c r="E83" i="47"/>
  <c r="I83" i="47"/>
  <c r="J83" i="47"/>
  <c r="H82" i="47"/>
  <c r="F82" i="47"/>
  <c r="E82" i="47"/>
  <c r="I82" i="47"/>
  <c r="J82" i="47"/>
  <c r="H81" i="47"/>
  <c r="F81" i="47"/>
  <c r="E81" i="47"/>
  <c r="S38" i="44" a="1"/>
  <c r="S38" i="44"/>
  <c r="X38" i="44"/>
  <c r="R38" i="44" a="1"/>
  <c r="R38" i="44"/>
  <c r="S37" i="44" a="1"/>
  <c r="S37" i="44"/>
  <c r="X37" i="44"/>
  <c r="R37" i="44" a="1"/>
  <c r="R37" i="44"/>
  <c r="S36" i="44" a="1"/>
  <c r="S36" i="44"/>
  <c r="X36" i="44"/>
  <c r="R36" i="44" a="1"/>
  <c r="R36" i="44"/>
  <c r="S32" i="44" a="1"/>
  <c r="S32" i="44"/>
  <c r="X32" i="44"/>
  <c r="R32" i="44"/>
  <c r="R32" i="44" a="1"/>
  <c r="S20" i="44" a="1"/>
  <c r="S20" i="44"/>
  <c r="X20" i="44"/>
  <c r="R20" i="44" a="1"/>
  <c r="R20" i="44"/>
  <c r="S14" i="44" a="1"/>
  <c r="S14" i="44"/>
  <c r="X14" i="44"/>
  <c r="R14" i="44" a="1"/>
  <c r="R14" i="44"/>
  <c r="S13" i="44" a="1"/>
  <c r="S13" i="44"/>
  <c r="X13" i="44"/>
  <c r="R13" i="44" a="1"/>
  <c r="R13" i="44"/>
  <c r="S12" i="44"/>
  <c r="X12" i="44"/>
  <c r="S12" i="44" a="1"/>
  <c r="R12" i="44" a="1"/>
  <c r="R12" i="44"/>
  <c r="I81" i="47"/>
  <c r="J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U6" i="44" s="1" a="1"/>
  <c r="U6" i="44" s="1"/>
  <c r="L4" i="44"/>
  <c r="L5" i="44"/>
  <c r="H73" i="47"/>
  <c r="F73" i="47"/>
  <c r="I73" i="47"/>
  <c r="E73" i="47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V13" i="44"/>
  <c r="R8" i="44"/>
  <c r="W8" i="44" a="1"/>
  <c r="W8" i="44"/>
  <c r="V8" i="44" a="1"/>
  <c r="V8" i="44"/>
  <c r="U8" i="44" a="1"/>
  <c r="U8" i="44"/>
  <c r="Q8" i="44"/>
  <c r="P8" i="44"/>
  <c r="R7" i="44"/>
  <c r="W7" i="44" a="1"/>
  <c r="W7" i="44"/>
  <c r="Q7" i="44"/>
  <c r="P7" i="44"/>
  <c r="W32" i="44"/>
  <c r="R6" i="44"/>
  <c r="W6" i="44" a="1"/>
  <c r="W6" i="44"/>
  <c r="Q6" i="44"/>
  <c r="P6" i="44"/>
  <c r="R5" i="44"/>
  <c r="W5" i="44" a="1"/>
  <c r="W5" i="44"/>
  <c r="Q5" i="44"/>
  <c r="P5" i="44"/>
  <c r="R4" i="44"/>
  <c r="W4" i="44" a="1"/>
  <c r="W4" i="44"/>
  <c r="V4" i="44" a="1"/>
  <c r="V4" i="44"/>
  <c r="U4" i="44" a="1"/>
  <c r="U4" i="44"/>
  <c r="Q4" i="44"/>
  <c r="P4" i="44"/>
  <c r="W14" i="44"/>
  <c r="V36" i="44"/>
  <c r="W37" i="44"/>
  <c r="W38" i="44"/>
  <c r="V37" i="44"/>
  <c r="W20" i="44"/>
  <c r="V12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E52" i="47"/>
  <c r="H51" i="47"/>
  <c r="F51" i="47"/>
  <c r="E51" i="47"/>
  <c r="H50" i="47"/>
  <c r="F50" i="47"/>
  <c r="E50" i="47"/>
  <c r="H49" i="47"/>
  <c r="F49" i="47"/>
  <c r="E49" i="47"/>
  <c r="H48" i="47"/>
  <c r="F48" i="47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/>
  <c r="E38" i="47"/>
  <c r="H37" i="47"/>
  <c r="F37" i="47"/>
  <c r="E37" i="47"/>
  <c r="H36" i="47"/>
  <c r="F36" i="47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/>
  <c r="J32" i="47"/>
  <c r="E32" i="47"/>
  <c r="H31" i="47"/>
  <c r="F31" i="47"/>
  <c r="E31" i="47"/>
  <c r="H30" i="47"/>
  <c r="F30" i="47"/>
  <c r="I30" i="47"/>
  <c r="E30" i="47"/>
  <c r="H29" i="47"/>
  <c r="F29" i="47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F21" i="47"/>
  <c r="E21" i="47"/>
  <c r="H20" i="47"/>
  <c r="F20" i="47"/>
  <c r="H19" i="47"/>
  <c r="F19" i="47"/>
  <c r="E20" i="47"/>
  <c r="E19" i="47"/>
  <c r="H18" i="47"/>
  <c r="F18" i="47"/>
  <c r="E18" i="47"/>
  <c r="H13" i="47"/>
  <c r="F13" i="47"/>
  <c r="H17" i="47"/>
  <c r="F17" i="47"/>
  <c r="E17" i="47"/>
  <c r="H16" i="47"/>
  <c r="F16" i="47"/>
  <c r="E16" i="47"/>
  <c r="H15" i="47"/>
  <c r="F15" i="47"/>
  <c r="E15" i="47"/>
  <c r="H14" i="47"/>
  <c r="F14" i="47"/>
  <c r="E14" i="47"/>
  <c r="E13" i="47"/>
  <c r="H12" i="47"/>
  <c r="F12" i="47"/>
  <c r="I12" i="47"/>
  <c r="J12" i="47"/>
  <c r="E12" i="47"/>
  <c r="H11" i="47"/>
  <c r="F11" i="47"/>
  <c r="E11" i="47"/>
  <c r="H10" i="47"/>
  <c r="F10" i="47"/>
  <c r="E10" i="47"/>
  <c r="H9" i="47"/>
  <c r="F9" i="47"/>
  <c r="E9" i="47"/>
  <c r="H8" i="47"/>
  <c r="F8" i="47"/>
  <c r="I8" i="47"/>
  <c r="E8" i="47"/>
  <c r="H7" i="47"/>
  <c r="F7" i="47"/>
  <c r="E7" i="47"/>
  <c r="E6" i="47"/>
  <c r="J6" i="47"/>
  <c r="O9" i="44"/>
  <c r="K9" i="44"/>
  <c r="C6" i="37"/>
  <c r="O8" i="44"/>
  <c r="K8" i="44"/>
  <c r="U36" i="44"/>
  <c r="O7" i="44"/>
  <c r="K7" i="44"/>
  <c r="O6" i="44"/>
  <c r="K6" i="44"/>
  <c r="O5" i="44"/>
  <c r="K5" i="44"/>
  <c r="O4" i="44"/>
  <c r="K4" i="44"/>
  <c r="U12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/>
  <c r="F648" i="33"/>
  <c r="E648" i="33"/>
  <c r="D648" i="33"/>
  <c r="M647" i="33"/>
  <c r="N647" i="33"/>
  <c r="D647" i="33"/>
  <c r="L647" i="33"/>
  <c r="K647" i="33"/>
  <c r="J647" i="33"/>
  <c r="I647" i="33"/>
  <c r="G647" i="33"/>
  <c r="H647" i="33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/>
  <c r="R51" i="20"/>
  <c r="L53" i="20"/>
  <c r="J49" i="20"/>
  <c r="P47" i="20"/>
  <c r="R47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/>
  <c r="J38" i="47"/>
  <c r="J26" i="47"/>
  <c r="J30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G89" i="47"/>
  <c r="I41" i="47"/>
  <c r="J41" i="47"/>
  <c r="I45" i="47"/>
  <c r="J45" i="47"/>
  <c r="I9" i="47"/>
  <c r="I13" i="47"/>
  <c r="I21" i="47"/>
  <c r="I25" i="47"/>
  <c r="I29" i="47"/>
  <c r="I33" i="47"/>
  <c r="I49" i="47"/>
  <c r="I10" i="47"/>
  <c r="J10" i="47"/>
  <c r="I18" i="47"/>
  <c r="J18" i="47"/>
  <c r="I22" i="47"/>
  <c r="J22" i="47"/>
  <c r="I39" i="47"/>
  <c r="J39" i="47"/>
  <c r="I43" i="47"/>
  <c r="J43" i="47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I20" i="47"/>
  <c r="J20" i="47"/>
  <c r="I24" i="47"/>
  <c r="J24" i="47"/>
  <c r="I28" i="47"/>
  <c r="J28" i="47"/>
  <c r="I40" i="47"/>
  <c r="J40" i="47"/>
  <c r="I52" i="47"/>
  <c r="J52" i="47"/>
  <c r="I50" i="47"/>
  <c r="J50" i="47"/>
  <c r="I54" i="47"/>
  <c r="J54" i="47"/>
  <c r="I61" i="47"/>
  <c r="J61" i="47"/>
  <c r="I15" i="47"/>
  <c r="J15" i="47"/>
  <c r="I58" i="47"/>
  <c r="J58" i="47"/>
  <c r="I68" i="47"/>
  <c r="J68" i="47"/>
  <c r="I72" i="47"/>
  <c r="J72" i="47"/>
  <c r="G84" i="47"/>
  <c r="G72" i="47"/>
  <c r="G60" i="47"/>
  <c r="G48" i="47"/>
  <c r="G36" i="47"/>
  <c r="K36" i="47" a="1"/>
  <c r="K36" i="47"/>
  <c r="G24" i="47"/>
  <c r="K24" i="47" a="1"/>
  <c r="K24" i="47" s="1"/>
  <c r="G12" i="47"/>
  <c r="K12" i="47" a="1"/>
  <c r="K12" i="47" s="1"/>
  <c r="G83" i="47"/>
  <c r="G71" i="47"/>
  <c r="G59" i="47"/>
  <c r="G47" i="47"/>
  <c r="G35" i="47"/>
  <c r="K35" i="47" a="1"/>
  <c r="K35" i="47"/>
  <c r="G23" i="47"/>
  <c r="K23" i="47" a="1"/>
  <c r="K23" i="47" s="1"/>
  <c r="G11" i="47"/>
  <c r="K11" i="47" a="1"/>
  <c r="K11" i="47" s="1"/>
  <c r="G82" i="47"/>
  <c r="G70" i="47"/>
  <c r="G58" i="47"/>
  <c r="G46" i="47"/>
  <c r="G34" i="47"/>
  <c r="K34" i="47" a="1"/>
  <c r="K34" i="47" s="1"/>
  <c r="G22" i="47"/>
  <c r="K22" i="47" a="1"/>
  <c r="K22" i="47" s="1"/>
  <c r="G10" i="47"/>
  <c r="K10" i="47" a="1"/>
  <c r="K10" i="47" s="1"/>
  <c r="G81" i="47"/>
  <c r="G69" i="47"/>
  <c r="K69" i="47" a="1"/>
  <c r="K69" i="47" s="1"/>
  <c r="G57" i="47"/>
  <c r="G45" i="47"/>
  <c r="G33" i="47"/>
  <c r="K33" i="47" a="1"/>
  <c r="K33" i="47" s="1"/>
  <c r="G21" i="47"/>
  <c r="K21" i="47" a="1"/>
  <c r="K21" i="47" s="1"/>
  <c r="G9" i="47"/>
  <c r="K9" i="47" a="1"/>
  <c r="K9" i="47" s="1"/>
  <c r="G61" i="47"/>
  <c r="K61" i="47" a="1"/>
  <c r="K61" i="47" s="1"/>
  <c r="G80" i="47"/>
  <c r="K80" i="47" a="1"/>
  <c r="K80" i="47" s="1"/>
  <c r="G68" i="47"/>
  <c r="G56" i="47"/>
  <c r="G44" i="47"/>
  <c r="G32" i="47"/>
  <c r="K32" i="47" a="1"/>
  <c r="K32" i="47"/>
  <c r="G20" i="47"/>
  <c r="K20" i="47" a="1"/>
  <c r="K20" i="47" s="1"/>
  <c r="G8" i="47"/>
  <c r="K8" i="47" a="1"/>
  <c r="K8" i="47" s="1"/>
  <c r="G49" i="47"/>
  <c r="G79" i="47"/>
  <c r="K79" i="47" a="1"/>
  <c r="K79" i="47" s="1"/>
  <c r="G67" i="47"/>
  <c r="G55" i="47"/>
  <c r="G43" i="47"/>
  <c r="K43" i="47" a="1"/>
  <c r="K43" i="47" s="1"/>
  <c r="G31" i="47"/>
  <c r="K31" i="47" a="1"/>
  <c r="K31" i="47" s="1"/>
  <c r="G19" i="47"/>
  <c r="K19" i="47" a="1"/>
  <c r="K19" i="47"/>
  <c r="G7" i="47"/>
  <c r="K7" i="47" a="1"/>
  <c r="K7" i="47" s="1"/>
  <c r="I7" i="47"/>
  <c r="J7" i="47"/>
  <c r="G78" i="47"/>
  <c r="K78" i="47" a="1"/>
  <c r="K78" i="47" s="1"/>
  <c r="G66" i="47"/>
  <c r="G54" i="47"/>
  <c r="G42" i="47"/>
  <c r="K42" i="47" a="1"/>
  <c r="K42" i="47" s="1"/>
  <c r="G30" i="47"/>
  <c r="K30" i="47" a="1"/>
  <c r="K30" i="47" s="1"/>
  <c r="G18" i="47"/>
  <c r="K18" i="47" a="1"/>
  <c r="K18" i="47" s="1"/>
  <c r="G85" i="47"/>
  <c r="G77" i="47"/>
  <c r="G65" i="47"/>
  <c r="G53" i="47"/>
  <c r="K53" i="47" a="1"/>
  <c r="K53" i="47" s="1"/>
  <c r="G41" i="47"/>
  <c r="K41" i="47" a="1"/>
  <c r="K41" i="47" s="1"/>
  <c r="G29" i="47"/>
  <c r="K29" i="47" a="1"/>
  <c r="K29" i="47" s="1"/>
  <c r="G17" i="47"/>
  <c r="K17" i="47" a="1"/>
  <c r="K17" i="47" s="1"/>
  <c r="G25" i="47"/>
  <c r="K25" i="47" a="1"/>
  <c r="K25" i="47" s="1"/>
  <c r="I3" i="47" a="1"/>
  <c r="I3" i="47" s="1"/>
  <c r="G88" i="47"/>
  <c r="K88" i="47"/>
  <c r="G76" i="47"/>
  <c r="K76" i="47" a="1"/>
  <c r="K76" i="47" s="1"/>
  <c r="G64" i="47"/>
  <c r="G52" i="47"/>
  <c r="G40" i="47"/>
  <c r="K40" i="47" a="1"/>
  <c r="K40" i="47" s="1"/>
  <c r="G28" i="47"/>
  <c r="K28" i="47" a="1"/>
  <c r="K28" i="47"/>
  <c r="G16" i="47"/>
  <c r="K16" i="47" a="1"/>
  <c r="K16" i="47" s="1"/>
  <c r="G73" i="47"/>
  <c r="K73" i="47" a="1"/>
  <c r="K73" i="47" s="1"/>
  <c r="H3" i="47" a="1"/>
  <c r="H3" i="47" s="1"/>
  <c r="G87" i="47"/>
  <c r="K87" i="47" a="1"/>
  <c r="K87" i="47" s="1"/>
  <c r="G75" i="47"/>
  <c r="K75" i="47" a="1"/>
  <c r="K75" i="47" s="1"/>
  <c r="G63" i="47"/>
  <c r="K63" i="47" a="1"/>
  <c r="K63" i="47" s="1"/>
  <c r="G51" i="47"/>
  <c r="K51" i="47" a="1"/>
  <c r="K51" i="47" s="1"/>
  <c r="G39" i="47"/>
  <c r="K39" i="47" a="1"/>
  <c r="K39" i="47" s="1"/>
  <c r="G27" i="47"/>
  <c r="K27" i="47" a="1"/>
  <c r="K27" i="47" s="1"/>
  <c r="G15" i="47"/>
  <c r="K15" i="47" a="1"/>
  <c r="K15" i="47" s="1"/>
  <c r="G37" i="47"/>
  <c r="K37" i="47" a="1"/>
  <c r="K37" i="47" s="1"/>
  <c r="G86" i="47"/>
  <c r="G74" i="47"/>
  <c r="G62" i="47"/>
  <c r="K62" i="47" a="1"/>
  <c r="K62" i="47" s="1"/>
  <c r="G50" i="47"/>
  <c r="K50" i="47" a="1"/>
  <c r="K50" i="47" s="1"/>
  <c r="G38" i="47"/>
  <c r="K38" i="47" a="1"/>
  <c r="K38" i="47" s="1"/>
  <c r="G26" i="47"/>
  <c r="K26" i="47" a="1"/>
  <c r="K26" i="47" s="1"/>
  <c r="G14" i="47"/>
  <c r="K14" i="47" a="1"/>
  <c r="K14" i="47" s="1"/>
  <c r="G13" i="47"/>
  <c r="K13" i="47" a="1"/>
  <c r="K13" i="47" s="1"/>
  <c r="I51" i="47"/>
  <c r="J51" i="47"/>
  <c r="E3" i="47" a="1"/>
  <c r="E3" i="47" s="1"/>
  <c r="I16" i="47"/>
  <c r="J16" i="47"/>
  <c r="I19" i="47"/>
  <c r="I55" i="47"/>
  <c r="J55" i="47"/>
  <c r="I59" i="47"/>
  <c r="J59" i="47"/>
  <c r="J62" i="47"/>
  <c r="I69" i="47"/>
  <c r="J69" i="47"/>
  <c r="I79" i="47"/>
  <c r="J79" i="47"/>
  <c r="F3" i="47" a="1"/>
  <c r="F3" i="47" s="1"/>
  <c r="J19" i="47"/>
  <c r="I44" i="47"/>
  <c r="J44" i="47"/>
  <c r="I74" i="47"/>
  <c r="J74" i="47"/>
  <c r="J76" i="47"/>
  <c r="I70" i="47"/>
  <c r="J70" i="47"/>
  <c r="I56" i="47"/>
  <c r="J56" i="47"/>
  <c r="I77" i="47"/>
  <c r="J77" i="47"/>
  <c r="I80" i="47"/>
  <c r="J80" i="47"/>
  <c r="I36" i="47"/>
  <c r="J36" i="47"/>
  <c r="I37" i="47"/>
  <c r="J37" i="47"/>
  <c r="I60" i="47"/>
  <c r="J60" i="47"/>
  <c r="I67" i="47"/>
  <c r="J67" i="47"/>
  <c r="I75" i="47"/>
  <c r="J75" i="47"/>
  <c r="I48" i="47"/>
  <c r="J48" i="47"/>
  <c r="J9" i="47"/>
  <c r="I14" i="47"/>
  <c r="J14" i="47"/>
  <c r="J13" i="47"/>
  <c r="J21" i="47"/>
  <c r="J25" i="47"/>
  <c r="J29" i="47"/>
  <c r="J33" i="47"/>
  <c r="J49" i="47"/>
  <c r="I53" i="47"/>
  <c r="J53" i="47"/>
  <c r="I57" i="47"/>
  <c r="J57" i="47"/>
  <c r="J64" i="47"/>
  <c r="I64" i="47"/>
  <c r="I71" i="47"/>
  <c r="J71" i="47"/>
  <c r="J73" i="47"/>
  <c r="I78" i="47"/>
  <c r="J78" i="47"/>
  <c r="R24" i="44" a="1"/>
  <c r="R24" i="44"/>
  <c r="R26" i="44" a="1"/>
  <c r="R26" i="44"/>
  <c r="S24" i="44" a="1"/>
  <c r="S24" i="44"/>
  <c r="V24" i="44"/>
  <c r="S25" i="44" a="1"/>
  <c r="S25" i="44"/>
  <c r="W26" i="44"/>
  <c r="S30" i="44" a="1"/>
  <c r="S30" i="44"/>
  <c r="X30" i="44"/>
  <c r="R30" i="44" a="1"/>
  <c r="R30" i="44"/>
  <c r="R25" i="44" a="1"/>
  <c r="R25" i="44"/>
  <c r="V7" i="44" a="1"/>
  <c r="V7" i="44"/>
  <c r="U7" i="44" a="1"/>
  <c r="U7" i="44"/>
  <c r="S31" i="44" a="1"/>
  <c r="S31" i="44"/>
  <c r="R31" i="44" a="1"/>
  <c r="R31" i="44"/>
  <c r="W13" i="44"/>
  <c r="S19" i="44" a="1"/>
  <c r="S19" i="44"/>
  <c r="R19" i="44" a="1"/>
  <c r="R19" i="44"/>
  <c r="U18" i="44"/>
  <c r="S18" i="44" a="1"/>
  <c r="S18" i="44"/>
  <c r="R18" i="44" a="1"/>
  <c r="R18" i="44"/>
  <c r="V5" i="44" a="1"/>
  <c r="V5" i="44"/>
  <c r="S26" i="44" a="1"/>
  <c r="S26" i="44"/>
  <c r="X26" i="44"/>
  <c r="V6" i="44" a="1"/>
  <c r="V6" i="44"/>
  <c r="J8" i="47"/>
  <c r="V31" i="44"/>
  <c r="U5" i="44" a="1"/>
  <c r="U5" i="44"/>
  <c r="K86" i="47" a="1"/>
  <c r="K86" i="47" s="1"/>
  <c r="K64" i="47" a="1"/>
  <c r="K64" i="47" s="1"/>
  <c r="K67" i="47" a="1"/>
  <c r="K67" i="47" s="1"/>
  <c r="K56" i="47" a="1"/>
  <c r="K56" i="47" s="1"/>
  <c r="K89" i="47"/>
  <c r="K74" i="47" a="1"/>
  <c r="K74" i="47" s="1"/>
  <c r="K68" i="47" a="1"/>
  <c r="K68" i="47"/>
  <c r="K77" i="47" a="1"/>
  <c r="K77" i="47" s="1"/>
  <c r="K49" i="47" a="1"/>
  <c r="K49" i="47" s="1"/>
  <c r="K45" i="47" a="1"/>
  <c r="K45" i="47" s="1"/>
  <c r="K84" i="47" a="1"/>
  <c r="K84" i="47" s="1"/>
  <c r="K72" i="47" a="1"/>
  <c r="K72" i="47" s="1"/>
  <c r="K54" i="47" a="1"/>
  <c r="K54" i="47" s="1"/>
  <c r="K57" i="47" a="1"/>
  <c r="K57" i="47" s="1"/>
  <c r="K66" i="47" a="1"/>
  <c r="K66" i="47" s="1"/>
  <c r="K47" i="47" a="1"/>
  <c r="K47" i="47" s="1"/>
  <c r="K81" i="47" a="1"/>
  <c r="K81" i="47" s="1"/>
  <c r="K59" i="47" a="1"/>
  <c r="K59" i="47" s="1"/>
  <c r="K44" i="47" a="1"/>
  <c r="K44" i="47" s="1"/>
  <c r="K71" i="47" a="1"/>
  <c r="K71" i="47" s="1"/>
  <c r="K83" i="47" a="1"/>
  <c r="K83" i="47" s="1"/>
  <c r="K65" i="47" a="1"/>
  <c r="K65" i="47" s="1"/>
  <c r="K46" i="47" a="1"/>
  <c r="K46" i="47"/>
  <c r="K58" i="47" a="1"/>
  <c r="K58" i="47" s="1"/>
  <c r="K52" i="47" a="1"/>
  <c r="K52" i="47" s="1"/>
  <c r="K85" i="47" a="1"/>
  <c r="K85" i="47" s="1"/>
  <c r="K55" i="47" a="1"/>
  <c r="K55" i="47" s="1"/>
  <c r="K70" i="47" a="1"/>
  <c r="K70" i="47" s="1"/>
  <c r="K48" i="47" a="1"/>
  <c r="K48" i="47" s="1"/>
  <c r="K82" i="47" a="1"/>
  <c r="K82" i="47" s="1"/>
  <c r="K60" i="47" a="1"/>
  <c r="K60" i="47" s="1"/>
  <c r="X25" i="44"/>
  <c r="W25" i="44"/>
  <c r="U24" i="44"/>
  <c r="X24" i="44"/>
  <c r="V25" i="44"/>
  <c r="V30" i="44"/>
  <c r="X19" i="44"/>
  <c r="V19" i="44"/>
  <c r="W19" i="44"/>
  <c r="X31" i="44"/>
  <c r="W31" i="44"/>
  <c r="U30" i="44"/>
  <c r="X18" i="44"/>
  <c r="V18" i="44"/>
  <c r="E7" i="16"/>
  <c r="F135" i="33"/>
  <c r="F212" i="33"/>
  <c r="I61" i="33"/>
  <c r="F76" i="33"/>
  <c r="AN14" i="7"/>
  <c r="F63" i="33"/>
  <c r="AQ23" i="7"/>
  <c r="F36" i="33"/>
  <c r="AU17" i="7"/>
  <c r="I163" i="33"/>
  <c r="F65" i="33"/>
  <c r="I144" i="33"/>
  <c r="AP17" i="7"/>
  <c r="F93" i="33"/>
  <c r="I15" i="33"/>
  <c r="I33" i="33"/>
  <c r="AN12" i="7"/>
  <c r="I167" i="33"/>
  <c r="I126" i="33"/>
  <c r="G17" i="18"/>
  <c r="AN7" i="7"/>
  <c r="I221" i="33"/>
  <c r="F203" i="33"/>
  <c r="I84" i="33"/>
  <c r="I17" i="33"/>
  <c r="I27" i="33"/>
  <c r="I64" i="33"/>
  <c r="I118" i="33"/>
  <c r="AV34" i="7"/>
  <c r="I216" i="33"/>
  <c r="AR5" i="7"/>
  <c r="I92" i="33"/>
  <c r="I219" i="33"/>
  <c r="F104" i="33"/>
  <c r="F28" i="33"/>
  <c r="G16" i="18"/>
  <c r="E9" i="16"/>
  <c r="I76" i="33"/>
  <c r="F43" i="33"/>
  <c r="F124" i="33"/>
  <c r="AQ36" i="7"/>
  <c r="I86" i="33"/>
  <c r="AQ35" i="7"/>
  <c r="AO34" i="7"/>
  <c r="F45" i="33"/>
  <c r="AU29" i="7"/>
  <c r="F101" i="33"/>
  <c r="F130" i="33"/>
  <c r="AU13" i="7"/>
  <c r="F178" i="33"/>
  <c r="I125" i="33"/>
  <c r="I161" i="33"/>
  <c r="F3" i="33"/>
  <c r="AP5" i="7"/>
  <c r="AV24" i="7"/>
  <c r="I45" i="33"/>
  <c r="F142" i="33"/>
  <c r="I109" i="33"/>
  <c r="AO27" i="7"/>
  <c r="AP13" i="7"/>
  <c r="I72" i="33"/>
  <c r="I139" i="33"/>
  <c r="I148" i="33"/>
  <c r="F67" i="33"/>
  <c r="AP34" i="7"/>
  <c r="F56" i="33"/>
  <c r="AN24" i="7"/>
  <c r="AV6" i="7"/>
  <c r="I180" i="33"/>
  <c r="I174" i="33"/>
  <c r="F20" i="33"/>
  <c r="D8" i="16"/>
  <c r="G6" i="18"/>
  <c r="AP30" i="7"/>
  <c r="I184" i="33"/>
  <c r="F42" i="33"/>
  <c r="I153" i="33"/>
  <c r="I122" i="33"/>
  <c r="F147" i="33"/>
  <c r="AQ19" i="7"/>
  <c r="F107" i="33"/>
  <c r="F143" i="33"/>
  <c r="I193" i="33"/>
  <c r="AO33" i="7"/>
  <c r="F19" i="33"/>
  <c r="AQ3" i="7"/>
  <c r="F215" i="33"/>
  <c r="AQ13" i="7"/>
  <c r="AR25" i="7"/>
  <c r="F125" i="33"/>
  <c r="AR18" i="7"/>
  <c r="F164" i="33"/>
  <c r="I201" i="33"/>
  <c r="AR27" i="7"/>
  <c r="I75" i="33"/>
  <c r="AU4" i="7"/>
  <c r="I154" i="33"/>
  <c r="AN18" i="7"/>
  <c r="I222" i="33"/>
  <c r="F181" i="33"/>
  <c r="F33" i="33"/>
  <c r="H9" i="16"/>
  <c r="AR13" i="7"/>
  <c r="G11" i="18"/>
  <c r="AN8" i="7"/>
  <c r="AV29" i="7"/>
  <c r="AU11" i="7"/>
  <c r="I217" i="33"/>
  <c r="I108" i="33"/>
  <c r="AO30" i="7"/>
  <c r="I171" i="33"/>
  <c r="AR24" i="7"/>
  <c r="AP19" i="7"/>
  <c r="I111" i="33"/>
  <c r="I132" i="33"/>
  <c r="AO29" i="7"/>
  <c r="F68" i="33"/>
  <c r="I7" i="33"/>
  <c r="F220" i="33"/>
  <c r="F176" i="33"/>
  <c r="AO20" i="7"/>
  <c r="F123" i="33"/>
  <c r="AU12" i="7"/>
  <c r="I170" i="33"/>
  <c r="AQ24" i="7"/>
  <c r="F38" i="33"/>
  <c r="AR22" i="7"/>
  <c r="F52" i="33"/>
  <c r="F202" i="33"/>
  <c r="I56" i="33"/>
  <c r="I204" i="33"/>
  <c r="AR9" i="7"/>
  <c r="AP6" i="7"/>
  <c r="I110" i="33"/>
  <c r="AN17" i="7"/>
  <c r="F103" i="33"/>
  <c r="I30" i="33"/>
  <c r="AV10" i="7"/>
  <c r="F213" i="33"/>
  <c r="G18" i="18"/>
  <c r="AN11" i="7"/>
  <c r="AU26" i="7"/>
  <c r="F77" i="33"/>
  <c r="I156" i="33"/>
  <c r="I46" i="33"/>
  <c r="F54" i="33"/>
  <c r="I131" i="33"/>
  <c r="I159" i="33"/>
  <c r="AQ7" i="7"/>
  <c r="I176" i="33"/>
  <c r="I49" i="33"/>
  <c r="AR17" i="7"/>
  <c r="AO35" i="7"/>
  <c r="F17" i="33"/>
  <c r="F171" i="33"/>
  <c r="F83" i="33"/>
  <c r="AP11" i="7"/>
  <c r="F84" i="33"/>
  <c r="I85" i="33"/>
  <c r="F37" i="33"/>
  <c r="AU28" i="7"/>
  <c r="AN29" i="7"/>
  <c r="I26" i="33"/>
  <c r="AU30" i="7"/>
  <c r="I50" i="33"/>
  <c r="F96" i="33"/>
  <c r="AU10" i="7"/>
  <c r="AQ21" i="7"/>
  <c r="AR30" i="7"/>
  <c r="AO7" i="7"/>
  <c r="F189" i="33"/>
  <c r="AO4" i="7"/>
  <c r="I54" i="33"/>
  <c r="I129" i="33"/>
  <c r="I68" i="33"/>
  <c r="I173" i="33"/>
  <c r="AP12" i="7"/>
  <c r="F7" i="33"/>
  <c r="I25" i="33"/>
  <c r="I53" i="33"/>
  <c r="F61" i="33"/>
  <c r="I175" i="33"/>
  <c r="F62" i="33"/>
  <c r="F87" i="33"/>
  <c r="AN20" i="7"/>
  <c r="F150" i="33"/>
  <c r="I94" i="33"/>
  <c r="I100" i="33"/>
  <c r="AQ14" i="7"/>
  <c r="F148" i="33"/>
  <c r="I87" i="33"/>
  <c r="AO24" i="7"/>
  <c r="F179" i="33"/>
  <c r="I203" i="33"/>
  <c r="F149" i="33"/>
  <c r="AP28" i="7"/>
  <c r="AN6" i="7"/>
  <c r="F6" i="33"/>
  <c r="F156" i="33"/>
  <c r="AO26" i="7"/>
  <c r="AU6" i="7"/>
  <c r="F27" i="33"/>
  <c r="F109" i="33"/>
  <c r="AR29" i="7"/>
  <c r="I28" i="33"/>
  <c r="F162" i="33"/>
  <c r="AN3" i="7"/>
  <c r="F190" i="33"/>
  <c r="I189" i="33"/>
  <c r="I42" i="33"/>
  <c r="I73" i="33"/>
  <c r="F129" i="33"/>
  <c r="I186" i="33"/>
  <c r="AU22" i="7"/>
  <c r="AO14" i="7"/>
  <c r="I158" i="33"/>
  <c r="F158" i="33"/>
  <c r="I192" i="33"/>
  <c r="G12" i="18"/>
  <c r="F161" i="33"/>
  <c r="F153" i="33"/>
  <c r="F167" i="33"/>
  <c r="AP16" i="7"/>
  <c r="AQ27" i="7"/>
  <c r="F196" i="33"/>
  <c r="F55" i="33"/>
  <c r="F166" i="33"/>
  <c r="I81" i="33"/>
  <c r="AU7" i="7"/>
  <c r="AR20" i="7"/>
  <c r="AN36" i="7"/>
  <c r="F146" i="33"/>
  <c r="AV11" i="7"/>
  <c r="AV27" i="7"/>
  <c r="I101" i="33"/>
  <c r="AO22" i="7"/>
  <c r="F82" i="33"/>
  <c r="I211" i="33"/>
  <c r="AN10" i="7"/>
  <c r="AP24" i="7"/>
  <c r="AN9" i="7"/>
  <c r="I210" i="33"/>
  <c r="F144" i="33"/>
  <c r="E8" i="16"/>
  <c r="AU21" i="7"/>
  <c r="F59" i="33"/>
  <c r="I89" i="33"/>
  <c r="I128" i="33"/>
  <c r="AO3" i="7"/>
  <c r="AO23" i="7"/>
  <c r="AV9" i="7"/>
  <c r="I9" i="16"/>
  <c r="F222" i="33"/>
  <c r="AO32" i="7"/>
  <c r="AP4" i="7"/>
  <c r="F111" i="33"/>
  <c r="F137" i="33"/>
  <c r="AO8" i="7"/>
  <c r="AQ10" i="7"/>
  <c r="AN22" i="7"/>
  <c r="F186" i="33"/>
  <c r="I152" i="33"/>
  <c r="I32" i="33"/>
  <c r="AV12" i="7"/>
  <c r="AU8" i="7"/>
  <c r="I9" i="33"/>
  <c r="AR34" i="7"/>
  <c r="AP25" i="7"/>
  <c r="I79" i="33"/>
  <c r="I39" i="33"/>
  <c r="F47" i="33"/>
  <c r="F154" i="33"/>
  <c r="I209" i="33"/>
  <c r="F8" i="33"/>
  <c r="I3" i="33"/>
  <c r="F132" i="33"/>
  <c r="I83" i="33"/>
  <c r="F122" i="33"/>
  <c r="I149" i="33"/>
  <c r="I157" i="33"/>
  <c r="G5" i="18"/>
  <c r="I116" i="33"/>
  <c r="I52" i="33"/>
  <c r="I96" i="33"/>
  <c r="I29" i="33"/>
  <c r="AQ6" i="7"/>
  <c r="F34" i="33"/>
  <c r="AO13" i="7"/>
  <c r="I67" i="33"/>
  <c r="I179" i="33"/>
  <c r="AV15" i="7"/>
  <c r="AV23" i="7"/>
  <c r="F30" i="33"/>
  <c r="I20" i="33"/>
  <c r="AR8" i="7"/>
  <c r="AQ28" i="7"/>
  <c r="F9" i="33"/>
  <c r="F174" i="33"/>
  <c r="AR19" i="7"/>
  <c r="F51" i="33"/>
  <c r="AP7" i="7"/>
  <c r="I146" i="33"/>
  <c r="I77" i="33"/>
  <c r="I59" i="33"/>
  <c r="F69" i="33"/>
  <c r="I38" i="33"/>
  <c r="I119" i="33"/>
  <c r="I207" i="33"/>
  <c r="F39" i="33"/>
  <c r="F32" i="33"/>
  <c r="F155" i="33"/>
  <c r="I37" i="33"/>
  <c r="F204" i="33"/>
  <c r="AN30" i="7"/>
  <c r="I172" i="33"/>
  <c r="I166" i="33"/>
  <c r="I10" i="33"/>
  <c r="AN4" i="7"/>
  <c r="F102" i="33"/>
  <c r="F86" i="33"/>
  <c r="I117" i="33"/>
  <c r="F115" i="33"/>
  <c r="AQ20" i="7"/>
  <c r="F138" i="33"/>
  <c r="I114" i="33"/>
  <c r="I215" i="33"/>
  <c r="I55" i="33"/>
  <c r="AP23" i="7"/>
  <c r="I205" i="33"/>
  <c r="AR28" i="7"/>
  <c r="F121" i="33"/>
  <c r="AP31" i="7"/>
  <c r="F184" i="33"/>
  <c r="AV25" i="7"/>
  <c r="I91" i="33"/>
  <c r="I19" i="33"/>
  <c r="AV18" i="7"/>
  <c r="F131" i="33"/>
  <c r="AV36" i="7"/>
  <c r="AR23" i="7"/>
  <c r="F81" i="33"/>
  <c r="AU34" i="7"/>
  <c r="F29" i="33"/>
  <c r="G9" i="18"/>
  <c r="AQ30" i="7"/>
  <c r="F214" i="33"/>
  <c r="F173" i="33"/>
  <c r="I31" i="33"/>
  <c r="F165" i="33"/>
  <c r="I98" i="33"/>
  <c r="F172" i="33"/>
  <c r="AN26" i="7"/>
  <c r="AN13" i="7"/>
  <c r="AP9" i="7"/>
  <c r="I120" i="33"/>
  <c r="AO15" i="7"/>
  <c r="AN5" i="7"/>
  <c r="F210" i="33"/>
  <c r="F97" i="33"/>
  <c r="I21" i="33"/>
  <c r="I95" i="33"/>
  <c r="F31" i="33"/>
  <c r="AQ8" i="7"/>
  <c r="I44" i="33"/>
  <c r="I34" i="33"/>
  <c r="I14" i="33"/>
  <c r="AV16" i="7"/>
  <c r="I127" i="33"/>
  <c r="I143" i="33"/>
  <c r="AQ11" i="7"/>
  <c r="AO9" i="7"/>
  <c r="AR15" i="7"/>
  <c r="AO21" i="7"/>
  <c r="F48" i="33"/>
  <c r="I169" i="33"/>
  <c r="F4" i="33"/>
  <c r="F71" i="33"/>
  <c r="F175" i="33"/>
  <c r="AN25" i="7"/>
  <c r="I82" i="33"/>
  <c r="I185" i="33"/>
  <c r="F120" i="33"/>
  <c r="AQ9" i="7"/>
  <c r="F73" i="33"/>
  <c r="AR14" i="7"/>
  <c r="I190" i="33"/>
  <c r="I202" i="33"/>
  <c r="AU31" i="7"/>
  <c r="G10" i="18"/>
  <c r="I155" i="33"/>
  <c r="I121" i="33"/>
  <c r="F159" i="33"/>
  <c r="F23" i="33"/>
  <c r="F118" i="33"/>
  <c r="AQ5" i="7"/>
  <c r="I35" i="33"/>
  <c r="AP21" i="7"/>
  <c r="F114" i="33"/>
  <c r="F79" i="33"/>
  <c r="AV8" i="7"/>
  <c r="F108" i="33"/>
  <c r="AU19" i="7"/>
  <c r="I65" i="33"/>
  <c r="AU32" i="7"/>
  <c r="I135" i="33"/>
  <c r="I124" i="33"/>
  <c r="F193" i="33"/>
  <c r="I7" i="16"/>
  <c r="F197" i="33"/>
  <c r="F133" i="33"/>
  <c r="I182" i="33"/>
  <c r="AU35" i="7"/>
  <c r="F195" i="33"/>
  <c r="H7" i="16"/>
  <c r="I90" i="33"/>
  <c r="F217" i="33"/>
  <c r="AR16" i="7"/>
  <c r="AP20" i="7"/>
  <c r="AR35" i="7"/>
  <c r="F126" i="33"/>
  <c r="I113" i="33"/>
  <c r="F221" i="33"/>
  <c r="F90" i="33"/>
  <c r="AR36" i="7"/>
  <c r="AO17" i="7"/>
  <c r="AP22" i="7"/>
  <c r="F134" i="33"/>
  <c r="I106" i="33"/>
  <c r="AR4" i="7"/>
  <c r="F201" i="33"/>
  <c r="AQ22" i="7"/>
  <c r="AN27" i="7"/>
  <c r="F219" i="33"/>
  <c r="F187" i="33"/>
  <c r="I196" i="33"/>
  <c r="AN33" i="7"/>
  <c r="I47" i="33"/>
  <c r="I145" i="33"/>
  <c r="AR31" i="7"/>
  <c r="AO19" i="7"/>
  <c r="AR33" i="7"/>
  <c r="I140" i="33"/>
  <c r="AQ31" i="7"/>
  <c r="F94" i="33"/>
  <c r="I8" i="33"/>
  <c r="I88" i="33"/>
  <c r="I12" i="33"/>
  <c r="AU33" i="7"/>
  <c r="F14" i="33"/>
  <c r="F160" i="33"/>
  <c r="AQ17" i="7"/>
  <c r="F218" i="33"/>
  <c r="I195" i="33"/>
  <c r="I177" i="33"/>
  <c r="I80" i="33"/>
  <c r="AO12" i="7"/>
  <c r="F11" i="33"/>
  <c r="F57" i="33"/>
  <c r="I104" i="33"/>
  <c r="I18" i="33"/>
  <c r="AV22" i="7"/>
  <c r="I141" i="33"/>
  <c r="AV31" i="7"/>
  <c r="AV21" i="7"/>
  <c r="AU16" i="7"/>
  <c r="I137" i="33"/>
  <c r="AU25" i="7"/>
  <c r="AP10" i="7"/>
  <c r="I214" i="33"/>
  <c r="F139" i="33"/>
  <c r="AU24" i="7"/>
  <c r="F95" i="33"/>
  <c r="I162" i="33"/>
  <c r="F99" i="33"/>
  <c r="I168" i="33"/>
  <c r="F15" i="33"/>
  <c r="AU9" i="7"/>
  <c r="AQ4" i="7"/>
  <c r="F200" i="33"/>
  <c r="AQ34" i="7"/>
  <c r="I69" i="33"/>
  <c r="F119" i="33"/>
  <c r="F50" i="33"/>
  <c r="I102" i="33"/>
  <c r="G4" i="18"/>
  <c r="AV13" i="7"/>
  <c r="F168" i="33"/>
  <c r="F169" i="33"/>
  <c r="AO6" i="7"/>
  <c r="AV20" i="7"/>
  <c r="AU23" i="7"/>
  <c r="AR6" i="7"/>
  <c r="I74" i="33"/>
  <c r="H8" i="16"/>
  <c r="I58" i="33"/>
  <c r="I138" i="33"/>
  <c r="AU27" i="7"/>
  <c r="G8" i="18"/>
  <c r="F211" i="33"/>
  <c r="I133" i="33"/>
  <c r="AV7" i="7"/>
  <c r="AU36" i="7"/>
  <c r="I13" i="33"/>
  <c r="I160" i="33"/>
  <c r="AR21" i="7"/>
  <c r="F106" i="33"/>
  <c r="I151" i="33"/>
  <c r="AP27" i="7"/>
  <c r="F18" i="33"/>
  <c r="AU5" i="7"/>
  <c r="AN19" i="7"/>
  <c r="F194" i="33"/>
  <c r="I99" i="33"/>
  <c r="AV33" i="7"/>
  <c r="AR26" i="7"/>
  <c r="AQ33" i="7"/>
  <c r="AO25" i="7"/>
  <c r="F191" i="33"/>
  <c r="AP18" i="7"/>
  <c r="I188" i="33"/>
  <c r="AP35" i="7"/>
  <c r="F89" i="33"/>
  <c r="AR12" i="7"/>
  <c r="F78" i="33"/>
  <c r="I212" i="33"/>
  <c r="F216" i="33"/>
  <c r="AN16" i="7"/>
  <c r="AP15" i="7"/>
  <c r="I41" i="33"/>
  <c r="F49" i="33"/>
  <c r="F207" i="33"/>
  <c r="I51" i="33"/>
  <c r="I150" i="33"/>
  <c r="F12" i="33"/>
  <c r="AV17" i="7"/>
  <c r="F92" i="33"/>
  <c r="I70" i="33"/>
  <c r="F40" i="33"/>
  <c r="F53" i="33"/>
  <c r="AO16" i="7"/>
  <c r="AP8" i="7"/>
  <c r="I60" i="33"/>
  <c r="I134" i="33"/>
  <c r="AN35" i="7"/>
  <c r="F5" i="33"/>
  <c r="AU18" i="7"/>
  <c r="AN21" i="7"/>
  <c r="F209" i="33"/>
  <c r="F117" i="33"/>
  <c r="I62" i="33"/>
  <c r="F80" i="33"/>
  <c r="F206" i="33"/>
  <c r="AU15" i="7"/>
  <c r="I16" i="33"/>
  <c r="I198" i="33"/>
  <c r="I71" i="33"/>
  <c r="I206" i="33"/>
  <c r="F75" i="33"/>
  <c r="G13" i="18"/>
  <c r="I197" i="33"/>
  <c r="AV30" i="7"/>
  <c r="AN34" i="7"/>
  <c r="F22" i="33"/>
  <c r="I22" i="33"/>
  <c r="F152" i="33"/>
  <c r="AO36" i="7"/>
  <c r="F105" i="33"/>
  <c r="I147" i="33"/>
  <c r="AO5" i="7"/>
  <c r="I220" i="33"/>
  <c r="I213" i="33"/>
  <c r="I57" i="33"/>
  <c r="AP32" i="7"/>
  <c r="AP26" i="7"/>
  <c r="F199" i="33"/>
  <c r="I66" i="33"/>
  <c r="AN15" i="7"/>
  <c r="AQ29" i="7"/>
  <c r="I6" i="33"/>
  <c r="AV26" i="7"/>
  <c r="AO10" i="7"/>
  <c r="I178" i="33"/>
  <c r="AP33" i="7"/>
  <c r="F26" i="33"/>
  <c r="I194" i="33"/>
  <c r="I11" i="33"/>
  <c r="AQ15" i="7"/>
  <c r="I181" i="33"/>
  <c r="AQ32" i="7"/>
  <c r="F44" i="33"/>
  <c r="F141" i="33"/>
  <c r="F170" i="33"/>
  <c r="I130" i="33"/>
  <c r="I183" i="33"/>
  <c r="I164" i="33"/>
  <c r="AR32" i="7"/>
  <c r="F157" i="33"/>
  <c r="I200" i="33"/>
  <c r="F72" i="33"/>
  <c r="F10" i="33"/>
  <c r="F64" i="33"/>
  <c r="F21" i="33"/>
  <c r="F110" i="33"/>
  <c r="I208" i="33"/>
  <c r="F85" i="33"/>
  <c r="AV32" i="7"/>
  <c r="AN28" i="7"/>
  <c r="AV35" i="7"/>
  <c r="AU3" i="7"/>
  <c r="F41" i="33"/>
  <c r="AN31" i="7"/>
  <c r="F198" i="33"/>
  <c r="G7" i="18"/>
  <c r="I218" i="33"/>
  <c r="AO28" i="7"/>
  <c r="F25" i="33"/>
  <c r="AO18" i="7"/>
  <c r="F88" i="33"/>
  <c r="I142" i="33"/>
  <c r="I43" i="33"/>
  <c r="F180" i="33"/>
  <c r="I123" i="33"/>
  <c r="AV3" i="7"/>
  <c r="F188" i="33"/>
  <c r="F13" i="33"/>
  <c r="I191" i="33"/>
  <c r="F127" i="33"/>
  <c r="AP29" i="7"/>
  <c r="I4" i="33"/>
  <c r="AQ12" i="7"/>
  <c r="AP36" i="7"/>
  <c r="F98" i="33"/>
  <c r="F60" i="33"/>
  <c r="F163" i="33"/>
  <c r="AR7" i="7"/>
  <c r="F24" i="33"/>
  <c r="AU20" i="7"/>
  <c r="I40" i="33"/>
  <c r="I24" i="33"/>
  <c r="F35" i="33"/>
  <c r="I115" i="33"/>
  <c r="I93" i="33"/>
  <c r="D7" i="16"/>
  <c r="F70" i="33"/>
  <c r="I8" i="16"/>
  <c r="F16" i="33"/>
  <c r="D9" i="16"/>
  <c r="F192" i="33"/>
  <c r="F112" i="33"/>
  <c r="AQ16" i="7"/>
  <c r="AR10" i="7"/>
  <c r="F145" i="33"/>
  <c r="I105" i="33"/>
  <c r="AQ25" i="7"/>
  <c r="F128" i="33"/>
  <c r="AP3" i="7"/>
  <c r="F140" i="33"/>
  <c r="I165" i="33"/>
  <c r="F66" i="33"/>
  <c r="I48" i="33"/>
  <c r="I97" i="33"/>
  <c r="I107" i="33"/>
  <c r="I5" i="33"/>
  <c r="AV5" i="7"/>
  <c r="I23" i="33"/>
  <c r="F177" i="33"/>
  <c r="F151" i="33"/>
  <c r="AV28" i="7"/>
  <c r="I36" i="33"/>
  <c r="AQ18" i="7"/>
  <c r="F58" i="33"/>
  <c r="F208" i="33"/>
  <c r="AN23" i="7"/>
  <c r="AV14" i="7"/>
  <c r="AU14" i="7"/>
  <c r="F183" i="33"/>
  <c r="I112" i="33"/>
  <c r="I78" i="33"/>
  <c r="AQ26" i="7"/>
  <c r="AV19" i="7"/>
  <c r="F74" i="33"/>
  <c r="I136" i="33"/>
  <c r="AR11" i="7"/>
  <c r="AR3" i="7"/>
  <c r="F185" i="33"/>
  <c r="F136" i="33"/>
  <c r="F113" i="33"/>
  <c r="AO31" i="7"/>
  <c r="F100" i="33"/>
  <c r="AN32" i="7"/>
  <c r="F91" i="33"/>
  <c r="I103" i="33"/>
  <c r="F205" i="33"/>
  <c r="F182" i="33"/>
  <c r="I199" i="33"/>
  <c r="F46" i="33"/>
  <c r="AV4" i="7"/>
  <c r="I187" i="33"/>
  <c r="AP14" i="7"/>
  <c r="AO11" i="7"/>
  <c r="F116" i="33"/>
  <c r="I63" i="33"/>
  <c r="V4" i="18" l="1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J3" i="47"/>
  <c r="E11" i="18"/>
  <c r="J11" i="18" s="1"/>
  <c r="L11" i="18" s="1"/>
  <c r="E5" i="18"/>
  <c r="J5" i="18" s="1"/>
  <c r="L5" i="18" s="1"/>
  <c r="E7" i="18"/>
  <c r="J10" i="18"/>
  <c r="M10" i="18" s="1"/>
  <c r="N10" i="18" s="1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K18" i="18" l="1"/>
  <c r="K13" i="18"/>
  <c r="K12" i="18"/>
  <c r="K16" i="18"/>
  <c r="F17" i="18"/>
  <c r="K17" i="18" s="1"/>
  <c r="F5" i="18"/>
  <c r="F11" i="18"/>
  <c r="F9" i="18"/>
  <c r="H11" i="18"/>
  <c r="E14" i="18"/>
  <c r="F10" i="18"/>
  <c r="K10" i="18" s="1"/>
  <c r="H9" i="18"/>
  <c r="L9" i="18"/>
  <c r="E15" i="18"/>
  <c r="H6" i="18"/>
  <c r="J6" i="18"/>
  <c r="M5" i="18"/>
  <c r="N5" i="18" s="1"/>
  <c r="H8" i="18"/>
  <c r="J8" i="18"/>
  <c r="H4" i="18"/>
  <c r="J4" i="18"/>
  <c r="L10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K5" i="18" l="1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<sst xmlns="http://schemas.openxmlformats.org/spreadsheetml/2006/main" count="1311" uniqueCount="504">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</sst>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49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3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</c:numCache>
            </c:numRef>
          </c:xVal>
          <c:yVal>
            <c:numRef>
              <c:f>鑽量!$K$6:$K$10002</c:f>
              <c:numCache>
                <c:formatCode>[Color50]\+0;[Red]\-0;0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鑽量!$A$6:$A$10002</c15:sqref>
                        </c15:formulaRef>
                      </c:ext>
                    </c:extLst>
                    <c:numCache>
                      <c:formatCode>yyyy\-mm\-dd\ hh:mm</c:formatCode>
                      <c:ptCount val="9997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鑽量!$E$6:$E$10002</c15:sqref>
                        </c15:formulaRef>
                      </c:ext>
                    </c:extLst>
                    <c:numCache>
                      <c:formatCode>General</c:formatCode>
                      <c:ptCount val="9997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2" t="s">
        <v>170</v>
      </c>
      <c r="B10" s="416" t="s">
        <v>171</v>
      </c>
    </row>
    <row r="11" spans="1:3" s="403" customFormat="1" ht="35.25" customHeight="1" x14ac:dyDescent="0.25">
      <c r="A11" s="843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4" t="s">
        <v>167</v>
      </c>
      <c r="B17" s="839" t="s">
        <v>167</v>
      </c>
      <c r="C17" s="419" t="s">
        <v>175</v>
      </c>
    </row>
    <row r="18" spans="1:3" s="402" customFormat="1" ht="22.5" customHeight="1" x14ac:dyDescent="0.25">
      <c r="A18" s="845"/>
      <c r="B18" s="840"/>
      <c r="C18" s="419" t="s">
        <v>205</v>
      </c>
    </row>
    <row r="19" spans="1:3" s="402" customFormat="1" ht="22.5" customHeight="1" x14ac:dyDescent="0.25">
      <c r="A19" s="845"/>
      <c r="B19" s="840"/>
      <c r="C19" s="424" t="s">
        <v>202</v>
      </c>
    </row>
    <row r="20" spans="1:3" s="402" customFormat="1" ht="22.5" customHeight="1" x14ac:dyDescent="0.25">
      <c r="A20" s="845"/>
      <c r="B20" s="840"/>
      <c r="C20" s="424" t="s">
        <v>201</v>
      </c>
    </row>
    <row r="21" spans="1:3" s="415" customFormat="1" ht="22.5" customHeight="1" thickBot="1" x14ac:dyDescent="0.3">
      <c r="A21" s="846"/>
      <c r="B21" s="841"/>
      <c r="C21" s="420" t="s">
        <v>206</v>
      </c>
    </row>
    <row r="22" spans="1:3" s="412" customFormat="1" ht="22.5" customHeight="1" x14ac:dyDescent="0.25">
      <c r="A22" s="844" t="s">
        <v>180</v>
      </c>
      <c r="B22" s="839" t="s">
        <v>181</v>
      </c>
      <c r="C22" s="418" t="s">
        <v>182</v>
      </c>
    </row>
    <row r="23" spans="1:3" s="402" customFormat="1" ht="22.5" customHeight="1" x14ac:dyDescent="0.25">
      <c r="A23" s="845"/>
      <c r="B23" s="840"/>
      <c r="C23" s="419" t="s">
        <v>183</v>
      </c>
    </row>
    <row r="24" spans="1:3" s="402" customFormat="1" ht="22.5" customHeight="1" x14ac:dyDescent="0.25">
      <c r="A24" s="845"/>
      <c r="B24" s="840"/>
      <c r="C24" s="402" t="s">
        <v>186</v>
      </c>
    </row>
    <row r="25" spans="1:3" s="402" customFormat="1" ht="22.5" customHeight="1" x14ac:dyDescent="0.25">
      <c r="A25" s="845"/>
      <c r="B25" s="840"/>
      <c r="C25" s="419" t="s">
        <v>184</v>
      </c>
    </row>
    <row r="26" spans="1:3" s="415" customFormat="1" ht="22.5" customHeight="1" thickBot="1" x14ac:dyDescent="0.3">
      <c r="A26" s="846"/>
      <c r="B26" s="841"/>
      <c r="C26" s="415" t="s">
        <v>185</v>
      </c>
    </row>
    <row r="27" spans="1:3" s="412" customFormat="1" ht="22.5" customHeight="1" x14ac:dyDescent="0.25">
      <c r="A27" s="844" t="s">
        <v>188</v>
      </c>
      <c r="B27" s="839" t="s">
        <v>188</v>
      </c>
      <c r="C27" s="418" t="s">
        <v>189</v>
      </c>
    </row>
    <row r="28" spans="1:3" s="402" customFormat="1" ht="22.5" customHeight="1" x14ac:dyDescent="0.25">
      <c r="A28" s="845"/>
      <c r="B28" s="840"/>
      <c r="C28" s="424" t="s">
        <v>241</v>
      </c>
    </row>
    <row r="29" spans="1:3" s="402" customFormat="1" ht="22.5" customHeight="1" x14ac:dyDescent="0.25">
      <c r="A29" s="845"/>
      <c r="B29" s="840"/>
      <c r="C29" s="424" t="s">
        <v>243</v>
      </c>
    </row>
    <row r="30" spans="1:3" s="402" customFormat="1" ht="22.5" customHeight="1" x14ac:dyDescent="0.25">
      <c r="A30" s="845"/>
      <c r="B30" s="840"/>
      <c r="C30" s="402" t="s">
        <v>242</v>
      </c>
    </row>
    <row r="31" spans="1:3" s="414" customFormat="1" ht="22.5" customHeight="1" thickBot="1" x14ac:dyDescent="0.3">
      <c r="A31" s="846"/>
      <c r="B31" s="413" t="s">
        <v>190</v>
      </c>
      <c r="C31" s="414" t="s">
        <v>314</v>
      </c>
    </row>
    <row r="32" spans="1:3" s="412" customFormat="1" ht="22.5" customHeight="1" x14ac:dyDescent="0.25">
      <c r="A32" s="836" t="s">
        <v>194</v>
      </c>
      <c r="B32" s="833" t="s">
        <v>194</v>
      </c>
      <c r="C32" s="418" t="s">
        <v>195</v>
      </c>
    </row>
    <row r="33" spans="1:3" s="402" customFormat="1" ht="22.5" customHeight="1" x14ac:dyDescent="0.25">
      <c r="A33" s="837"/>
      <c r="B33" s="834"/>
      <c r="C33" s="419" t="s">
        <v>196</v>
      </c>
    </row>
    <row r="34" spans="1:3" s="402" customFormat="1" ht="22.5" customHeight="1" x14ac:dyDescent="0.25">
      <c r="A34" s="837"/>
      <c r="B34" s="834"/>
      <c r="C34" s="419" t="s">
        <v>197</v>
      </c>
    </row>
    <row r="35" spans="1:3" s="415" customFormat="1" ht="22.5" customHeight="1" thickBot="1" x14ac:dyDescent="0.3">
      <c r="A35" s="838"/>
      <c r="B35" s="835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76" t="s">
        <v>414</v>
      </c>
      <c r="B1" s="876"/>
      <c r="C1" s="876"/>
      <c r="D1" s="876"/>
      <c r="E1" s="876"/>
      <c r="F1" s="876"/>
      <c r="G1" s="876"/>
      <c r="H1" s="876"/>
      <c r="I1" s="876"/>
      <c r="J1" s="876"/>
      <c r="K1" s="876"/>
      <c r="L1" s="876"/>
      <c r="M1" s="876"/>
    </row>
    <row r="2" spans="1:21" s="11" customFormat="1" ht="18.75" customHeight="1" x14ac:dyDescent="0.25">
      <c r="A2" s="877" t="s">
        <v>315</v>
      </c>
      <c r="B2" s="877"/>
      <c r="C2" s="877"/>
      <c r="D2" s="877"/>
      <c r="E2" s="877"/>
      <c r="F2" s="877"/>
      <c r="G2" s="877"/>
      <c r="H2" s="877"/>
      <c r="I2" s="877"/>
      <c r="J2" s="877"/>
      <c r="K2" s="877"/>
      <c r="L2" s="877"/>
      <c r="M2" s="877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49" t="s">
        <v>248</v>
      </c>
      <c r="B3" s="852" t="s">
        <v>309</v>
      </c>
      <c r="C3" s="853"/>
      <c r="D3" s="852" t="s">
        <v>295</v>
      </c>
      <c r="E3" s="853"/>
      <c r="F3" s="852" t="s">
        <v>299</v>
      </c>
      <c r="G3" s="853"/>
      <c r="H3" s="852" t="s">
        <v>299</v>
      </c>
      <c r="I3" s="853"/>
      <c r="J3" s="852" t="s">
        <v>336</v>
      </c>
      <c r="K3" s="853"/>
      <c r="L3" s="852"/>
      <c r="M3" s="853"/>
      <c r="N3" s="852"/>
      <c r="O3" s="853"/>
      <c r="P3" s="852"/>
      <c r="Q3" s="853"/>
      <c r="R3" s="852"/>
      <c r="S3" s="853"/>
      <c r="T3" s="852"/>
      <c r="U3" s="853"/>
    </row>
    <row r="4" spans="1:21" s="589" customFormat="1" ht="21" customHeight="1" x14ac:dyDescent="0.25">
      <c r="A4" s="850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51"/>
      <c r="B5" s="847" t="s">
        <v>310</v>
      </c>
      <c r="C5" s="848"/>
      <c r="D5" s="847" t="s">
        <v>298</v>
      </c>
      <c r="E5" s="848"/>
      <c r="F5" s="847" t="s">
        <v>303</v>
      </c>
      <c r="G5" s="854"/>
      <c r="H5" s="854"/>
      <c r="I5" s="848"/>
      <c r="J5" s="847" t="s">
        <v>339</v>
      </c>
      <c r="K5" s="848"/>
      <c r="L5" s="847"/>
      <c r="M5" s="848"/>
      <c r="N5" s="847"/>
      <c r="O5" s="848"/>
      <c r="P5" s="847"/>
      <c r="Q5" s="848"/>
      <c r="R5" s="847"/>
      <c r="S5" s="848"/>
      <c r="T5" s="847"/>
      <c r="U5" s="848"/>
    </row>
    <row r="6" spans="1:21" s="586" customFormat="1" ht="21" customHeight="1" x14ac:dyDescent="0.25">
      <c r="A6" s="873" t="s">
        <v>250</v>
      </c>
      <c r="B6" s="857" t="s">
        <v>244</v>
      </c>
      <c r="C6" s="858"/>
      <c r="D6" s="857" t="s">
        <v>269</v>
      </c>
      <c r="E6" s="858"/>
      <c r="F6" s="857" t="s">
        <v>277</v>
      </c>
      <c r="G6" s="858"/>
      <c r="H6" s="857" t="s">
        <v>384</v>
      </c>
      <c r="I6" s="858"/>
      <c r="J6" s="857"/>
      <c r="K6" s="858"/>
      <c r="L6" s="857"/>
      <c r="M6" s="858"/>
      <c r="N6" s="857"/>
      <c r="O6" s="858"/>
      <c r="P6" s="857"/>
      <c r="Q6" s="858"/>
      <c r="R6" s="857"/>
      <c r="S6" s="858"/>
      <c r="T6" s="857"/>
      <c r="U6" s="858"/>
    </row>
    <row r="7" spans="1:21" s="590" customFormat="1" ht="21" customHeight="1" x14ac:dyDescent="0.25">
      <c r="A7" s="874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4"/>
      <c r="B8" s="855" t="s">
        <v>382</v>
      </c>
      <c r="C8" s="856"/>
      <c r="D8" s="855"/>
      <c r="E8" s="856"/>
      <c r="F8" s="855" t="s">
        <v>301</v>
      </c>
      <c r="G8" s="856"/>
      <c r="H8" s="855"/>
      <c r="I8" s="856"/>
      <c r="J8" s="855"/>
      <c r="K8" s="856"/>
      <c r="L8" s="855"/>
      <c r="M8" s="856"/>
      <c r="N8" s="855"/>
      <c r="O8" s="856"/>
      <c r="P8" s="855"/>
      <c r="Q8" s="856"/>
      <c r="R8" s="855"/>
      <c r="S8" s="856"/>
      <c r="T8" s="855"/>
      <c r="U8" s="856"/>
    </row>
    <row r="9" spans="1:21" s="697" customFormat="1" ht="21" customHeight="1" x14ac:dyDescent="0.25">
      <c r="A9" s="874"/>
      <c r="B9" s="857" t="s">
        <v>408</v>
      </c>
      <c r="C9" s="858"/>
      <c r="D9" s="857" t="s">
        <v>269</v>
      </c>
      <c r="E9" s="858"/>
      <c r="F9" s="857" t="s">
        <v>412</v>
      </c>
      <c r="G9" s="858"/>
      <c r="H9" s="857"/>
      <c r="I9" s="858"/>
      <c r="J9" s="857"/>
      <c r="K9" s="858"/>
      <c r="L9" s="857"/>
      <c r="M9" s="858"/>
      <c r="N9" s="857"/>
      <c r="O9" s="858"/>
      <c r="P9" s="857"/>
      <c r="Q9" s="858"/>
      <c r="R9" s="857"/>
      <c r="S9" s="858"/>
      <c r="T9" s="857"/>
      <c r="U9" s="858"/>
    </row>
    <row r="10" spans="1:21" s="590" customFormat="1" ht="21" customHeight="1" x14ac:dyDescent="0.25">
      <c r="A10" s="874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8" customFormat="1" ht="21" customHeight="1" x14ac:dyDescent="0.25">
      <c r="A11" s="875"/>
      <c r="B11" s="855" t="s">
        <v>411</v>
      </c>
      <c r="C11" s="856"/>
      <c r="D11" s="855" t="s">
        <v>410</v>
      </c>
      <c r="E11" s="856"/>
      <c r="F11" s="855" t="s">
        <v>410</v>
      </c>
      <c r="G11" s="856"/>
      <c r="H11" s="855"/>
      <c r="I11" s="856"/>
      <c r="J11" s="855"/>
      <c r="K11" s="856"/>
      <c r="L11" s="855"/>
      <c r="M11" s="856"/>
      <c r="N11" s="855"/>
      <c r="O11" s="856"/>
      <c r="P11" s="855"/>
      <c r="Q11" s="856"/>
      <c r="R11" s="855"/>
      <c r="S11" s="856"/>
      <c r="T11" s="855"/>
      <c r="U11" s="856"/>
    </row>
    <row r="12" spans="1:21" s="149" customFormat="1" ht="21" customHeight="1" x14ac:dyDescent="0.25">
      <c r="A12" s="861" t="s">
        <v>251</v>
      </c>
      <c r="B12" s="864" t="s">
        <v>276</v>
      </c>
      <c r="C12" s="865"/>
      <c r="D12" s="864" t="s">
        <v>283</v>
      </c>
      <c r="E12" s="865"/>
      <c r="F12" s="864"/>
      <c r="G12" s="865"/>
      <c r="H12" s="864"/>
      <c r="I12" s="865"/>
      <c r="J12" s="864"/>
      <c r="K12" s="865"/>
      <c r="L12" s="864"/>
      <c r="M12" s="865"/>
      <c r="N12" s="864"/>
      <c r="O12" s="865"/>
      <c r="P12" s="864"/>
      <c r="Q12" s="865"/>
      <c r="R12" s="864"/>
      <c r="S12" s="865"/>
      <c r="T12" s="864"/>
      <c r="U12" s="865"/>
    </row>
    <row r="13" spans="1:21" s="589" customFormat="1" ht="21" customHeight="1" x14ac:dyDescent="0.25">
      <c r="A13" s="862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63"/>
      <c r="B14" s="859" t="s">
        <v>280</v>
      </c>
      <c r="C14" s="860"/>
      <c r="D14" s="859" t="s">
        <v>288</v>
      </c>
      <c r="E14" s="860"/>
      <c r="F14" s="859"/>
      <c r="G14" s="860"/>
      <c r="H14" s="859"/>
      <c r="I14" s="860"/>
      <c r="J14" s="859"/>
      <c r="K14" s="860"/>
      <c r="L14" s="859"/>
      <c r="M14" s="860"/>
      <c r="N14" s="859"/>
      <c r="O14" s="860"/>
      <c r="P14" s="859"/>
      <c r="Q14" s="860"/>
      <c r="R14" s="859"/>
      <c r="S14" s="860"/>
      <c r="T14" s="859"/>
      <c r="U14" s="860"/>
    </row>
    <row r="15" spans="1:21" s="157" customFormat="1" ht="21" customHeight="1" x14ac:dyDescent="0.25">
      <c r="A15" s="868" t="s">
        <v>253</v>
      </c>
      <c r="B15" s="871" t="s">
        <v>258</v>
      </c>
      <c r="C15" s="872"/>
      <c r="D15" s="871" t="s">
        <v>258</v>
      </c>
      <c r="E15" s="872"/>
      <c r="F15" s="871"/>
      <c r="G15" s="872"/>
      <c r="H15" s="871"/>
      <c r="I15" s="872"/>
      <c r="J15" s="871"/>
      <c r="K15" s="872"/>
      <c r="L15" s="871"/>
      <c r="M15" s="872"/>
      <c r="N15" s="871"/>
      <c r="O15" s="872"/>
      <c r="P15" s="871"/>
      <c r="Q15" s="872"/>
      <c r="R15" s="871"/>
      <c r="S15" s="872"/>
      <c r="T15" s="871"/>
      <c r="U15" s="872"/>
    </row>
    <row r="16" spans="1:21" s="589" customFormat="1" ht="21" customHeight="1" x14ac:dyDescent="0.25">
      <c r="A16" s="869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0"/>
      <c r="B17" s="866" t="s">
        <v>312</v>
      </c>
      <c r="C17" s="867"/>
      <c r="D17" s="866" t="s">
        <v>271</v>
      </c>
      <c r="E17" s="867"/>
      <c r="F17" s="866"/>
      <c r="G17" s="867"/>
      <c r="H17" s="866"/>
      <c r="I17" s="867"/>
      <c r="J17" s="866"/>
      <c r="K17" s="867"/>
      <c r="L17" s="866"/>
      <c r="M17" s="867"/>
      <c r="N17" s="866"/>
      <c r="O17" s="867"/>
      <c r="P17" s="866"/>
      <c r="Q17" s="867"/>
      <c r="R17" s="866"/>
      <c r="S17" s="867"/>
      <c r="T17" s="866"/>
      <c r="U17" s="867"/>
    </row>
    <row r="18" spans="1:21" s="164" customFormat="1" ht="21" customHeight="1" x14ac:dyDescent="0.25">
      <c r="A18" s="882" t="s">
        <v>255</v>
      </c>
      <c r="B18" s="880" t="s">
        <v>261</v>
      </c>
      <c r="C18" s="881"/>
      <c r="D18" s="880" t="s">
        <v>332</v>
      </c>
      <c r="E18" s="881"/>
      <c r="F18" s="880" t="s">
        <v>263</v>
      </c>
      <c r="G18" s="881"/>
      <c r="H18" s="880" t="s">
        <v>313</v>
      </c>
      <c r="I18" s="881"/>
      <c r="J18" s="880"/>
      <c r="K18" s="881"/>
      <c r="L18" s="880"/>
      <c r="M18" s="881"/>
      <c r="N18" s="880"/>
      <c r="O18" s="881"/>
      <c r="P18" s="880"/>
      <c r="Q18" s="881"/>
      <c r="R18" s="880"/>
      <c r="S18" s="881"/>
      <c r="T18" s="880"/>
      <c r="U18" s="881"/>
    </row>
    <row r="19" spans="1:21" s="589" customFormat="1" ht="21" customHeight="1" x14ac:dyDescent="0.25">
      <c r="A19" s="883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4"/>
      <c r="B20" s="878"/>
      <c r="C20" s="879"/>
      <c r="D20" s="878"/>
      <c r="E20" s="879"/>
      <c r="F20" s="878" t="s">
        <v>264</v>
      </c>
      <c r="G20" s="879"/>
      <c r="H20" s="878"/>
      <c r="I20" s="879"/>
      <c r="J20" s="878"/>
      <c r="K20" s="879"/>
      <c r="L20" s="878"/>
      <c r="M20" s="879"/>
      <c r="N20" s="878"/>
      <c r="O20" s="879"/>
      <c r="P20" s="878"/>
      <c r="Q20" s="879"/>
      <c r="R20" s="878"/>
      <c r="S20" s="879"/>
      <c r="T20" s="878"/>
      <c r="U20" s="879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98" t="s">
        <v>422</v>
      </c>
      <c r="B1" s="898"/>
      <c r="C1" s="898"/>
      <c r="D1" s="898"/>
      <c r="E1" s="898"/>
      <c r="F1" s="898"/>
      <c r="G1" s="898"/>
      <c r="H1" s="898"/>
      <c r="I1" s="898"/>
      <c r="J1" s="898"/>
      <c r="K1" s="898"/>
      <c r="L1" s="898"/>
      <c r="M1" s="898"/>
    </row>
    <row r="2" spans="1:21" s="137" customFormat="1" ht="21" customHeight="1" x14ac:dyDescent="0.25">
      <c r="A2" s="899" t="s">
        <v>249</v>
      </c>
      <c r="B2" s="852" t="s">
        <v>309</v>
      </c>
      <c r="C2" s="853"/>
      <c r="D2" s="852" t="s">
        <v>295</v>
      </c>
      <c r="E2" s="853"/>
      <c r="F2" s="852" t="s">
        <v>299</v>
      </c>
      <c r="G2" s="853"/>
      <c r="H2" s="852" t="s">
        <v>299</v>
      </c>
      <c r="I2" s="853"/>
      <c r="J2" s="852" t="s">
        <v>385</v>
      </c>
      <c r="K2" s="853"/>
      <c r="L2" s="852"/>
      <c r="M2" s="853"/>
      <c r="N2" s="852"/>
      <c r="O2" s="853"/>
      <c r="P2" s="852"/>
      <c r="Q2" s="853"/>
      <c r="R2" s="852"/>
      <c r="S2" s="853"/>
      <c r="T2" s="852"/>
      <c r="U2" s="853"/>
    </row>
    <row r="3" spans="1:21" s="589" customFormat="1" ht="21" customHeight="1" x14ac:dyDescent="0.25">
      <c r="A3" s="900"/>
      <c r="B3" s="703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0"/>
      <c r="B4" s="847" t="s">
        <v>310</v>
      </c>
      <c r="C4" s="848"/>
      <c r="D4" s="847" t="s">
        <v>298</v>
      </c>
      <c r="E4" s="848"/>
      <c r="F4" s="847" t="s">
        <v>303</v>
      </c>
      <c r="G4" s="854"/>
      <c r="H4" s="854"/>
      <c r="I4" s="848"/>
      <c r="J4" s="847" t="s">
        <v>393</v>
      </c>
      <c r="K4" s="848"/>
      <c r="L4" s="847"/>
      <c r="M4" s="848"/>
      <c r="N4" s="847"/>
      <c r="O4" s="848"/>
      <c r="P4" s="847"/>
      <c r="Q4" s="848"/>
      <c r="R4" s="847"/>
      <c r="S4" s="848"/>
      <c r="T4" s="847"/>
      <c r="U4" s="848"/>
    </row>
    <row r="5" spans="1:21" s="697" customFormat="1" ht="21" customHeight="1" x14ac:dyDescent="0.25">
      <c r="A5" s="874"/>
      <c r="B5" s="857" t="s">
        <v>408</v>
      </c>
      <c r="C5" s="858"/>
      <c r="D5" s="857" t="s">
        <v>407</v>
      </c>
      <c r="E5" s="858"/>
      <c r="F5" s="857" t="s">
        <v>269</v>
      </c>
      <c r="G5" s="858"/>
      <c r="H5" s="857"/>
      <c r="I5" s="858"/>
      <c r="J5" s="857"/>
      <c r="K5" s="858"/>
      <c r="L5" s="857"/>
      <c r="M5" s="858"/>
      <c r="N5" s="857"/>
      <c r="O5" s="858"/>
      <c r="P5" s="857"/>
      <c r="Q5" s="858"/>
      <c r="R5" s="857"/>
      <c r="S5" s="858"/>
      <c r="T5" s="857"/>
      <c r="U5" s="858"/>
    </row>
    <row r="6" spans="1:21" s="590" customFormat="1" ht="21" customHeight="1" x14ac:dyDescent="0.25">
      <c r="A6" s="874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8" customFormat="1" ht="21" customHeight="1" x14ac:dyDescent="0.25">
      <c r="A7" s="875"/>
      <c r="B7" s="855" t="s">
        <v>410</v>
      </c>
      <c r="C7" s="856"/>
      <c r="D7" s="855" t="s">
        <v>410</v>
      </c>
      <c r="E7" s="856"/>
      <c r="F7" s="855" t="s">
        <v>410</v>
      </c>
      <c r="G7" s="856"/>
      <c r="H7" s="855"/>
      <c r="I7" s="856"/>
      <c r="J7" s="855"/>
      <c r="K7" s="856"/>
      <c r="L7" s="855"/>
      <c r="M7" s="856"/>
      <c r="N7" s="855"/>
      <c r="O7" s="856"/>
      <c r="P7" s="855"/>
      <c r="Q7" s="856"/>
      <c r="R7" s="855"/>
      <c r="S7" s="856"/>
      <c r="T7" s="855"/>
      <c r="U7" s="856"/>
    </row>
    <row r="8" spans="1:21" s="149" customFormat="1" ht="21" customHeight="1" x14ac:dyDescent="0.25">
      <c r="A8" s="894" t="s">
        <v>252</v>
      </c>
      <c r="B8" s="892" t="s">
        <v>266</v>
      </c>
      <c r="C8" s="865"/>
      <c r="D8" s="864" t="s">
        <v>276</v>
      </c>
      <c r="E8" s="865"/>
      <c r="F8" s="864" t="s">
        <v>273</v>
      </c>
      <c r="G8" s="865"/>
      <c r="H8" s="864" t="s">
        <v>283</v>
      </c>
      <c r="I8" s="865"/>
      <c r="J8" s="864" t="s">
        <v>283</v>
      </c>
      <c r="K8" s="865"/>
      <c r="L8" s="864" t="s">
        <v>318</v>
      </c>
      <c r="M8" s="865"/>
      <c r="N8" s="864"/>
      <c r="O8" s="865"/>
      <c r="P8" s="864"/>
      <c r="Q8" s="865"/>
      <c r="R8" s="864"/>
      <c r="S8" s="865"/>
      <c r="T8" s="864"/>
      <c r="U8" s="865"/>
    </row>
    <row r="9" spans="1:21" s="589" customFormat="1" ht="21" customHeight="1" x14ac:dyDescent="0.25">
      <c r="A9" s="895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895"/>
      <c r="B10" s="893" t="s">
        <v>268</v>
      </c>
      <c r="C10" s="860"/>
      <c r="D10" s="859" t="s">
        <v>280</v>
      </c>
      <c r="E10" s="860"/>
      <c r="F10" s="859" t="s">
        <v>275</v>
      </c>
      <c r="G10" s="860"/>
      <c r="H10" s="859"/>
      <c r="I10" s="860"/>
      <c r="J10" s="859" t="s">
        <v>305</v>
      </c>
      <c r="K10" s="860"/>
      <c r="L10" s="859"/>
      <c r="M10" s="860"/>
      <c r="N10" s="859"/>
      <c r="O10" s="860"/>
      <c r="P10" s="859"/>
      <c r="Q10" s="860"/>
      <c r="R10" s="859"/>
      <c r="S10" s="860"/>
      <c r="T10" s="859"/>
      <c r="U10" s="860"/>
    </row>
    <row r="11" spans="1:21" s="149" customFormat="1" ht="21" customHeight="1" x14ac:dyDescent="0.25">
      <c r="A11" s="895"/>
      <c r="B11" s="892" t="s">
        <v>285</v>
      </c>
      <c r="C11" s="865"/>
      <c r="D11" s="864" t="s">
        <v>289</v>
      </c>
      <c r="E11" s="865"/>
      <c r="F11" s="864" t="s">
        <v>292</v>
      </c>
      <c r="G11" s="865"/>
      <c r="H11" s="864" t="s">
        <v>306</v>
      </c>
      <c r="I11" s="865"/>
      <c r="J11" s="864" t="s">
        <v>306</v>
      </c>
      <c r="K11" s="865"/>
      <c r="L11" s="864" t="s">
        <v>263</v>
      </c>
      <c r="M11" s="865"/>
      <c r="N11" s="864"/>
      <c r="O11" s="865"/>
      <c r="P11" s="864"/>
      <c r="Q11" s="865"/>
      <c r="R11" s="864"/>
      <c r="S11" s="865"/>
      <c r="T11" s="864"/>
      <c r="U11" s="865"/>
    </row>
    <row r="12" spans="1:21" s="589" customFormat="1" ht="21" customHeight="1" x14ac:dyDescent="0.25">
      <c r="A12" s="895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896"/>
      <c r="B13" s="893" t="s">
        <v>286</v>
      </c>
      <c r="C13" s="860"/>
      <c r="D13" s="859" t="s">
        <v>291</v>
      </c>
      <c r="E13" s="860"/>
      <c r="F13" s="859" t="s">
        <v>294</v>
      </c>
      <c r="G13" s="860"/>
      <c r="H13" s="859" t="s">
        <v>307</v>
      </c>
      <c r="I13" s="860"/>
      <c r="J13" s="859"/>
      <c r="K13" s="860"/>
      <c r="L13" s="859" t="s">
        <v>387</v>
      </c>
      <c r="M13" s="860"/>
      <c r="N13" s="859"/>
      <c r="O13" s="860"/>
      <c r="P13" s="859"/>
      <c r="Q13" s="860"/>
      <c r="R13" s="859"/>
      <c r="S13" s="860"/>
      <c r="T13" s="859"/>
      <c r="U13" s="860"/>
    </row>
    <row r="14" spans="1:21" s="157" customFormat="1" ht="21" customHeight="1" x14ac:dyDescent="0.25">
      <c r="A14" s="889" t="s">
        <v>254</v>
      </c>
      <c r="B14" s="897" t="s">
        <v>258</v>
      </c>
      <c r="C14" s="872"/>
      <c r="D14" s="871" t="s">
        <v>246</v>
      </c>
      <c r="E14" s="872"/>
      <c r="F14" s="871" t="s">
        <v>354</v>
      </c>
      <c r="G14" s="872"/>
      <c r="H14" s="871" t="s">
        <v>258</v>
      </c>
      <c r="I14" s="872"/>
      <c r="J14" s="871"/>
      <c r="K14" s="872"/>
      <c r="L14" s="871"/>
      <c r="M14" s="872"/>
      <c r="N14" s="871"/>
      <c r="O14" s="872"/>
      <c r="P14" s="871"/>
      <c r="Q14" s="872"/>
      <c r="R14" s="871"/>
      <c r="S14" s="872"/>
      <c r="T14" s="871"/>
      <c r="U14" s="872"/>
    </row>
    <row r="15" spans="1:21" s="589" customFormat="1" ht="21" customHeight="1" x14ac:dyDescent="0.25">
      <c r="A15" s="890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1"/>
      <c r="B16" s="885" t="s">
        <v>353</v>
      </c>
      <c r="C16" s="867"/>
      <c r="D16" s="885" t="s">
        <v>353</v>
      </c>
      <c r="E16" s="867"/>
      <c r="F16" s="866" t="s">
        <v>352</v>
      </c>
      <c r="G16" s="867"/>
      <c r="H16" s="866" t="s">
        <v>352</v>
      </c>
      <c r="I16" s="867"/>
      <c r="J16" s="866"/>
      <c r="K16" s="867"/>
      <c r="L16" s="866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64" customFormat="1" ht="21" customHeight="1" x14ac:dyDescent="0.25">
      <c r="A17" s="886" t="s">
        <v>256</v>
      </c>
      <c r="B17" s="880" t="s">
        <v>261</v>
      </c>
      <c r="C17" s="881"/>
      <c r="D17" s="880" t="s">
        <v>332</v>
      </c>
      <c r="E17" s="881"/>
      <c r="F17" s="880" t="s">
        <v>263</v>
      </c>
      <c r="G17" s="881"/>
      <c r="H17" s="880" t="s">
        <v>313</v>
      </c>
      <c r="I17" s="881"/>
      <c r="J17" s="880" t="s">
        <v>380</v>
      </c>
      <c r="K17" s="881"/>
      <c r="L17" s="880"/>
      <c r="M17" s="881"/>
      <c r="N17" s="880"/>
      <c r="O17" s="881"/>
      <c r="P17" s="880"/>
      <c r="Q17" s="881"/>
      <c r="R17" s="880"/>
      <c r="S17" s="881"/>
      <c r="T17" s="880"/>
      <c r="U17" s="881"/>
    </row>
    <row r="18" spans="1:21" s="589" customFormat="1" ht="21" customHeight="1" x14ac:dyDescent="0.25">
      <c r="A18" s="887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88"/>
      <c r="B19" s="878"/>
      <c r="C19" s="879"/>
      <c r="D19" s="878"/>
      <c r="E19" s="879"/>
      <c r="F19" s="878" t="s">
        <v>264</v>
      </c>
      <c r="G19" s="879"/>
      <c r="H19" s="878"/>
      <c r="I19" s="879"/>
      <c r="J19" s="878"/>
      <c r="K19" s="879"/>
      <c r="L19" s="878"/>
      <c r="M19" s="879"/>
      <c r="N19" s="878"/>
      <c r="O19" s="879"/>
      <c r="P19" s="878"/>
      <c r="Q19" s="879"/>
      <c r="R19" s="878"/>
      <c r="S19" s="879"/>
      <c r="T19" s="878"/>
      <c r="U19" s="879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33" t="s">
        <v>340</v>
      </c>
      <c r="I1" s="1033"/>
      <c r="J1" s="1033"/>
      <c r="K1" s="1033"/>
      <c r="L1" s="1033"/>
      <c r="M1" s="1033"/>
      <c r="N1" s="1033"/>
      <c r="O1" s="1033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29" t="s">
        <v>236</v>
      </c>
      <c r="B2" s="930"/>
      <c r="C2" s="930"/>
      <c r="D2" s="931"/>
      <c r="F2" s="1012" t="s">
        <v>30</v>
      </c>
      <c r="G2" s="1013"/>
      <c r="H2" s="1020" t="s">
        <v>217</v>
      </c>
      <c r="I2" s="1021"/>
      <c r="J2" s="1021"/>
      <c r="K2" s="1021"/>
      <c r="L2" s="1021"/>
      <c r="M2" s="1021"/>
      <c r="N2" s="1021"/>
      <c r="O2" s="1022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05" t="s">
        <v>193</v>
      </c>
      <c r="B3" s="1006"/>
      <c r="C3" s="1006"/>
      <c r="D3" s="1007"/>
      <c r="F3" s="1014"/>
      <c r="G3" s="1015"/>
      <c r="H3" s="494" t="str">
        <f>"中級 (" &amp; HDRAG_GAMES_HBRUN_MED &amp; "場)"</f>
        <v>中級 (299場)</v>
      </c>
      <c r="I3" s="1027" t="str">
        <f>"高級 (" &amp; HDRAG_GAMES_HBRUN_EXP &amp; "場)"</f>
        <v>高級 (225場)</v>
      </c>
      <c r="J3" s="1028"/>
      <c r="K3" s="1029"/>
      <c r="L3" s="1027" t="str">
        <f>"超級 (" &amp; HDRAG_GAMES_HBRUN_MST &amp; "場)"</f>
        <v>超級 (232場)</v>
      </c>
      <c r="M3" s="1028"/>
      <c r="N3" s="1028"/>
      <c r="O3" s="1032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23">
        <f>HDRAG_AVG_HBRUN_MED_ORB</f>
        <v>2.4381270903010033</v>
      </c>
      <c r="I5" s="973">
        <f>HDRAG_AVG_HBRUN_EXP_ORB</f>
        <v>4.4133333333333331</v>
      </c>
      <c r="J5" s="973">
        <f>HDRAG_AVG_HBRUN_EXP_TAIL</f>
        <v>2</v>
      </c>
      <c r="K5" s="1024">
        <f>HDRAG_AVG_HBRUN_EXP_ORIHAL</f>
        <v>0.31555555555555553</v>
      </c>
      <c r="L5" s="973">
        <f>HDRAG_AVG_HBRUN_MST_ORB</f>
        <v>6.3965517241379306</v>
      </c>
      <c r="M5" s="973">
        <f>HDRAG_AVG_HBRUN_MST_TAIL</f>
        <v>2.0517241379310347</v>
      </c>
      <c r="N5" s="973">
        <f>HDRAG_AVG_HBRUN_MST_HORN</f>
        <v>1.9827586206896552</v>
      </c>
      <c r="O5" s="1008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23"/>
      <c r="I6" s="973"/>
      <c r="J6" s="973"/>
      <c r="K6" s="1024"/>
      <c r="L6" s="973"/>
      <c r="M6" s="974"/>
      <c r="N6" s="974"/>
      <c r="O6" s="1009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16" t="s">
        <v>35</v>
      </c>
      <c r="G7" s="1017"/>
      <c r="H7" s="1063" t="s">
        <v>217</v>
      </c>
      <c r="I7" s="1064"/>
      <c r="J7" s="1064"/>
      <c r="K7" s="1064"/>
      <c r="L7" s="1064"/>
      <c r="M7" s="1064"/>
      <c r="N7" s="1064"/>
      <c r="O7" s="1065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18"/>
      <c r="G8" s="1019"/>
      <c r="H8" s="495" t="str">
        <f>"中級 (" &amp; HDRAG_GAMES_HMERC_MED &amp; "場)"</f>
        <v>中級 (246場)</v>
      </c>
      <c r="I8" s="981" t="str">
        <f>"高級 (" &amp; HDRAG_GAMES_HMERC_EXP &amp; "場)"</f>
        <v>高級 (524場)</v>
      </c>
      <c r="J8" s="982"/>
      <c r="K8" s="991"/>
      <c r="L8" s="981" t="str">
        <f>"超級 (" &amp; HDRAG_GAMES_HMERC_MST &amp; "場)"</f>
        <v>超級 (356場)</v>
      </c>
      <c r="M8" s="982"/>
      <c r="N8" s="982"/>
      <c r="O8" s="983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066">
        <f>HDRAG_AVG_HMERC_MED_ORB</f>
        <v>2.3861788617886179</v>
      </c>
      <c r="I10" s="1010">
        <f>HDRAG_AVG_HMERC_EXP_ORB</f>
        <v>4.4217557251908399</v>
      </c>
      <c r="J10" s="975">
        <f>HDRAG_AVG_HMERC_EXP_TAIL</f>
        <v>2.0152671755725189</v>
      </c>
      <c r="K10" s="1025">
        <f>HDRAG_AVG_HMERC_EXP_ORIHAL</f>
        <v>0.35496183206106868</v>
      </c>
      <c r="L10" s="975">
        <f>HDRAG_AVG_HMERC_MST_ORB</f>
        <v>6.4241573033707864</v>
      </c>
      <c r="M10" s="975">
        <f>HDRAG_AVG_HMERC_MST_TAIL</f>
        <v>1.9213483146067416</v>
      </c>
      <c r="N10" s="975">
        <f>HDRAG_AVG_HMERC_MST_HORN</f>
        <v>2.1151685393258428</v>
      </c>
      <c r="O10" s="1030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29" t="s">
        <v>237</v>
      </c>
      <c r="B11" s="930"/>
      <c r="C11" s="930"/>
      <c r="D11" s="931"/>
      <c r="F11" s="467" t="s">
        <v>210</v>
      </c>
      <c r="G11" s="468">
        <f>IF(HDRAG_HAS_REC_HMERC,HDRAG_HMERC_ITEMS + G9 + G10,0)</f>
        <v>3116</v>
      </c>
      <c r="H11" s="1067"/>
      <c r="I11" s="1011"/>
      <c r="J11" s="976"/>
      <c r="K11" s="1026"/>
      <c r="L11" s="976"/>
      <c r="M11" s="976"/>
      <c r="N11" s="976"/>
      <c r="O11" s="1031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34" t="s">
        <v>31</v>
      </c>
      <c r="G12" s="1035"/>
      <c r="H12" s="1057" t="s">
        <v>217</v>
      </c>
      <c r="I12" s="1058"/>
      <c r="J12" s="1058"/>
      <c r="K12" s="1058"/>
      <c r="L12" s="1058"/>
      <c r="M12" s="1058"/>
      <c r="N12" s="1058"/>
      <c r="O12" s="1059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36"/>
      <c r="G13" s="1037"/>
      <c r="H13" s="496" t="str">
        <f>"中級 (" &amp; HDRAG_GAMES_HMID_MED &amp; "場)"</f>
        <v>中級 (803場)</v>
      </c>
      <c r="I13" s="958" t="str">
        <f>"高級 (" &amp; HDRAG_GAMES_HMID_EXP &amp; "場)"</f>
        <v>高級 (471場)</v>
      </c>
      <c r="J13" s="959"/>
      <c r="K13" s="990"/>
      <c r="L13" s="958" t="str">
        <f>"超級 (" &amp; HDRAG_GAMES_HMID_MST &amp; "場)"</f>
        <v>超級 (131場)</v>
      </c>
      <c r="M13" s="959"/>
      <c r="N13" s="959"/>
      <c r="O13" s="960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651</v>
      </c>
      <c r="C14" s="241">
        <v>843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224</v>
      </c>
      <c r="C15" s="241">
        <v>316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060">
        <f>HDRAG_AVG_HMID_MED_ORB</f>
        <v>2.5504358655043586</v>
      </c>
      <c r="I15" s="979">
        <f>HDRAG_AVG_HMID_EXP_ORB</f>
        <v>4.3949044585987265</v>
      </c>
      <c r="J15" s="979">
        <f>HDRAG_AVG_HMID_EXP_TAIL</f>
        <v>1.9660297239915074</v>
      </c>
      <c r="K15" s="1055">
        <f>HDRAG_AVG_HMID_EXP_ORIHAL</f>
        <v>0.32484076433121017</v>
      </c>
      <c r="L15" s="979">
        <f>HDRAG_AVG_HMID_MST_ORB</f>
        <v>6.5038167938931295</v>
      </c>
      <c r="M15" s="979">
        <f>HDRAG_AVG_HMID_MST_TAIL</f>
        <v>1.9541984732824427</v>
      </c>
      <c r="N15" s="979">
        <f>HDRAG_AVG_HMID_MST_HORN</f>
        <v>2.0839694656488548</v>
      </c>
      <c r="O15" s="1061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452</v>
      </c>
      <c r="C16" s="241">
        <v>399</v>
      </c>
      <c r="D16" s="543">
        <v>8</v>
      </c>
      <c r="F16" s="475" t="s">
        <v>210</v>
      </c>
      <c r="G16" s="474">
        <f>IF(HDRAG_HAS_REC_HMID,HDRAG_HMID_ITEMS + G14 + G15,0)</f>
        <v>3213</v>
      </c>
      <c r="H16" s="1060"/>
      <c r="I16" s="979"/>
      <c r="J16" s="979"/>
      <c r="K16" s="1055"/>
      <c r="L16" s="979"/>
      <c r="M16" s="980"/>
      <c r="N16" s="980"/>
      <c r="O16" s="1062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277</v>
      </c>
      <c r="C17" s="544">
        <v>593</v>
      </c>
      <c r="D17" s="545">
        <v>8</v>
      </c>
      <c r="F17" s="1038" t="s">
        <v>36</v>
      </c>
      <c r="G17" s="1039"/>
      <c r="H17" s="1046" t="s">
        <v>217</v>
      </c>
      <c r="I17" s="1047"/>
      <c r="J17" s="1047"/>
      <c r="K17" s="1047"/>
      <c r="L17" s="1047"/>
      <c r="M17" s="1047"/>
      <c r="N17" s="1047"/>
      <c r="O17" s="1048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40"/>
      <c r="G18" s="1041"/>
      <c r="H18" s="499" t="str">
        <f>"中級 (" &amp; HDRAG_GAMES_HJUP_MED &amp; "場)"</f>
        <v>中級 (443場)</v>
      </c>
      <c r="I18" s="955" t="str">
        <f>"高級 (" &amp; HDRAG_GAMES_HJUP_EXP &amp; "場)"</f>
        <v>高級 (435場)</v>
      </c>
      <c r="J18" s="956"/>
      <c r="K18" s="989"/>
      <c r="L18" s="955" t="str">
        <f>"超級 (" &amp; HDRAG_GAMES_HJUP_MST &amp; "場)"</f>
        <v>超級 (254場)</v>
      </c>
      <c r="M18" s="956"/>
      <c r="N18" s="956"/>
      <c r="O18" s="957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49">
        <f>HDRAG_AVG_HJUP_MED_ORB</f>
        <v>2.4582392776523703</v>
      </c>
      <c r="I20" s="977">
        <f>HDRAG_AVG_HJUP_EXP_ORB</f>
        <v>4.4206896551724135</v>
      </c>
      <c r="J20" s="977">
        <f>HDRAG_AVG_HJUP_EXP_TAIL</f>
        <v>2.0045977011494251</v>
      </c>
      <c r="K20" s="1056">
        <f>HDRAG_AVG_HJUP_EXP_ORIHAL</f>
        <v>0.30804597701149428</v>
      </c>
      <c r="L20" s="977">
        <f>HDRAG_AVG_HJUP_MST_ORB</f>
        <v>6.4763779527559056</v>
      </c>
      <c r="M20" s="977">
        <f>HDRAG_AVG_HJUP_MST_TAIL</f>
        <v>2.106299212598425</v>
      </c>
      <c r="N20" s="977">
        <f>HDRAG_AVG_HJUP_MST_HORN</f>
        <v>2.0393700787401574</v>
      </c>
      <c r="O20" s="1050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49"/>
      <c r="I21" s="977"/>
      <c r="J21" s="977"/>
      <c r="K21" s="1056"/>
      <c r="L21" s="977"/>
      <c r="M21" s="978"/>
      <c r="N21" s="978"/>
      <c r="O21" s="1051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42" t="s">
        <v>37</v>
      </c>
      <c r="G22" s="1043"/>
      <c r="H22" s="1052" t="s">
        <v>217</v>
      </c>
      <c r="I22" s="1053"/>
      <c r="J22" s="1053"/>
      <c r="K22" s="1053"/>
      <c r="L22" s="1053"/>
      <c r="M22" s="1053"/>
      <c r="N22" s="1053"/>
      <c r="O22" s="1054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44"/>
      <c r="G23" s="1045"/>
      <c r="H23" s="502" t="str">
        <f>"中級 (" &amp; HDRAG_GAMES_HZOD_MED &amp; "場)"</f>
        <v>中級 (241場)</v>
      </c>
      <c r="I23" s="952" t="str">
        <f>"高級 (" &amp; HDRAG_GAMES_HZOD_EXP &amp; "場)"</f>
        <v>高級 (331場)</v>
      </c>
      <c r="J23" s="953"/>
      <c r="K23" s="988"/>
      <c r="L23" s="952" t="str">
        <f>"超級 (" &amp; HDRAG_GAMES_HZOD_MST &amp; "場)"</f>
        <v>超級 (397場)</v>
      </c>
      <c r="M23" s="953"/>
      <c r="N23" s="953"/>
      <c r="O23" s="954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98">
        <f>HDRAG_AVG_HZOD_MED_ORB</f>
        <v>2.3692946058091287</v>
      </c>
      <c r="I25" s="986">
        <f>HDRAG_AVG_HZOD_EXP_ORB</f>
        <v>4.4410876132930515</v>
      </c>
      <c r="J25" s="986">
        <f>HDRAG_AVG_HZOD_EXP_TAIL</f>
        <v>1.9607250755287009</v>
      </c>
      <c r="K25" s="1003">
        <f>HDRAG_AVG_HZOD_EXP_ORIHAL</f>
        <v>0.35649546827794559</v>
      </c>
      <c r="L25" s="986">
        <f>HDRAG_AVG_HZOD_MST_ORB</f>
        <v>6.3576826196473553</v>
      </c>
      <c r="M25" s="986">
        <f>HDRAG_AVG_HZOD_MST_TAIL</f>
        <v>2.005037783375315</v>
      </c>
      <c r="N25" s="986">
        <f>HDRAG_AVG_HZOD_MST_HORN</f>
        <v>1.9899244332493702</v>
      </c>
      <c r="O25" s="996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99"/>
      <c r="I26" s="987"/>
      <c r="J26" s="987"/>
      <c r="K26" s="1004"/>
      <c r="L26" s="987"/>
      <c r="M26" s="987"/>
      <c r="N26" s="987"/>
      <c r="O26" s="997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00"/>
      <c r="I27" s="1001"/>
      <c r="J27" s="1001"/>
      <c r="K27" s="1001"/>
      <c r="L27" s="1001"/>
      <c r="M27" s="1001"/>
      <c r="N27" s="1001"/>
      <c r="O27" s="1002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48" t="str">
        <f>"高級 (" &amp; HDRAG_GAMES_HBRUN_EXP + HDRAG_GAMES_HMERC_EXP + HDRAG_GAMES_HMID_EXP + HDRAG_GAMES_HJUP_EXP + HDRAG_GAMES_HZOD_EXP &amp; "場)"</f>
        <v>高級 (1986場)</v>
      </c>
      <c r="J28" s="949"/>
      <c r="K28" s="950"/>
      <c r="L28" s="948" t="str">
        <f>"超級 (" &amp; HDRAG_GAMES_HBRUN_MST + HDRAG_GAMES_HMERC_MST + HDRAG_GAMES_HMID_MST + HDRAG_GAMES_HJUP_MST + HDRAG_GAMES_HZOD_MST &amp; "場)"</f>
        <v>超級 (1370場)</v>
      </c>
      <c r="M28" s="949"/>
      <c r="N28" s="949"/>
      <c r="O28" s="951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961">
        <f>AVERAGE(DATA_HDRAG_HBRUN_MED_ORB,HDRAG_AVG_HMERC_MED_ORB,HDRAG_AVG_HMID_MED_ORB,HDRAG_AVG_HJUP_MED_ORB,HDRAG_AVG_HZOD_MED_ORB)</f>
        <v>2.4381655069661865</v>
      </c>
      <c r="I30" s="963">
        <f>AVERAGE(DATA_HDRAG_HBRUN_EXP_ORB,HDRAG_AVG_HMERC_EXP_ORB,HDRAG_AVG_HMID_EXP_ORB,HDRAG_AVG_HJUP_EXP_ORB,HDRAG_AVG_HZOD_EXP_ORB)</f>
        <v>4.4134429583067902</v>
      </c>
      <c r="J30" s="963">
        <f>AVERAGE(DATA_HDRAG_HBRUN_EXP_TAIL,HDRAG_AVG_HMERC_EXP_TAIL,HDRAG_AVG_HMID_EXP_TAIL,HDRAG_AVG_HJUP_EXP_TAIL,HDRAG_AVG_HZOD_EXP_TAIL)</f>
        <v>1.9997668981495291</v>
      </c>
      <c r="K30" s="984">
        <f>AVERAGE(DATA_HDRAG_HBRUN_EXP_ORIHAL,HDRAG_AVG_HMERC_EXP_ORIHAL,HDRAG_AVG_HMID_EXP_ORIHAL,HDRAG_AVG_HJUP_EXP_ORIHAL,HDRAG_AVG_HZOD_EXP_ORIHAL)</f>
        <v>0.3159141661208808</v>
      </c>
      <c r="L30" s="963">
        <f>AVERAGE(DATA_HDRAG_HBRUN_MST_ORB,HDRAG_AVG_HMERC_MST_ORB,HDRAG_AVG_HMID_MST_ORB,HDRAG_AVG_HJUP_MST_ORB,HDRAG_AVG_HZOD_MST_ORB)</f>
        <v>6.3972967570748613</v>
      </c>
      <c r="M30" s="963">
        <f>AVERAGE(DATA_HDRAG_HBRUN_MST_TAIL,HDRAG_AVG_HMERC_MST_TAIL,HDRAG_AVG_HMID_MST_TAIL,HDRAG_AVG_HJUP_MST_TAIL,HDRAG_AVG_HZOD_MST_TAIL)</f>
        <v>2.0507918804400971</v>
      </c>
      <c r="N30" s="963">
        <f>AVERAGE(DATA_HDRAG_HBRUN_MST_HORN,HDRAG_AVG_HMERC_MST_HORN,HDRAG_AVG_HMID_MST_HORN,HDRAG_AVG_HJUP_MST_HORN,HDRAG_AVG_HZOD_MST_HORN)</f>
        <v>1.9840187818515433</v>
      </c>
      <c r="O30" s="994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62"/>
      <c r="I31" s="964"/>
      <c r="J31" s="964"/>
      <c r="K31" s="985"/>
      <c r="L31" s="964"/>
      <c r="M31" s="964"/>
      <c r="N31" s="964"/>
      <c r="O31" s="995"/>
    </row>
    <row r="32" spans="1:18" ht="15.75" customHeight="1" x14ac:dyDescent="0.25">
      <c r="G32" s="311"/>
      <c r="R32" s="239"/>
    </row>
    <row r="33" spans="3:18" ht="28.5" customHeight="1" x14ac:dyDescent="0.25">
      <c r="F33" s="992"/>
      <c r="G33" s="993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27" t="s">
        <v>24</v>
      </c>
      <c r="Q33" s="928"/>
      <c r="R33" s="581" t="s">
        <v>296</v>
      </c>
    </row>
    <row r="34" spans="3:18" ht="16.5" customHeight="1" x14ac:dyDescent="0.25">
      <c r="F34" s="969" t="s">
        <v>30</v>
      </c>
      <c r="G34" s="970"/>
      <c r="H34" s="903" t="s">
        <v>226</v>
      </c>
      <c r="I34" s="901" t="s">
        <v>223</v>
      </c>
      <c r="J34" s="901" t="s">
        <v>223</v>
      </c>
      <c r="K34" s="901" t="s">
        <v>226</v>
      </c>
      <c r="L34" s="901" t="s">
        <v>223</v>
      </c>
      <c r="M34" s="901" t="s">
        <v>223</v>
      </c>
      <c r="N34" s="901" t="s">
        <v>226</v>
      </c>
      <c r="O34" s="909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71"/>
      <c r="G35" s="972"/>
      <c r="H35" s="904"/>
      <c r="I35" s="902"/>
      <c r="J35" s="902"/>
      <c r="K35" s="902"/>
      <c r="L35" s="902"/>
      <c r="M35" s="902"/>
      <c r="N35" s="902"/>
      <c r="O35" s="910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65" t="s">
        <v>35</v>
      </c>
      <c r="G38" s="966"/>
      <c r="H38" s="911" t="s">
        <v>226</v>
      </c>
      <c r="I38" s="905" t="s">
        <v>223</v>
      </c>
      <c r="J38" s="905" t="s">
        <v>223</v>
      </c>
      <c r="K38" s="905" t="s">
        <v>226</v>
      </c>
      <c r="L38" s="905" t="s">
        <v>223</v>
      </c>
      <c r="M38" s="905" t="s">
        <v>226</v>
      </c>
      <c r="N38" s="905" t="s">
        <v>226</v>
      </c>
      <c r="O38" s="907" t="s">
        <v>223</v>
      </c>
      <c r="P38" s="592">
        <f>-(D14 * HDRAG_WEAPON_D520_HORN - SUM(H40:O40) - C14)</f>
        <v>843</v>
      </c>
      <c r="Q38" s="521" t="s">
        <v>218</v>
      </c>
      <c r="R38" s="584">
        <f>IFERROR((-D14 * HDRAG_WEAPON_D520_HORN - P38)/(-D14 * HDRAG_WEAPON_D520_HORN),"")</f>
        <v>4.5125000000000002</v>
      </c>
    </row>
    <row r="39" spans="3:18" ht="16.5" customHeight="1" x14ac:dyDescent="0.25">
      <c r="F39" s="967"/>
      <c r="G39" s="968"/>
      <c r="H39" s="912"/>
      <c r="I39" s="906"/>
      <c r="J39" s="906"/>
      <c r="K39" s="906"/>
      <c r="L39" s="906"/>
      <c r="M39" s="906"/>
      <c r="N39" s="906"/>
      <c r="O39" s="908"/>
      <c r="P39" s="593">
        <f>-(D14 * HDRAG_WEAPON_D520_TAIL - SUM(H41:O41) - B14)</f>
        <v>651</v>
      </c>
      <c r="Q39" s="578" t="s">
        <v>216</v>
      </c>
      <c r="R39" s="582">
        <f>IFERROR((-D14 * HDRAG_WEAPON_D520_TAIL - P39)/(-D14 * HDRAG_WEAPON_D520_TAIL),"")</f>
        <v>1.6259615384615385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17" t="s">
        <v>31</v>
      </c>
      <c r="G42" s="918"/>
      <c r="H42" s="915" t="s">
        <v>226</v>
      </c>
      <c r="I42" s="913" t="s">
        <v>226</v>
      </c>
      <c r="J42" s="913" t="s">
        <v>223</v>
      </c>
      <c r="K42" s="913" t="s">
        <v>226</v>
      </c>
      <c r="L42" s="913" t="s">
        <v>226</v>
      </c>
      <c r="M42" s="913" t="s">
        <v>226</v>
      </c>
      <c r="N42" s="913" t="s">
        <v>223</v>
      </c>
      <c r="O42" s="925" t="s">
        <v>223</v>
      </c>
      <c r="P42" s="592">
        <f>-(D15 * HDRAG_WEAPON_D520_HORN - SUM(H44:O44) - C15)</f>
        <v>316</v>
      </c>
      <c r="Q42" s="521" t="s">
        <v>218</v>
      </c>
      <c r="R42" s="584">
        <f>IFERROR((-D15 * HDRAG_WEAPON_D520_HORN - P42)/(-D15 * HDRAG_WEAPON_D520_HORN),"")</f>
        <v>2.3166666666666669</v>
      </c>
    </row>
    <row r="43" spans="3:18" ht="16.5" customHeight="1" x14ac:dyDescent="0.25">
      <c r="F43" s="919"/>
      <c r="G43" s="920"/>
      <c r="H43" s="916"/>
      <c r="I43" s="914"/>
      <c r="J43" s="914"/>
      <c r="K43" s="914"/>
      <c r="L43" s="914"/>
      <c r="M43" s="914"/>
      <c r="N43" s="914"/>
      <c r="O43" s="926"/>
      <c r="P43" s="593">
        <f>-(D15 * HDRAG_WEAPON_D520_TAIL - SUM(H45:O45) - B15)</f>
        <v>224</v>
      </c>
      <c r="Q43" s="578" t="s">
        <v>216</v>
      </c>
      <c r="R43" s="582">
        <f>IFERROR((-D15 * HDRAG_WEAPON_D520_TAIL - P43)/(-D15 * HDRAG_WEAPON_D520_TAIL),"")</f>
        <v>1.2153846153846153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42" t="s">
        <v>36</v>
      </c>
      <c r="G46" s="943"/>
      <c r="H46" s="946" t="s">
        <v>223</v>
      </c>
      <c r="I46" s="921" t="s">
        <v>226</v>
      </c>
      <c r="J46" s="921" t="s">
        <v>226</v>
      </c>
      <c r="K46" s="921" t="s">
        <v>226</v>
      </c>
      <c r="L46" s="921" t="s">
        <v>223</v>
      </c>
      <c r="M46" s="921" t="s">
        <v>223</v>
      </c>
      <c r="N46" s="921" t="s">
        <v>223</v>
      </c>
      <c r="O46" s="923" t="s">
        <v>223</v>
      </c>
      <c r="P46" s="592">
        <f>-(D16 * HDRAG_WEAPON_D520_HORN - SUM(H48:O48) - C16)</f>
        <v>399</v>
      </c>
      <c r="Q46" s="521" t="s">
        <v>218</v>
      </c>
      <c r="R46" s="584">
        <f>IFERROR((-D16 * HDRAG_WEAPON_D520_HORN - P46)/(-D16 * HDRAG_WEAPON_D520_HORN),"")</f>
        <v>2.6625000000000001</v>
      </c>
    </row>
    <row r="47" spans="3:18" ht="16.5" customHeight="1" x14ac:dyDescent="0.25">
      <c r="F47" s="944"/>
      <c r="G47" s="945"/>
      <c r="H47" s="947"/>
      <c r="I47" s="922"/>
      <c r="J47" s="922"/>
      <c r="K47" s="922"/>
      <c r="L47" s="922"/>
      <c r="M47" s="922"/>
      <c r="N47" s="922"/>
      <c r="O47" s="924"/>
      <c r="P47" s="593">
        <f>-(D16 * HDRAG_WEAPON_D520_TAIL - SUM(H49:O49) - B16)</f>
        <v>452</v>
      </c>
      <c r="Q47" s="578" t="s">
        <v>216</v>
      </c>
      <c r="R47" s="582">
        <f>IFERROR((-D16 * HDRAG_WEAPON_D520_TAIL - P47)/(-D16 * HDRAG_WEAPON_D520_TAIL),"")</f>
        <v>1.4346153846153846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38" t="s">
        <v>37</v>
      </c>
      <c r="G50" s="939"/>
      <c r="H50" s="936" t="s">
        <v>226</v>
      </c>
      <c r="I50" s="934" t="s">
        <v>226</v>
      </c>
      <c r="J50" s="934" t="s">
        <v>223</v>
      </c>
      <c r="K50" s="934" t="s">
        <v>223</v>
      </c>
      <c r="L50" s="934" t="s">
        <v>226</v>
      </c>
      <c r="M50" s="934" t="s">
        <v>223</v>
      </c>
      <c r="N50" s="934" t="s">
        <v>226</v>
      </c>
      <c r="O50" s="932" t="s">
        <v>223</v>
      </c>
      <c r="P50" s="592">
        <f>-(D17 * HDRAG_WEAPON_D520_HORN - SUM(H52:O52) - C17)</f>
        <v>593</v>
      </c>
      <c r="Q50" s="521" t="s">
        <v>218</v>
      </c>
      <c r="R50" s="584">
        <f>IFERROR((-D17 * HDRAG_WEAPON_D520_HORN - P50)/(-D17 * HDRAG_WEAPON_D520_HORN),"")</f>
        <v>3.4708333333333332</v>
      </c>
    </row>
    <row r="51" spans="1:18" ht="16.5" customHeight="1" x14ac:dyDescent="0.25">
      <c r="F51" s="940"/>
      <c r="G51" s="941"/>
      <c r="H51" s="937"/>
      <c r="I51" s="935"/>
      <c r="J51" s="935"/>
      <c r="K51" s="935"/>
      <c r="L51" s="935"/>
      <c r="M51" s="935"/>
      <c r="N51" s="935"/>
      <c r="O51" s="933"/>
      <c r="P51" s="594">
        <f>-(D17 * HDRAG_WEAPON_D520_TAIL - SUM(H53:O53) - B17)</f>
        <v>277</v>
      </c>
      <c r="Q51" s="580" t="s">
        <v>216</v>
      </c>
      <c r="R51" s="583">
        <f>IFERROR((-D17 * HDRAG_WEAPON_D520_TAIL - P51)/(-D17 * HDRAG_WEAPON_D520_TAIL),"")</f>
        <v>1.2663461538461538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76" t="s">
        <v>214</v>
      </c>
      <c r="C1" s="876"/>
      <c r="D1" s="876"/>
      <c r="E1" s="876" t="s">
        <v>219</v>
      </c>
      <c r="F1" s="876"/>
      <c r="G1" s="876"/>
      <c r="H1" s="876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76" t="s">
        <v>214</v>
      </c>
      <c r="C1" s="876"/>
      <c r="D1" s="876"/>
      <c r="E1" s="876" t="s">
        <v>219</v>
      </c>
      <c r="F1" s="876"/>
      <c r="G1" s="876"/>
      <c r="H1" s="876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00">
        <v>7</v>
      </c>
      <c r="F333" s="700">
        <v>2</v>
      </c>
      <c r="G333" s="700">
        <v>3</v>
      </c>
      <c r="H333" s="700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9">
        <v>5</v>
      </c>
      <c r="C523" s="699">
        <v>3</v>
      </c>
      <c r="D523" s="699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76" t="s">
        <v>214</v>
      </c>
      <c r="C1" s="876"/>
      <c r="D1" s="876"/>
      <c r="E1" s="876" t="s">
        <v>219</v>
      </c>
      <c r="F1" s="876"/>
      <c r="G1" s="876"/>
      <c r="H1" s="876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76" t="s">
        <v>214</v>
      </c>
      <c r="C1" s="876"/>
      <c r="D1" s="876"/>
      <c r="E1" s="876" t="s">
        <v>219</v>
      </c>
      <c r="F1" s="876"/>
      <c r="G1" s="876"/>
      <c r="H1" s="876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76" t="s">
        <v>214</v>
      </c>
      <c r="C1" s="876"/>
      <c r="D1" s="876"/>
      <c r="E1" s="876" t="s">
        <v>219</v>
      </c>
      <c r="F1" s="876"/>
      <c r="G1" s="876"/>
      <c r="H1" s="876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98" t="s">
        <v>429</v>
      </c>
      <c r="B1" s="898"/>
      <c r="C1" s="898"/>
      <c r="D1" s="898"/>
      <c r="E1" s="898"/>
      <c r="F1" s="898"/>
      <c r="G1" s="898"/>
      <c r="H1" s="898"/>
      <c r="I1" s="898"/>
      <c r="J1" s="898"/>
      <c r="K1" s="898"/>
      <c r="L1" s="670"/>
      <c r="M1" s="670"/>
    </row>
    <row r="2" spans="1:21" s="667" customFormat="1" ht="21" customHeight="1" x14ac:dyDescent="0.25">
      <c r="A2" s="899" t="s">
        <v>319</v>
      </c>
      <c r="B2" s="852"/>
      <c r="C2" s="853"/>
      <c r="D2" s="852"/>
      <c r="E2" s="853"/>
      <c r="F2" s="852"/>
      <c r="G2" s="853"/>
      <c r="H2" s="852"/>
      <c r="I2" s="853"/>
      <c r="J2" s="852"/>
      <c r="K2" s="853"/>
      <c r="L2" s="852"/>
      <c r="M2" s="853"/>
      <c r="N2" s="852"/>
      <c r="O2" s="853"/>
      <c r="P2" s="852"/>
      <c r="Q2" s="853"/>
      <c r="R2" s="852"/>
      <c r="S2" s="853"/>
      <c r="T2" s="852"/>
      <c r="U2" s="853"/>
    </row>
    <row r="3" spans="1:21" s="589" customFormat="1" ht="21" customHeight="1" x14ac:dyDescent="0.25">
      <c r="A3" s="900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0"/>
      <c r="B4" s="847"/>
      <c r="C4" s="848"/>
      <c r="D4" s="847"/>
      <c r="E4" s="848"/>
      <c r="F4" s="847"/>
      <c r="G4" s="854"/>
      <c r="H4" s="854"/>
      <c r="I4" s="848"/>
      <c r="J4" s="847"/>
      <c r="K4" s="848"/>
      <c r="L4" s="847"/>
      <c r="M4" s="848"/>
      <c r="N4" s="847"/>
      <c r="O4" s="848"/>
      <c r="P4" s="847"/>
      <c r="Q4" s="848"/>
      <c r="R4" s="847"/>
      <c r="S4" s="848"/>
      <c r="T4" s="847"/>
      <c r="U4" s="848"/>
    </row>
    <row r="5" spans="1:21" s="664" customFormat="1" ht="21" customHeight="1" x14ac:dyDescent="0.25">
      <c r="A5" s="873" t="s">
        <v>320</v>
      </c>
      <c r="B5" s="1070" t="s">
        <v>426</v>
      </c>
      <c r="C5" s="858"/>
      <c r="D5" s="1070" t="s">
        <v>426</v>
      </c>
      <c r="E5" s="858"/>
      <c r="F5" s="857" t="s">
        <v>431</v>
      </c>
      <c r="G5" s="858"/>
      <c r="H5" s="857" t="s">
        <v>433</v>
      </c>
      <c r="I5" s="858"/>
      <c r="J5" s="857" t="s">
        <v>412</v>
      </c>
      <c r="K5" s="858"/>
      <c r="L5" s="857"/>
      <c r="M5" s="858"/>
      <c r="N5" s="857"/>
      <c r="O5" s="858"/>
      <c r="P5" s="857"/>
      <c r="Q5" s="858"/>
      <c r="R5" s="857"/>
      <c r="S5" s="858"/>
      <c r="T5" s="857"/>
      <c r="U5" s="858"/>
    </row>
    <row r="6" spans="1:21" s="590" customFormat="1" ht="21" customHeight="1" x14ac:dyDescent="0.25">
      <c r="A6" s="874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5"/>
      <c r="B7" s="1074" t="s">
        <v>427</v>
      </c>
      <c r="C7" s="856"/>
      <c r="D7" s="855" t="s">
        <v>428</v>
      </c>
      <c r="E7" s="856"/>
      <c r="F7" s="855" t="s">
        <v>432</v>
      </c>
      <c r="G7" s="856"/>
      <c r="H7" s="855" t="s">
        <v>436</v>
      </c>
      <c r="I7" s="856"/>
      <c r="J7" s="855" t="s">
        <v>435</v>
      </c>
      <c r="K7" s="856"/>
      <c r="L7" s="855"/>
      <c r="M7" s="856"/>
      <c r="N7" s="855"/>
      <c r="O7" s="856"/>
      <c r="P7" s="855"/>
      <c r="Q7" s="856"/>
      <c r="R7" s="855"/>
      <c r="S7" s="856"/>
      <c r="T7" s="855"/>
      <c r="U7" s="856"/>
    </row>
    <row r="8" spans="1:21" s="668" customFormat="1" ht="21" customHeight="1" x14ac:dyDescent="0.25">
      <c r="A8" s="894" t="s">
        <v>321</v>
      </c>
      <c r="B8" s="892" t="s">
        <v>293</v>
      </c>
      <c r="C8" s="865"/>
      <c r="D8" s="864" t="s">
        <v>342</v>
      </c>
      <c r="E8" s="865"/>
      <c r="F8" s="864" t="s">
        <v>345</v>
      </c>
      <c r="G8" s="865"/>
      <c r="H8" s="864" t="s">
        <v>347</v>
      </c>
      <c r="I8" s="865"/>
      <c r="J8" s="864" t="s">
        <v>318</v>
      </c>
      <c r="K8" s="865"/>
      <c r="L8" s="864"/>
      <c r="M8" s="865"/>
      <c r="N8" s="864"/>
      <c r="O8" s="865"/>
      <c r="P8" s="864"/>
      <c r="Q8" s="865"/>
      <c r="R8" s="864"/>
      <c r="S8" s="865"/>
      <c r="T8" s="864"/>
      <c r="U8" s="865"/>
    </row>
    <row r="9" spans="1:21" s="589" customFormat="1" ht="21" customHeight="1" x14ac:dyDescent="0.25">
      <c r="A9" s="895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895"/>
      <c r="B10" s="1071" t="s">
        <v>341</v>
      </c>
      <c r="C10" s="1072"/>
      <c r="D10" s="1073" t="s">
        <v>344</v>
      </c>
      <c r="E10" s="1072"/>
      <c r="F10" s="1073" t="s">
        <v>346</v>
      </c>
      <c r="G10" s="1072"/>
      <c r="H10" s="1073" t="s">
        <v>349</v>
      </c>
      <c r="I10" s="1072"/>
      <c r="J10" s="1073" t="s">
        <v>350</v>
      </c>
      <c r="K10" s="1072"/>
      <c r="L10" s="859"/>
      <c r="M10" s="860"/>
      <c r="N10" s="859"/>
      <c r="O10" s="860"/>
      <c r="P10" s="859"/>
      <c r="Q10" s="860"/>
      <c r="R10" s="859"/>
      <c r="S10" s="860"/>
      <c r="T10" s="859"/>
      <c r="U10" s="860"/>
    </row>
    <row r="11" spans="1:21" s="668" customFormat="1" ht="21" customHeight="1" x14ac:dyDescent="0.25">
      <c r="A11" s="895"/>
      <c r="B11" s="892" t="s">
        <v>333</v>
      </c>
      <c r="C11" s="865"/>
      <c r="D11" s="864" t="s">
        <v>420</v>
      </c>
      <c r="E11" s="865"/>
      <c r="F11" s="864" t="s">
        <v>424</v>
      </c>
      <c r="G11" s="865"/>
      <c r="H11" s="864"/>
      <c r="I11" s="865"/>
      <c r="J11" s="864"/>
      <c r="K11" s="865"/>
      <c r="L11" s="864"/>
      <c r="M11" s="865"/>
      <c r="N11" s="864"/>
      <c r="O11" s="865"/>
      <c r="P11" s="864"/>
      <c r="Q11" s="865"/>
      <c r="R11" s="864"/>
      <c r="S11" s="865"/>
      <c r="T11" s="864"/>
      <c r="U11" s="865"/>
    </row>
    <row r="12" spans="1:21" s="589" customFormat="1" ht="21" customHeight="1" x14ac:dyDescent="0.25">
      <c r="A12" s="895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896"/>
      <c r="B13" s="1071" t="s">
        <v>386</v>
      </c>
      <c r="C13" s="1072"/>
      <c r="D13" s="1073"/>
      <c r="E13" s="1072"/>
      <c r="F13" s="1073" t="s">
        <v>386</v>
      </c>
      <c r="G13" s="1072"/>
      <c r="H13" s="1073"/>
      <c r="I13" s="1072"/>
      <c r="J13" s="1073"/>
      <c r="K13" s="1072"/>
      <c r="L13" s="859"/>
      <c r="M13" s="860"/>
      <c r="N13" s="859"/>
      <c r="O13" s="860"/>
      <c r="P13" s="859"/>
      <c r="Q13" s="860"/>
      <c r="R13" s="859"/>
      <c r="S13" s="860"/>
      <c r="T13" s="859"/>
      <c r="U13" s="860"/>
    </row>
    <row r="14" spans="1:21" s="157" customFormat="1" ht="21" customHeight="1" x14ac:dyDescent="0.25">
      <c r="A14" s="868" t="s">
        <v>322</v>
      </c>
      <c r="B14" s="871" t="s">
        <v>355</v>
      </c>
      <c r="C14" s="872"/>
      <c r="D14" s="871" t="s">
        <v>364</v>
      </c>
      <c r="E14" s="872"/>
      <c r="F14" s="871" t="s">
        <v>363</v>
      </c>
      <c r="G14" s="872"/>
      <c r="H14" s="871" t="s">
        <v>361</v>
      </c>
      <c r="I14" s="872"/>
      <c r="J14" s="871" t="s">
        <v>370</v>
      </c>
      <c r="K14" s="872"/>
      <c r="L14" s="897"/>
      <c r="M14" s="872"/>
      <c r="N14" s="871"/>
      <c r="O14" s="872"/>
      <c r="P14" s="871"/>
      <c r="Q14" s="872"/>
      <c r="R14" s="871"/>
      <c r="S14" s="872"/>
      <c r="T14" s="871"/>
      <c r="U14" s="872"/>
    </row>
    <row r="15" spans="1:21" s="589" customFormat="1" ht="21" customHeight="1" x14ac:dyDescent="0.25">
      <c r="A15" s="869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69"/>
      <c r="B16" s="866" t="s">
        <v>360</v>
      </c>
      <c r="C16" s="867"/>
      <c r="D16" s="1075" t="s">
        <v>367</v>
      </c>
      <c r="E16" s="1076"/>
      <c r="F16" s="866" t="s">
        <v>369</v>
      </c>
      <c r="G16" s="867"/>
      <c r="H16" s="866" t="s">
        <v>365</v>
      </c>
      <c r="I16" s="867"/>
      <c r="J16" s="866" t="s">
        <v>365</v>
      </c>
      <c r="K16" s="867"/>
      <c r="L16" s="885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57" customFormat="1" ht="21" customHeight="1" x14ac:dyDescent="0.25">
      <c r="A17" s="869"/>
      <c r="B17" s="871" t="s">
        <v>355</v>
      </c>
      <c r="C17" s="872"/>
      <c r="D17" s="871" t="s">
        <v>359</v>
      </c>
      <c r="E17" s="872"/>
      <c r="F17" s="871" t="s">
        <v>364</v>
      </c>
      <c r="G17" s="872"/>
      <c r="H17" s="1068" t="s">
        <v>417</v>
      </c>
      <c r="I17" s="1069"/>
      <c r="J17" s="1068"/>
      <c r="K17" s="1069"/>
      <c r="L17" s="871"/>
      <c r="M17" s="872"/>
      <c r="N17" s="871"/>
      <c r="O17" s="872"/>
      <c r="P17" s="871"/>
      <c r="Q17" s="872"/>
      <c r="R17" s="871"/>
      <c r="S17" s="872"/>
      <c r="T17" s="871"/>
      <c r="U17" s="872"/>
    </row>
    <row r="18" spans="1:21" s="589" customFormat="1" ht="21" customHeight="1" x14ac:dyDescent="0.25">
      <c r="A18" s="869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69"/>
      <c r="B19" s="866" t="s">
        <v>358</v>
      </c>
      <c r="C19" s="867"/>
      <c r="D19" s="866" t="s">
        <v>376</v>
      </c>
      <c r="E19" s="867"/>
      <c r="F19" s="866" t="s">
        <v>366</v>
      </c>
      <c r="G19" s="867"/>
      <c r="H19" s="866"/>
      <c r="I19" s="867"/>
      <c r="J19" s="866"/>
      <c r="K19" s="867"/>
      <c r="L19" s="866"/>
      <c r="M19" s="867"/>
      <c r="N19" s="866"/>
      <c r="O19" s="867"/>
      <c r="P19" s="866"/>
      <c r="Q19" s="867"/>
      <c r="R19" s="866"/>
      <c r="S19" s="867"/>
      <c r="T19" s="866"/>
      <c r="U19" s="867"/>
    </row>
    <row r="20" spans="1:21" s="157" customFormat="1" ht="21" customHeight="1" x14ac:dyDescent="0.25">
      <c r="A20" s="869"/>
      <c r="B20" s="1068" t="s">
        <v>370</v>
      </c>
      <c r="C20" s="1069"/>
      <c r="D20" s="1068" t="s">
        <v>258</v>
      </c>
      <c r="E20" s="1069"/>
      <c r="F20" s="871" t="s">
        <v>355</v>
      </c>
      <c r="G20" s="872"/>
      <c r="H20" s="1068" t="s">
        <v>379</v>
      </c>
      <c r="I20" s="1069"/>
      <c r="J20" s="1068"/>
      <c r="K20" s="1069"/>
      <c r="L20" s="871"/>
      <c r="M20" s="872"/>
      <c r="N20" s="871"/>
      <c r="O20" s="872"/>
      <c r="P20" s="871"/>
      <c r="Q20" s="872"/>
      <c r="R20" s="871"/>
      <c r="S20" s="872"/>
      <c r="T20" s="871"/>
      <c r="U20" s="872"/>
    </row>
    <row r="21" spans="1:21" s="589" customFormat="1" ht="21" customHeight="1" x14ac:dyDescent="0.25">
      <c r="A21" s="869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0"/>
      <c r="B22" s="866" t="s">
        <v>378</v>
      </c>
      <c r="C22" s="867"/>
      <c r="D22" s="866" t="s">
        <v>378</v>
      </c>
      <c r="E22" s="867"/>
      <c r="F22" s="866" t="s">
        <v>378</v>
      </c>
      <c r="G22" s="867"/>
      <c r="H22" s="866" t="s">
        <v>378</v>
      </c>
      <c r="I22" s="867"/>
      <c r="J22" s="866"/>
      <c r="K22" s="867"/>
      <c r="L22" s="866"/>
      <c r="M22" s="867"/>
      <c r="N22" s="866"/>
      <c r="O22" s="867"/>
      <c r="P22" s="866"/>
      <c r="Q22" s="867"/>
      <c r="R22" s="866"/>
      <c r="S22" s="867"/>
      <c r="T22" s="866"/>
      <c r="U22" s="867"/>
    </row>
    <row r="23" spans="1:21" s="669" customFormat="1" ht="21" customHeight="1" x14ac:dyDescent="0.25">
      <c r="A23" s="886" t="s">
        <v>323</v>
      </c>
      <c r="B23" s="1077"/>
      <c r="C23" s="1078"/>
      <c r="D23" s="1077"/>
      <c r="E23" s="1078"/>
      <c r="F23" s="880"/>
      <c r="G23" s="881"/>
      <c r="H23" s="880"/>
      <c r="I23" s="881"/>
      <c r="J23" s="880"/>
      <c r="K23" s="881"/>
      <c r="L23" s="880"/>
      <c r="M23" s="881"/>
      <c r="N23" s="880"/>
      <c r="O23" s="881"/>
      <c r="P23" s="880"/>
      <c r="Q23" s="881"/>
      <c r="R23" s="880"/>
      <c r="S23" s="881"/>
      <c r="T23" s="880"/>
      <c r="U23" s="881"/>
    </row>
    <row r="24" spans="1:21" s="589" customFormat="1" ht="21" customHeight="1" x14ac:dyDescent="0.25">
      <c r="A24" s="887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88"/>
      <c r="B25" s="878"/>
      <c r="C25" s="879"/>
      <c r="D25" s="878"/>
      <c r="E25" s="879"/>
      <c r="F25" s="878"/>
      <c r="G25" s="879"/>
      <c r="H25" s="878"/>
      <c r="I25" s="879"/>
      <c r="J25" s="878"/>
      <c r="K25" s="879"/>
      <c r="L25" s="878"/>
      <c r="M25" s="879"/>
      <c r="N25" s="878"/>
      <c r="O25" s="879"/>
      <c r="P25" s="878"/>
      <c r="Q25" s="879"/>
      <c r="R25" s="878"/>
      <c r="S25" s="879"/>
      <c r="T25" s="878"/>
      <c r="U25" s="879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4" zoomScale="101" zoomScaleNormal="100" workbookViewId="0">
      <selection activeCell="O18" sqref="O18:Q20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3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3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51"/>
      <c r="V1" s="751"/>
      <c r="W1" s="751"/>
      <c r="X1" s="219"/>
    </row>
    <row r="2" spans="1:26" ht="15" customHeight="1" x14ac:dyDescent="0.25">
      <c r="C2" s="1079" t="s">
        <v>317</v>
      </c>
      <c r="D2" s="1080"/>
      <c r="E2" s="1081"/>
      <c r="F2" s="1101" t="s">
        <v>327</v>
      </c>
      <c r="G2" s="1101" t="s">
        <v>328</v>
      </c>
      <c r="I2" s="1103" t="s">
        <v>375</v>
      </c>
      <c r="J2" s="1082" t="s">
        <v>66</v>
      </c>
      <c r="K2" s="1079" t="s">
        <v>456</v>
      </c>
      <c r="L2" s="1081"/>
      <c r="M2" s="1079" t="s">
        <v>214</v>
      </c>
      <c r="N2" s="1080"/>
      <c r="O2" s="1081"/>
      <c r="P2" s="1079" t="s">
        <v>219</v>
      </c>
      <c r="Q2" s="1080"/>
      <c r="R2" s="1080"/>
      <c r="S2" s="1081"/>
      <c r="T2" s="219"/>
      <c r="U2" s="1118" t="s">
        <v>453</v>
      </c>
      <c r="V2" s="1119"/>
      <c r="W2" s="1120"/>
    </row>
    <row r="3" spans="1:26" ht="15.95" customHeight="1" x14ac:dyDescent="0.25">
      <c r="C3" s="611" t="s">
        <v>65</v>
      </c>
      <c r="D3" s="714" t="s">
        <v>64</v>
      </c>
      <c r="E3" s="716" t="s">
        <v>448</v>
      </c>
      <c r="F3" s="1102"/>
      <c r="G3" s="1102"/>
      <c r="I3" s="1104"/>
      <c r="J3" s="1083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30" t="s">
        <v>25</v>
      </c>
      <c r="Q3" s="719" t="s">
        <v>64</v>
      </c>
      <c r="R3" s="719" t="s">
        <v>448</v>
      </c>
      <c r="S3" s="729" t="s">
        <v>215</v>
      </c>
      <c r="T3" s="644"/>
      <c r="U3" s="752" t="s">
        <v>47</v>
      </c>
      <c r="V3" s="753" t="s">
        <v>454</v>
      </c>
      <c r="W3" s="754" t="s">
        <v>455</v>
      </c>
    </row>
    <row r="4" spans="1:26" ht="21.95" customHeight="1" x14ac:dyDescent="0.25">
      <c r="B4" s="612" t="s">
        <v>319</v>
      </c>
      <c r="C4" s="618"/>
      <c r="D4" s="619"/>
      <c r="E4" s="619"/>
      <c r="F4" s="619"/>
      <c r="G4" s="620"/>
      <c r="I4" s="1104"/>
      <c r="J4" s="612" t="s">
        <v>319</v>
      </c>
      <c r="K4" s="672">
        <f>IFERROR(COUNT(AGITO_FLAME_STD_SILVER),"")</f>
        <v>0</v>
      </c>
      <c r="L4" s="635" t="str">
        <f>IFERROR(AVERAGE(AGITO_FLAME_STD_SILVER) + 2, "")</f>
        <v/>
      </c>
      <c r="M4" s="672">
        <f>IFERROR(COUNT(AGITO_FLAME_EXP_SILVER),"")</f>
        <v>0</v>
      </c>
      <c r="N4" s="635" t="str">
        <f>IFERROR(AVERAGE(AGITO_FLAME_EXP_SILVER),"")</f>
        <v/>
      </c>
      <c r="O4" s="636" t="str">
        <f>IFERROR(AVERAGE(AGITO_FLAME_EXP_GOLD),"")</f>
        <v/>
      </c>
      <c r="P4" s="718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5" t="str" cm="1">
        <f t="array" ref="U4">IFERROR(_xlfn.CEILING.MATH((AGITO_WEAPON_MUB_624_SILVER - V4*N4) / L4),"")</f>
        <v/>
      </c>
      <c r="V4" s="756" t="str" cm="1">
        <f t="array" ref="V4">IFERROR(_xlfn.CEILING.MATH((AGITO_WEAPON_MUB_624_GOLD - W4*Q4) / O4),"")</f>
        <v/>
      </c>
      <c r="W4" s="757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25</v>
      </c>
      <c r="I5" s="1104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8" t="str" cm="1">
        <f t="array" ref="U5">IFERROR(_xlfn.CEILING.MATH((AGITO_WEAPON_MUB_624_SILVER - V5*N5) / L5),"")</f>
        <v/>
      </c>
      <c r="V5" s="759" t="str" cm="1">
        <f t="array" ref="V5">IFERROR(_xlfn.CEILING.MATH((AGITO_WEAPON_MUB_624_GOLD - W5*Q5) / O5),"")</f>
        <v/>
      </c>
      <c r="W5" s="760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3209</v>
      </c>
      <c r="D6" s="625">
        <v>3215</v>
      </c>
      <c r="E6" s="625">
        <v>503</v>
      </c>
      <c r="F6" s="625">
        <v>8</v>
      </c>
      <c r="G6" s="626">
        <v>25</v>
      </c>
      <c r="I6" s="1104"/>
      <c r="J6" s="614" t="s">
        <v>321</v>
      </c>
      <c r="K6" s="610">
        <f>IFERROR(COUNT(AGITO_WIND_STD_SILVER),"")</f>
        <v>461</v>
      </c>
      <c r="L6" s="639">
        <f>IFERROR(AVERAGE(AGITO_WIND_STD_SILVER) + 2, "")</f>
        <v>7.1822125813449027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237</v>
      </c>
      <c r="Q6" s="639">
        <f>IFERROR(AVERAGE(AGITO_WIND_MST_GOLD),"")</f>
        <v>2.0421940928270041</v>
      </c>
      <c r="R6" s="639">
        <f>IFERROR(AVERAGE(AGITO_WIND_MST_POT),"")</f>
        <v>3</v>
      </c>
      <c r="S6" s="640">
        <f>IFERROR(AVERAGE(AGITO_WIND_MST_ORIHAL),"")</f>
        <v>1.0928270042194093</v>
      </c>
      <c r="T6" s="644"/>
      <c r="U6" s="761" cm="1">
        <f t="array" ref="U6">IFERROR(_xlfn.CEILING.MATH((AGITO_WEAPON_MUB_624_SILVER - V6*N6) / L6),"")</f>
        <v>20</v>
      </c>
      <c r="V6" s="762" cm="1">
        <f t="array" ref="V6">IFERROR(_xlfn.CEILING.MATH((AGITO_WEAPON_MUB_624_GOLD - W6*Q6) / O6),"")</f>
        <v>52</v>
      </c>
      <c r="W6" s="763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25</v>
      </c>
      <c r="I7" s="1104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6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4" t="str" cm="1">
        <f t="array" ref="U7">IFERROR(_xlfn.CEILING.MATH((AGITO_WEAPON_MUB_624_SILVER - V7*N7) / L7),"")</f>
        <v/>
      </c>
      <c r="V7" s="765" t="str" cm="1">
        <f t="array" ref="V7">IFERROR(_xlfn.CEILING.MATH((AGITO_WEAPON_MUB_624_GOLD - W7*Q7) / O7),"")</f>
        <v/>
      </c>
      <c r="W7" s="766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04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5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7" t="str" cm="1">
        <f t="array" ref="U8">IFERROR(_xlfn.CEILING.MATH((AGITO_WEAPON_MUB_624_SILVER - V8*N8) / L8),"")</f>
        <v/>
      </c>
      <c r="V8" s="768" t="str" cm="1">
        <f t="array" ref="V8">IFERROR(_xlfn.CEILING.MATH((AGITO_WEAPON_MUB_624_GOLD - W8*Q8) / O8),"")</f>
        <v/>
      </c>
      <c r="W8" s="769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05"/>
      <c r="J9" s="681" t="s">
        <v>211</v>
      </c>
      <c r="K9" s="682">
        <f>IFERROR(COUNT(AGITO_FLAME_STD_SILVER,AGITO_WATER_STD_SILVER,AGITO_WIND_STD_SILVER,AGITO_LIGHT_STD_SILVER,AGITO_SHADOW_STD_SILVER),"")</f>
        <v>669</v>
      </c>
      <c r="L9" s="685">
        <f>IFERROR(AVERAGE(AGITO_FLAME_STD_SILVER,AGITO_WATER_STD_SILVER,AGITO_WIND_STD_SILVER,AGITO_LIGHT_STD_SILVER,AGITO_SHADOW_STD_SILVER) + 2,"")</f>
        <v>7.188340807174888</v>
      </c>
      <c r="M9" s="682">
        <f>IFERROR(COUNT(AGITO_FLAME_EXP_SILVER,AGITO_WATER_EXP_SILVER,AGITO_WIND_EXP_SILVER,AGITO_LIGHT_EXP_SILVER,AGITO_SHADOW_EXP_SILVER),"")</f>
        <v>2409</v>
      </c>
      <c r="N9" s="685">
        <f>IFERROR(AVERAGE(AGITO_FLAME_EXP_SILVER,AGITO_WATER_EXP_SILVER,AGITO_WIND_EXP_SILVER,AGITO_LIGHT_EXP_SILVER,AGITO_SHADOW_EXP_SILVER),"")</f>
        <v>2.6073059360730593</v>
      </c>
      <c r="O9" s="683">
        <f>IFERROR(AVERAGE(AGITO_FLAME_EXP_GOLD,AGITO_WATER_EXP_GOLD,AGITO_WIND_EXP_GOLD,AGITO_LIGHT_EXP_GOLD,AGITO_SHADOW_EXP_GOLD),"")</f>
        <v>3.4719800747198009</v>
      </c>
      <c r="P9" s="682">
        <f>IFERROR(COUNT(AGITO_FLAME_MST_GOLD,AGITO_WATER_MST_GOLD,AGITO_WIND_MST_GOLD,AGITO_LIGHT_MST_GOLD,AGITO_SHADOW_MST_GOLD),"")</f>
        <v>237</v>
      </c>
      <c r="Q9" s="685">
        <f>IFERROR(AVERAGE(AGITO_FLAME_MST_GOLD,AGITO_WATER_MST_GOLD,AGITO_WIND_MST_GOLD,AGITO_LIGHT_MST_GOLD,AGITO_SHADOW_MST_GOLD),"")</f>
        <v>2.0421940928270041</v>
      </c>
      <c r="R9" s="685">
        <f>IFERROR(AVERAGE(AGITO_FLAME_MST_POT,AGITO_WATER_MST_POT,AGITO_WIND_MST_POT,AGITO_LIGHT_MST_POT,AGITO_SHADOW_MST_POT),"")</f>
        <v>3</v>
      </c>
      <c r="S9" s="683">
        <f>IFERROR(AVERAGE(AGITO_FLAME_MST_ORIHAL,AGITO_WATER_MST_ORIHAL,AGITO_WIND_MST_ORIHAL,AGITO_LIGHT_MST_ORIHAL,AGITO_SHADOW_MST_ORIHAL),"")</f>
        <v>1.0928270042194093</v>
      </c>
      <c r="T9" s="649"/>
      <c r="U9" s="793" t="s">
        <v>131</v>
      </c>
      <c r="V9" s="794" t="s">
        <v>131</v>
      </c>
      <c r="W9" s="795" t="s">
        <v>131</v>
      </c>
      <c r="X9" s="644"/>
      <c r="Y9" s="219"/>
      <c r="Z9" s="219"/>
    </row>
    <row r="10" spans="1:26" ht="15" customHeight="1" x14ac:dyDescent="0.25">
      <c r="B10" s="740"/>
      <c r="C10" s="1089" t="s">
        <v>38</v>
      </c>
      <c r="D10" s="1090"/>
      <c r="E10" s="1090"/>
      <c r="F10" s="1091"/>
      <c r="G10" s="742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51"/>
      <c r="V10" s="751"/>
      <c r="W10" s="751"/>
      <c r="X10" s="219"/>
    </row>
    <row r="11" spans="1:26" ht="15" customHeight="1" x14ac:dyDescent="0.25">
      <c r="A11" s="239"/>
      <c r="B11" s="747"/>
      <c r="C11" s="1088" t="s">
        <v>65</v>
      </c>
      <c r="D11" s="1086"/>
      <c r="E11" s="1086" t="s">
        <v>64</v>
      </c>
      <c r="F11" s="1087"/>
      <c r="G11" s="742"/>
      <c r="I11" s="1108" t="s">
        <v>451</v>
      </c>
      <c r="J11" s="727" t="s">
        <v>142</v>
      </c>
      <c r="K11" s="728" t="s">
        <v>7</v>
      </c>
      <c r="L11" s="728" t="s">
        <v>221</v>
      </c>
      <c r="M11" s="728" t="s">
        <v>5</v>
      </c>
      <c r="N11" s="728" t="s">
        <v>10</v>
      </c>
      <c r="O11" s="728" t="s">
        <v>13</v>
      </c>
      <c r="P11" s="728" t="s">
        <v>4</v>
      </c>
      <c r="Q11" s="617" t="s">
        <v>222</v>
      </c>
      <c r="R11" s="650" t="s">
        <v>329</v>
      </c>
      <c r="S11" s="1106" t="s">
        <v>24</v>
      </c>
      <c r="T11" s="1107"/>
      <c r="U11" s="770" t="s">
        <v>324</v>
      </c>
      <c r="V11" s="771" t="s">
        <v>325</v>
      </c>
      <c r="W11" s="771" t="s">
        <v>452</v>
      </c>
      <c r="X11" s="643" t="s">
        <v>296</v>
      </c>
    </row>
    <row r="12" spans="1:26" s="284" customFormat="1" ht="18.95" customHeight="1" x14ac:dyDescent="0.25">
      <c r="B12" s="969" t="s">
        <v>319</v>
      </c>
      <c r="C12" s="1092" t="str">
        <f>IF(ISBLANK(G4),"",INDEX(DATA_AGITO_BUILDING,G4+ 1, 1))</f>
        <v/>
      </c>
      <c r="D12" s="1092"/>
      <c r="E12" s="1092" t="str">
        <f>IF(ISBLANK(G4),"",INDEX(DATA_AGITO_BUILDING,G4+ 1, 2))</f>
        <v/>
      </c>
      <c r="F12" s="1093"/>
      <c r="G12" s="741"/>
      <c r="I12" s="1109"/>
      <c r="J12" s="1114"/>
      <c r="K12" s="1099"/>
      <c r="L12" s="1099"/>
      <c r="M12" s="1099"/>
      <c r="N12" s="1099"/>
      <c r="O12" s="1099"/>
      <c r="P12" s="1099"/>
      <c r="Q12" s="1099"/>
      <c r="R12" s="748" t="str" cm="1">
        <f t="array" ref="R12">IF(ISBLANK(C4),"",(SUM(J15:Q15) + C4) / AGITO_WEAPON_MUB_614_SILVER)</f>
        <v/>
      </c>
      <c r="S12" s="592" t="str" cm="1">
        <f t="array" ref="S12">IF(ISBLANK(C4),"",-(F4 * AGITO_WEAPON_MUB_614_SILVER - SUM(J15:Q15) - C4))</f>
        <v/>
      </c>
      <c r="T12" s="737" t="s">
        <v>65</v>
      </c>
      <c r="U12" s="772" t="str">
        <f>IF(AND(K4&gt;0,S12&lt;0), _xlfn.CEILING.MATH(-S12/L4),"")</f>
        <v/>
      </c>
      <c r="V12" s="773" t="str">
        <f>IF(AND(M4&gt;0,S12&lt;0), _xlfn.CEILING.MATH(-S12/N4),"")</f>
        <v/>
      </c>
      <c r="W12" s="774" t="s">
        <v>131</v>
      </c>
      <c r="X12" s="645" t="str">
        <f>IFERROR((-F4 * AGITO_WEAPON_MUB_614_SILVER - S12)/(-F4 * AGITO_WEAPON_MUB_614_SILVER),"")</f>
        <v/>
      </c>
    </row>
    <row r="13" spans="1:26" s="284" customFormat="1" ht="18.95" customHeight="1" x14ac:dyDescent="0.25">
      <c r="B13" s="971"/>
      <c r="C13" s="1094"/>
      <c r="D13" s="1094"/>
      <c r="E13" s="1094"/>
      <c r="F13" s="1095"/>
      <c r="G13" s="741"/>
      <c r="I13" s="1109"/>
      <c r="J13" s="1115"/>
      <c r="K13" s="1100"/>
      <c r="L13" s="1100"/>
      <c r="M13" s="1100"/>
      <c r="N13" s="1100"/>
      <c r="O13" s="1100"/>
      <c r="P13" s="1100"/>
      <c r="Q13" s="1100"/>
      <c r="R13" s="749" t="str" cm="1">
        <f t="array" ref="R13">IF(ISBLANK(D4),"",(SUM(J16:Q16) + D4) / AGITO_WEAPON_MUB_614_GOLD)</f>
        <v/>
      </c>
      <c r="S13" s="593" t="str" cm="1">
        <f t="array" ref="S13">IF(ISBLANK(D4),"",-(F4 * AGITO_WEAPON_MUB_614_GOLD - SUM(J16:Q16) - D4))</f>
        <v/>
      </c>
      <c r="T13" s="735" t="s">
        <v>64</v>
      </c>
      <c r="U13" s="775" t="s">
        <v>131</v>
      </c>
      <c r="V13" s="776" t="str">
        <f>IF(AND(M4&gt;0,S13&lt;0), _xlfn.CEILING.MATH(-S13/O4),"")</f>
        <v/>
      </c>
      <c r="W13" s="777" t="str">
        <f>IF(AND(P4&gt;0,S13&lt;0), _xlfn.CEILING.MATH(-S13/Q4),"")</f>
        <v/>
      </c>
      <c r="X13" s="646" t="str">
        <f>IFERROR((-F4 * AGITO_WEAPON_MUB_614_GOLD - S13)/(-F4 * AGITO_WEAPON_MUB_614_GOLD),"")</f>
        <v/>
      </c>
    </row>
    <row r="14" spans="1:26" s="284" customFormat="1" ht="18.95" customHeight="1" x14ac:dyDescent="0.25">
      <c r="B14" s="971"/>
      <c r="C14" s="1094"/>
      <c r="D14" s="1094"/>
      <c r="E14" s="1094"/>
      <c r="F14" s="1095"/>
      <c r="G14" s="741"/>
      <c r="I14" s="1109"/>
      <c r="J14" s="1115"/>
      <c r="K14" s="1100"/>
      <c r="L14" s="1100"/>
      <c r="M14" s="1100"/>
      <c r="N14" s="1100"/>
      <c r="O14" s="1100"/>
      <c r="P14" s="1100"/>
      <c r="Q14" s="1100"/>
      <c r="R14" s="749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5" t="s">
        <v>448</v>
      </c>
      <c r="U14" s="775" t="s">
        <v>131</v>
      </c>
      <c r="V14" s="776" t="s">
        <v>131</v>
      </c>
      <c r="W14" s="777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21"/>
      <c r="C15" s="738"/>
      <c r="D15" s="739"/>
      <c r="E15" s="739"/>
      <c r="F15" s="743"/>
      <c r="G15" s="739"/>
      <c r="I15" s="1109"/>
      <c r="J15" s="651">
        <f>_xlfn.IFNA(VLOOKUP(J12,DATA_AGITO_WEAPON,2,FALSE), 0)</f>
        <v>0</v>
      </c>
      <c r="K15" s="652">
        <f>_xlfn.IFNA(VLOOKUP(K12,DATA_AGITO_WEAPON,2,FALSE), 0)</f>
        <v>0</v>
      </c>
      <c r="L15" s="652">
        <f>_xlfn.IFNA(VLOOKUP(L12,DATA_AGITO_WEAPON,2,FALSE), 0)</f>
        <v>0</v>
      </c>
      <c r="M15" s="652">
        <f>_xlfn.IFNA(VLOOKUP(M12,DATA_AGITO_WEAPON,2,FALSE), 0)</f>
        <v>0</v>
      </c>
      <c r="N15" s="652">
        <f>_xlfn.IFNA(VLOOKUP(N12,DATA_AGITO_WEAPON,2,FALSE), 0)</f>
        <v>0</v>
      </c>
      <c r="O15" s="652">
        <f>_xlfn.IFNA(VLOOKUP(O12,DATA_AGITO_WEAPON,2,FALSE), 0)</f>
        <v>0</v>
      </c>
      <c r="P15" s="652">
        <f>_xlfn.IFNA(VLOOKUP(P12,DATA_AGITO_WEAPON,2,FALSE), 0)</f>
        <v>0</v>
      </c>
      <c r="Q15" s="652">
        <f>_xlfn.IFNA(VLOOKUP(Q12,DATA_AGITO_WEAPON,2,FALSE), 0)</f>
        <v>0</v>
      </c>
      <c r="R15" s="749"/>
      <c r="S15" s="607"/>
      <c r="T15" s="735"/>
      <c r="U15" s="775"/>
      <c r="V15" s="776"/>
      <c r="W15" s="777"/>
      <c r="X15" s="646"/>
    </row>
    <row r="16" spans="1:26" ht="39.75" hidden="1" customHeight="1" x14ac:dyDescent="0.25">
      <c r="B16" s="721"/>
      <c r="C16" s="738"/>
      <c r="D16" s="739"/>
      <c r="E16" s="739"/>
      <c r="F16" s="743"/>
      <c r="G16" s="739"/>
      <c r="I16" s="1109"/>
      <c r="J16" s="651">
        <f>_xlfn.IFNA(VLOOKUP(J12,DATA_AGITO_WEAPON,3,FALSE), 0)</f>
        <v>0</v>
      </c>
      <c r="K16" s="652">
        <f>_xlfn.IFNA(VLOOKUP(K12,DATA_AGITO_WEAPON,3,FALSE), 0)</f>
        <v>0</v>
      </c>
      <c r="L16" s="652">
        <f>_xlfn.IFNA(VLOOKUP(L12,DATA_AGITO_WEAPON,3,FALSE), 0)</f>
        <v>0</v>
      </c>
      <c r="M16" s="652">
        <f>_xlfn.IFNA(VLOOKUP(M12,DATA_AGITO_WEAPON,3,FALSE), 0)</f>
        <v>0</v>
      </c>
      <c r="N16" s="652">
        <f>_xlfn.IFNA(VLOOKUP(N12,DATA_AGITO_WEAPON,3,FALSE), 0)</f>
        <v>0</v>
      </c>
      <c r="O16" s="652">
        <f>_xlfn.IFNA(VLOOKUP(O12,DATA_AGITO_WEAPON,3,FALSE), 0)</f>
        <v>0</v>
      </c>
      <c r="P16" s="652">
        <f>_xlfn.IFNA(VLOOKUP(P12,DATA_AGITO_WEAPON,3,FALSE), 0)</f>
        <v>0</v>
      </c>
      <c r="Q16" s="652">
        <f>_xlfn.IFNA(VLOOKUP(Q12,DATA_AGITO_WEAPON,3,FALSE), 0)</f>
        <v>0</v>
      </c>
      <c r="R16" s="749"/>
      <c r="S16" s="607"/>
      <c r="T16" s="735"/>
      <c r="U16" s="775"/>
      <c r="V16" s="776"/>
      <c r="W16" s="777"/>
      <c r="X16" s="646"/>
    </row>
    <row r="17" spans="2:24" s="717" customFormat="1" ht="54" hidden="1" customHeight="1" x14ac:dyDescent="0.25">
      <c r="B17" s="721"/>
      <c r="C17" s="738"/>
      <c r="D17" s="739"/>
      <c r="E17" s="739"/>
      <c r="F17" s="743"/>
      <c r="G17" s="739"/>
      <c r="I17" s="1109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9"/>
      <c r="S17" s="607"/>
      <c r="T17" s="735"/>
      <c r="U17" s="775"/>
      <c r="V17" s="776"/>
      <c r="W17" s="777"/>
      <c r="X17" s="646"/>
    </row>
    <row r="18" spans="2:24" s="284" customFormat="1" ht="18.95" customHeight="1" x14ac:dyDescent="0.25">
      <c r="B18" s="967" t="s">
        <v>320</v>
      </c>
      <c r="C18" s="1128">
        <f>IF(ISBLANK(G5),"",INDEX(DATA_AGITO_BUILDING,G5+ 1, 1))</f>
        <v>0</v>
      </c>
      <c r="D18" s="1128"/>
      <c r="E18" s="1128">
        <f>IF(ISBLANK(G5),"",INDEX(DATA_AGITO_BUILDING,G5+ 1, 2))</f>
        <v>0</v>
      </c>
      <c r="F18" s="1129"/>
      <c r="G18" s="741"/>
      <c r="I18" s="1109"/>
      <c r="J18" s="1113">
        <v>614</v>
      </c>
      <c r="K18" s="1098">
        <v>614</v>
      </c>
      <c r="L18" s="1098">
        <v>614</v>
      </c>
      <c r="M18" s="1098">
        <v>614</v>
      </c>
      <c r="N18" s="1098">
        <v>614</v>
      </c>
      <c r="O18" s="1098">
        <v>614</v>
      </c>
      <c r="P18" s="1098">
        <v>614</v>
      </c>
      <c r="Q18" s="1098">
        <v>614</v>
      </c>
      <c r="R18" s="749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5" t="s">
        <v>65</v>
      </c>
      <c r="U18" s="775" t="str">
        <f>IF(AND(K5&gt;0,S18&lt;0), _xlfn.CEILING.MATH(-S18/L5),"")</f>
        <v/>
      </c>
      <c r="V18" s="776" t="str">
        <f>IF(AND(M5&gt;0,S18&lt;0), _xlfn.CEILING.MATH(-S18/N5),"")</f>
        <v/>
      </c>
      <c r="W18" s="777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67"/>
      <c r="C19" s="1128"/>
      <c r="D19" s="1128"/>
      <c r="E19" s="1128"/>
      <c r="F19" s="1129"/>
      <c r="G19" s="741"/>
      <c r="I19" s="1109"/>
      <c r="J19" s="1113"/>
      <c r="K19" s="1098"/>
      <c r="L19" s="1098"/>
      <c r="M19" s="1098"/>
      <c r="N19" s="1098"/>
      <c r="O19" s="1098"/>
      <c r="P19" s="1098"/>
      <c r="Q19" s="1098"/>
      <c r="R19" s="749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5" t="s">
        <v>64</v>
      </c>
      <c r="U19" s="775" t="s">
        <v>131</v>
      </c>
      <c r="V19" s="776" t="str">
        <f>IF(AND(M5&gt;0,S19&lt;0), _xlfn.CEILING.MATH(-S19/O5),"")</f>
        <v/>
      </c>
      <c r="W19" s="777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67"/>
      <c r="C20" s="1128"/>
      <c r="D20" s="1128"/>
      <c r="E20" s="1128"/>
      <c r="F20" s="1129"/>
      <c r="G20" s="741"/>
      <c r="I20" s="1109"/>
      <c r="J20" s="1113"/>
      <c r="K20" s="1098"/>
      <c r="L20" s="1098"/>
      <c r="M20" s="1098"/>
      <c r="N20" s="1098"/>
      <c r="O20" s="1098"/>
      <c r="P20" s="1098"/>
      <c r="Q20" s="1098"/>
      <c r="R20" s="749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5" t="s">
        <v>448</v>
      </c>
      <c r="U20" s="775" t="s">
        <v>131</v>
      </c>
      <c r="V20" s="776" t="s">
        <v>131</v>
      </c>
      <c r="W20" s="777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20"/>
      <c r="C21" s="738" t="str">
        <f>IF(ISBLANK(G10),"",INDEX(DATA_AGITO_BUILDING,G10+ 1, 1))</f>
        <v/>
      </c>
      <c r="D21" s="739"/>
      <c r="E21" s="739" t="str">
        <f>IF(ISBLANK(G10),"",INDEX(DATA_AGITO_BUILDING,G10+ 1, 2))</f>
        <v/>
      </c>
      <c r="F21" s="743"/>
      <c r="G21" s="739"/>
      <c r="I21" s="1109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9"/>
      <c r="S21" s="607"/>
      <c r="T21" s="735"/>
      <c r="U21" s="775"/>
      <c r="V21" s="776"/>
      <c r="W21" s="777"/>
      <c r="X21" s="646"/>
    </row>
    <row r="22" spans="2:24" ht="24" hidden="1" customHeight="1" x14ac:dyDescent="0.25">
      <c r="B22" s="720"/>
      <c r="C22" s="738"/>
      <c r="D22" s="739"/>
      <c r="E22" s="739"/>
      <c r="F22" s="743"/>
      <c r="G22" s="739"/>
      <c r="I22" s="1109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9"/>
      <c r="S22" s="607"/>
      <c r="T22" s="735"/>
      <c r="U22" s="775"/>
      <c r="V22" s="776"/>
      <c r="W22" s="777"/>
      <c r="X22" s="646"/>
    </row>
    <row r="23" spans="2:24" s="717" customFormat="1" ht="24" hidden="1" customHeight="1" x14ac:dyDescent="0.25">
      <c r="B23" s="720"/>
      <c r="C23" s="738"/>
      <c r="D23" s="739"/>
      <c r="E23" s="739"/>
      <c r="F23" s="743"/>
      <c r="G23" s="739"/>
      <c r="I23" s="1109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9"/>
      <c r="S23" s="607"/>
      <c r="T23" s="735"/>
      <c r="U23" s="775"/>
      <c r="V23" s="776"/>
      <c r="W23" s="777"/>
      <c r="X23" s="646"/>
    </row>
    <row r="24" spans="2:24" s="284" customFormat="1" ht="18.95" customHeight="1" x14ac:dyDescent="0.25">
      <c r="B24" s="919" t="s">
        <v>321</v>
      </c>
      <c r="C24" s="1130">
        <f>IF(ISBLANK(G6),"",INDEX(DATA_AGITO_BUILDING,G6+ 1, 1))</f>
        <v>0</v>
      </c>
      <c r="D24" s="1130"/>
      <c r="E24" s="1130">
        <f>IF(ISBLANK(G6),"",INDEX(DATA_AGITO_BUILDING,G6+ 1, 2))</f>
        <v>0</v>
      </c>
      <c r="F24" s="1131"/>
      <c r="G24" s="741"/>
      <c r="I24" s="1109"/>
      <c r="J24" s="1096">
        <v>624</v>
      </c>
      <c r="K24" s="1097">
        <v>624</v>
      </c>
      <c r="L24" s="1097">
        <v>624</v>
      </c>
      <c r="M24" s="1097">
        <v>624</v>
      </c>
      <c r="N24" s="1097">
        <v>624</v>
      </c>
      <c r="O24" s="1097">
        <v>624</v>
      </c>
      <c r="P24" s="1097">
        <v>624</v>
      </c>
      <c r="Q24" s="1097">
        <v>624</v>
      </c>
      <c r="R24" s="749" cm="1">
        <f t="array" ref="R24">IF(ISBLANK(C6),"",(SUM(J27:Q27) + C6) / AGITO_WEAPON_MUB_624_SILVER)</f>
        <v>19.460714285714285</v>
      </c>
      <c r="S24" s="593" cm="1">
        <f t="array" ref="S24">IF(ISBLANK(C6),"",-(F6*AGITO_WEAPON_MUB_624_SILVER-SUM(J27:Q27)-C6))</f>
        <v>3209</v>
      </c>
      <c r="T24" s="735" t="s">
        <v>65</v>
      </c>
      <c r="U24" s="775" t="str">
        <f>IF(AND(S24&lt;0,K6&gt;0), _xlfn.CEILING.MATH(-S24/L6),"")</f>
        <v/>
      </c>
      <c r="V24" s="776" t="str">
        <f>IF(AND(S24&lt;0,M6&gt;0), _xlfn.CEILING.MATH(-S24/N6),"")</f>
        <v/>
      </c>
      <c r="W24" s="777" t="s">
        <v>131</v>
      </c>
      <c r="X24" s="646">
        <f>IFERROR((-F6 * AGITO_WEAPON_MUB_624_SILVER - S24)/(-F6 * AGITO_WEAPON_MUB_624_SILVER),"")</f>
        <v>2.4325892857142857</v>
      </c>
    </row>
    <row r="25" spans="2:24" s="284" customFormat="1" ht="18.95" customHeight="1" x14ac:dyDescent="0.25">
      <c r="B25" s="919"/>
      <c r="C25" s="1130"/>
      <c r="D25" s="1130"/>
      <c r="E25" s="1130"/>
      <c r="F25" s="1131"/>
      <c r="G25" s="741"/>
      <c r="I25" s="1109"/>
      <c r="J25" s="1096"/>
      <c r="K25" s="1097"/>
      <c r="L25" s="1097"/>
      <c r="M25" s="1097"/>
      <c r="N25" s="1097"/>
      <c r="O25" s="1097"/>
      <c r="P25" s="1097"/>
      <c r="Q25" s="1097"/>
      <c r="R25" s="749" cm="1">
        <f t="array" ref="R25">IF(ISBLANK(D6),"",(SUM(J28:Q28) + D6) / AGITO_WEAPON_MUB_624_GOLD)</f>
        <v>24.074999999999999</v>
      </c>
      <c r="S25" s="593" cm="1">
        <f t="array" ref="S25">IF(ISBLANK(D6),"",-(F6 * AGITO_WEAPON_MUB_624_GOLD - SUM(J28:Q28) - D6))</f>
        <v>3215</v>
      </c>
      <c r="T25" s="735" t="s">
        <v>64</v>
      </c>
      <c r="U25" s="775" t="s">
        <v>131</v>
      </c>
      <c r="V25" s="776" t="str">
        <f>IF(AND(M6&gt;0,S25&lt;0), _xlfn.CEILING.MATH(-S25/O6),"")</f>
        <v/>
      </c>
      <c r="W25" s="777" t="str">
        <f>IF(AND(P6&gt;0,S25&lt;0), _xlfn.CEILING.MATH(-S25/Q6),"")</f>
        <v/>
      </c>
      <c r="X25" s="646">
        <f>IFERROR((-F6 * AGITO_WEAPON_MUB_624_GOLD - S25)/(-F6 * AGITO_WEAPON_MUB_624_GOLD),"")</f>
        <v>3.0093749999999999</v>
      </c>
    </row>
    <row r="26" spans="2:24" s="284" customFormat="1" ht="18.95" customHeight="1" x14ac:dyDescent="0.25">
      <c r="B26" s="919"/>
      <c r="C26" s="1130"/>
      <c r="D26" s="1130"/>
      <c r="E26" s="1130"/>
      <c r="F26" s="1131"/>
      <c r="G26" s="741"/>
      <c r="I26" s="1109"/>
      <c r="J26" s="1096"/>
      <c r="K26" s="1097"/>
      <c r="L26" s="1097"/>
      <c r="M26" s="1097"/>
      <c r="N26" s="1097"/>
      <c r="O26" s="1097"/>
      <c r="P26" s="1097"/>
      <c r="Q26" s="1097"/>
      <c r="R26" s="749" cm="1">
        <f t="array" ref="R26">IF(ISBLANK(E6),"",(SUM(J29:Q29) + E6) / AGITO_WEAPON_MUB_624_POT)</f>
        <v>22.37142857142857</v>
      </c>
      <c r="S26" s="593" cm="1">
        <f t="array" ref="S26">IF(ISBLANK(E6),"",-(F6 * AGITO_WEAPON_MUB_624_POT - SUM(J29:Q29) - E6))</f>
        <v>503</v>
      </c>
      <c r="T26" s="735" t="s">
        <v>448</v>
      </c>
      <c r="U26" s="775" t="s">
        <v>131</v>
      </c>
      <c r="V26" s="776" t="s">
        <v>131</v>
      </c>
      <c r="W26" s="777" t="str">
        <f>IF(AND(P6&gt;0,S25&lt;0), _xlfn.CEILING.MATH(-S25/R6),"")</f>
        <v/>
      </c>
      <c r="X26" s="646">
        <f>IFERROR((-F6 * AGITO_WEAPON_MUB_624_POT - S26)/(-F6 * AGITO_WEAPON_MUB_624_POT),"")</f>
        <v>2.7964285714285713</v>
      </c>
    </row>
    <row r="27" spans="2:24" ht="27" hidden="1" customHeight="1" x14ac:dyDescent="0.25">
      <c r="B27" s="724"/>
      <c r="C27" s="738" t="str">
        <f>IF(ISBLANK(G15),"",INDEX(DATA_AGITO_BUILDING,G15+ 1, 1))</f>
        <v/>
      </c>
      <c r="D27" s="739"/>
      <c r="E27" s="739" t="str">
        <f>IF(ISBLANK(G15),"",INDEX(DATA_AGITO_BUILDING,G15+ 1, 2))</f>
        <v/>
      </c>
      <c r="F27" s="743"/>
      <c r="G27" s="739"/>
      <c r="I27" s="1109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9"/>
      <c r="S27" s="607"/>
      <c r="T27" s="735"/>
      <c r="U27" s="775"/>
      <c r="V27" s="776"/>
      <c r="W27" s="777"/>
      <c r="X27" s="646"/>
    </row>
    <row r="28" spans="2:24" ht="29.25" hidden="1" customHeight="1" x14ac:dyDescent="0.25">
      <c r="B28" s="724"/>
      <c r="C28" s="738"/>
      <c r="D28" s="739"/>
      <c r="E28" s="739"/>
      <c r="F28" s="743"/>
      <c r="G28" s="739"/>
      <c r="I28" s="1109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9"/>
      <c r="S28" s="607"/>
      <c r="T28" s="735"/>
      <c r="U28" s="775"/>
      <c r="V28" s="776"/>
      <c r="W28" s="777"/>
      <c r="X28" s="646"/>
    </row>
    <row r="29" spans="2:24" s="717" customFormat="1" ht="29.25" hidden="1" customHeight="1" x14ac:dyDescent="0.25">
      <c r="B29" s="724"/>
      <c r="C29" s="738"/>
      <c r="D29" s="739"/>
      <c r="E29" s="739"/>
      <c r="F29" s="743"/>
      <c r="G29" s="739"/>
      <c r="I29" s="1109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9"/>
      <c r="S29" s="607"/>
      <c r="T29" s="735"/>
      <c r="U29" s="775"/>
      <c r="V29" s="776"/>
      <c r="W29" s="777"/>
      <c r="X29" s="646"/>
    </row>
    <row r="30" spans="2:24" ht="18.95" customHeight="1" x14ac:dyDescent="0.25">
      <c r="B30" s="944" t="s">
        <v>322</v>
      </c>
      <c r="C30" s="1125">
        <f>IF(ISBLANK(G7),"",INDEX(DATA_AGITO_BUILDING,G7+ 1, 1))</f>
        <v>0</v>
      </c>
      <c r="D30" s="1125"/>
      <c r="E30" s="1125">
        <f>IF(ISBLANK(G7),"",INDEX(DATA_AGITO_BUILDING,G7+ 1, 2))</f>
        <v>0</v>
      </c>
      <c r="F30" s="1126"/>
      <c r="G30" s="741"/>
      <c r="I30" s="1109"/>
      <c r="J30" s="1117">
        <v>614</v>
      </c>
      <c r="K30" s="1116">
        <v>614</v>
      </c>
      <c r="L30" s="1116">
        <v>614</v>
      </c>
      <c r="M30" s="1116">
        <v>614</v>
      </c>
      <c r="N30" s="1116">
        <v>614</v>
      </c>
      <c r="O30" s="1116">
        <v>614</v>
      </c>
      <c r="P30" s="1116">
        <v>614</v>
      </c>
      <c r="Q30" s="1116">
        <v>614</v>
      </c>
      <c r="R30" s="749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5" t="s">
        <v>65</v>
      </c>
      <c r="U30" s="775" t="str">
        <f>IF(AND(S30&lt;0,K7&gt;0), _xlfn.CEILING.MATH(-S30/L7),"")</f>
        <v/>
      </c>
      <c r="V30" s="776" t="str">
        <f>IF(AND(S30&lt;0,M7&gt;0), _xlfn.CEILING.MATH(-S30/N7),"")</f>
        <v/>
      </c>
      <c r="W30" s="777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944"/>
      <c r="C31" s="1125"/>
      <c r="D31" s="1125"/>
      <c r="E31" s="1125"/>
      <c r="F31" s="1126"/>
      <c r="G31" s="741"/>
      <c r="I31" s="1109"/>
      <c r="J31" s="1117"/>
      <c r="K31" s="1116"/>
      <c r="L31" s="1116"/>
      <c r="M31" s="1116"/>
      <c r="N31" s="1116"/>
      <c r="O31" s="1116"/>
      <c r="P31" s="1116"/>
      <c r="Q31" s="1116"/>
      <c r="R31" s="749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5" t="s">
        <v>64</v>
      </c>
      <c r="U31" s="775" t="s">
        <v>131</v>
      </c>
      <c r="V31" s="776" t="str">
        <f>IF(AND(S31&lt;0,M7&gt;0), _xlfn.CEILING.MATH(-S31/O7),"")</f>
        <v/>
      </c>
      <c r="W31" s="777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7" customFormat="1" ht="18.95" customHeight="1" x14ac:dyDescent="0.25">
      <c r="B32" s="944"/>
      <c r="C32" s="1125"/>
      <c r="D32" s="1125"/>
      <c r="E32" s="1125"/>
      <c r="F32" s="1126"/>
      <c r="G32" s="741"/>
      <c r="I32" s="1109"/>
      <c r="J32" s="1117"/>
      <c r="K32" s="1116"/>
      <c r="L32" s="1116"/>
      <c r="M32" s="1116"/>
      <c r="N32" s="1116"/>
      <c r="O32" s="1116"/>
      <c r="P32" s="1116"/>
      <c r="Q32" s="1116"/>
      <c r="R32" s="749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5" t="s">
        <v>448</v>
      </c>
      <c r="U32" s="775" t="s">
        <v>131</v>
      </c>
      <c r="V32" s="776" t="s">
        <v>131</v>
      </c>
      <c r="W32" s="777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3"/>
      <c r="C33" s="738" t="str">
        <f>IF(ISBLANK(G21),"",INDEX(DATA_AGITO_BUILDING,G21+ 1, 1))</f>
        <v/>
      </c>
      <c r="D33" s="739"/>
      <c r="E33" s="739" t="str">
        <f>IF(ISBLANK(G21),"",INDEX(DATA_AGITO_BUILDING,G21+ 1, 2))</f>
        <v/>
      </c>
      <c r="F33" s="743"/>
      <c r="G33" s="739"/>
      <c r="I33" s="1109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9"/>
      <c r="S33" s="607"/>
      <c r="T33" s="735"/>
      <c r="U33" s="775"/>
      <c r="V33" s="776"/>
      <c r="W33" s="777"/>
      <c r="X33" s="646"/>
    </row>
    <row r="34" spans="2:24" ht="27.75" hidden="1" customHeight="1" x14ac:dyDescent="0.25">
      <c r="B34" s="723"/>
      <c r="C34" s="738"/>
      <c r="D34" s="739"/>
      <c r="E34" s="739"/>
      <c r="F34" s="743"/>
      <c r="G34" s="739"/>
      <c r="I34" s="1109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9"/>
      <c r="S34" s="607"/>
      <c r="T34" s="735"/>
      <c r="U34" s="775"/>
      <c r="V34" s="776"/>
      <c r="W34" s="777"/>
      <c r="X34" s="646"/>
    </row>
    <row r="35" spans="2:24" s="717" customFormat="1" ht="27.75" hidden="1" customHeight="1" x14ac:dyDescent="0.25">
      <c r="B35" s="723"/>
      <c r="C35" s="738"/>
      <c r="D35" s="739"/>
      <c r="E35" s="739"/>
      <c r="F35" s="743"/>
      <c r="G35" s="739"/>
      <c r="I35" s="1109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9"/>
      <c r="S35" s="607"/>
      <c r="T35" s="735"/>
      <c r="U35" s="775"/>
      <c r="V35" s="776"/>
      <c r="W35" s="777"/>
      <c r="X35" s="646"/>
    </row>
    <row r="36" spans="2:24" ht="18.95" customHeight="1" x14ac:dyDescent="0.25">
      <c r="B36" s="1127" t="s">
        <v>323</v>
      </c>
      <c r="C36" s="1121" t="str">
        <f>IF(ISBLANK(G8),"",INDEX(DATA_AGITO_BUILDING,G8+ 1, 1))</f>
        <v/>
      </c>
      <c r="D36" s="1121"/>
      <c r="E36" s="1121" t="str">
        <f>IF(ISBLANK(G8),"",INDEX(DATA_AGITO_BUILDING,G8+ 1, 2))</f>
        <v/>
      </c>
      <c r="F36" s="1122"/>
      <c r="G36" s="741"/>
      <c r="I36" s="1109"/>
      <c r="J36" s="1111"/>
      <c r="K36" s="1084"/>
      <c r="L36" s="1084"/>
      <c r="M36" s="1084"/>
      <c r="N36" s="1084"/>
      <c r="O36" s="1084"/>
      <c r="P36" s="1084"/>
      <c r="Q36" s="1084"/>
      <c r="R36" s="749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5" t="s">
        <v>65</v>
      </c>
      <c r="U36" s="775" t="str">
        <f>IF(AND(S36&lt;0,K8&gt;0), _xlfn.CEILING.MATH(-S36/L8),"")</f>
        <v/>
      </c>
      <c r="V36" s="776" t="str">
        <f>IF(AND(S36&lt;0,M8&gt;0), _xlfn.CEILING.MATH(-S36/N8),"")</f>
        <v/>
      </c>
      <c r="W36" s="777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27"/>
      <c r="C37" s="1121"/>
      <c r="D37" s="1121"/>
      <c r="E37" s="1121"/>
      <c r="F37" s="1122"/>
      <c r="G37" s="741"/>
      <c r="I37" s="1109"/>
      <c r="J37" s="1111"/>
      <c r="K37" s="1084"/>
      <c r="L37" s="1084"/>
      <c r="M37" s="1084"/>
      <c r="N37" s="1084"/>
      <c r="O37" s="1084"/>
      <c r="P37" s="1084"/>
      <c r="Q37" s="1084"/>
      <c r="R37" s="749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5" t="s">
        <v>64</v>
      </c>
      <c r="U37" s="775" t="s">
        <v>131</v>
      </c>
      <c r="V37" s="776" t="str">
        <f>IF(AND(S37&lt;0,M8&gt;0), _xlfn.CEILING.MATH(-S37/O8),"")</f>
        <v/>
      </c>
      <c r="W37" s="777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7" customFormat="1" ht="18.95" customHeight="1" x14ac:dyDescent="0.25">
      <c r="B38" s="940"/>
      <c r="C38" s="1123"/>
      <c r="D38" s="1123"/>
      <c r="E38" s="1123"/>
      <c r="F38" s="1124"/>
      <c r="G38" s="741"/>
      <c r="I38" s="1109"/>
      <c r="J38" s="1112"/>
      <c r="K38" s="1085"/>
      <c r="L38" s="1085"/>
      <c r="M38" s="1085"/>
      <c r="N38" s="1085"/>
      <c r="O38" s="1085"/>
      <c r="P38" s="1085"/>
      <c r="Q38" s="1085"/>
      <c r="R38" s="750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6" t="s">
        <v>448</v>
      </c>
      <c r="U38" s="778" t="s">
        <v>131</v>
      </c>
      <c r="V38" s="779" t="s">
        <v>131</v>
      </c>
      <c r="W38" s="780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09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4"/>
      <c r="S39" s="733"/>
      <c r="T39" s="733"/>
      <c r="U39" s="781"/>
      <c r="V39" s="781"/>
      <c r="W39" s="781"/>
      <c r="X39" s="487"/>
    </row>
    <row r="40" spans="2:24" ht="20.25" hidden="1" customHeight="1" x14ac:dyDescent="0.25">
      <c r="I40" s="1109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4"/>
      <c r="S40" s="733"/>
      <c r="T40" s="733"/>
      <c r="U40" s="781"/>
      <c r="V40" s="781"/>
      <c r="W40" s="781"/>
      <c r="X40" s="487" t="str">
        <f>IFERROR(IF(T37=0,100%,(HDRAG_MAX_BUILDING - T37)/HDRAG_MAX_BUILDING),"")</f>
        <v/>
      </c>
    </row>
    <row r="41" spans="2:24" s="717" customFormat="1" ht="20.25" hidden="1" customHeight="1" x14ac:dyDescent="0.25">
      <c r="I41" s="1110"/>
      <c r="J41" s="722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5"/>
      <c r="S41" s="746"/>
      <c r="T41" s="746"/>
      <c r="U41" s="782"/>
      <c r="V41" s="782"/>
      <c r="W41" s="782"/>
      <c r="X41" s="489"/>
    </row>
    <row r="42" spans="2:24" x14ac:dyDescent="0.25">
      <c r="I42" s="732"/>
    </row>
    <row r="45" spans="2:24" x14ac:dyDescent="0.25">
      <c r="I45" s="659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86"/>
  <sheetViews>
    <sheetView topLeftCell="D441" zoomScaleNormal="100" workbookViewId="0">
      <selection activeCell="AK454" sqref="AK454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717"/>
    <col min="37" max="37" width="9.28515625" style="603"/>
    <col min="38" max="38" width="9.28515625" style="608"/>
    <col min="39" max="16384" width="9.28515625" style="602"/>
  </cols>
  <sheetData>
    <row r="1" spans="1:41" x14ac:dyDescent="0.25">
      <c r="A1" s="604" t="s">
        <v>212</v>
      </c>
      <c r="B1" s="1135" t="s">
        <v>214</v>
      </c>
      <c r="C1" s="1135"/>
      <c r="D1" s="1135" t="s">
        <v>219</v>
      </c>
      <c r="E1" s="1135"/>
      <c r="F1" s="1138"/>
      <c r="G1" s="606" t="s">
        <v>212</v>
      </c>
      <c r="H1" s="1136" t="s">
        <v>214</v>
      </c>
      <c r="I1" s="1136"/>
      <c r="J1" s="1136" t="s">
        <v>219</v>
      </c>
      <c r="K1" s="1136"/>
      <c r="L1" s="1139"/>
      <c r="M1" s="633" t="s">
        <v>212</v>
      </c>
      <c r="N1" s="1071" t="s">
        <v>214</v>
      </c>
      <c r="O1" s="1071"/>
      <c r="P1" s="1071" t="s">
        <v>219</v>
      </c>
      <c r="Q1" s="1071"/>
      <c r="R1" s="1072"/>
      <c r="S1" s="605" t="s">
        <v>212</v>
      </c>
      <c r="T1" s="1137" t="s">
        <v>214</v>
      </c>
      <c r="U1" s="1137"/>
      <c r="V1" s="1137" t="s">
        <v>219</v>
      </c>
      <c r="W1" s="1137"/>
      <c r="X1" s="1076"/>
      <c r="Y1" s="734" t="s">
        <v>212</v>
      </c>
      <c r="Z1" s="1132" t="s">
        <v>214</v>
      </c>
      <c r="AA1" s="1132"/>
      <c r="AB1" s="1132" t="s">
        <v>219</v>
      </c>
      <c r="AC1" s="1132"/>
      <c r="AD1" s="1133"/>
      <c r="AF1" s="1134" t="s">
        <v>326</v>
      </c>
      <c r="AG1" s="1134" t="s">
        <v>449</v>
      </c>
      <c r="AH1" s="1134"/>
      <c r="AI1" s="1134" t="s">
        <v>450</v>
      </c>
      <c r="AJ1" s="1134"/>
      <c r="AL1" s="608">
        <v>610</v>
      </c>
      <c r="AM1" s="602">
        <v>40</v>
      </c>
      <c r="AN1" s="602">
        <v>30</v>
      </c>
      <c r="AO1" s="602">
        <v>0</v>
      </c>
    </row>
    <row r="2" spans="1:41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2" t="s">
        <v>64</v>
      </c>
      <c r="P2" s="712" t="s">
        <v>64</v>
      </c>
      <c r="Q2" s="715" t="s">
        <v>448</v>
      </c>
      <c r="R2" s="712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4"/>
      <c r="AG2" s="731" t="s">
        <v>65</v>
      </c>
      <c r="AH2" s="731" t="s">
        <v>64</v>
      </c>
      <c r="AI2" s="731" t="s">
        <v>65</v>
      </c>
      <c r="AJ2" s="731" t="s">
        <v>64</v>
      </c>
      <c r="AL2" s="608">
        <v>611</v>
      </c>
      <c r="AM2" s="602">
        <v>80</v>
      </c>
      <c r="AN2" s="602">
        <v>60</v>
      </c>
      <c r="AO2" s="602">
        <v>0</v>
      </c>
    </row>
    <row r="3" spans="1:41" x14ac:dyDescent="0.25"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7">
        <f>SUM(AI4:AI$28)</f>
        <v>825</v>
      </c>
      <c r="AH3" s="717">
        <f>SUM(AJ4:AJ$28)</f>
        <v>135</v>
      </c>
      <c r="AI3" s="717">
        <v>20</v>
      </c>
      <c r="AJ3" s="717">
        <v>0</v>
      </c>
      <c r="AL3" s="608">
        <v>612</v>
      </c>
      <c r="AM3" s="602">
        <v>120</v>
      </c>
      <c r="AN3" s="602">
        <v>90</v>
      </c>
      <c r="AO3" s="602">
        <v>0</v>
      </c>
    </row>
    <row r="4" spans="1:41" x14ac:dyDescent="0.25"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7">
        <f>SUM(AI5:AI$28)</f>
        <v>815</v>
      </c>
      <c r="AH4" s="717">
        <f>SUM(AJ5:AJ$28)</f>
        <v>135</v>
      </c>
      <c r="AI4" s="717">
        <v>10</v>
      </c>
      <c r="AJ4" s="717">
        <v>0</v>
      </c>
      <c r="AL4" s="608">
        <v>613</v>
      </c>
      <c r="AM4" s="602">
        <v>160</v>
      </c>
      <c r="AN4" s="602">
        <v>120</v>
      </c>
      <c r="AO4" s="602">
        <v>0</v>
      </c>
    </row>
    <row r="5" spans="1:41" x14ac:dyDescent="0.25"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7">
        <f>SUM(AI6:AI$28)</f>
        <v>805</v>
      </c>
      <c r="AH5" s="717">
        <f>SUM(AJ6:AJ$28)</f>
        <v>135</v>
      </c>
      <c r="AI5" s="717">
        <v>10</v>
      </c>
      <c r="AJ5" s="717">
        <v>0</v>
      </c>
      <c r="AL5" s="608">
        <v>614</v>
      </c>
      <c r="AM5" s="602">
        <v>200</v>
      </c>
      <c r="AN5" s="602">
        <v>150</v>
      </c>
      <c r="AO5" s="602">
        <v>0</v>
      </c>
    </row>
    <row r="6" spans="1:41" x14ac:dyDescent="0.25"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7">
        <f>SUM(AI7:AI$28)</f>
        <v>785</v>
      </c>
      <c r="AH6" s="717">
        <f>SUM(AJ7:AJ$28)</f>
        <v>135</v>
      </c>
      <c r="AI6" s="717">
        <v>20</v>
      </c>
      <c r="AJ6" s="717">
        <v>0</v>
      </c>
      <c r="AL6" s="222">
        <v>624</v>
      </c>
      <c r="AM6" s="602">
        <v>280</v>
      </c>
      <c r="AN6" s="602">
        <v>200</v>
      </c>
      <c r="AO6" s="602">
        <v>35</v>
      </c>
    </row>
    <row r="7" spans="1:41" x14ac:dyDescent="0.25"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7">
        <f>SUM(AI8:AI$28)</f>
        <v>765</v>
      </c>
      <c r="AH7" s="717">
        <f>SUM(AJ8:AJ$28)</f>
        <v>135</v>
      </c>
      <c r="AI7" s="717">
        <v>20</v>
      </c>
      <c r="AJ7" s="717">
        <v>0</v>
      </c>
    </row>
    <row r="8" spans="1:41" x14ac:dyDescent="0.25"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7">
        <f>SUM(AI9:AI$28)</f>
        <v>735</v>
      </c>
      <c r="AH8" s="717">
        <f>SUM(AJ9:AJ$28)</f>
        <v>135</v>
      </c>
      <c r="AI8" s="717">
        <v>30</v>
      </c>
      <c r="AJ8" s="717">
        <v>0</v>
      </c>
    </row>
    <row r="9" spans="1:41" x14ac:dyDescent="0.25"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7">
        <f>SUM(AI10:AI$28)</f>
        <v>705</v>
      </c>
      <c r="AH9" s="717">
        <f>SUM(AJ10:AJ$28)</f>
        <v>135</v>
      </c>
      <c r="AI9" s="717">
        <v>30</v>
      </c>
      <c r="AJ9" s="717">
        <v>0</v>
      </c>
    </row>
    <row r="10" spans="1:41" x14ac:dyDescent="0.25"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7">
        <f>SUM(AI11:AI$28)</f>
        <v>675</v>
      </c>
      <c r="AH10" s="717">
        <f>SUM(AJ11:AJ$28)</f>
        <v>135</v>
      </c>
      <c r="AI10" s="717">
        <v>30</v>
      </c>
      <c r="AJ10" s="717">
        <v>0</v>
      </c>
    </row>
    <row r="11" spans="1:41" x14ac:dyDescent="0.25"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7">
        <f>SUM(AI12:AI$28)</f>
        <v>645</v>
      </c>
      <c r="AH11" s="717">
        <f>SUM(AJ12:AJ$28)</f>
        <v>135</v>
      </c>
      <c r="AI11" s="717">
        <v>30</v>
      </c>
      <c r="AJ11" s="717">
        <v>0</v>
      </c>
    </row>
    <row r="12" spans="1:41" x14ac:dyDescent="0.25"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7">
        <f>SUM(AI13:AI$28)</f>
        <v>615</v>
      </c>
      <c r="AH12" s="717">
        <f>SUM(AJ13:AJ$28)</f>
        <v>135</v>
      </c>
      <c r="AI12" s="717">
        <v>30</v>
      </c>
      <c r="AJ12" s="717">
        <v>0</v>
      </c>
    </row>
    <row r="13" spans="1:41" x14ac:dyDescent="0.25"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7">
        <f>SUM(AI14:AI$28)</f>
        <v>580</v>
      </c>
      <c r="AH13" s="717">
        <f>SUM(AJ14:AJ$28)</f>
        <v>130</v>
      </c>
      <c r="AI13" s="717">
        <v>35</v>
      </c>
      <c r="AJ13" s="717">
        <v>5</v>
      </c>
    </row>
    <row r="14" spans="1:41" x14ac:dyDescent="0.25"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7">
        <f>SUM(AI15:AI$28)</f>
        <v>545</v>
      </c>
      <c r="AH14" s="717">
        <f>SUM(AJ15:AJ$28)</f>
        <v>125</v>
      </c>
      <c r="AI14" s="717">
        <v>35</v>
      </c>
      <c r="AJ14" s="717">
        <v>5</v>
      </c>
    </row>
    <row r="15" spans="1:41" x14ac:dyDescent="0.25"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7">
        <f>SUM(AI16:AI$28)</f>
        <v>510</v>
      </c>
      <c r="AH15" s="717">
        <f>SUM(AJ16:AJ$28)</f>
        <v>120</v>
      </c>
      <c r="AI15" s="717">
        <v>35</v>
      </c>
      <c r="AJ15" s="717">
        <v>5</v>
      </c>
    </row>
    <row r="16" spans="1:41" x14ac:dyDescent="0.25"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7">
        <f>SUM(AI17:AI$28)</f>
        <v>475</v>
      </c>
      <c r="AH16" s="717">
        <f>SUM(AJ17:AJ$28)</f>
        <v>115</v>
      </c>
      <c r="AI16" s="717">
        <v>35</v>
      </c>
      <c r="AJ16" s="717">
        <v>5</v>
      </c>
    </row>
    <row r="17" spans="7:41" x14ac:dyDescent="0.25"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7">
        <f>SUM(AI18:AI$28)</f>
        <v>440</v>
      </c>
      <c r="AH17" s="717">
        <f>SUM(AJ18:AJ$28)</f>
        <v>110</v>
      </c>
      <c r="AI17" s="717">
        <v>35</v>
      </c>
      <c r="AJ17" s="717">
        <v>5</v>
      </c>
    </row>
    <row r="18" spans="7:41" x14ac:dyDescent="0.25"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7">
        <f>SUM(AI19:AI$28)</f>
        <v>400</v>
      </c>
      <c r="AH18" s="717">
        <f>SUM(AJ19:AJ$28)</f>
        <v>100</v>
      </c>
      <c r="AI18" s="717">
        <v>40</v>
      </c>
      <c r="AJ18" s="717">
        <v>10</v>
      </c>
      <c r="AK18" s="717"/>
      <c r="AM18" s="717"/>
      <c r="AN18" s="717"/>
      <c r="AO18" s="717"/>
    </row>
    <row r="19" spans="7:41" x14ac:dyDescent="0.25"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7">
        <v>16</v>
      </c>
      <c r="AG19" s="717">
        <f>SUM(AI20:AI$28)</f>
        <v>360</v>
      </c>
      <c r="AH19" s="717">
        <f>SUM(AJ20:AJ$28)</f>
        <v>90</v>
      </c>
      <c r="AI19" s="717">
        <v>40</v>
      </c>
      <c r="AJ19" s="717">
        <v>10</v>
      </c>
      <c r="AK19" s="717"/>
      <c r="AM19" s="717"/>
      <c r="AN19" s="717"/>
      <c r="AO19" s="717"/>
    </row>
    <row r="20" spans="7:41" x14ac:dyDescent="0.25"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7">
        <v>17</v>
      </c>
      <c r="AG20" s="717">
        <f>SUM(AI21:AI$28)</f>
        <v>320</v>
      </c>
      <c r="AH20" s="717">
        <f>SUM(AJ21:AJ$28)</f>
        <v>80</v>
      </c>
      <c r="AI20" s="717">
        <v>40</v>
      </c>
      <c r="AJ20" s="717">
        <v>10</v>
      </c>
      <c r="AK20" s="717"/>
      <c r="AM20" s="717"/>
      <c r="AN20" s="717"/>
      <c r="AO20" s="717"/>
    </row>
    <row r="21" spans="7:41" x14ac:dyDescent="0.25"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7">
        <v>18</v>
      </c>
      <c r="AG21" s="717">
        <f>SUM(AI22:AI$28)</f>
        <v>280</v>
      </c>
      <c r="AH21" s="717">
        <f>SUM(AJ22:AJ$28)</f>
        <v>70</v>
      </c>
      <c r="AI21" s="717">
        <v>40</v>
      </c>
      <c r="AJ21" s="717">
        <v>10</v>
      </c>
      <c r="AK21" s="717"/>
      <c r="AM21" s="717"/>
      <c r="AN21" s="717"/>
      <c r="AO21" s="717"/>
    </row>
    <row r="22" spans="7:41" x14ac:dyDescent="0.25"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7">
        <v>19</v>
      </c>
      <c r="AG22" s="717">
        <f>SUM(AI23:AI$28)</f>
        <v>240</v>
      </c>
      <c r="AH22" s="717">
        <f>SUM(AJ23:AJ$28)</f>
        <v>60</v>
      </c>
      <c r="AI22" s="717">
        <v>40</v>
      </c>
      <c r="AJ22" s="717">
        <v>10</v>
      </c>
      <c r="AK22" s="717"/>
      <c r="AM22" s="717"/>
      <c r="AN22" s="717"/>
      <c r="AO22" s="717"/>
    </row>
    <row r="23" spans="7:41" x14ac:dyDescent="0.25"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7">
        <v>20</v>
      </c>
      <c r="AG23" s="717">
        <f>SUM(AI24:AI$28)</f>
        <v>200</v>
      </c>
      <c r="AH23" s="717">
        <f>SUM(AJ24:AJ$28)</f>
        <v>50</v>
      </c>
      <c r="AI23" s="717">
        <v>40</v>
      </c>
      <c r="AJ23" s="717">
        <v>10</v>
      </c>
      <c r="AK23" s="717"/>
      <c r="AM23" s="717"/>
      <c r="AN23" s="717"/>
      <c r="AO23" s="717"/>
    </row>
    <row r="24" spans="7:41" x14ac:dyDescent="0.25"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7">
        <v>21</v>
      </c>
      <c r="AG24" s="717">
        <f>SUM(AI25:AI$28)</f>
        <v>160</v>
      </c>
      <c r="AH24" s="717">
        <f>SUM(AJ25:AJ$28)</f>
        <v>40</v>
      </c>
      <c r="AI24" s="717">
        <v>40</v>
      </c>
      <c r="AJ24" s="717">
        <v>10</v>
      </c>
      <c r="AK24" s="717"/>
      <c r="AM24" s="717"/>
      <c r="AN24" s="717"/>
      <c r="AO24" s="717"/>
    </row>
    <row r="25" spans="7:41" x14ac:dyDescent="0.25"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7">
        <v>22</v>
      </c>
      <c r="AG25" s="717">
        <f>SUM(AI26:AI$28)</f>
        <v>120</v>
      </c>
      <c r="AH25" s="717">
        <f>SUM(AJ26:AJ$28)</f>
        <v>30</v>
      </c>
      <c r="AI25" s="717">
        <v>40</v>
      </c>
      <c r="AJ25" s="717">
        <v>10</v>
      </c>
      <c r="AK25" s="717"/>
      <c r="AM25" s="717"/>
      <c r="AN25" s="717"/>
      <c r="AO25" s="717"/>
    </row>
    <row r="26" spans="7:41" x14ac:dyDescent="0.25"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7">
        <v>23</v>
      </c>
      <c r="AG26" s="717">
        <f>SUM(AI27:AI$28)</f>
        <v>80</v>
      </c>
      <c r="AH26" s="717">
        <f>SUM(AJ27:AJ$28)</f>
        <v>20</v>
      </c>
      <c r="AI26" s="717">
        <v>40</v>
      </c>
      <c r="AJ26" s="717">
        <v>10</v>
      </c>
      <c r="AK26" s="717"/>
      <c r="AM26" s="717"/>
      <c r="AN26" s="717"/>
      <c r="AO26" s="717"/>
    </row>
    <row r="27" spans="7:41" x14ac:dyDescent="0.25"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7">
        <v>24</v>
      </c>
      <c r="AG27" s="717">
        <f>SUM(AI28:AI$28)</f>
        <v>40</v>
      </c>
      <c r="AH27" s="717">
        <f>SUM(AJ28:AJ$28)</f>
        <v>10</v>
      </c>
      <c r="AI27" s="717">
        <v>40</v>
      </c>
      <c r="AJ27" s="717">
        <v>10</v>
      </c>
      <c r="AK27" s="717"/>
      <c r="AM27" s="717"/>
      <c r="AN27" s="717"/>
      <c r="AO27" s="717"/>
    </row>
    <row r="28" spans="7:41" x14ac:dyDescent="0.25"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7">
        <v>25</v>
      </c>
      <c r="AG28" s="717">
        <v>0</v>
      </c>
      <c r="AH28" s="717">
        <v>0</v>
      </c>
      <c r="AI28" s="717">
        <v>40</v>
      </c>
      <c r="AJ28" s="717">
        <v>10</v>
      </c>
    </row>
    <row r="29" spans="7:41" x14ac:dyDescent="0.25"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K29" s="602"/>
      <c r="AL29" s="602"/>
    </row>
    <row r="30" spans="7:41" x14ac:dyDescent="0.25"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J30" s="602"/>
      <c r="AK30" s="602"/>
      <c r="AL30" s="602"/>
    </row>
    <row r="31" spans="7:41" x14ac:dyDescent="0.25"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J31" s="602"/>
      <c r="AK31" s="602"/>
      <c r="AL31" s="602"/>
    </row>
    <row r="32" spans="7:41" x14ac:dyDescent="0.25"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J32" s="602"/>
      <c r="AK32" s="602"/>
      <c r="AL32" s="602"/>
    </row>
    <row r="33" spans="7:38" x14ac:dyDescent="0.25"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J33" s="602"/>
      <c r="AK33" s="602"/>
      <c r="AL33" s="602"/>
    </row>
    <row r="34" spans="7:38" x14ac:dyDescent="0.25"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J34" s="602"/>
      <c r="AK34" s="602"/>
      <c r="AL34" s="602"/>
    </row>
    <row r="35" spans="7:38" x14ac:dyDescent="0.25"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J35" s="602"/>
      <c r="AK35" s="602"/>
      <c r="AL35" s="602"/>
    </row>
    <row r="36" spans="7:38" x14ac:dyDescent="0.25"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J36" s="602"/>
      <c r="AK36" s="602"/>
      <c r="AL36" s="602"/>
    </row>
    <row r="37" spans="7:38" x14ac:dyDescent="0.25"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J37" s="602"/>
      <c r="AK37" s="602"/>
      <c r="AL37" s="602"/>
    </row>
    <row r="38" spans="7:38" x14ac:dyDescent="0.25"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J38" s="602"/>
      <c r="AK38" s="602"/>
      <c r="AL38" s="602"/>
    </row>
    <row r="39" spans="7:38" x14ac:dyDescent="0.25"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J39" s="602"/>
      <c r="AK39" s="602"/>
      <c r="AL39" s="602"/>
    </row>
    <row r="40" spans="7:38" x14ac:dyDescent="0.25"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J40" s="602"/>
      <c r="AK40" s="602"/>
      <c r="AL40" s="602"/>
    </row>
    <row r="41" spans="7:38" x14ac:dyDescent="0.25"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J41" s="602"/>
      <c r="AK41" s="602"/>
      <c r="AL41" s="602"/>
    </row>
    <row r="42" spans="7:38" x14ac:dyDescent="0.25"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J42" s="602"/>
      <c r="AK42" s="602"/>
      <c r="AL42" s="602"/>
    </row>
    <row r="43" spans="7:38" x14ac:dyDescent="0.25"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J43" s="602"/>
      <c r="AK43" s="602"/>
      <c r="AL43" s="602"/>
    </row>
    <row r="44" spans="7:38" x14ac:dyDescent="0.25"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J44" s="602"/>
      <c r="AK44" s="602"/>
      <c r="AL44" s="602"/>
    </row>
    <row r="45" spans="7:38" x14ac:dyDescent="0.25"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J45" s="602"/>
      <c r="AK45" s="602"/>
      <c r="AL45" s="602"/>
    </row>
    <row r="46" spans="7:38" x14ac:dyDescent="0.25"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J46" s="602"/>
    </row>
    <row r="47" spans="7:38" x14ac:dyDescent="0.25"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7:38" x14ac:dyDescent="0.25"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7:21" x14ac:dyDescent="0.25"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7:21" x14ac:dyDescent="0.25"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7:21" x14ac:dyDescent="0.25"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7:21" x14ac:dyDescent="0.25"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7:21" x14ac:dyDescent="0.25"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7:21" x14ac:dyDescent="0.25"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7:21" x14ac:dyDescent="0.25"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7:21" x14ac:dyDescent="0.25"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7:21" x14ac:dyDescent="0.25"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7:21" x14ac:dyDescent="0.25"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7:21" x14ac:dyDescent="0.25"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7:21" x14ac:dyDescent="0.25"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7:21" x14ac:dyDescent="0.25"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7:21" x14ac:dyDescent="0.25"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7:21" x14ac:dyDescent="0.25"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7:21" x14ac:dyDescent="0.25"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7:21" x14ac:dyDescent="0.25"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7:21" x14ac:dyDescent="0.25"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7:21" x14ac:dyDescent="0.25"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7:21" x14ac:dyDescent="0.25"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7:21" x14ac:dyDescent="0.25"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7:21" x14ac:dyDescent="0.25"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7:21" x14ac:dyDescent="0.25"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7:21" x14ac:dyDescent="0.25"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7:21" x14ac:dyDescent="0.25"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7:21" x14ac:dyDescent="0.25"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7:21" x14ac:dyDescent="0.25"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7:21" x14ac:dyDescent="0.25"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7:21" x14ac:dyDescent="0.25"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7:21" x14ac:dyDescent="0.25"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7:21" x14ac:dyDescent="0.25"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7:21" x14ac:dyDescent="0.25"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7:21" x14ac:dyDescent="0.25"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7:21" x14ac:dyDescent="0.25"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7:21" x14ac:dyDescent="0.25"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7:21" x14ac:dyDescent="0.25"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7:21" x14ac:dyDescent="0.25"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7:21" x14ac:dyDescent="0.25"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7:21" x14ac:dyDescent="0.25"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7:21" x14ac:dyDescent="0.25"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7:21" x14ac:dyDescent="0.25"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7:21" x14ac:dyDescent="0.25"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7:21" x14ac:dyDescent="0.25"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7:21" x14ac:dyDescent="0.25"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7:21" x14ac:dyDescent="0.25"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7:21" x14ac:dyDescent="0.25"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7:21" x14ac:dyDescent="0.25"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7:21" x14ac:dyDescent="0.25"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7:21" x14ac:dyDescent="0.25"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7:21" x14ac:dyDescent="0.25"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7:21" x14ac:dyDescent="0.25"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7:21" x14ac:dyDescent="0.25"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7:21" x14ac:dyDescent="0.25"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7:21" x14ac:dyDescent="0.25"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7:21" x14ac:dyDescent="0.25"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7:21" x14ac:dyDescent="0.25"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7:21" x14ac:dyDescent="0.25"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7:21" x14ac:dyDescent="0.25"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7:21" x14ac:dyDescent="0.25"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7:21" x14ac:dyDescent="0.25"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7:21" x14ac:dyDescent="0.25"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7:21" x14ac:dyDescent="0.25"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7:21" x14ac:dyDescent="0.25"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7:21" x14ac:dyDescent="0.25"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7:21" x14ac:dyDescent="0.25"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7:21" x14ac:dyDescent="0.25"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7:21" x14ac:dyDescent="0.25"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7:21" x14ac:dyDescent="0.25"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7:21" x14ac:dyDescent="0.25"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7:21" x14ac:dyDescent="0.25"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7:21" x14ac:dyDescent="0.25"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7:21" x14ac:dyDescent="0.25"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7:21" x14ac:dyDescent="0.25"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7:21" x14ac:dyDescent="0.25"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7:21" x14ac:dyDescent="0.25"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7:21" x14ac:dyDescent="0.25"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7:21" x14ac:dyDescent="0.25"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7:21" x14ac:dyDescent="0.25"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7:21" x14ac:dyDescent="0.25"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7:21" x14ac:dyDescent="0.25"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8:21" x14ac:dyDescent="0.25"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8:21" x14ac:dyDescent="0.25"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8:21" x14ac:dyDescent="0.25"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8:21" x14ac:dyDescent="0.25"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8:21" x14ac:dyDescent="0.25"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8:21" x14ac:dyDescent="0.25"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8:21" x14ac:dyDescent="0.25"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8:21" x14ac:dyDescent="0.25"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8:21" x14ac:dyDescent="0.25"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8:21" x14ac:dyDescent="0.25"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8:21" x14ac:dyDescent="0.25"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8:21" x14ac:dyDescent="0.25"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8:21" x14ac:dyDescent="0.25"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8:21" x14ac:dyDescent="0.25"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8:21" x14ac:dyDescent="0.25"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8:21" x14ac:dyDescent="0.25"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8:21" x14ac:dyDescent="0.25"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8:21" x14ac:dyDescent="0.25"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8:21" x14ac:dyDescent="0.25"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8:21" x14ac:dyDescent="0.25"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8:21" x14ac:dyDescent="0.25"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8:21" x14ac:dyDescent="0.25"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8:21" x14ac:dyDescent="0.25"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8:21" x14ac:dyDescent="0.25"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8:21" x14ac:dyDescent="0.25"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8:21" x14ac:dyDescent="0.25"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8:21" x14ac:dyDescent="0.25"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8:21" x14ac:dyDescent="0.25"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8:21" x14ac:dyDescent="0.25"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8:21" x14ac:dyDescent="0.25"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8:21" x14ac:dyDescent="0.25"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8:21" x14ac:dyDescent="0.25"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8:21" x14ac:dyDescent="0.25"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8:21" x14ac:dyDescent="0.25"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8:21" x14ac:dyDescent="0.25"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8:21" x14ac:dyDescent="0.25"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8:21" x14ac:dyDescent="0.25"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8:21" x14ac:dyDescent="0.25"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8:21" x14ac:dyDescent="0.25"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8:21" x14ac:dyDescent="0.25"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8:21" x14ac:dyDescent="0.25"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8:21" x14ac:dyDescent="0.25"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8:21" x14ac:dyDescent="0.25"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8:21" x14ac:dyDescent="0.25"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8:21" x14ac:dyDescent="0.25"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8:21" x14ac:dyDescent="0.25"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8:21" x14ac:dyDescent="0.25"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8:21" x14ac:dyDescent="0.25"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8:21" x14ac:dyDescent="0.25"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8:21" x14ac:dyDescent="0.25"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8:21" x14ac:dyDescent="0.25"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8:21" x14ac:dyDescent="0.25"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8:21" x14ac:dyDescent="0.25"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8:21" x14ac:dyDescent="0.25"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8:21" x14ac:dyDescent="0.25"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8:21" x14ac:dyDescent="0.25"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8:21" x14ac:dyDescent="0.25"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8:21" x14ac:dyDescent="0.25"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8:21" x14ac:dyDescent="0.25"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8:21" x14ac:dyDescent="0.25"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8:21" x14ac:dyDescent="0.25"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8:21" x14ac:dyDescent="0.25"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8:21" x14ac:dyDescent="0.25"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8:21" x14ac:dyDescent="0.25"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8:21" x14ac:dyDescent="0.25"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8:21" x14ac:dyDescent="0.25"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8:21" x14ac:dyDescent="0.25"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8:21" x14ac:dyDescent="0.25"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8:21" x14ac:dyDescent="0.25"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8:21" x14ac:dyDescent="0.25"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8:21" x14ac:dyDescent="0.25"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8:21" x14ac:dyDescent="0.25"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8:21" x14ac:dyDescent="0.25"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8:21" x14ac:dyDescent="0.25"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8:21" x14ac:dyDescent="0.25"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8:21" x14ac:dyDescent="0.25"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8:21" x14ac:dyDescent="0.25"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8:21" x14ac:dyDescent="0.25"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8:21" x14ac:dyDescent="0.25"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8:21" x14ac:dyDescent="0.25"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8:21" x14ac:dyDescent="0.25"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8:21" x14ac:dyDescent="0.25"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8:21" x14ac:dyDescent="0.25"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8:21" x14ac:dyDescent="0.25"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8:21" x14ac:dyDescent="0.25"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8:21" x14ac:dyDescent="0.25"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8:21" x14ac:dyDescent="0.25"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8:21" x14ac:dyDescent="0.25"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8:21" x14ac:dyDescent="0.25"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8:21" x14ac:dyDescent="0.25"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8:21" x14ac:dyDescent="0.25"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8:21" x14ac:dyDescent="0.25"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8:21" x14ac:dyDescent="0.25"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8:21" x14ac:dyDescent="0.25"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8:21" x14ac:dyDescent="0.25"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8:21" x14ac:dyDescent="0.25"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8:21" x14ac:dyDescent="0.25"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8:21" x14ac:dyDescent="0.25"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8:21" x14ac:dyDescent="0.25"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8:21" x14ac:dyDescent="0.25"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8:21" x14ac:dyDescent="0.25"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8:21" x14ac:dyDescent="0.25"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8:21" x14ac:dyDescent="0.25"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8:21" x14ac:dyDescent="0.25"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8:21" x14ac:dyDescent="0.25"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8:21" x14ac:dyDescent="0.25"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8:21" x14ac:dyDescent="0.25"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8:21" x14ac:dyDescent="0.25"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8:21" x14ac:dyDescent="0.25"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8:21" x14ac:dyDescent="0.25"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8:21" x14ac:dyDescent="0.25"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8:21" x14ac:dyDescent="0.25"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T240" s="295">
        <v>3</v>
      </c>
      <c r="U240" s="295">
        <v>3</v>
      </c>
    </row>
    <row r="241" spans="8:21" x14ac:dyDescent="0.25"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8:21" x14ac:dyDescent="0.25"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8:21" x14ac:dyDescent="0.25"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8:21" x14ac:dyDescent="0.25"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8:21" x14ac:dyDescent="0.25"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8:21" x14ac:dyDescent="0.25"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8:21" x14ac:dyDescent="0.25"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8:21" x14ac:dyDescent="0.25"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8:21" x14ac:dyDescent="0.25"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8:21" x14ac:dyDescent="0.25"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8:21" x14ac:dyDescent="0.25"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8:21" x14ac:dyDescent="0.25"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8:21" x14ac:dyDescent="0.25"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8:21" x14ac:dyDescent="0.25"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8:21" x14ac:dyDescent="0.25"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8:21" x14ac:dyDescent="0.25"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8:21" x14ac:dyDescent="0.25"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8:21" x14ac:dyDescent="0.25"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8:21" x14ac:dyDescent="0.25"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8:21" x14ac:dyDescent="0.25"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8:21" x14ac:dyDescent="0.25"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8:21" x14ac:dyDescent="0.25"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8:21" x14ac:dyDescent="0.25"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8:21" x14ac:dyDescent="0.25"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8:21" x14ac:dyDescent="0.25"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8:21" x14ac:dyDescent="0.25"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8:21" x14ac:dyDescent="0.25"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8:21" x14ac:dyDescent="0.25"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8:21" x14ac:dyDescent="0.25"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8:21" x14ac:dyDescent="0.25"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8:21" x14ac:dyDescent="0.25"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8:21" x14ac:dyDescent="0.25"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8:21" x14ac:dyDescent="0.25"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8:21" x14ac:dyDescent="0.25"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8:21" x14ac:dyDescent="0.25"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8:21" x14ac:dyDescent="0.25"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8:21" x14ac:dyDescent="0.25"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8:21" x14ac:dyDescent="0.25"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8:21" x14ac:dyDescent="0.25"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8:21" x14ac:dyDescent="0.25"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8:21" x14ac:dyDescent="0.25"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8:21" x14ac:dyDescent="0.25"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8:21" x14ac:dyDescent="0.25"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8:21" x14ac:dyDescent="0.25"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8:21" x14ac:dyDescent="0.25"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8:21" x14ac:dyDescent="0.25"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8:21" x14ac:dyDescent="0.25"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8:21" x14ac:dyDescent="0.25"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8:21" x14ac:dyDescent="0.25"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8:21" x14ac:dyDescent="0.25"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8:21" x14ac:dyDescent="0.25"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8:21" x14ac:dyDescent="0.25"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8:21" x14ac:dyDescent="0.25"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8:21" x14ac:dyDescent="0.25"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8:21" x14ac:dyDescent="0.25"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8:21" x14ac:dyDescent="0.25"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8:21" x14ac:dyDescent="0.25"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8:21" x14ac:dyDescent="0.25"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8:21" x14ac:dyDescent="0.25"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8:21" x14ac:dyDescent="0.25"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8:21" x14ac:dyDescent="0.25"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8:21" x14ac:dyDescent="0.25"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8:21" x14ac:dyDescent="0.25"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8:21" x14ac:dyDescent="0.25"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8:21" x14ac:dyDescent="0.25"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8:21" x14ac:dyDescent="0.25"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8:21" x14ac:dyDescent="0.25"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8:21" x14ac:dyDescent="0.25"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8:21" x14ac:dyDescent="0.25"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8:21" x14ac:dyDescent="0.25"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8:21" x14ac:dyDescent="0.25"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8:21" x14ac:dyDescent="0.25"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8:21" x14ac:dyDescent="0.25"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8:21" x14ac:dyDescent="0.25"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8:21" x14ac:dyDescent="0.25"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8:21" x14ac:dyDescent="0.25"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8:21" x14ac:dyDescent="0.25"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8:21" x14ac:dyDescent="0.25"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8:21" x14ac:dyDescent="0.25"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8:21" x14ac:dyDescent="0.25"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8:21" x14ac:dyDescent="0.25"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8:21" x14ac:dyDescent="0.25"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8:21" x14ac:dyDescent="0.25"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8:21" x14ac:dyDescent="0.25"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8:21" x14ac:dyDescent="0.25"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8:21" x14ac:dyDescent="0.25"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8:21" x14ac:dyDescent="0.25"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8:21" x14ac:dyDescent="0.25"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8:21" x14ac:dyDescent="0.25"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8:21" x14ac:dyDescent="0.25"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8:21" x14ac:dyDescent="0.25"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8:21" x14ac:dyDescent="0.25"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8:21" x14ac:dyDescent="0.25"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8:21" x14ac:dyDescent="0.25"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8:21" x14ac:dyDescent="0.25"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8:21" x14ac:dyDescent="0.25"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8:21" x14ac:dyDescent="0.25"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8:21" x14ac:dyDescent="0.25"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8:21" x14ac:dyDescent="0.25"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8:21" x14ac:dyDescent="0.25"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8:21" x14ac:dyDescent="0.25"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8:21" x14ac:dyDescent="0.25"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8:21" x14ac:dyDescent="0.25"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8:21" x14ac:dyDescent="0.25"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8:21" x14ac:dyDescent="0.25"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8:21" x14ac:dyDescent="0.25"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8:21" x14ac:dyDescent="0.25"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8:21" x14ac:dyDescent="0.25"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8:21" x14ac:dyDescent="0.25"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8:21" x14ac:dyDescent="0.25"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8:21" x14ac:dyDescent="0.25"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8:21" x14ac:dyDescent="0.25"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8:21" x14ac:dyDescent="0.25"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8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8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8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8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8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8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8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8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8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8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8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8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8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8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8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N464" s="47">
        <v>3</v>
      </c>
      <c r="O464" s="47">
        <v>4</v>
      </c>
      <c r="T464" s="295">
        <v>2</v>
      </c>
      <c r="U464" s="295">
        <v>3</v>
      </c>
    </row>
    <row r="465" spans="14:21" x14ac:dyDescent="0.25">
      <c r="N465" s="47">
        <v>3</v>
      </c>
      <c r="O465" s="47">
        <v>3</v>
      </c>
      <c r="T465" s="295">
        <v>2</v>
      </c>
      <c r="U465" s="295">
        <v>5</v>
      </c>
    </row>
    <row r="466" spans="14:21" x14ac:dyDescent="0.25">
      <c r="N466" s="47">
        <v>2</v>
      </c>
      <c r="O466" s="47">
        <v>3</v>
      </c>
      <c r="T466" s="295">
        <v>2</v>
      </c>
      <c r="U466" s="295">
        <v>3</v>
      </c>
    </row>
    <row r="467" spans="14:21" x14ac:dyDescent="0.25">
      <c r="N467" s="47">
        <v>4</v>
      </c>
      <c r="O467" s="47">
        <v>3</v>
      </c>
      <c r="T467" s="295">
        <v>2</v>
      </c>
      <c r="U467" s="295">
        <v>3</v>
      </c>
    </row>
    <row r="468" spans="14:21" x14ac:dyDescent="0.25">
      <c r="N468" s="47">
        <v>2</v>
      </c>
      <c r="O468" s="47">
        <v>3</v>
      </c>
      <c r="T468" s="295">
        <v>2</v>
      </c>
      <c r="U468" s="295">
        <v>3</v>
      </c>
    </row>
    <row r="469" spans="14:21" x14ac:dyDescent="0.25">
      <c r="N469" s="47">
        <v>4</v>
      </c>
      <c r="O469" s="47">
        <v>4</v>
      </c>
      <c r="T469" s="295">
        <v>2</v>
      </c>
      <c r="U469" s="295">
        <v>5</v>
      </c>
    </row>
    <row r="470" spans="14:21" x14ac:dyDescent="0.25">
      <c r="N470" s="47">
        <v>3</v>
      </c>
      <c r="O470" s="47">
        <v>3</v>
      </c>
      <c r="T470" s="295">
        <v>3</v>
      </c>
      <c r="U470" s="295">
        <v>3</v>
      </c>
    </row>
    <row r="471" spans="14:21" x14ac:dyDescent="0.25">
      <c r="N471" s="47">
        <v>3</v>
      </c>
      <c r="O471" s="47">
        <v>4</v>
      </c>
      <c r="T471" s="295">
        <v>2</v>
      </c>
      <c r="U471" s="295">
        <v>4</v>
      </c>
    </row>
    <row r="472" spans="14:21" x14ac:dyDescent="0.25">
      <c r="N472" s="47">
        <v>3</v>
      </c>
      <c r="O472" s="47">
        <v>4</v>
      </c>
      <c r="T472" s="295">
        <v>2</v>
      </c>
      <c r="U472" s="295">
        <v>4</v>
      </c>
    </row>
    <row r="473" spans="14:21" x14ac:dyDescent="0.25">
      <c r="N473" s="47">
        <v>3</v>
      </c>
      <c r="O473" s="47">
        <v>4</v>
      </c>
      <c r="T473" s="295">
        <v>2</v>
      </c>
      <c r="U473" s="295">
        <v>3</v>
      </c>
    </row>
    <row r="474" spans="14:21" x14ac:dyDescent="0.25">
      <c r="N474" s="47">
        <v>3</v>
      </c>
      <c r="O474" s="47">
        <v>3</v>
      </c>
      <c r="T474" s="295">
        <v>3</v>
      </c>
      <c r="U474" s="295">
        <v>5</v>
      </c>
    </row>
    <row r="475" spans="14:21" x14ac:dyDescent="0.25">
      <c r="N475" s="47">
        <v>2</v>
      </c>
      <c r="O475" s="47">
        <v>4</v>
      </c>
      <c r="T475" s="295">
        <v>3</v>
      </c>
      <c r="U475" s="295">
        <v>3</v>
      </c>
    </row>
    <row r="476" spans="14:21" x14ac:dyDescent="0.25">
      <c r="N476" s="47">
        <v>2</v>
      </c>
      <c r="O476" s="47">
        <v>3</v>
      </c>
      <c r="T476" s="295">
        <v>2</v>
      </c>
      <c r="U476" s="295">
        <v>3</v>
      </c>
    </row>
    <row r="477" spans="14:21" x14ac:dyDescent="0.25">
      <c r="N477" s="47">
        <v>2</v>
      </c>
      <c r="O477" s="47">
        <v>3</v>
      </c>
      <c r="T477" s="295">
        <v>2</v>
      </c>
      <c r="U477" s="295">
        <v>5</v>
      </c>
    </row>
    <row r="478" spans="14:21" x14ac:dyDescent="0.25">
      <c r="N478" s="47">
        <v>2</v>
      </c>
      <c r="O478" s="47">
        <v>3</v>
      </c>
      <c r="T478" s="295">
        <v>2</v>
      </c>
      <c r="U478" s="295">
        <v>3</v>
      </c>
    </row>
    <row r="479" spans="14:21" x14ac:dyDescent="0.25">
      <c r="N479" s="47">
        <v>2</v>
      </c>
      <c r="O479" s="47">
        <v>4</v>
      </c>
      <c r="T479" s="295">
        <v>2</v>
      </c>
      <c r="U479" s="295">
        <v>4</v>
      </c>
    </row>
    <row r="480" spans="14:21" x14ac:dyDescent="0.25"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4"/>
  <sheetViews>
    <sheetView topLeftCell="A91" workbookViewId="0">
      <selection activeCell="F94" sqref="F94:K94"/>
    </sheetView>
  </sheetViews>
  <sheetFormatPr defaultColWidth="9.140625" defaultRowHeight="15" x14ac:dyDescent="0.25"/>
  <cols>
    <col min="1" max="1" width="16.5703125" style="691" customWidth="1"/>
    <col min="2" max="2" width="27.140625" style="694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2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5"/>
      <c r="B1" s="705"/>
      <c r="C1" s="705"/>
      <c r="D1" s="705"/>
      <c r="E1" s="1140" t="s">
        <v>443</v>
      </c>
      <c r="F1" s="1140"/>
      <c r="G1" s="1140"/>
      <c r="H1" s="1140"/>
      <c r="I1" s="1140"/>
      <c r="J1" s="1140"/>
      <c r="L1" s="1134" t="s">
        <v>444</v>
      </c>
      <c r="M1" s="1134"/>
    </row>
    <row r="2" spans="1:13" s="693" customFormat="1" ht="15" customHeight="1" x14ac:dyDescent="0.25">
      <c r="A2" s="705"/>
      <c r="B2" s="705"/>
      <c r="C2" s="705"/>
      <c r="D2" s="705"/>
      <c r="E2" s="709" t="s">
        <v>441</v>
      </c>
      <c r="F2" s="709" t="s">
        <v>442</v>
      </c>
      <c r="G2" s="709"/>
      <c r="H2" s="707" t="s">
        <v>440</v>
      </c>
      <c r="I2" s="706" t="s">
        <v>131</v>
      </c>
      <c r="J2" s="710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4"/>
      <c r="B3" s="704"/>
      <c r="C3" s="704"/>
      <c r="D3" s="704"/>
      <c r="E3" s="708" cm="1">
        <f t="array" ref="E3">SUMIF($F6:$F100000,"&gt;0") / SCOUT_DAYS_FROM_EARLIEST * 30</f>
        <v>22754.721771635042</v>
      </c>
      <c r="F3" s="708" cm="1">
        <f t="array" ref="F3">SUMIF($H6:$H100000,"&gt;0") / SCOUT_DAYS_FROM_EARLIEST * 30</f>
        <v>58014.867056917537</v>
      </c>
      <c r="G3" s="708"/>
      <c r="H3" s="708" cm="1">
        <f t="array" ref="H3">(SUMIF($F6:$F100000,"&gt;0") + SUMIF($H6:$H100000,"&gt;0")) / SCOUT_DAYS_FROM_EARLIEST * 30</f>
        <v>80769.588828552587</v>
      </c>
      <c r="I3" s="708" cm="1">
        <f t="array" ref="I3">(SUMIF($F6:$F100000,"&lt;0") + SUMIF($H6:$H100000,"&lt;0")) / SCOUT_DAYS_FROM_EARLIEST * 30</f>
        <v>-79406.164045422542</v>
      </c>
      <c r="J3" s="708">
        <f>H3+I3</f>
        <v>1363.4247831300454</v>
      </c>
      <c r="L3" s="95" cm="1">
        <f t="array" ref="L3">SUM(L6:L100000) / SCOUT_DAYS_FROM_EARLIEST * 30</f>
        <v>70954.453769662272</v>
      </c>
      <c r="M3" s="711" cm="1">
        <f t="array" ref="M3">SUM(M6:M100000) / SCOUT_DAYS_FROM_EARLIEST * 30</f>
        <v>1319.2467733973317</v>
      </c>
    </row>
    <row r="4" spans="1:13" s="696" customFormat="1" ht="15" customHeight="1" x14ac:dyDescent="0.25">
      <c r="A4" s="1141" t="s">
        <v>388</v>
      </c>
      <c r="B4" s="1080" t="s">
        <v>395</v>
      </c>
      <c r="C4" s="1080" t="s">
        <v>82</v>
      </c>
      <c r="D4" s="1080"/>
      <c r="E4" s="1080"/>
      <c r="F4" s="1080" t="s">
        <v>94</v>
      </c>
      <c r="G4" s="1080"/>
      <c r="H4" s="1080"/>
      <c r="I4" s="1080"/>
      <c r="J4" s="1080"/>
      <c r="K4" s="797" t="s">
        <v>443</v>
      </c>
      <c r="L4" s="1080" t="s">
        <v>405</v>
      </c>
      <c r="M4" s="1080"/>
    </row>
    <row r="5" spans="1:13" s="687" customFormat="1" ht="15" customHeight="1" x14ac:dyDescent="0.25">
      <c r="A5" s="1142"/>
      <c r="B5" s="1006"/>
      <c r="C5" s="687" t="s">
        <v>389</v>
      </c>
      <c r="D5" s="687" t="s">
        <v>390</v>
      </c>
      <c r="E5" s="687" t="s">
        <v>392</v>
      </c>
      <c r="F5" s="689" t="s">
        <v>389</v>
      </c>
      <c r="G5" s="799" t="s">
        <v>484</v>
      </c>
      <c r="H5" s="689" t="s">
        <v>390</v>
      </c>
      <c r="I5" s="689" t="s">
        <v>392</v>
      </c>
      <c r="J5" s="221" t="s">
        <v>404</v>
      </c>
      <c r="K5" s="798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694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701">
        <f t="shared" ref="J6:J37" si="2">I6/4200*80</f>
        <v>0</v>
      </c>
      <c r="K6" s="690" t="e" cm="1">
        <f t="array" ref="K6">G6 - _xlfn.XLOOKUP(A6-30, $A$6:$A$15000,G$6:$G$15000,NA(),-1,2)</f>
        <v>#N/A</v>
      </c>
    </row>
    <row r="7" spans="1:13" x14ac:dyDescent="0.25">
      <c r="A7" s="691">
        <v>43908.03125</v>
      </c>
      <c r="B7" s="694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701">
        <f t="shared" si="2"/>
        <v>9.5238095238095247E-2</v>
      </c>
      <c r="K7" s="690" t="e" cm="1">
        <f t="array" ref="K7">G7 - _xlfn.XLOOKUP(A7-30, $A$6:$A$15000,G$6:$G$15000,NA(),-1,2)</f>
        <v>#N/A</v>
      </c>
    </row>
    <row r="8" spans="1:13" x14ac:dyDescent="0.25">
      <c r="A8" s="691">
        <v>43908.07916666667</v>
      </c>
      <c r="B8" s="694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701">
        <f t="shared" si="2"/>
        <v>-0.76190476190476197</v>
      </c>
      <c r="K8" s="690" t="e" cm="1">
        <f t="array" ref="K8">G8 - _xlfn.XLOOKUP(A8-30, $A$6:$A$15000,G$6:$G$15000,NA(),-1,2)</f>
        <v>#N/A</v>
      </c>
    </row>
    <row r="9" spans="1:13" x14ac:dyDescent="0.25">
      <c r="A9" s="691">
        <v>43908.806944444441</v>
      </c>
      <c r="B9" s="694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701">
        <f t="shared" si="2"/>
        <v>-4.5714285714285712</v>
      </c>
      <c r="K9" s="690" t="e" cm="1">
        <f t="array" ref="K9">G9 - _xlfn.XLOOKUP(A9-30, $A$6:$A$15000,G$6:$G$15000,NA(),-1,2)</f>
        <v>#N/A</v>
      </c>
    </row>
    <row r="10" spans="1:13" x14ac:dyDescent="0.25">
      <c r="A10" s="691">
        <v>43909.091666666667</v>
      </c>
      <c r="B10" s="694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701">
        <f t="shared" si="2"/>
        <v>-2.4761904761904763</v>
      </c>
      <c r="K10" s="690" t="e" cm="1">
        <f t="array" ref="K10">G10 - _xlfn.XLOOKUP(A10-30, $A$6:$A$15000,G$6:$G$15000,NA(),-1,2)</f>
        <v>#N/A</v>
      </c>
    </row>
    <row r="11" spans="1:13" x14ac:dyDescent="0.25">
      <c r="A11" s="691">
        <v>43909.416666666664</v>
      </c>
      <c r="B11" s="694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701">
        <f t="shared" si="2"/>
        <v>-7.0476190476190483</v>
      </c>
      <c r="K11" s="690" t="e" cm="1">
        <f t="array" ref="K11">G11 - _xlfn.XLOOKUP(A11-30, $A$6:$A$15000,G$6:$G$15000,NA(),-1,2)</f>
        <v>#N/A</v>
      </c>
    </row>
    <row r="12" spans="1:13" x14ac:dyDescent="0.25">
      <c r="A12" s="691">
        <v>43910.165972222225</v>
      </c>
      <c r="B12" s="694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701">
        <f t="shared" si="2"/>
        <v>9.5238095238095237</v>
      </c>
      <c r="K12" s="690" t="e" cm="1">
        <f t="array" ref="K12">G12 - _xlfn.XLOOKUP(A12-30, $A$6:$A$15000,G$6:$G$15000,NA(),-1,2)</f>
        <v>#N/A</v>
      </c>
    </row>
    <row r="13" spans="1:13" x14ac:dyDescent="0.25">
      <c r="A13" s="691">
        <v>43911.053472222222</v>
      </c>
      <c r="B13" s="694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701">
        <f t="shared" si="2"/>
        <v>0.76190476190476197</v>
      </c>
      <c r="K13" s="690" t="e" cm="1">
        <f t="array" ref="K13">G13 - _xlfn.XLOOKUP(A13-30, $A$6:$A$15000,G$6:$G$15000,NA(),-1,2)</f>
        <v>#N/A</v>
      </c>
    </row>
    <row r="14" spans="1:13" x14ac:dyDescent="0.25">
      <c r="A14" s="691">
        <v>43912.175694444442</v>
      </c>
      <c r="B14" s="694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701">
        <f t="shared" si="2"/>
        <v>67.80952380952381</v>
      </c>
      <c r="K14" s="690" t="e" cm="1">
        <f t="array" ref="K14">G14 - _xlfn.XLOOKUP(A14-30, $A$6:$A$15000,G$6:$G$15000,NA(),-1,2)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694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701">
        <f t="shared" si="2"/>
        <v>17.904761904761905</v>
      </c>
      <c r="K15" s="690" t="e" cm="1">
        <f t="array" ref="K15">G15 - _xlfn.XLOOKUP(A15-30, $A$6:$A$15000,G$6:$G$15000,NA(),-1,2)</f>
        <v>#N/A</v>
      </c>
    </row>
    <row r="16" spans="1:13" x14ac:dyDescent="0.25">
      <c r="A16" s="691">
        <v>43913.322916666664</v>
      </c>
      <c r="B16" s="695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701">
        <f t="shared" si="2"/>
        <v>19.428571428571427</v>
      </c>
      <c r="K16" s="690" t="e" cm="1">
        <f t="array" ref="K16">G16 - _xlfn.XLOOKUP(A16-30, $A$6:$A$15000,G$6:$G$15000,NA(),-1,2)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694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701">
        <f t="shared" si="2"/>
        <v>11.047619047619047</v>
      </c>
      <c r="K17" s="690" t="e" cm="1">
        <f t="array" ref="K17">G17 - _xlfn.XLOOKUP(A17-30, $A$6:$A$15000,G$6:$G$15000,NA(),-1,2)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701">
        <f t="shared" si="2"/>
        <v>1.2380952380952381</v>
      </c>
      <c r="K18" s="690" t="e" cm="1">
        <f t="array" ref="K18">G18 - _xlfn.XLOOKUP(A18-30, $A$6:$A$15000,G$6:$G$15000,NA(),-1,2)</f>
        <v>#N/A</v>
      </c>
    </row>
    <row r="19" spans="1:13" x14ac:dyDescent="0.25">
      <c r="A19" s="691">
        <v>43916.006249999999</v>
      </c>
      <c r="B19" s="695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701">
        <f t="shared" si="2"/>
        <v>-1.0476190476190477</v>
      </c>
      <c r="K19" s="690" t="e" cm="1">
        <f t="array" ref="K19">G19 - _xlfn.XLOOKUP(A19-30, $A$6:$A$15000,G$6:$G$15000,NA(),-1,2)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701">
        <f t="shared" si="2"/>
        <v>-1.4285714285714284</v>
      </c>
      <c r="K20" s="690" t="e" cm="1">
        <f t="array" ref="K20">G20 - _xlfn.XLOOKUP(A20-30, $A$6:$A$15000,G$6:$G$15000,NA(),-1,2)</f>
        <v>#N/A</v>
      </c>
    </row>
    <row r="21" spans="1:13" x14ac:dyDescent="0.25">
      <c r="A21" s="691">
        <v>43917.057638888888</v>
      </c>
      <c r="B21" s="694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701">
        <f t="shared" si="2"/>
        <v>-74.857142857142861</v>
      </c>
      <c r="K21" s="690" t="e" cm="1">
        <f t="array" ref="K21">G21 - _xlfn.XLOOKUP(A21-30, $A$6:$A$15000,G$6:$G$15000,NA(),-1,2)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694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701">
        <f t="shared" si="2"/>
        <v>48.38095238095238</v>
      </c>
      <c r="K22" s="690" t="e" cm="1">
        <f t="array" ref="K22">G22 - _xlfn.XLOOKUP(A22-30, $A$6:$A$15000,G$6:$G$15000,NA(),-1,2)</f>
        <v>#N/A</v>
      </c>
    </row>
    <row r="23" spans="1:13" x14ac:dyDescent="0.25">
      <c r="A23" s="691">
        <v>43918.371527777781</v>
      </c>
      <c r="B23" s="694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701">
        <f t="shared" si="2"/>
        <v>96.095238095238088</v>
      </c>
      <c r="K23" s="690" t="e" cm="1">
        <f t="array" ref="K23">G23 - _xlfn.XLOOKUP(A23-30, $A$6:$A$15000,G$6:$G$15000,NA(),-1,2)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701">
        <f t="shared" si="2"/>
        <v>-24.952380952380953</v>
      </c>
      <c r="K24" s="690" t="e" cm="1">
        <f t="array" ref="K24">G24 - _xlfn.XLOOKUP(A24-30, $A$6:$A$15000,G$6:$G$15000,NA(),-1,2)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701">
        <f t="shared" si="2"/>
        <v>2.4761904761904763</v>
      </c>
      <c r="K25" s="690" t="e" cm="1">
        <f t="array" ref="K25">G25 - _xlfn.XLOOKUP(A25-30, $A$6:$A$15000,G$6:$G$15000,NA(),-1,2)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701">
        <f t="shared" si="2"/>
        <v>21.904761904761905</v>
      </c>
      <c r="K26" s="690" t="e" cm="1">
        <f t="array" ref="K26">G26 - _xlfn.XLOOKUP(A26-30, $A$6:$A$15000,G$6:$G$15000,NA(),-1,2)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701">
        <f t="shared" si="2"/>
        <v>41.333333333333336</v>
      </c>
      <c r="K27" s="690" t="e" cm="1">
        <f t="array" ref="K27">G27 - _xlfn.XLOOKUP(A27-30, $A$6:$A$15000,G$6:$G$15000,NA(),-1,2)</f>
        <v>#N/A</v>
      </c>
    </row>
    <row r="28" spans="1:13" x14ac:dyDescent="0.25">
      <c r="A28" s="691">
        <v>43921.895138888889</v>
      </c>
      <c r="B28" s="694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701">
        <f t="shared" si="2"/>
        <v>-6.8571428571428577</v>
      </c>
      <c r="K28" s="690" t="e" cm="1">
        <f t="array" ref="K28">G28 - _xlfn.XLOOKUP(A28-30, $A$6:$A$15000,G$6:$G$15000,NA(),-1,2)</f>
        <v>#N/A</v>
      </c>
    </row>
    <row r="29" spans="1:13" x14ac:dyDescent="0.25">
      <c r="A29" s="691">
        <v>43922.277083333334</v>
      </c>
      <c r="B29" s="694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701">
        <f t="shared" si="2"/>
        <v>-4.8571428571428568</v>
      </c>
      <c r="K29" s="690" t="e" cm="1">
        <f t="array" ref="K29">G29 - _xlfn.XLOOKUP(A29-30, $A$6:$A$15000,G$6:$G$15000,NA(),-1,2)</f>
        <v>#N/A</v>
      </c>
    </row>
    <row r="30" spans="1:13" x14ac:dyDescent="0.25">
      <c r="A30" s="691">
        <v>43923.402777777781</v>
      </c>
      <c r="B30" s="694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701">
        <f t="shared" si="2"/>
        <v>-606</v>
      </c>
      <c r="K30" s="690" t="e" cm="1">
        <f t="array" ref="K30">G30 - _xlfn.XLOOKUP(A30-30, $A$6:$A$15000,G$6:$G$15000,NA(),-1,2)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701">
        <f t="shared" si="2"/>
        <v>17.904761904761905</v>
      </c>
      <c r="K31" s="690" t="e" cm="1">
        <f t="array" ref="K31">G31 - _xlfn.XLOOKUP(A31-30, $A$6:$A$15000,G$6:$G$15000,NA(),-1,2)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701">
        <f t="shared" si="2"/>
        <v>-2.0952380952380953</v>
      </c>
      <c r="K32" s="690" t="e" cm="1">
        <f t="array" ref="K32">G32 - _xlfn.XLOOKUP(A32-30, $A$6:$A$15000,G$6:$G$15000,NA(),-1,2)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701">
        <f t="shared" si="2"/>
        <v>27.238095238095241</v>
      </c>
      <c r="K33" s="690" t="e" cm="1">
        <f t="array" ref="K33">G33 - _xlfn.XLOOKUP(A33-30, $A$6:$A$15000,G$6:$G$15000,NA(),-1,2)</f>
        <v>#N/A</v>
      </c>
    </row>
    <row r="34" spans="1:13" x14ac:dyDescent="0.25">
      <c r="A34" s="691">
        <v>43927.095833333333</v>
      </c>
      <c r="B34" s="694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701">
        <f t="shared" si="2"/>
        <v>-24</v>
      </c>
      <c r="K34" s="690" t="e" cm="1">
        <f t="array" ref="K34">G34 - _xlfn.XLOOKUP(A34-30, $A$6:$A$15000,G$6:$G$15000,NA(),-1,2)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701">
        <f t="shared" si="2"/>
        <v>8.2857142857142865</v>
      </c>
      <c r="K35" s="690" t="e" cm="1">
        <f t="array" ref="K35">G35 - _xlfn.XLOOKUP(A35-30, $A$6:$A$15000,G$6:$G$15000,NA(),-1,2)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701">
        <f t="shared" si="2"/>
        <v>14.857142857142858</v>
      </c>
      <c r="K36" s="690" t="e" cm="1">
        <f t="array" ref="K36">G36 - _xlfn.XLOOKUP(A36-30, $A$6:$A$15000,G$6:$G$15000,NA(),-1,2)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701">
        <f t="shared" si="2"/>
        <v>49.714285714285715</v>
      </c>
      <c r="K37" s="690" t="e" cm="1">
        <f t="array" ref="K37">G37 - _xlfn.XLOOKUP(A37-30, $A$6:$A$15000,G$6:$G$15000,NA(),-1,2)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701">
        <f t="shared" ref="J38:J64" si="7">I38/4200*80</f>
        <v>16.571428571428573</v>
      </c>
      <c r="K38" s="690" t="e" cm="1">
        <f t="array" ref="K38">G38 - _xlfn.XLOOKUP(A38-30, $A$6:$A$15000,G$6:$G$15000,NA(),-1,2)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701">
        <f t="shared" si="7"/>
        <v>14.380952380952381</v>
      </c>
      <c r="K39" s="690" t="e" cm="1">
        <f t="array" ref="K39">G39 - _xlfn.XLOOKUP(A39-30, $A$6:$A$15000,G$6:$G$15000,NA(),-1,2)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701">
        <f t="shared" si="7"/>
        <v>0.76190476190476197</v>
      </c>
      <c r="K40" s="690" t="e" cm="1">
        <f t="array" ref="K40">G40 - _xlfn.XLOOKUP(A40-30, $A$6:$A$15000,G$6:$G$15000,NA(),-1,2)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701">
        <f t="shared" si="7"/>
        <v>-974</v>
      </c>
      <c r="K41" s="690" t="e" cm="1">
        <f t="array" ref="K41">G41 - _xlfn.XLOOKUP(A41-30, $A$6:$A$15000,G$6:$G$15000,NA(),-1,2)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701">
        <f t="shared" si="7"/>
        <v>43.714285714285708</v>
      </c>
      <c r="K42" s="690" t="e" cm="1">
        <f t="array" ref="K42">G42 - _xlfn.XLOOKUP(A42-30, $A$6:$A$15000,G$6:$G$15000,NA(),-1,2)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701">
        <f t="shared" si="7"/>
        <v>17.047619047619047</v>
      </c>
      <c r="K43" s="690" t="e" cm="1">
        <f t="array" ref="K43">G43 - _xlfn.XLOOKUP(A43-30, $A$6:$A$15000,G$6:$G$15000,NA(),-1,2)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701">
        <f t="shared" si="7"/>
        <v>1.5238095238095239</v>
      </c>
      <c r="K44" s="690" cm="1">
        <f t="array" ref="K44">G44 - _xlfn.XLOOKUP(A44-30, $A$6:$A$15000,G$6:$G$15000,"",-1,2)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701">
        <f t="shared" si="7"/>
        <v>9.3333333333333339</v>
      </c>
      <c r="K45" s="690" cm="1">
        <f t="array" ref="K45">G45 - _xlfn.XLOOKUP(A45-30, $A$6:$A$15000,G$6:$G$15000,"",-1,2)</f>
        <v>25585</v>
      </c>
    </row>
    <row r="46" spans="1:13" x14ac:dyDescent="0.25">
      <c r="A46" s="691">
        <v>43940.149305555555</v>
      </c>
      <c r="B46" s="694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701">
        <f t="shared" si="7"/>
        <v>67.904761904761898</v>
      </c>
      <c r="K46" s="690" cm="1">
        <f t="array" ref="K46">G46 - _xlfn.XLOOKUP(A46-30, $A$6:$A$15000,G$6:$G$15000,"",-1,2)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701">
        <f t="shared" si="7"/>
        <v>108.57142857142858</v>
      </c>
      <c r="K47" s="690" cm="1">
        <f t="array" ref="K47">G47 - _xlfn.XLOOKUP(A47-30, $A$6:$A$15000,G$6:$G$15000,"",-1,2)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701">
        <f t="shared" si="7"/>
        <v>26.095238095238095</v>
      </c>
      <c r="K48" s="690" cm="1">
        <f t="array" ref="K48">G48 - _xlfn.XLOOKUP(A48-30, $A$6:$A$15000,G$6:$G$15000,"",-1,2)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701">
        <f t="shared" si="7"/>
        <v>8.3809523809523814</v>
      </c>
      <c r="K49" s="690" cm="1">
        <f t="array" ref="K49">G49 - _xlfn.XLOOKUP(A49-30, $A$6:$A$15000,G$6:$G$15000,"",-1,2)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701">
        <f t="shared" si="7"/>
        <v>1.6190476190476191</v>
      </c>
      <c r="K50" s="690" cm="1">
        <f t="array" ref="K50">G50 - _xlfn.XLOOKUP(A50-30, $A$6:$A$15000,G$6:$G$15000,"",-1,2)</f>
        <v>30285</v>
      </c>
    </row>
    <row r="51" spans="1:13" x14ac:dyDescent="0.25">
      <c r="A51" s="691">
        <v>43945.34097222222</v>
      </c>
      <c r="B51" s="694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701">
        <f t="shared" si="7"/>
        <v>-20.952380952380953</v>
      </c>
      <c r="K51" s="690" cm="1">
        <f t="array" ref="K51">G51 - _xlfn.XLOOKUP(A51-30, $A$6:$A$15000,G$6:$G$15000,"",-1,2)</f>
        <v>30210</v>
      </c>
    </row>
    <row r="52" spans="1:13" x14ac:dyDescent="0.25">
      <c r="A52" s="691">
        <v>43946.38958333333</v>
      </c>
      <c r="B52" s="694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701">
        <f t="shared" si="7"/>
        <v>-23.523809523809526</v>
      </c>
      <c r="K52" s="690" cm="1">
        <f t="array" ref="K52">G52 - _xlfn.XLOOKUP(A52-30, $A$6:$A$15000,G$6:$G$15000,"",-1,2)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701">
        <f t="shared" si="7"/>
        <v>12.380952380952381</v>
      </c>
      <c r="K53" s="690" cm="1">
        <f t="array" ref="K53">G53 - _xlfn.XLOOKUP(A53-30, $A$6:$A$15000,G$6:$G$15000,"",-1,2)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701">
        <f t="shared" si="7"/>
        <v>31.904761904761905</v>
      </c>
      <c r="K54" s="690" cm="1">
        <f t="array" ref="K54">G54 - _xlfn.XLOOKUP(A54-30, $A$6:$A$15000,G$6:$G$15000,"",-1,2)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701">
        <f t="shared" si="7"/>
        <v>94.571428571428569</v>
      </c>
      <c r="K55" s="690" cm="1">
        <f t="array" ref="K55">G55 - _xlfn.XLOOKUP(A55-30, $A$6:$A$15000,G$6:$G$15000,"",-1,2)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694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701">
        <f t="shared" si="7"/>
        <v>-250.85714285714286</v>
      </c>
      <c r="K56" s="690" cm="1">
        <f t="array" ref="K56">G56 - _xlfn.XLOOKUP(A56-30, $A$6:$A$15000,G$6:$G$15000,"",-1,2)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694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701">
        <f t="shared" si="7"/>
        <v>215.90476190476193</v>
      </c>
      <c r="K57" s="690" cm="1">
        <f t="array" ref="K57">G57 - _xlfn.XLOOKUP(A57-30, $A$6:$A$15000,G$6:$G$15000,"",-1,2)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701">
        <f t="shared" si="7"/>
        <v>118.76190476190476</v>
      </c>
      <c r="K58" s="690" cm="1">
        <f t="array" ref="K58">G58 - _xlfn.XLOOKUP(A58-30, $A$6:$A$15000,G$6:$G$15000,"",-1,2)</f>
        <v>24735</v>
      </c>
    </row>
    <row r="59" spans="1:13" x14ac:dyDescent="0.25">
      <c r="A59" s="691">
        <v>43955.05972222222</v>
      </c>
      <c r="B59" s="694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701">
        <f t="shared" si="7"/>
        <v>-605.04761904761904</v>
      </c>
      <c r="K59" s="690" cm="1">
        <f t="array" ref="K59">G59 - _xlfn.XLOOKUP(A59-30, $A$6:$A$15000,G$6:$G$15000,"",-1,2)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701">
        <f t="shared" si="7"/>
        <v>33.80952380952381</v>
      </c>
      <c r="K60" s="690" cm="1">
        <f t="array" ref="K60">G60 - _xlfn.XLOOKUP(A60-30, $A$6:$A$15000,G$6:$G$15000,"",-1,2)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701">
        <f t="shared" si="7"/>
        <v>12.380952380952381</v>
      </c>
      <c r="K61" s="690" cm="1">
        <f t="array" ref="K61">G61 - _xlfn.XLOOKUP(A61-30, $A$6:$A$15000,G$6:$G$15000,"",-1,2)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701">
        <f t="shared" si="7"/>
        <v>21.904761904761905</v>
      </c>
      <c r="K62" s="690" cm="1">
        <f t="array" ref="K62">G62 - _xlfn.XLOOKUP(A62-30, $A$6:$A$15000,G$6:$G$15000,"",-1,2)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701">
        <f t="shared" si="7"/>
        <v>50.761904761904759</v>
      </c>
      <c r="K63" s="690" cm="1">
        <f t="array" ref="K63">G63 - _xlfn.XLOOKUP(A63-30, $A$6:$A$15000,G$6:$G$15000,"",-1,2)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694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701">
        <f t="shared" si="7"/>
        <v>-879.61904761904759</v>
      </c>
      <c r="K64" s="690" cm="1">
        <f t="array" ref="K64">G64 - _xlfn.XLOOKUP(A64-30, $A$6:$A$15000,G$6:$G$15000,"",-1,2)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701">
        <f t="shared" ref="J65:J73" si="12">I65/4200*80</f>
        <v>33.333333333333336</v>
      </c>
      <c r="K65" s="690" cm="1">
        <f t="array" ref="K65">G65 - _xlfn.XLOOKUP(A65-30, $A$6:$A$15000,G$6:$G$15000,"",-1,2)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701">
        <f t="shared" si="12"/>
        <v>4.2857142857142856</v>
      </c>
      <c r="K66" s="690" cm="1">
        <f t="array" ref="K66">G66 - _xlfn.XLOOKUP(A66-30, $A$6:$A$15000,G$6:$G$15000,"",-1,2)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701">
        <f t="shared" si="12"/>
        <v>18.19047619047619</v>
      </c>
      <c r="K67" s="690" cm="1">
        <f t="array" ref="K67">G67 - _xlfn.XLOOKUP(A67-30, $A$6:$A$15000,G$6:$G$15000,"",-1,2)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701">
        <f t="shared" si="12"/>
        <v>2.3809523809523809</v>
      </c>
      <c r="K68" s="690" cm="1">
        <f t="array" ref="K68">G68 - _xlfn.XLOOKUP(A68-30, $A$6:$A$15000,G$6:$G$15000,"",-1,2)</f>
        <v>23065</v>
      </c>
    </row>
    <row r="69" spans="1:13" x14ac:dyDescent="0.25">
      <c r="A69" s="691">
        <v>43972.179861111108</v>
      </c>
      <c r="B69" s="694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701">
        <f t="shared" si="12"/>
        <v>17.047619047619047</v>
      </c>
      <c r="K69" s="690" cm="1">
        <f t="array" ref="K69">G69 - _xlfn.XLOOKUP(A69-30, $A$6:$A$15000,G$6:$G$15000,"",-1,2)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701">
        <f t="shared" si="12"/>
        <v>90.285714285714278</v>
      </c>
      <c r="K70" s="690" cm="1">
        <f t="array" ref="K70">G70 - _xlfn.XLOOKUP(A70-30, $A$6:$A$15000,G$6:$G$15000,"",-1,2)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701">
        <f t="shared" si="12"/>
        <v>3.1428571428571428</v>
      </c>
      <c r="K71" s="690" cm="1">
        <f t="array" ref="K71">G71 - _xlfn.XLOOKUP(A71-30, $A$6:$A$15000,G$6:$G$15000,"",-1,2)</f>
        <v>19755</v>
      </c>
    </row>
    <row r="72" spans="1:13" x14ac:dyDescent="0.25">
      <c r="A72" s="691">
        <v>43976.195833333331</v>
      </c>
      <c r="B72" s="694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701">
        <f t="shared" si="12"/>
        <v>-192.47619047619048</v>
      </c>
      <c r="K72" s="690" cm="1">
        <f t="array" ref="K72">G72 - _xlfn.XLOOKUP(A72-30, $A$6:$A$15000,G$6:$G$15000,"",-1,2)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701">
        <f t="shared" si="12"/>
        <v>22.095238095238095</v>
      </c>
      <c r="K73" s="690" cm="1">
        <f t="array" ref="K73">G73 - _xlfn.XLOOKUP(A73-30, $A$6:$A$15000,G$6:$G$15000,"",-1,2)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701">
        <f t="shared" ref="J74" si="16">I74/4200*80</f>
        <v>132</v>
      </c>
      <c r="K74" s="690" cm="1">
        <f t="array" ref="K74">G74 - _xlfn.XLOOKUP(A74-30, $A$6:$A$15000,G$6:$G$15000,"",-1,2)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701">
        <f t="shared" ref="J75" si="19">I75/4200*80</f>
        <v>2.2857142857142856</v>
      </c>
      <c r="K75" s="690" cm="1">
        <f t="array" ref="K75">G75 - _xlfn.XLOOKUP(A75-30, $A$6:$A$15000,G$6:$G$15000,"",-1,2)</f>
        <v>24220</v>
      </c>
    </row>
    <row r="76" spans="1:13" x14ac:dyDescent="0.25">
      <c r="A76" s="691">
        <v>43984.083333333336</v>
      </c>
      <c r="B76" s="694" t="s">
        <v>480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701">
        <f t="shared" ref="J76" si="22">I76/4200*80</f>
        <v>-245.61904761904765</v>
      </c>
      <c r="K76" s="690" cm="1">
        <f t="array" ref="K76">G76 - _xlfn.XLOOKUP(A76-30, $A$6:$A$15000,G$6:$G$15000,"",-1,2)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701">
        <f t="shared" ref="J77" si="25">I77/4200*80</f>
        <v>12.666666666666666</v>
      </c>
      <c r="K77" s="690" cm="1">
        <f t="array" ref="K77">G77 - _xlfn.XLOOKUP(A77-30, $A$6:$A$15000,G$6:$G$15000,"",-1,2)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701">
        <f t="shared" ref="J78" si="29">I78/4200*80</f>
        <v>5.1428571428571423</v>
      </c>
      <c r="K78" s="690" cm="1">
        <f t="array" ref="K78">G78 - _xlfn.XLOOKUP(A78-30, $A$6:$A$15000,G$6:$G$15000,"",-1,2)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701">
        <f t="shared" ref="J79" si="33">I79/4200*80</f>
        <v>2.7619047619047619</v>
      </c>
      <c r="K79" s="690" cm="1">
        <f t="array" ref="K79">G79 - _xlfn.XLOOKUP(A79-30, $A$6:$A$15000,G$6:$G$15000,"",-1,2)</f>
        <v>21120</v>
      </c>
    </row>
    <row r="80" spans="1:13" x14ac:dyDescent="0.25">
      <c r="A80" s="691">
        <v>43989.779166666667</v>
      </c>
      <c r="B80" s="694" t="s">
        <v>481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701">
        <f t="shared" ref="J80" si="37">I80/4200*80</f>
        <v>-17.238095238095241</v>
      </c>
      <c r="K80" s="690" cm="1">
        <f t="array" ref="K80">G80 - _xlfn.XLOOKUP(A80-30, $A$6:$A$15000,G$6:$G$15000,"",-1,2)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694" t="s">
        <v>482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701">
        <f t="shared" ref="J81" si="40">I81/4200*80</f>
        <v>17.142857142857142</v>
      </c>
      <c r="K81" s="690" cm="1">
        <f t="array" ref="K81">G81 - _xlfn.XLOOKUP(A81-30, $A$6:$A$15000,G$6:$G$15000,"",-1,2)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701">
        <f t="shared" ref="J82" si="42">I82/4200*80</f>
        <v>8.9523809523809526</v>
      </c>
      <c r="K82" s="690" cm="1">
        <f t="array" ref="K82">G82 - _xlfn.XLOOKUP(A82-30, $A$6:$A$15000,G$6:$G$15000,"",-1,2)</f>
        <v>20785</v>
      </c>
    </row>
    <row r="83" spans="1:13" x14ac:dyDescent="0.25">
      <c r="A83" s="691">
        <v>43992.845138888886</v>
      </c>
      <c r="B83" s="695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701">
        <f t="shared" ref="J83" si="43">I83/4200*80</f>
        <v>2.2857142857142856</v>
      </c>
      <c r="K83" s="690" cm="1">
        <f t="array" ref="K83">G83 - _xlfn.XLOOKUP(A83-30, $A$6:$A$15000,G$6:$G$15000,"",-1,2)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701">
        <f t="shared" ref="J84" si="44">I84/4200*80</f>
        <v>21.904761904761905</v>
      </c>
      <c r="K84" s="690" cm="1">
        <f t="array" ref="K84">G84 - _xlfn.XLOOKUP(A84-30, $A$6:$A$15000,G$6:$G$15000,"",-1,2)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701">
        <f t="shared" ref="J85" si="47">I85/4200*80</f>
        <v>14.666666666666666</v>
      </c>
      <c r="K85" s="690" cm="1">
        <f t="array" ref="K85">G85 - _xlfn.XLOOKUP(A85-30, $A$6:$A$15000,G$6:$G$15000,"",-1,2)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701">
        <f t="shared" ref="J86" si="50">I86/4200*80</f>
        <v>2.0952380952380953</v>
      </c>
      <c r="K86" s="690" cm="1">
        <f t="array" ref="K86">G86 - _xlfn.XLOOKUP(A86-30, $A$6:$A$15000,G$6:$G$15000,"",-1,2)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701">
        <f t="shared" ref="J87" si="53">I87/4200*80</f>
        <v>9.0476190476190474</v>
      </c>
      <c r="K87" s="690" cm="1">
        <f t="array" ref="K87">G87 - _xlfn.XLOOKUP(A87-30, $A$6:$A$15000,G$6:$G$15000,"",-1,2)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701">
        <f t="shared" ref="J88" si="56">I88/4200*80</f>
        <v>2.6666666666666665</v>
      </c>
      <c r="K88" s="690">
        <f t="shared" ref="K88:K93" si="57">G88 - _xlfn.XLOOKUP(A88-30, $A$6:$A$15000,G$6:G$15000,"",-1,2)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701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701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701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694" t="s">
        <v>485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701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701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701">
        <f t="shared" ref="J94" si="81">I94/4200*80</f>
        <v>10.380952380952381</v>
      </c>
      <c r="K94" s="690">
        <f t="shared" ref="K94" si="82">G94 - _xlfn.XLOOKUP(A94-30, $A$6:$A$15000,G$6:G$15000,"",-1,2)</f>
        <v>20720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H16" sqref="H16"/>
    </sheetView>
  </sheetViews>
  <sheetFormatPr defaultColWidth="9.140625" defaultRowHeight="15" x14ac:dyDescent="0.25"/>
  <cols>
    <col min="1" max="2" width="11.5703125" style="785" customWidth="1"/>
    <col min="3" max="3" width="25.85546875" style="783" customWidth="1"/>
    <col min="4" max="4" width="8.42578125" style="783" customWidth="1"/>
    <col min="5" max="5" width="9.140625" style="599"/>
    <col min="6" max="16384" width="9.140625" style="783"/>
  </cols>
  <sheetData>
    <row r="1" spans="1:12" s="787" customFormat="1" x14ac:dyDescent="0.25">
      <c r="A1" s="800"/>
      <c r="B1" s="800"/>
      <c r="C1" s="800"/>
      <c r="D1" s="789" t="s">
        <v>476</v>
      </c>
      <c r="E1" s="786" t="s">
        <v>475</v>
      </c>
      <c r="G1" s="876" t="s">
        <v>44</v>
      </c>
      <c r="H1" s="789" t="s">
        <v>133</v>
      </c>
      <c r="I1" s="789" t="s">
        <v>477</v>
      </c>
      <c r="J1" s="789" t="s">
        <v>389</v>
      </c>
      <c r="K1" s="789" t="s">
        <v>479</v>
      </c>
      <c r="L1" s="792" t="s">
        <v>478</v>
      </c>
    </row>
    <row r="2" spans="1:12" s="787" customFormat="1" x14ac:dyDescent="0.25">
      <c r="A2" s="801"/>
      <c r="B2" s="801"/>
      <c r="C2" s="801"/>
      <c r="D2" s="787">
        <f>SUM(D4:D1048576)</f>
        <v>4973</v>
      </c>
      <c r="E2" s="599">
        <f ca="1">D2/(NOW()-$A$4)</f>
        <v>32.658347443102343</v>
      </c>
      <c r="G2" s="876"/>
      <c r="H2" s="787">
        <v>36</v>
      </c>
      <c r="I2" s="787">
        <v>1</v>
      </c>
      <c r="J2" s="787">
        <v>11315</v>
      </c>
      <c r="K2" s="787">
        <v>103814</v>
      </c>
      <c r="L2" s="787">
        <v>0</v>
      </c>
    </row>
    <row r="3" spans="1:12" s="784" customFormat="1" ht="15" customHeight="1" x14ac:dyDescent="0.25">
      <c r="A3" s="790" t="s">
        <v>458</v>
      </c>
      <c r="B3" s="790" t="s">
        <v>460</v>
      </c>
      <c r="C3" s="788" t="s">
        <v>457</v>
      </c>
      <c r="D3" s="788" t="s">
        <v>459</v>
      </c>
      <c r="E3" s="791" t="s">
        <v>475</v>
      </c>
      <c r="G3" s="1134" t="s">
        <v>45</v>
      </c>
      <c r="H3" s="789" t="s">
        <v>133</v>
      </c>
      <c r="I3" s="789" t="s">
        <v>477</v>
      </c>
      <c r="J3" s="789" t="s">
        <v>389</v>
      </c>
      <c r="K3" s="792" t="s">
        <v>479</v>
      </c>
    </row>
    <row r="4" spans="1:12" x14ac:dyDescent="0.25">
      <c r="A4" s="785">
        <v>43853</v>
      </c>
      <c r="B4" s="785">
        <v>43859</v>
      </c>
      <c r="C4" s="783" t="s">
        <v>461</v>
      </c>
      <c r="D4" s="783">
        <v>762</v>
      </c>
      <c r="E4" s="599">
        <f>D4/(B4-A4)</f>
        <v>127</v>
      </c>
      <c r="G4" s="1134"/>
      <c r="H4" s="783">
        <v>0</v>
      </c>
      <c r="I4" s="783">
        <v>0</v>
      </c>
      <c r="J4" s="783">
        <v>515</v>
      </c>
      <c r="K4" s="783">
        <v>99014</v>
      </c>
    </row>
    <row r="5" spans="1:12" x14ac:dyDescent="0.25">
      <c r="A5" s="785">
        <v>43859</v>
      </c>
      <c r="B5" s="785">
        <v>43878</v>
      </c>
      <c r="C5" s="783" t="s">
        <v>462</v>
      </c>
      <c r="D5" s="783">
        <v>217</v>
      </c>
      <c r="E5" s="599">
        <f t="shared" ref="E5:E19" si="0">D5/(B5-A5)</f>
        <v>11.421052631578947</v>
      </c>
      <c r="J5" s="783" t="s">
        <v>476</v>
      </c>
      <c r="K5" s="783">
        <f>-((H4-H2) + (I4-I2) * 10 + (J4-J2) / 120 + (K4-K2) / 120 + L2)</f>
        <v>176</v>
      </c>
    </row>
    <row r="6" spans="1:12" x14ac:dyDescent="0.25">
      <c r="A6" s="785">
        <v>43865</v>
      </c>
      <c r="B6" s="785">
        <v>43878</v>
      </c>
      <c r="C6" s="783" t="s">
        <v>463</v>
      </c>
      <c r="D6" s="783">
        <v>224</v>
      </c>
      <c r="E6" s="599">
        <f t="shared" si="0"/>
        <v>17.23076923076923</v>
      </c>
    </row>
    <row r="7" spans="1:12" x14ac:dyDescent="0.25">
      <c r="A7" s="785">
        <v>43875</v>
      </c>
      <c r="B7" s="785">
        <v>43889</v>
      </c>
      <c r="C7" s="783" t="s">
        <v>464</v>
      </c>
      <c r="D7" s="783">
        <v>250</v>
      </c>
      <c r="E7" s="599">
        <f t="shared" si="0"/>
        <v>17.857142857142858</v>
      </c>
    </row>
    <row r="8" spans="1:12" x14ac:dyDescent="0.25">
      <c r="A8" s="785">
        <v>43889</v>
      </c>
      <c r="B8" s="785">
        <v>43902</v>
      </c>
      <c r="C8" s="783" t="s">
        <v>465</v>
      </c>
      <c r="D8" s="783">
        <v>785</v>
      </c>
      <c r="E8" s="599">
        <f t="shared" si="0"/>
        <v>60.384615384615387</v>
      </c>
    </row>
    <row r="9" spans="1:12" x14ac:dyDescent="0.25">
      <c r="A9" s="785">
        <v>43893</v>
      </c>
      <c r="B9" s="785">
        <v>43902</v>
      </c>
      <c r="C9" s="783" t="s">
        <v>466</v>
      </c>
      <c r="D9" s="783">
        <v>6</v>
      </c>
      <c r="E9" s="599">
        <f t="shared" si="0"/>
        <v>0.66666666666666663</v>
      </c>
    </row>
    <row r="10" spans="1:12" x14ac:dyDescent="0.25">
      <c r="A10" s="785">
        <v>43902</v>
      </c>
      <c r="B10" s="785">
        <v>43917</v>
      </c>
      <c r="C10" s="783" t="s">
        <v>408</v>
      </c>
      <c r="D10" s="783">
        <v>334</v>
      </c>
      <c r="E10" s="599">
        <f t="shared" si="0"/>
        <v>22.266666666666666</v>
      </c>
    </row>
    <row r="11" spans="1:12" x14ac:dyDescent="0.25">
      <c r="A11" s="785">
        <v>43917</v>
      </c>
      <c r="B11" s="785">
        <v>43923</v>
      </c>
      <c r="C11" s="783" t="s">
        <v>467</v>
      </c>
      <c r="D11" s="783">
        <v>359</v>
      </c>
      <c r="E11" s="599">
        <f t="shared" si="0"/>
        <v>59.833333333333336</v>
      </c>
    </row>
    <row r="12" spans="1:12" x14ac:dyDescent="0.25">
      <c r="A12" s="785">
        <v>43923</v>
      </c>
      <c r="B12" s="785">
        <v>43934</v>
      </c>
      <c r="C12" s="783" t="s">
        <v>468</v>
      </c>
      <c r="D12" s="783">
        <v>20</v>
      </c>
      <c r="E12" s="599">
        <f t="shared" si="0"/>
        <v>1.8181818181818181</v>
      </c>
    </row>
    <row r="13" spans="1:12" x14ac:dyDescent="0.25">
      <c r="A13" s="785">
        <v>43927</v>
      </c>
      <c r="B13" s="785">
        <v>43934</v>
      </c>
      <c r="C13" s="783" t="s">
        <v>469</v>
      </c>
      <c r="D13" s="783">
        <v>429</v>
      </c>
      <c r="E13" s="599">
        <f t="shared" si="0"/>
        <v>61.285714285714285</v>
      </c>
    </row>
    <row r="14" spans="1:12" x14ac:dyDescent="0.25">
      <c r="A14" s="785">
        <v>43934</v>
      </c>
      <c r="B14" s="785">
        <v>43941</v>
      </c>
      <c r="C14" s="783" t="s">
        <v>470</v>
      </c>
      <c r="D14" s="783">
        <v>60</v>
      </c>
      <c r="E14" s="599">
        <f t="shared" si="0"/>
        <v>8.5714285714285712</v>
      </c>
    </row>
    <row r="15" spans="1:12" x14ac:dyDescent="0.25">
      <c r="A15" s="785">
        <v>43945</v>
      </c>
      <c r="B15" s="785">
        <v>43951</v>
      </c>
      <c r="C15" s="783" t="s">
        <v>471</v>
      </c>
      <c r="D15" s="783">
        <v>226</v>
      </c>
      <c r="E15" s="599">
        <f t="shared" si="0"/>
        <v>37.666666666666664</v>
      </c>
    </row>
    <row r="16" spans="1:12" x14ac:dyDescent="0.25">
      <c r="A16" s="785">
        <v>43951</v>
      </c>
      <c r="B16" s="785">
        <v>43963</v>
      </c>
      <c r="C16" s="783" t="s">
        <v>474</v>
      </c>
      <c r="D16" s="783">
        <v>292</v>
      </c>
      <c r="E16" s="599">
        <f t="shared" si="0"/>
        <v>24.333333333333332</v>
      </c>
    </row>
    <row r="17" spans="1:5" x14ac:dyDescent="0.25">
      <c r="A17" s="785">
        <v>43963</v>
      </c>
      <c r="B17" s="785">
        <v>43980</v>
      </c>
      <c r="C17" s="783" t="s">
        <v>472</v>
      </c>
      <c r="D17" s="783">
        <v>595</v>
      </c>
      <c r="E17" s="599">
        <f t="shared" si="0"/>
        <v>35</v>
      </c>
    </row>
    <row r="18" spans="1:5" x14ac:dyDescent="0.25">
      <c r="A18" s="785">
        <v>43980</v>
      </c>
      <c r="B18" s="785">
        <v>43985</v>
      </c>
      <c r="C18" s="783" t="s">
        <v>473</v>
      </c>
      <c r="D18" s="783">
        <v>238</v>
      </c>
      <c r="E18" s="599">
        <f t="shared" si="0"/>
        <v>47.6</v>
      </c>
    </row>
    <row r="19" spans="1:5" x14ac:dyDescent="0.25">
      <c r="A19" s="785">
        <v>43994</v>
      </c>
      <c r="B19" s="785">
        <v>44004</v>
      </c>
      <c r="C19" s="796" t="s">
        <v>483</v>
      </c>
      <c r="D19" s="783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tabSelected="1" workbookViewId="0">
      <selection activeCell="A2" sqref="A1:G14"/>
    </sheetView>
  </sheetViews>
  <sheetFormatPr defaultRowHeight="15" customHeight="1" x14ac:dyDescent="0.25"/>
  <cols>
    <col min="1" max="1" width="5.140625" style="802" customWidth="1"/>
    <col min="2" max="4" width="7.7109375" style="802" customWidth="1"/>
    <col min="5" max="5" width="7.7109375" style="807" customWidth="1"/>
    <col min="6" max="7" width="7.28515625" style="802" customWidth="1"/>
    <col min="8" max="16384" width="9.140625" style="802"/>
  </cols>
  <sheetData>
    <row r="1" spans="1:7" ht="43.5" customHeight="1" x14ac:dyDescent="0.25">
      <c r="A1" s="1146" t="s">
        <v>503</v>
      </c>
      <c r="B1" s="1147"/>
      <c r="C1" s="1147"/>
      <c r="D1" s="1147"/>
      <c r="E1" s="1147"/>
      <c r="F1" s="1147"/>
      <c r="G1" s="1148"/>
    </row>
    <row r="2" spans="1:7" s="814" customFormat="1" ht="17.25" customHeight="1" x14ac:dyDescent="0.25">
      <c r="A2" s="1079" t="s">
        <v>494</v>
      </c>
      <c r="B2" s="1080"/>
      <c r="C2" s="1080"/>
      <c r="D2" s="1080"/>
      <c r="E2" s="1081"/>
      <c r="F2" s="1080" t="s">
        <v>499</v>
      </c>
      <c r="G2" s="1081"/>
    </row>
    <row r="3" spans="1:7" s="806" customFormat="1" ht="15" customHeight="1" x14ac:dyDescent="0.25">
      <c r="A3" s="810" t="s">
        <v>487</v>
      </c>
      <c r="B3" s="811" t="s">
        <v>489</v>
      </c>
      <c r="C3" s="811" t="s">
        <v>490</v>
      </c>
      <c r="D3" s="811" t="s">
        <v>491</v>
      </c>
      <c r="E3" s="812" t="s">
        <v>500</v>
      </c>
      <c r="F3" s="811" t="s">
        <v>492</v>
      </c>
      <c r="G3" s="805" t="s">
        <v>493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7" t="s">
        <v>12</v>
      </c>
      <c r="B5" s="825">
        <f>SUM(D虛空!B:B) / SUM(D虛空!A:A)</f>
        <v>13.080597014925374</v>
      </c>
      <c r="C5" s="825">
        <f>SUM(D虛空!D:D) / SUM(D虛空!C:C)</f>
        <v>4.5104477611940297</v>
      </c>
      <c r="D5" s="830">
        <f>SUM(D虛空!F:F) / SUM(D虛空!E:E)</f>
        <v>0.52054794520547942</v>
      </c>
      <c r="E5" s="832">
        <f>SUM(D虛空!H:H) / SUM(D虛空!G:G)</f>
        <v>0.97777777777777775</v>
      </c>
      <c r="F5" s="831">
        <f>MAX(75*SUBSTITUTE(F3,"把","")/$B5,20*SUBSTITUTE(F3,"把","")/$C5,3*SUBSTITUTE(F3,"把","")/$D5)</f>
        <v>5.7631578947368425</v>
      </c>
      <c r="G5" s="827">
        <f>MAX(75*SUBSTITUTE(G3,"把","")/$B5,20*SUBSTITUTE(G3,"把","")/$C5,3*SUBSTITUTE(G3,"把","")/$D5)</f>
        <v>46.10526315789474</v>
      </c>
    </row>
    <row r="6" spans="1:7" ht="15" customHeight="1" x14ac:dyDescent="0.25">
      <c r="A6" s="813" t="s">
        <v>11</v>
      </c>
      <c r="B6" s="826"/>
      <c r="C6" s="826"/>
      <c r="D6" s="47"/>
      <c r="E6" s="822"/>
      <c r="F6" s="239"/>
      <c r="G6" s="578"/>
    </row>
    <row r="7" spans="1:7" ht="15" customHeight="1" x14ac:dyDescent="0.25">
      <c r="A7" s="828" t="s">
        <v>9</v>
      </c>
      <c r="B7" s="262"/>
      <c r="C7" s="262"/>
      <c r="D7" s="262"/>
      <c r="E7" s="823"/>
      <c r="F7" s="239"/>
      <c r="G7" s="578"/>
    </row>
    <row r="8" spans="1:7" ht="15" customHeight="1" x14ac:dyDescent="0.25">
      <c r="A8" s="808" t="s">
        <v>8</v>
      </c>
      <c r="B8" s="168"/>
      <c r="C8" s="168"/>
      <c r="D8" s="168"/>
      <c r="E8" s="824"/>
      <c r="F8" s="809"/>
      <c r="G8" s="580"/>
    </row>
    <row r="9" spans="1:7" ht="15" customHeight="1" x14ac:dyDescent="0.25">
      <c r="A9" s="1149" t="s">
        <v>495</v>
      </c>
      <c r="B9" s="1150"/>
      <c r="C9" s="1150"/>
      <c r="D9" s="1150"/>
      <c r="E9" s="1150"/>
      <c r="F9" s="1150"/>
      <c r="G9" s="1151"/>
    </row>
    <row r="10" spans="1:7" ht="15" customHeight="1" x14ac:dyDescent="0.25">
      <c r="A10" s="1156" t="s">
        <v>502</v>
      </c>
      <c r="B10" s="1157"/>
      <c r="C10" s="1157"/>
      <c r="D10" s="1157"/>
      <c r="E10" s="1157"/>
      <c r="F10" s="1157"/>
      <c r="G10" s="1158"/>
    </row>
    <row r="11" spans="1:7" s="807" customFormat="1" ht="7.5" customHeight="1" x14ac:dyDescent="0.25">
      <c r="A11" s="1155" t="s">
        <v>501</v>
      </c>
      <c r="B11" s="1153"/>
      <c r="C11" s="1153"/>
      <c r="D11" s="1153"/>
      <c r="E11" s="1153"/>
      <c r="F11" s="1153"/>
      <c r="G11" s="1154"/>
    </row>
    <row r="12" spans="1:7" s="807" customFormat="1" ht="15" customHeight="1" x14ac:dyDescent="0.25">
      <c r="A12" s="1152" t="s">
        <v>498</v>
      </c>
      <c r="B12" s="1153"/>
      <c r="C12" s="1153"/>
      <c r="D12" s="1153"/>
      <c r="E12" s="1153"/>
      <c r="F12" s="1153"/>
      <c r="G12" s="1154"/>
    </row>
    <row r="13" spans="1:7" s="807" customFormat="1" ht="7.5" customHeight="1" x14ac:dyDescent="0.25">
      <c r="A13" s="1155" t="s">
        <v>501</v>
      </c>
      <c r="B13" s="1153"/>
      <c r="C13" s="1153"/>
      <c r="D13" s="1153"/>
      <c r="E13" s="1153"/>
      <c r="F13" s="1153"/>
      <c r="G13" s="1154"/>
    </row>
    <row r="14" spans="1:7" ht="15" customHeight="1" x14ac:dyDescent="0.25">
      <c r="A14" s="1145" t="s">
        <v>497</v>
      </c>
      <c r="B14" s="1143"/>
      <c r="C14" s="1143"/>
      <c r="D14" s="1143"/>
      <c r="E14" s="829"/>
      <c r="F14" s="1143" t="s">
        <v>496</v>
      </c>
      <c r="G14" s="1144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A8" sqref="A8"/>
    </sheetView>
  </sheetViews>
  <sheetFormatPr defaultRowHeight="15" customHeight="1" x14ac:dyDescent="0.25"/>
  <cols>
    <col min="1" max="1" width="5.140625" style="818" customWidth="1"/>
    <col min="2" max="7" width="5.140625" style="265" customWidth="1"/>
    <col min="8" max="8" width="5.140625" style="819" customWidth="1"/>
    <col min="9" max="16384" width="9.140625" style="802"/>
  </cols>
  <sheetData>
    <row r="1" spans="1:8" s="804" customFormat="1" ht="15" customHeight="1" x14ac:dyDescent="0.25">
      <c r="A1" s="1159" t="s">
        <v>488</v>
      </c>
      <c r="B1" s="1160"/>
      <c r="C1" s="1160"/>
      <c r="D1" s="1160"/>
      <c r="E1" s="1160"/>
      <c r="F1" s="1160"/>
      <c r="G1" s="815"/>
      <c r="H1" s="816"/>
    </row>
    <row r="2" spans="1:8" s="803" customFormat="1" ht="15" customHeight="1" x14ac:dyDescent="0.25">
      <c r="A2" s="820" t="s">
        <v>25</v>
      </c>
      <c r="B2" s="144" t="s">
        <v>78</v>
      </c>
      <c r="C2" s="144" t="s">
        <v>25</v>
      </c>
      <c r="D2" s="144" t="s">
        <v>486</v>
      </c>
      <c r="E2" s="144" t="s">
        <v>25</v>
      </c>
      <c r="F2" s="144" t="s">
        <v>218</v>
      </c>
      <c r="G2" s="144" t="s">
        <v>25</v>
      </c>
      <c r="H2" s="821" t="s">
        <v>213</v>
      </c>
    </row>
    <row r="3" spans="1:8" ht="15" customHeight="1" x14ac:dyDescent="0.25">
      <c r="A3" s="818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9">
        <v>84</v>
      </c>
    </row>
    <row r="4" spans="1:8" ht="15" customHeight="1" x14ac:dyDescent="0.25">
      <c r="A4" s="818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9">
        <v>90</v>
      </c>
    </row>
    <row r="5" spans="1:8" ht="15" customHeight="1" x14ac:dyDescent="0.25">
      <c r="A5" s="818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9">
        <v>98</v>
      </c>
    </row>
    <row r="6" spans="1:8" ht="15" customHeight="1" x14ac:dyDescent="0.25">
      <c r="A6" s="818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9">
        <v>36</v>
      </c>
    </row>
    <row r="7" spans="1:8" ht="15" customHeight="1" x14ac:dyDescent="0.25">
      <c r="A7" s="818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1" t="str">
        <f>B1&amp; "日"</f>
        <v>1日</v>
      </c>
      <c r="G1" s="1162"/>
      <c r="H1" s="1162"/>
      <c r="I1" s="1161" t="str">
        <f>C1 &amp; "日"</f>
        <v>7日</v>
      </c>
      <c r="J1" s="1162"/>
      <c r="K1" s="1162"/>
      <c r="L1" s="1161" t="s">
        <v>147</v>
      </c>
      <c r="M1" s="1162"/>
      <c r="N1" s="1162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-256 D 02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-258 D 17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-267 D 11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-272 D 23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-259 D 13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-053 D 22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-151 D 22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-204 D 15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-220 D 22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-240 D 11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-252 D 11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-277 D 01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-256 D 03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-261 D 19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-266 D 04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-273 D 00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-274 D 22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-269 D 16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-243 D 22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-232 D 22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-249 D 03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-248 D 05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-259 D 02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-250 D 18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-254 D 18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-255 D 03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-250 D 13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-251 D 20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-263 D 11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-251 D 03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-252 D 10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-262 D 19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-253 D 08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-252 D 14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-262 D 09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-253 D 11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-252 D 21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-242 D 20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-253 D 17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-253 D 11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-241 D 16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-254 D 12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-250 D 18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-248 D 13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-254 D 20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-253 D 07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-255 D 17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-255 D 03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-254 D 03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-262 D 07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-255 D 10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-254 D 12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-267 D 06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-255 D 22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-255 D 13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-258 D 03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-254 D 20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-252 D 15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-258 D 19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-253 D 17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-253 D 09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-244 D 14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-253 D 12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-254 D 15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-243 D 16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-252 D 18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-251 D 21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-240 D 18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-251 D 18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-252 D 02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-229 D 05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-251 D 16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-252 D 08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-232 D 14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-251 D 06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-252 D 13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-238 D 12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-251 D 10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-253 D 02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-244 D 16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-251 D 13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-253 D 15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-237 D 01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-252 D 22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-251 D 19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-253 D 13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-252 D 23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-252 D 16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-253 D 15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-253 D 02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-253 D 01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-238 D 07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-252 D 11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-251 D 17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-246 D 18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-252 D 23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-252 D 22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-264 D 05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-254 D 04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-255 D 01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-263 D 15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-254 D 09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-254 D 04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-267 D 17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-255 D 03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-255 D 00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-272 D 18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-255 D 20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-256 D 12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-275 D 10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-257 D 05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-257 D 11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-276 D 17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-258 D 04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-257 D 15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-283 D 22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-259 D 16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-258 D 04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-284 D 01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-260 D 16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-258 D 16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-284 D 07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-261 D 16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-258 D 22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-285 D 02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-262 D 12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-259 D 12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-285 D 12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-263 D 12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-259 D 19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-284 D 02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-264 D 01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-259 D 20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-284 D 05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-265 D 00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-260 D 04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-284 D 10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-265 D 12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-260 D 09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-279 D 09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-265 D 14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-259 D 16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-277 D 00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-265 D 22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-259 D 22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-276 D 07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-266 D 05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-260 D 05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-270 D 18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-267 D 03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-260 D 19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-273 D 14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-267 D 13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-261 D 08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-275 D 15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-268 D 05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-261 D 22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-278 D 15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-269 D 01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-262 D 09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-284 D 18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-270 D 17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-262 D 22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-288 D 06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-272 D 09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-264 D 05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-287 D 22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-273 D 11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-264 D 15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-286 D 14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-273 D 23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-264 D 21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-286 D 10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-274 D 11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-265 D 04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-286 D 08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-275 D 11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-265 D 06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-286 D 08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-275 D 19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-265 D 10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-283 D 01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-276 D 00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-265 D 13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-276 D 16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-278 D 01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-265 D 23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-276 D 11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-278 D 18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-266 D 04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-276 D 00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-278 D 21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-266 D 05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-276 D 10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-279 D 16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-266 D 09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-274 D 05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-281 D 03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-266 D 09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-274 D 08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-281 D 02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-267 D 00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-275 D 20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-280 D 23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-267 D 07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-276 D 23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-281 D 08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-267 D 16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-281 D 16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-281 D 10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-268 D 07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-281 D 20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-281 D 08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-268 D 10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-272 D 04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-280 D 20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-267 D 13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-270 D 03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-280 D 14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-267 D 18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-268 D 12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-280 D 13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-268 D 10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-280 D 11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-280 D 11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-269 D 12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-282 D 22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-280 D 11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-269 D 15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-286 D 07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-280 D 08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-270 D 05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-285 D 16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-280 D 09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-270 D 09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-285 D 11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-280 D 11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-270 D 12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-285 D 15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-280 D 13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-270 D 18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-285 D 18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-280 D 15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-270 D 20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-272 D 08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-279 D 17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-269 D 17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-249 D 01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-278 D 23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-269 D 19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-252 D 14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-278 D 18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-270 D 02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-257 D 12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-278 D 16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-270 D 05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-266 D 14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-278 D 10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-270 D 09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-280 D 15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-278 D 07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-270 D 15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-281 D 04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-278 D 07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-270 D 18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-281 D 13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-278 D 06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-270 D 20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-282 D 23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-278 D 09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-271 D 04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-283 D 12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-278 D 14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-271 D 09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-279 D 13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-278 D 06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-270 D 20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-273 D 02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-278 D 04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-270 D 22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-269 D 20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-278 D 01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-270 D 21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-269 D 22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-277 D 23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-270 D 22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-233 D 07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-276 D 16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-269 D 14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-254 D 20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-276 D 12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-270 D 11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-286 D 22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-276 D 12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-272 D 02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-218 D 19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-271 D 18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-270 D 02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-227 D 13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-269 D 21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-269 D 15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-233 D 00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-269 D 04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-269 D 16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-265 D 18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-268 D 17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-269 D 17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-275 D 13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-268 D 03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-270 D 06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-271 D 00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-267 D 01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-269 D 21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-269 D 04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-267 D 19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-270 D 06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-271 D 16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-268 D 11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-270 D 09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-274 D 07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-268 D 21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-270 D 04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-273 D 20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-270 D 00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-270 D 14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-274 D 07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-269 D 10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-270 D 10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-275 D 03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-270 D 02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-270 D 17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-271 D 06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-270 D 09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-270 D 14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-274 D 00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-270 D 22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-270 D 19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-275 D 03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-273 D 22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-271 D 08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-274 D 17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-273 D 23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-271 D 08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-273 D 20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-273 D 20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-271 D 06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-272 D 11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-273 D 13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-271 D 10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-271 D 15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-272 D 22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-271 D 07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-271 D 18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-272 D 21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-271 D 09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-272 D 12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-272 D 19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-271 D 12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-273 D 06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-272 D 19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-271 D 13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-266 D 17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-272 D 07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-271 D 04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-266 D 14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-271 D 20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-271 D 05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-266 D 17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-271 D 14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-271 D 04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-268 D 04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-271 D 13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-271 D 05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-271 D 21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-271 D 13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-271 D 07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-272 D 09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-271 D 15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-271 D 09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-273 D 02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-271 D 16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-271 D 10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-270 D 17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-271 D 08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-271 D 02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-275 D 17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-271 D 09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-271 D 12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-275 D 04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-271 D 11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-271 D 11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-273 D 05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-271 D 09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-271 D 08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-272 D 23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-271 D 11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-271 D 10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-271 D 13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-271 D 18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-271 D 15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-274 D 18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-272 D 01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-271 D 19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-275 D 12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-272 D 04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-271 D 19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-274 D 10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-272 D 03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-271 D 16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-275 D 02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-272 D 05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-271 D 17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-273 D 20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-272 D 07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-271 D 18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-272 D 22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-272 D 10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-271 D 21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-273 D 11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-272 D 17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-272 D 00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-275 D 05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-272 D 21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-272 D 00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-272 D 05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-272 D 21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-271 D 22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-272 D 09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-272 D 23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-271 D 23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-273 D 03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-273 D 07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-272 D 04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-273 D 10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-273 D 09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-272 D 03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-274 D 14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-273 D 12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-272 D 05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-274 D 00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-273 D 16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-272 D 05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-273 D 07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-273 D 18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-272 D 07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-271 D 22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-273 D 19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-272 D 06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-272 D 08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-273 D 19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-272 D 08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-272 D 13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-273 D 22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-272 D 08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-272 D 14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-273 D 20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-272 D 08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-272 D 22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-273 D 22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-272 D 10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-273 D 02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-273 D 22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-272 D 10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-273 D 03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-273 D 21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-272 D 10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-271 D 23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-273 D 17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-272 D 08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-273 D 04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-273 D 19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-272 D 13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-274 D 18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-273 D 23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-272 D 17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-274 D 12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-273 D 21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-272 D 15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-274 D 14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-273 D 22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-272 D 17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-275 D 14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-273 D 23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-272 D 20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-275 D 19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-274 D 00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-272 D 21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-275 D 20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-274 D 04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-273 D 01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-276 D 08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-274 D 07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-273 D 03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-273 D 06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-273 D 23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-272 D 18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-270 D 01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-273 D 22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-272 D 19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-269 D 22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-273 D 23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-272 D 21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-270 D 16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-274 D 00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-272 D 22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-271 D 07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-274 D 00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-272 D 22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-270 D 12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-273 D 18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-272 D 16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-271 D 22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-273 D 18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-272 D 18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-269 D 07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-273 D 13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-272 D 15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-270 D 01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-273 D 13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-272 D 16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-270 D 19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-273 D 12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-272 D 18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-271 D 11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-273 D 13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-272 D 19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-271 D 21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-273 D 12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-272 D 19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-272 D 15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-273 D 14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-272 D 21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-274 D 11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-273 D 14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-272 D 22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-273 D 04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-273 D 07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-272 D 16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-272 D 21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-273 D 08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-272 D 17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-273 D 17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-273 D 14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-273 D 01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-274 D 04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-273 D 12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-273 D 00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-274 D 09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-273 D 14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-273 D 02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-275 D 06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-273 D 16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-273 D 03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-275 D 07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-273 D 18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-273 D 05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-275 D 10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-273 D 20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-273 D 07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-275 D 17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-273 D 23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-273 D 10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-275 D 21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-274 D 02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-273 D 13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-276 D 09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-274 D 07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-273 D 17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-276 D 11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-274 D 09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-273 D 19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-276 D 12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-274 D 11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-273 D 20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-276 D 22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-274 D 18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-274 D 04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-276 D 20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-274 D 20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-274 D 04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-277 D 12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-275 D 14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-275 D 00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-277 D 16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-275 D 19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-275 D 04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-277 D 17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-275 D 23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-275 D 07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-277 D 17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-276 D 03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-275 D 10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-277 D 17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-276 D 08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-275 D 16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-277 D 18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-276 D 10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-275 D 17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-277 D 06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-276 D 16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-276 D 01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64">
        <v>43677.583333333336</v>
      </c>
      <c r="C1" s="1164"/>
      <c r="D1" s="233" t="s">
        <v>124</v>
      </c>
      <c r="E1" s="231" t="s">
        <v>77</v>
      </c>
      <c r="F1" s="231" t="s">
        <v>69</v>
      </c>
      <c r="G1" s="1134" t="s">
        <v>70</v>
      </c>
      <c r="H1" s="1134"/>
      <c r="I1" s="1134"/>
      <c r="J1" s="1134"/>
      <c r="K1" s="25"/>
      <c r="L1" s="230" t="s">
        <v>72</v>
      </c>
      <c r="M1" s="230"/>
      <c r="N1" s="876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64">
        <v>43688.583333333336</v>
      </c>
      <c r="C2" s="1164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3" t="str">
        <f ca="1">IF(NOW() &gt; $B$2,"",(NOW()-$B$1)/($B$2-$B$1))</f>
        <v/>
      </c>
      <c r="H2" s="1163"/>
      <c r="I2" s="1163"/>
      <c r="J2" s="1163"/>
      <c r="K2" s="25" t="s">
        <v>74</v>
      </c>
      <c r="L2" s="123">
        <v>100000</v>
      </c>
      <c r="N2" s="876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76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76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65" t="s">
        <v>71</v>
      </c>
      <c r="C5" s="1165"/>
      <c r="D5" s="1166" t="s">
        <v>128</v>
      </c>
      <c r="E5" s="1166"/>
      <c r="F5" s="1166" t="s">
        <v>73</v>
      </c>
      <c r="G5" s="1166"/>
      <c r="H5" s="1166" t="s">
        <v>76</v>
      </c>
      <c r="I5" s="1166"/>
      <c r="J5" s="1134" t="s">
        <v>126</v>
      </c>
      <c r="K5" s="1134"/>
      <c r="L5" s="1167" t="s">
        <v>127</v>
      </c>
      <c r="M5" s="1167"/>
      <c r="N5" s="1134" t="s">
        <v>125</v>
      </c>
      <c r="O5" s="1134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68" t="s">
        <v>204</v>
      </c>
      <c r="C2" s="1168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69" t="s">
        <v>17</v>
      </c>
      <c r="U3" s="1169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76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190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1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77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190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1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182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189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70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183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189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70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78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188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71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79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188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71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184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187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186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185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187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186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180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181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1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74">
        <f ca="1">SUM(MAX(L4,L5),MAX(L6,L7),MAX(L8,L9),MAX(L10,L11),MAX(L12,L13))</f>
        <v>0</v>
      </c>
      <c r="M14" s="1174">
        <f ca="1">SUM(MAX(M4,M5),MAX(M6,M7),MAX(M8,M9),MAX(M10,M11),MAX(M12,M13))</f>
        <v>0</v>
      </c>
      <c r="N14" s="1172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02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75"/>
      <c r="M15" s="1175"/>
      <c r="N15" s="1173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02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92">
        <f ca="1">IFERROR(ROUND(J16/(O16*INPUT_IO_DROP_RATE),0),NA())</f>
        <v>0</v>
      </c>
      <c r="M16" s="1192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203">
        <f>SUM(D迎擊!AK:AK)</f>
        <v>1045</v>
      </c>
      <c r="AD16" s="49"/>
    </row>
    <row r="17" spans="2:27" x14ac:dyDescent="0.25">
      <c r="B17" s="1202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92">
        <f ca="1">IFERROR(ROUND(J17/O17,0),NA())</f>
        <v>0</v>
      </c>
      <c r="M17" s="1192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203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02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92">
        <f ca="1">IFERROR(ROUND(J18/O18,0),NA())</f>
        <v>0</v>
      </c>
      <c r="M18" s="1192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203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04" t="s">
        <v>132</v>
      </c>
      <c r="C20" s="1205"/>
      <c r="D20" s="1205"/>
      <c r="E20" s="1205"/>
      <c r="F20" s="1205"/>
      <c r="G20" s="1205"/>
      <c r="H20" s="1205"/>
      <c r="I20" s="1193">
        <v>2</v>
      </c>
      <c r="J20" s="1197" t="s">
        <v>164</v>
      </c>
      <c r="K20" s="1198"/>
      <c r="L20" s="1193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93"/>
      <c r="N20" s="1193"/>
      <c r="O20" s="1193"/>
      <c r="P20" s="1194"/>
    </row>
    <row r="21" spans="2:27" ht="22.5" customHeight="1" thickBot="1" x14ac:dyDescent="0.3">
      <c r="B21" s="1206"/>
      <c r="C21" s="1207"/>
      <c r="D21" s="1207"/>
      <c r="E21" s="1207"/>
      <c r="F21" s="1207"/>
      <c r="G21" s="1207"/>
      <c r="H21" s="1207"/>
      <c r="I21" s="1195"/>
      <c r="J21" s="1199"/>
      <c r="K21" s="1200"/>
      <c r="L21" s="1195"/>
      <c r="M21" s="1195"/>
      <c r="N21" s="1195"/>
      <c r="O21" s="1195"/>
      <c r="P21" s="1196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08" t="s">
        <v>80</v>
      </c>
      <c r="B1" s="1208"/>
      <c r="C1" s="1213" t="s">
        <v>26</v>
      </c>
      <c r="D1" s="1213" t="s">
        <v>79</v>
      </c>
      <c r="E1" s="1213"/>
      <c r="F1" s="1213" t="s">
        <v>26</v>
      </c>
      <c r="G1" s="1219" t="s">
        <v>80</v>
      </c>
      <c r="H1" s="1219"/>
      <c r="I1" s="1214" t="s">
        <v>26</v>
      </c>
      <c r="J1" s="1214" t="s">
        <v>79</v>
      </c>
      <c r="K1" s="1214"/>
      <c r="L1" s="1214" t="s">
        <v>26</v>
      </c>
      <c r="M1" s="1218" t="s">
        <v>80</v>
      </c>
      <c r="N1" s="1218"/>
      <c r="O1" s="1215" t="s">
        <v>26</v>
      </c>
      <c r="P1" s="1215" t="s">
        <v>79</v>
      </c>
      <c r="Q1" s="1215"/>
      <c r="R1" s="1215" t="s">
        <v>26</v>
      </c>
      <c r="S1" s="1222" t="s">
        <v>80</v>
      </c>
      <c r="T1" s="1222"/>
      <c r="U1" s="1216" t="s">
        <v>26</v>
      </c>
      <c r="V1" s="1216" t="s">
        <v>79</v>
      </c>
      <c r="W1" s="1216"/>
      <c r="X1" s="1216" t="s">
        <v>26</v>
      </c>
      <c r="Y1" s="1221" t="s">
        <v>80</v>
      </c>
      <c r="Z1" s="1221"/>
      <c r="AA1" s="1217" t="s">
        <v>26</v>
      </c>
      <c r="AB1" s="1217" t="s">
        <v>79</v>
      </c>
      <c r="AC1" s="1217"/>
      <c r="AD1" s="1217" t="s">
        <v>26</v>
      </c>
      <c r="AE1" s="1211" t="s">
        <v>88</v>
      </c>
      <c r="AF1" s="1211"/>
      <c r="AG1" s="1212" t="s">
        <v>89</v>
      </c>
      <c r="AH1" s="1212"/>
      <c r="AI1" s="1209" t="s">
        <v>90</v>
      </c>
      <c r="AJ1" s="1209"/>
      <c r="AK1" s="1210" t="s">
        <v>26</v>
      </c>
      <c r="AM1" s="927" t="s">
        <v>129</v>
      </c>
      <c r="AN1" s="1220"/>
      <c r="AO1" s="1220"/>
      <c r="AP1" s="1220"/>
      <c r="AQ1" s="1220"/>
      <c r="AR1" s="1220"/>
      <c r="AS1" s="1220"/>
      <c r="AT1" s="1220"/>
      <c r="AU1" s="928"/>
      <c r="AV1" s="239"/>
      <c r="AW1" s="927" t="s">
        <v>58</v>
      </c>
      <c r="AX1" s="1220"/>
      <c r="AY1" s="1220"/>
      <c r="AZ1" s="1220"/>
      <c r="BA1" s="1220"/>
      <c r="BB1" s="1220"/>
      <c r="BC1" s="1220"/>
      <c r="BD1" s="1220"/>
      <c r="BE1" s="928"/>
    </row>
    <row r="2" spans="1:57" x14ac:dyDescent="0.25">
      <c r="A2" s="260" t="s">
        <v>28</v>
      </c>
      <c r="B2" s="106" t="s">
        <v>87</v>
      </c>
      <c r="C2" s="1213"/>
      <c r="D2" s="104" t="s">
        <v>28</v>
      </c>
      <c r="E2" s="106" t="s">
        <v>87</v>
      </c>
      <c r="F2" s="1213"/>
      <c r="G2" s="256" t="s">
        <v>28</v>
      </c>
      <c r="H2" s="107" t="s">
        <v>87</v>
      </c>
      <c r="I2" s="1214"/>
      <c r="J2" s="258" t="s">
        <v>28</v>
      </c>
      <c r="K2" s="102" t="s">
        <v>87</v>
      </c>
      <c r="L2" s="1214"/>
      <c r="M2" s="254" t="s">
        <v>28</v>
      </c>
      <c r="N2" s="100" t="s">
        <v>87</v>
      </c>
      <c r="O2" s="1215"/>
      <c r="P2" s="254" t="s">
        <v>28</v>
      </c>
      <c r="Q2" s="100" t="s">
        <v>87</v>
      </c>
      <c r="R2" s="1215"/>
      <c r="S2" s="249" t="s">
        <v>28</v>
      </c>
      <c r="T2" s="98" t="s">
        <v>87</v>
      </c>
      <c r="U2" s="1216"/>
      <c r="V2" s="249" t="s">
        <v>28</v>
      </c>
      <c r="W2" s="98" t="s">
        <v>87</v>
      </c>
      <c r="X2" s="1216"/>
      <c r="Y2" s="251" t="s">
        <v>28</v>
      </c>
      <c r="Z2" s="109" t="s">
        <v>87</v>
      </c>
      <c r="AA2" s="1217"/>
      <c r="AB2" s="251" t="s">
        <v>28</v>
      </c>
      <c r="AC2" s="109" t="s">
        <v>87</v>
      </c>
      <c r="AD2" s="1217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10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24" t="s">
        <v>158</v>
      </c>
      <c r="B1" s="1226" t="s">
        <v>161</v>
      </c>
      <c r="C1" s="1226"/>
      <c r="D1" s="1226"/>
      <c r="E1" s="1226"/>
      <c r="F1" s="1226"/>
      <c r="G1" s="1226"/>
      <c r="H1" s="1226"/>
      <c r="I1" s="328"/>
      <c r="J1" s="1226" t="s">
        <v>159</v>
      </c>
      <c r="K1" s="1226"/>
      <c r="L1" s="1226"/>
      <c r="M1" s="1226"/>
      <c r="N1" s="1226"/>
      <c r="O1" s="423" t="s">
        <v>200</v>
      </c>
      <c r="P1" s="328"/>
      <c r="Q1" s="1227" t="s">
        <v>160</v>
      </c>
      <c r="R1" s="1227"/>
      <c r="S1" s="1227"/>
      <c r="T1" s="1227"/>
      <c r="U1" s="1227"/>
      <c r="V1" s="1227"/>
      <c r="W1" s="1227"/>
    </row>
    <row r="2" spans="1:23" ht="25.5" customHeight="1" x14ac:dyDescent="0.25">
      <c r="A2" s="1224"/>
      <c r="B2" s="1232" t="s">
        <v>51</v>
      </c>
      <c r="C2" s="1232"/>
      <c r="D2" s="1233" t="s">
        <v>53</v>
      </c>
      <c r="E2" s="1233"/>
      <c r="F2" s="1231" t="s">
        <v>55</v>
      </c>
      <c r="G2" s="1231"/>
      <c r="H2" s="1231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24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29">
        <f>FLOOR(C7/MAX(DATA_DRAG_ACCU_EXP),1)</f>
        <v>60</v>
      </c>
      <c r="H3" s="1229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24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29">
        <f>MATCH(C10,DATA_DRAG_ACCU_EXP,0)</f>
        <v>97</v>
      </c>
      <c r="H4" s="1229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24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29">
        <f>INDEX(DATA_DRAG_LV_EXP,G4)-(C9-C10)</f>
        <v>23760</v>
      </c>
      <c r="H5" s="1229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24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28" t="str">
        <f>IF(R7&gt;0,R6/R7,"")</f>
        <v/>
      </c>
      <c r="V6" s="1228"/>
      <c r="W6" s="1228"/>
    </row>
    <row r="7" spans="1:23" ht="25.5" customHeight="1" x14ac:dyDescent="0.25">
      <c r="A7" s="1224"/>
      <c r="B7" s="118" t="s">
        <v>85</v>
      </c>
      <c r="C7" s="119">
        <f>C6-C8</f>
        <v>75540600</v>
      </c>
      <c r="D7" s="82" t="s">
        <v>54</v>
      </c>
      <c r="E7" s="83"/>
      <c r="F7" s="1134" t="s">
        <v>66</v>
      </c>
      <c r="G7" s="1134"/>
      <c r="H7" s="1134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24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4" t="s">
        <v>50</v>
      </c>
      <c r="G8" s="1230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24"/>
      <c r="B9" s="90" t="s">
        <v>82</v>
      </c>
      <c r="C9" s="90">
        <f>MOD(C7,DRAG_EXP_100)</f>
        <v>1139400</v>
      </c>
      <c r="F9" s="1134"/>
      <c r="G9" s="1230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24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24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24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23" t="s">
        <v>162</v>
      </c>
      <c r="B13" s="1225" t="s">
        <v>163</v>
      </c>
      <c r="C13" s="1225"/>
      <c r="D13" s="1225"/>
      <c r="E13" s="1225"/>
      <c r="F13" s="1225"/>
      <c r="G13" s="1225"/>
      <c r="H13" s="1225"/>
      <c r="O13" s="422"/>
    </row>
    <row r="14" spans="1:23" s="239" customFormat="1" ht="25.5" customHeight="1" x14ac:dyDescent="0.25">
      <c r="A14" s="1224"/>
      <c r="B14" s="1232" t="s">
        <v>51</v>
      </c>
      <c r="C14" s="1232"/>
      <c r="D14" s="1233" t="s">
        <v>53</v>
      </c>
      <c r="E14" s="1233"/>
      <c r="F14" s="1234" t="s">
        <v>55</v>
      </c>
      <c r="G14" s="1234"/>
      <c r="H14" s="1234"/>
    </row>
    <row r="15" spans="1:23" ht="25.5" customHeight="1" x14ac:dyDescent="0.25">
      <c r="A15" s="1224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5">
        <f>FLOOR(C19/MAX(DATA_WYRM_ACCU_EXP),1)</f>
        <v>133</v>
      </c>
      <c r="H15" s="1235"/>
    </row>
    <row r="16" spans="1:23" ht="25.5" customHeight="1" x14ac:dyDescent="0.25">
      <c r="A16" s="1224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29">
        <f>MATCH(C22,DATA_WYRM_ACCU_EXP,0)</f>
        <v>48</v>
      </c>
      <c r="H16" s="1229"/>
    </row>
    <row r="17" spans="1:8" ht="25.5" customHeight="1" x14ac:dyDescent="0.25">
      <c r="A17" s="1224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29">
        <f>INDEX(DATA_WYRM_LV_EXP,G16)-(C21-C22)</f>
        <v>530</v>
      </c>
      <c r="H17" s="1229"/>
    </row>
    <row r="18" spans="1:8" ht="25.5" customHeight="1" x14ac:dyDescent="0.25">
      <c r="A18" s="1224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24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15" t="s">
        <v>96</v>
      </c>
      <c r="B1" s="1215"/>
      <c r="C1" s="1215"/>
      <c r="D1" s="209"/>
      <c r="E1" s="1237" t="s">
        <v>97</v>
      </c>
      <c r="F1" s="1237"/>
      <c r="G1" s="1237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36">
        <v>67</v>
      </c>
      <c r="C8" s="1236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39" t="s">
        <v>41</v>
      </c>
      <c r="J24" s="1239"/>
      <c r="K24" s="1238">
        <f>K14+K22</f>
        <v>0</v>
      </c>
      <c r="L24" s="1238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76" t="s">
        <v>96</v>
      </c>
      <c r="B1" s="876"/>
      <c r="C1" s="876"/>
      <c r="D1" s="876"/>
      <c r="E1" s="876"/>
      <c r="F1" s="876"/>
      <c r="G1" s="876" t="s">
        <v>97</v>
      </c>
      <c r="H1" s="876"/>
      <c r="I1" s="876"/>
      <c r="J1" s="876"/>
      <c r="K1" s="876"/>
      <c r="L1" s="876"/>
      <c r="N1" s="876" t="s">
        <v>104</v>
      </c>
      <c r="O1" s="876"/>
    </row>
    <row r="2" spans="1:15" x14ac:dyDescent="0.25">
      <c r="A2" s="1240" t="s">
        <v>102</v>
      </c>
      <c r="B2" s="1240"/>
      <c r="C2" s="1242" t="s">
        <v>95</v>
      </c>
      <c r="D2" s="1242"/>
      <c r="E2" s="1241" t="s">
        <v>103</v>
      </c>
      <c r="F2" s="1241"/>
      <c r="G2" s="1244" t="s">
        <v>99</v>
      </c>
      <c r="H2" s="1244"/>
      <c r="I2" s="1241" t="s">
        <v>100</v>
      </c>
      <c r="J2" s="1241"/>
      <c r="K2" s="1243" t="s">
        <v>101</v>
      </c>
      <c r="L2" s="1243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47" t="s">
        <v>155</v>
      </c>
      <c r="D1" s="1246">
        <f>INDEX(DATA_EVTBLD,B1,3)-B3</f>
        <v>2428</v>
      </c>
      <c r="E1" s="1245" t="s">
        <v>24</v>
      </c>
      <c r="F1" s="1248">
        <f>1-(INDEX(DATA_EVTBLD,B1,3)-B3)/DATA_EVTBLD_MAX</f>
        <v>0.68935516888433979</v>
      </c>
      <c r="G1" s="1248"/>
      <c r="H1" s="1248"/>
      <c r="I1" s="1248"/>
      <c r="J1" s="1248"/>
      <c r="K1" s="1248"/>
      <c r="L1" s="1248"/>
    </row>
    <row r="2" spans="1:12" ht="14.65" customHeight="1" x14ac:dyDescent="0.25">
      <c r="A2" s="312" t="s">
        <v>374</v>
      </c>
      <c r="B2" s="318">
        <v>30</v>
      </c>
      <c r="C2" s="1247"/>
      <c r="D2" s="1246"/>
      <c r="E2" s="1245"/>
      <c r="F2" s="1248"/>
      <c r="G2" s="1248"/>
      <c r="H2" s="1248"/>
      <c r="I2" s="1248"/>
      <c r="J2" s="1248"/>
      <c r="K2" s="1248"/>
      <c r="L2" s="1248"/>
    </row>
    <row r="3" spans="1:12" ht="14.65" customHeight="1" x14ac:dyDescent="0.25">
      <c r="A3" s="312" t="s">
        <v>154</v>
      </c>
      <c r="B3" s="318">
        <v>2122</v>
      </c>
      <c r="C3" s="1247"/>
      <c r="D3" s="1246"/>
      <c r="E3" s="1245"/>
      <c r="F3" s="1248"/>
      <c r="G3" s="1248"/>
      <c r="H3" s="1248"/>
      <c r="I3" s="1248"/>
      <c r="J3" s="1248"/>
      <c r="K3" s="1248"/>
      <c r="L3" s="1248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2020-06-23T11:34:08Z</dcterms:modified>
</cp:coreProperties>
</file>