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621" documentId="1_{591E01BB-ADD9-E94E-8B37-A36187A018E2}" xr6:coauthVersionLast="45" xr6:coauthVersionMax="45" xr10:uidLastSave="{12B2C45F-4018-4B5E-A83E-BB8AD58AC1EA}"/>
  <bookViews>
    <workbookView minimized="1" xWindow="5490" yWindow="1305" windowWidth="19095" windowHeight="14100" firstSheet="6" activeTab="11" xr2:uid="{DB722928-C7C8-4DCB-B9F0-15DF68E4A8EA}"/>
  </bookViews>
  <sheets>
    <sheet name="導引" sheetId="38" r:id="rId1"/>
    <sheet name="高龍裝" sheetId="40" r:id="rId2"/>
    <sheet name="超龍裝" sheetId="39" r:id="rId3"/>
    <sheet name="真龍" sheetId="20" r:id="rId4"/>
    <sheet name="D真龍" sheetId="9" state="hidden" r:id="rId5"/>
    <sheet name="D真火" sheetId="10" r:id="rId6"/>
    <sheet name="D真水" sheetId="11" r:id="rId7"/>
    <sheet name="D真風" sheetId="14" r:id="rId8"/>
    <sheet name="D真光" sheetId="13" r:id="rId9"/>
    <sheet name="D真暗" sheetId="12" r:id="rId10"/>
    <sheet name="高牙裝" sheetId="46" r:id="rId11"/>
    <sheet name="咢牙" sheetId="44" r:id="rId12"/>
    <sheet name="D咢牙" sheetId="43" r:id="rId13"/>
    <sheet name="鑽量" sheetId="47" r:id="rId14"/>
    <sheet name="C鑽量" sheetId="49" r:id="rId15"/>
    <sheet name="玩家EXP" sheetId="33" state="hidden" r:id="rId16"/>
    <sheet name="D玩家EXP" sheetId="32" state="hidden" r:id="rId17"/>
    <sheet name="E速度" sheetId="36" state="hidden" r:id="rId18"/>
    <sheet name="Raid" sheetId="16" state="hidden" r:id="rId19"/>
    <sheet name="R速度" sheetId="30" state="hidden" r:id="rId20"/>
    <sheet name="R預估差" sheetId="31" state="hidden" r:id="rId21"/>
    <sheet name="迎擊" sheetId="18" state="hidden" r:id="rId22"/>
    <sheet name="D迎擊" sheetId="7" state="hidden" r:id="rId23"/>
    <sheet name="龍煉-護符" sheetId="19" state="hidden" r:id="rId24"/>
    <sheet name="D龍煉-護符" sheetId="4" state="hidden" r:id="rId25"/>
    <sheet name="虛空" sheetId="21" state="hidden" r:id="rId26"/>
    <sheet name="D虛空" sheetId="15" state="hidden" r:id="rId27"/>
    <sheet name="爪草" sheetId="22" state="hidden" r:id="rId28"/>
    <sheet name="D爪草" sheetId="23" state="hidden" r:id="rId29"/>
    <sheet name="活動建築" sheetId="37" state="hidden" r:id="rId30"/>
  </sheets>
  <definedNames>
    <definedName name="_xlnm._FilterDatabase" localSheetId="15" hidden="1">玩家EXP!$A$1:$N$115</definedName>
    <definedName name="AGITO_FLAME_EXP_GOLD">D咢牙!$C:$C</definedName>
    <definedName name="AGITO_FLAME_EXP_SILVER">D咢牙!$B:$B</definedName>
    <definedName name="AGITO_FLAME_STD_SILVER">D咢牙!$A:$A</definedName>
    <definedName name="AGITO_LIGHT_EXP_GOLD">D咢牙!$L:$L</definedName>
    <definedName name="AGITO_LIGHT_EXP_SILVER">D咢牙!$K:$K</definedName>
    <definedName name="AGITO_LIGHT_STD_SILVER">D咢牙!$J:$J</definedName>
    <definedName name="AGITO_SHADOW_EXP_GOLD">D咢牙!$O:$O</definedName>
    <definedName name="AGITO_SHADOW_EXP_SILVER">D咢牙!$N:$N</definedName>
    <definedName name="AGITO_SHADOW_STD_SILVER">D咢牙!$M:$M</definedName>
    <definedName name="AGITO_WATER_EXP_GOLD">D咢牙!$F:$F</definedName>
    <definedName name="AGITO_WATER_EXP_SILVER">D咢牙!$E:$E</definedName>
    <definedName name="AGITO_WATER_STD_SILVER">D咢牙!$D:$D</definedName>
    <definedName name="AGITO_WEAPON_MUB_GOLD">VLOOKUP(614,DATA_AGITO_WEAPON,3,FALSE)</definedName>
    <definedName name="AGITO_WEAPON_MUB_SILVER">VLOOKUP(614,DATA_AGITO_WEAPON,2,FALSE)</definedName>
    <definedName name="AGITO_WIND_EXP_GOLD">D咢牙!$I:$I</definedName>
    <definedName name="AGITO_WIND_EXP_SILVER">D咢牙!$H:$H</definedName>
    <definedName name="AGITO_WIND_STD_SILVER">D咢牙!$G:$G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D咢牙!$R$2:$S$17</definedName>
    <definedName name="DATA_AGITO_WEAPON">D咢牙!$U$1:$W$5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47" l="1"/>
  <c r="F56" i="47"/>
  <c r="H56" i="47" s="1"/>
  <c r="I56" i="47" s="1"/>
  <c r="E56" i="47"/>
  <c r="G55" i="47" l="1"/>
  <c r="F55" i="47"/>
  <c r="H55" i="47" s="1"/>
  <c r="I55" i="47" s="1"/>
  <c r="E55" i="47"/>
  <c r="G54" i="47" l="1"/>
  <c r="F54" i="47"/>
  <c r="H54" i="47" s="1"/>
  <c r="I54" i="47" s="1"/>
  <c r="E54" i="47"/>
  <c r="F53" i="47" l="1"/>
  <c r="G53" i="47"/>
  <c r="H53" i="47"/>
  <c r="I53" i="47"/>
  <c r="E53" i="47"/>
  <c r="G52" i="47"/>
  <c r="F52" i="47"/>
  <c r="E52" i="47"/>
  <c r="H52" i="47"/>
  <c r="I52" i="47"/>
  <c r="G51" i="47"/>
  <c r="F51" i="47"/>
  <c r="H51" i="47"/>
  <c r="I51" i="47"/>
  <c r="E51" i="47"/>
  <c r="H50" i="47"/>
  <c r="I50" i="47"/>
  <c r="G50" i="47"/>
  <c r="F50" i="47"/>
  <c r="E50" i="47"/>
  <c r="G49" i="47"/>
  <c r="F49" i="47"/>
  <c r="H49" i="47"/>
  <c r="I49" i="47"/>
  <c r="E49" i="47"/>
  <c r="G48" i="47"/>
  <c r="F48" i="47"/>
  <c r="H48" i="47"/>
  <c r="I48" i="47"/>
  <c r="E48" i="47"/>
  <c r="G47" i="47"/>
  <c r="F47" i="47"/>
  <c r="H47" i="47"/>
  <c r="I47" i="47"/>
  <c r="E47" i="47"/>
  <c r="G38" i="47"/>
  <c r="G46" i="47"/>
  <c r="F46" i="47"/>
  <c r="H46" i="47"/>
  <c r="I46" i="47"/>
  <c r="E46" i="47"/>
  <c r="G45" i="47"/>
  <c r="F45" i="47"/>
  <c r="H45" i="47"/>
  <c r="I45" i="47"/>
  <c r="E45" i="47"/>
  <c r="G44" i="47"/>
  <c r="F44" i="47"/>
  <c r="H44" i="47"/>
  <c r="I44" i="47"/>
  <c r="E44" i="47"/>
  <c r="G43" i="47"/>
  <c r="F43" i="47"/>
  <c r="H43" i="47"/>
  <c r="I43" i="47"/>
  <c r="E43" i="47"/>
  <c r="C3" i="47"/>
  <c r="F3" i="47" s="1" a="1"/>
  <c r="F3" i="47" s="1"/>
  <c r="I42" i="47"/>
  <c r="I41" i="47"/>
  <c r="I40" i="47"/>
  <c r="I39" i="47"/>
  <c r="I38" i="47"/>
  <c r="I37" i="47"/>
  <c r="I36" i="47"/>
  <c r="I35" i="47"/>
  <c r="I34" i="47"/>
  <c r="I33" i="47"/>
  <c r="I32" i="47"/>
  <c r="I31" i="47"/>
  <c r="I30" i="47"/>
  <c r="I29" i="47"/>
  <c r="I28" i="47"/>
  <c r="I27" i="47"/>
  <c r="I26" i="47"/>
  <c r="I25" i="47"/>
  <c r="I24" i="47"/>
  <c r="I23" i="47"/>
  <c r="I22" i="47"/>
  <c r="I21" i="47"/>
  <c r="I20" i="47"/>
  <c r="I19" i="47"/>
  <c r="I18" i="47"/>
  <c r="I17" i="47"/>
  <c r="I16" i="47"/>
  <c r="I15" i="47"/>
  <c r="I14" i="47"/>
  <c r="I13" i="47"/>
  <c r="I12" i="47"/>
  <c r="I11" i="47"/>
  <c r="I10" i="47"/>
  <c r="I9" i="47"/>
  <c r="I8" i="47"/>
  <c r="I6" i="47"/>
  <c r="I7" i="47"/>
  <c r="G42" i="47"/>
  <c r="F42" i="47"/>
  <c r="H42" i="47"/>
  <c r="E42" i="47"/>
  <c r="H41" i="47"/>
  <c r="G41" i="47"/>
  <c r="F41" i="47"/>
  <c r="E41" i="47"/>
  <c r="F40" i="47"/>
  <c r="G40" i="47"/>
  <c r="H40" i="47"/>
  <c r="E40" i="47"/>
  <c r="H39" i="47"/>
  <c r="G39" i="47"/>
  <c r="F39" i="47"/>
  <c r="E39" i="47"/>
  <c r="F38" i="47"/>
  <c r="H38" i="47"/>
  <c r="E38" i="47"/>
  <c r="H37" i="47"/>
  <c r="G37" i="47"/>
  <c r="F37" i="47"/>
  <c r="E37" i="47"/>
  <c r="H36" i="47"/>
  <c r="G36" i="47"/>
  <c r="F36" i="47"/>
  <c r="E36" i="47"/>
  <c r="G35" i="47"/>
  <c r="F35" i="47"/>
  <c r="H35" i="47"/>
  <c r="E35" i="47"/>
  <c r="G34" i="47"/>
  <c r="F34" i="47"/>
  <c r="H34" i="47"/>
  <c r="E34" i="47"/>
  <c r="H33" i="47"/>
  <c r="G33" i="47"/>
  <c r="F33" i="47"/>
  <c r="E33" i="47"/>
  <c r="H32" i="47"/>
  <c r="G32" i="47"/>
  <c r="F32" i="47"/>
  <c r="E32" i="47"/>
  <c r="G31" i="47"/>
  <c r="H31" i="47"/>
  <c r="F31" i="47"/>
  <c r="E31" i="47"/>
  <c r="H30" i="47"/>
  <c r="G30" i="47"/>
  <c r="F30" i="47"/>
  <c r="E30" i="47"/>
  <c r="G29" i="47"/>
  <c r="H29" i="47"/>
  <c r="F29" i="47"/>
  <c r="E29" i="47"/>
  <c r="G28" i="47"/>
  <c r="H28" i="47"/>
  <c r="F28" i="47"/>
  <c r="E28" i="47"/>
  <c r="G27" i="47"/>
  <c r="F27" i="47"/>
  <c r="H27" i="47"/>
  <c r="E27" i="47"/>
  <c r="G26" i="47"/>
  <c r="F26" i="47"/>
  <c r="H26" i="47"/>
  <c r="E26" i="47"/>
  <c r="G25" i="47"/>
  <c r="F25" i="47"/>
  <c r="H25" i="47"/>
  <c r="E25" i="47"/>
  <c r="H24" i="47"/>
  <c r="G24" i="47"/>
  <c r="F24" i="47"/>
  <c r="E24" i="47"/>
  <c r="G23" i="47"/>
  <c r="F23" i="47"/>
  <c r="H23" i="47"/>
  <c r="E23" i="47"/>
  <c r="G22" i="47"/>
  <c r="F22" i="47"/>
  <c r="H22" i="47"/>
  <c r="E22" i="47"/>
  <c r="L3" i="47" a="1"/>
  <c r="L3" i="47" s="1"/>
  <c r="K3" i="47" a="1"/>
  <c r="K3" i="47" s="1"/>
  <c r="G21" i="47"/>
  <c r="H21" i="47"/>
  <c r="F21" i="47"/>
  <c r="E21" i="47"/>
  <c r="G20" i="47"/>
  <c r="F20" i="47"/>
  <c r="H20" i="47"/>
  <c r="H19" i="47"/>
  <c r="G19" i="47"/>
  <c r="F19" i="47"/>
  <c r="E20" i="47"/>
  <c r="E19" i="47"/>
  <c r="E3" i="47"/>
  <c r="H3" i="47" s="1" a="1"/>
  <c r="H3" i="47" s="1"/>
  <c r="I3" i="47" s="1"/>
  <c r="D3" i="47"/>
  <c r="G3" i="47" s="1" a="1"/>
  <c r="G3" i="47" s="1"/>
  <c r="G18" i="47"/>
  <c r="H18" i="47"/>
  <c r="F18" i="47"/>
  <c r="E18" i="47"/>
  <c r="G13" i="47"/>
  <c r="F13" i="47"/>
  <c r="H13" i="47"/>
  <c r="G17" i="47"/>
  <c r="F17" i="47"/>
  <c r="H17" i="47"/>
  <c r="E17" i="47"/>
  <c r="G16" i="47"/>
  <c r="F16" i="47"/>
  <c r="H16" i="47"/>
  <c r="E16" i="47"/>
  <c r="G15" i="47"/>
  <c r="F15" i="47"/>
  <c r="E15" i="47"/>
  <c r="G14" i="47"/>
  <c r="F14" i="47"/>
  <c r="H14" i="47"/>
  <c r="E14" i="47"/>
  <c r="H15" i="47"/>
  <c r="E13" i="47"/>
  <c r="G12" i="47"/>
  <c r="F12" i="47"/>
  <c r="E12" i="47"/>
  <c r="G11" i="47"/>
  <c r="F11" i="47"/>
  <c r="E11" i="47"/>
  <c r="H12" i="47"/>
  <c r="H11" i="47"/>
  <c r="G10" i="47"/>
  <c r="F10" i="47"/>
  <c r="H10" i="47"/>
  <c r="E10" i="47"/>
  <c r="G9" i="47"/>
  <c r="F9" i="47"/>
  <c r="E9" i="47"/>
  <c r="H9" i="47"/>
  <c r="G8" i="47"/>
  <c r="F8" i="47"/>
  <c r="E8" i="47"/>
  <c r="H8" i="47"/>
  <c r="G7" i="47"/>
  <c r="F7" i="47"/>
  <c r="H7" i="47"/>
  <c r="E7" i="47"/>
  <c r="E6" i="47"/>
  <c r="H6" i="47"/>
  <c r="E28" i="44"/>
  <c r="C28" i="44"/>
  <c r="E24" i="44"/>
  <c r="C24" i="44"/>
  <c r="E20" i="44"/>
  <c r="C20" i="44"/>
  <c r="E16" i="44"/>
  <c r="C16" i="44"/>
  <c r="E12" i="44"/>
  <c r="C12" i="44"/>
  <c r="L9" i="44"/>
  <c r="N9" i="44"/>
  <c r="M9" i="44"/>
  <c r="K9" i="44"/>
  <c r="J9" i="44"/>
  <c r="C6" i="37"/>
  <c r="U20" i="43"/>
  <c r="Q21" i="43"/>
  <c r="U21" i="43"/>
  <c r="V21" i="43"/>
  <c r="W21" i="43"/>
  <c r="Q22" i="43"/>
  <c r="U22" i="43"/>
  <c r="V22" i="43"/>
  <c r="W22" i="43"/>
  <c r="Q23" i="43"/>
  <c r="Q24" i="43"/>
  <c r="Q25" i="43"/>
  <c r="Q26" i="43"/>
  <c r="Q27" i="43"/>
  <c r="Q28" i="43"/>
  <c r="Q29" i="43"/>
  <c r="Q30" i="43"/>
  <c r="Q31" i="43"/>
  <c r="Q32" i="43"/>
  <c r="Q33" i="43"/>
  <c r="Q34" i="43"/>
  <c r="U23" i="43"/>
  <c r="X24" i="43"/>
  <c r="V23" i="43"/>
  <c r="W23" i="43"/>
  <c r="U24" i="43"/>
  <c r="V24" i="43"/>
  <c r="W24" i="43"/>
  <c r="U25" i="43"/>
  <c r="X25" i="43"/>
  <c r="V25" i="43"/>
  <c r="W25" i="43"/>
  <c r="U26" i="43"/>
  <c r="V26" i="43"/>
  <c r="W26" i="43"/>
  <c r="U27" i="43"/>
  <c r="V27" i="43"/>
  <c r="W27" i="43"/>
  <c r="U28" i="43"/>
  <c r="V28" i="43"/>
  <c r="W28" i="43"/>
  <c r="U29" i="43"/>
  <c r="V29" i="43"/>
  <c r="W29" i="43"/>
  <c r="U30" i="43"/>
  <c r="V30" i="43"/>
  <c r="W30" i="43"/>
  <c r="U31" i="43"/>
  <c r="V31" i="43"/>
  <c r="W31" i="43"/>
  <c r="U32" i="43"/>
  <c r="V32" i="43"/>
  <c r="W32" i="43"/>
  <c r="U33" i="43"/>
  <c r="V33" i="43"/>
  <c r="W33" i="43"/>
  <c r="U34" i="43"/>
  <c r="X34" i="43"/>
  <c r="V34" i="43"/>
  <c r="W34" i="43"/>
  <c r="X32" i="43"/>
  <c r="X30" i="43"/>
  <c r="X29" i="43"/>
  <c r="X28" i="43"/>
  <c r="X27" i="43"/>
  <c r="X23" i="43"/>
  <c r="X22" i="43"/>
  <c r="X21" i="43"/>
  <c r="X26" i="43"/>
  <c r="X33" i="43"/>
  <c r="X31" i="43"/>
  <c r="Q29" i="44" a="1"/>
  <c r="Q29" i="44" s="1"/>
  <c r="Q28" i="44" a="1"/>
  <c r="Q28" i="44"/>
  <c r="N8" i="44"/>
  <c r="M8" i="44"/>
  <c r="L8" i="44"/>
  <c r="K8" i="44"/>
  <c r="J8" i="44"/>
  <c r="N7" i="44"/>
  <c r="M7" i="44"/>
  <c r="L7" i="44"/>
  <c r="K7" i="44"/>
  <c r="J7" i="44"/>
  <c r="N6" i="44"/>
  <c r="M6" i="44"/>
  <c r="L6" i="44"/>
  <c r="K6" i="44"/>
  <c r="J6" i="44"/>
  <c r="N5" i="44"/>
  <c r="M5" i="44"/>
  <c r="L5" i="44"/>
  <c r="K5" i="44"/>
  <c r="J5" i="44"/>
  <c r="N4" i="44"/>
  <c r="M4" i="44"/>
  <c r="L4" i="44"/>
  <c r="K4" i="44"/>
  <c r="J4" i="44"/>
  <c r="I26" i="44"/>
  <c r="J26" i="44"/>
  <c r="K26" i="44"/>
  <c r="L26" i="44"/>
  <c r="M26" i="44"/>
  <c r="N26" i="44"/>
  <c r="O26" i="44"/>
  <c r="P26" i="44"/>
  <c r="I27" i="44"/>
  <c r="J27" i="44"/>
  <c r="K27" i="44"/>
  <c r="L27" i="44"/>
  <c r="Q25" i="44" s="1" a="1"/>
  <c r="Q25" i="44" s="1"/>
  <c r="M27" i="44"/>
  <c r="N27" i="44"/>
  <c r="O27" i="44"/>
  <c r="P27" i="44"/>
  <c r="P31" i="44"/>
  <c r="O31" i="44"/>
  <c r="N31" i="44"/>
  <c r="M31" i="44"/>
  <c r="L31" i="44"/>
  <c r="K31" i="44"/>
  <c r="J31" i="44"/>
  <c r="I31" i="44"/>
  <c r="R29" i="44" s="1" a="1"/>
  <c r="R29" i="44" s="1"/>
  <c r="P30" i="44"/>
  <c r="O30" i="44"/>
  <c r="N30" i="44"/>
  <c r="M30" i="44"/>
  <c r="L30" i="44"/>
  <c r="K30" i="44"/>
  <c r="J30" i="44"/>
  <c r="I30" i="44"/>
  <c r="P23" i="44"/>
  <c r="O23" i="44"/>
  <c r="N23" i="44"/>
  <c r="M23" i="44"/>
  <c r="R21" i="44" s="1" a="1"/>
  <c r="R21" i="44" s="1"/>
  <c r="L23" i="44"/>
  <c r="K23" i="44"/>
  <c r="J23" i="44"/>
  <c r="I23" i="44"/>
  <c r="P22" i="44"/>
  <c r="O22" i="44"/>
  <c r="N22" i="44"/>
  <c r="M22" i="44"/>
  <c r="L22" i="44"/>
  <c r="K22" i="44"/>
  <c r="J22" i="44"/>
  <c r="I22" i="44"/>
  <c r="R20" i="44" s="1" a="1"/>
  <c r="R20" i="44" s="1"/>
  <c r="P19" i="44"/>
  <c r="O19" i="44"/>
  <c r="N19" i="44"/>
  <c r="M19" i="44"/>
  <c r="L19" i="44"/>
  <c r="K19" i="44"/>
  <c r="I19" i="44"/>
  <c r="J19" i="44"/>
  <c r="P18" i="44"/>
  <c r="O18" i="44"/>
  <c r="N18" i="44"/>
  <c r="M18" i="44"/>
  <c r="L18" i="44"/>
  <c r="K18" i="44"/>
  <c r="J18" i="44"/>
  <c r="I18" i="44"/>
  <c r="P15" i="44"/>
  <c r="O15" i="44"/>
  <c r="N15" i="44"/>
  <c r="M15" i="44"/>
  <c r="L15" i="44"/>
  <c r="K15" i="44"/>
  <c r="J15" i="44"/>
  <c r="P14" i="44"/>
  <c r="R12" i="44" s="1" a="1"/>
  <c r="R12" i="44" s="1"/>
  <c r="O14" i="44"/>
  <c r="N14" i="44"/>
  <c r="M14" i="44"/>
  <c r="L14" i="44"/>
  <c r="Q12" i="44" a="1"/>
  <c r="Q12" i="44"/>
  <c r="K14" i="44"/>
  <c r="J14" i="44"/>
  <c r="I15" i="44"/>
  <c r="I14" i="44"/>
  <c r="V31" i="44"/>
  <c r="L28" i="20"/>
  <c r="G11" i="9"/>
  <c r="H53" i="20"/>
  <c r="G10" i="9"/>
  <c r="G9" i="9"/>
  <c r="G8" i="9"/>
  <c r="F11" i="9"/>
  <c r="H44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4" i="18" s="1"/>
  <c r="W4" i="18" s="1"/>
  <c r="AU37" i="7"/>
  <c r="AR37" i="7"/>
  <c r="E13" i="18" s="1"/>
  <c r="J13" i="18" s="1"/>
  <c r="L13" i="18" s="1"/>
  <c r="AQ37" i="7"/>
  <c r="E8" i="18" s="1"/>
  <c r="AP37" i="7"/>
  <c r="E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/>
  <c r="L699" i="33"/>
  <c r="K699" i="33"/>
  <c r="J699" i="33"/>
  <c r="I699" i="33"/>
  <c r="G699" i="33"/>
  <c r="H699" i="33"/>
  <c r="F699" i="33"/>
  <c r="E699" i="33"/>
  <c r="D699" i="33"/>
  <c r="D698" i="33"/>
  <c r="M698" i="33"/>
  <c r="L698" i="33"/>
  <c r="K698" i="33"/>
  <c r="J698" i="33"/>
  <c r="I698" i="33"/>
  <c r="G698" i="33"/>
  <c r="H698" i="33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 s="1"/>
  <c r="L696" i="33"/>
  <c r="K696" i="33"/>
  <c r="J696" i="33"/>
  <c r="I696" i="33"/>
  <c r="G696" i="33"/>
  <c r="H696" i="33"/>
  <c r="F696" i="33"/>
  <c r="E696" i="33"/>
  <c r="D696" i="33"/>
  <c r="M695" i="33"/>
  <c r="N695" i="33" s="1"/>
  <c r="D695" i="33"/>
  <c r="L695" i="33"/>
  <c r="K695" i="33"/>
  <c r="J695" i="33"/>
  <c r="I695" i="33"/>
  <c r="G695" i="33"/>
  <c r="H695" i="33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D690" i="33"/>
  <c r="L690" i="33"/>
  <c r="K690" i="33"/>
  <c r="J690" i="33"/>
  <c r="I690" i="33"/>
  <c r="G690" i="33"/>
  <c r="H690" i="33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/>
  <c r="F685" i="33"/>
  <c r="E685" i="33"/>
  <c r="D685" i="33"/>
  <c r="M684" i="33"/>
  <c r="N684" i="33" s="1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N680" i="33" s="1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N677" i="33" s="1"/>
  <c r="L677" i="33"/>
  <c r="K677" i="33"/>
  <c r="J677" i="33"/>
  <c r="I677" i="33"/>
  <c r="G677" i="33"/>
  <c r="H677" i="33" s="1"/>
  <c r="F677" i="33"/>
  <c r="E677" i="33"/>
  <c r="D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L663" i="33"/>
  <c r="K663" i="33"/>
  <c r="J663" i="33"/>
  <c r="I663" i="33"/>
  <c r="G663" i="33"/>
  <c r="H663" i="33" s="1"/>
  <c r="F663" i="33"/>
  <c r="E663" i="33"/>
  <c r="D663" i="33"/>
  <c r="N663" i="33"/>
  <c r="D662" i="33"/>
  <c r="M662" i="33"/>
  <c r="L662" i="33"/>
  <c r="K662" i="33"/>
  <c r="J662" i="33"/>
  <c r="I662" i="33"/>
  <c r="G662" i="33"/>
  <c r="H662" i="33"/>
  <c r="F662" i="33"/>
  <c r="E662" i="33"/>
  <c r="M661" i="33"/>
  <c r="L661" i="33"/>
  <c r="K661" i="33"/>
  <c r="J661" i="33"/>
  <c r="I661" i="33"/>
  <c r="G661" i="33"/>
  <c r="H661" i="33"/>
  <c r="F661" i="33"/>
  <c r="E661" i="33"/>
  <c r="D661" i="33"/>
  <c r="M660" i="33"/>
  <c r="L660" i="33"/>
  <c r="K660" i="33"/>
  <c r="J660" i="33"/>
  <c r="I660" i="33"/>
  <c r="G660" i="33"/>
  <c r="H660" i="33" s="1"/>
  <c r="F660" i="33"/>
  <c r="E660" i="33"/>
  <c r="D660" i="33"/>
  <c r="M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/>
  <c r="F658" i="33"/>
  <c r="E658" i="33"/>
  <c r="D658" i="33"/>
  <c r="M657" i="33"/>
  <c r="L657" i="33"/>
  <c r="K657" i="33"/>
  <c r="J657" i="33"/>
  <c r="I657" i="33"/>
  <c r="G657" i="33"/>
  <c r="H657" i="33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L655" i="33"/>
  <c r="K655" i="33"/>
  <c r="J655" i="33"/>
  <c r="I655" i="33"/>
  <c r="G655" i="33"/>
  <c r="H655" i="33" s="1"/>
  <c r="F655" i="33"/>
  <c r="E655" i="33"/>
  <c r="D655" i="33"/>
  <c r="N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N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/>
  <c r="L645" i="33"/>
  <c r="K645" i="33"/>
  <c r="J645" i="33"/>
  <c r="I645" i="33"/>
  <c r="G645" i="33"/>
  <c r="H645" i="33" s="1"/>
  <c r="F645" i="33"/>
  <c r="E645" i="33"/>
  <c r="D645" i="33"/>
  <c r="M644" i="33"/>
  <c r="N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/>
  <c r="F641" i="33"/>
  <c r="E641" i="33"/>
  <c r="M640" i="33"/>
  <c r="D640" i="33"/>
  <c r="N640" i="33"/>
  <c r="L640" i="33"/>
  <c r="K640" i="33"/>
  <c r="J640" i="33"/>
  <c r="I640" i="33"/>
  <c r="G640" i="33"/>
  <c r="H640" i="33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L638" i="33"/>
  <c r="K638" i="33"/>
  <c r="J638" i="33"/>
  <c r="I638" i="33"/>
  <c r="G638" i="33"/>
  <c r="H638" i="33" s="1"/>
  <c r="F638" i="33"/>
  <c r="E638" i="33"/>
  <c r="M637" i="33"/>
  <c r="N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N631" i="33"/>
  <c r="D631" i="33"/>
  <c r="L631" i="33"/>
  <c r="K631" i="33"/>
  <c r="J631" i="33"/>
  <c r="I631" i="33"/>
  <c r="G631" i="33"/>
  <c r="H631" i="33" s="1"/>
  <c r="F631" i="33"/>
  <c r="E631" i="33"/>
  <c r="M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N628" i="33"/>
  <c r="L628" i="33"/>
  <c r="K628" i="33"/>
  <c r="J628" i="33"/>
  <c r="I628" i="33"/>
  <c r="G628" i="33"/>
  <c r="H628" i="33" s="1"/>
  <c r="F628" i="33"/>
  <c r="E628" i="33"/>
  <c r="D628" i="33"/>
  <c r="M627" i="33"/>
  <c r="L627" i="33"/>
  <c r="K627" i="33"/>
  <c r="J627" i="33"/>
  <c r="I627" i="33"/>
  <c r="G627" i="33"/>
  <c r="H627" i="33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N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 s="1"/>
  <c r="D621" i="33"/>
  <c r="L621" i="33"/>
  <c r="K621" i="33"/>
  <c r="J621" i="33"/>
  <c r="I621" i="33"/>
  <c r="G621" i="33"/>
  <c r="H621" i="33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/>
  <c r="D604" i="33"/>
  <c r="L604" i="33"/>
  <c r="K604" i="33"/>
  <c r="J604" i="33"/>
  <c r="I604" i="33"/>
  <c r="G604" i="33"/>
  <c r="H604" i="33" s="1"/>
  <c r="F604" i="33"/>
  <c r="E604" i="33"/>
  <c r="M603" i="33"/>
  <c r="N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 s="1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N590" i="33" s="1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/>
  <c r="F585" i="33"/>
  <c r="E585" i="33"/>
  <c r="M584" i="33"/>
  <c r="N584" i="33"/>
  <c r="L584" i="33"/>
  <c r="K584" i="33"/>
  <c r="J584" i="33"/>
  <c r="I584" i="33"/>
  <c r="G584" i="33"/>
  <c r="H584" i="33" s="1"/>
  <c r="F584" i="33"/>
  <c r="E584" i="33"/>
  <c r="D584" i="33"/>
  <c r="M583" i="33"/>
  <c r="N583" i="33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 s="1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 s="1"/>
  <c r="L568" i="33"/>
  <c r="K568" i="33"/>
  <c r="J568" i="33"/>
  <c r="I568" i="33"/>
  <c r="G568" i="33"/>
  <c r="H568" i="33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L561" i="33"/>
  <c r="K561" i="33"/>
  <c r="J561" i="33"/>
  <c r="I561" i="33"/>
  <c r="G561" i="33"/>
  <c r="H561" i="33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N557" i="33" s="1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N551" i="33" s="1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N547" i="33" s="1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N545" i="33" s="1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D543" i="33"/>
  <c r="L543" i="33"/>
  <c r="K543" i="33"/>
  <c r="J543" i="33"/>
  <c r="I543" i="33"/>
  <c r="G543" i="33"/>
  <c r="H543" i="33" s="1"/>
  <c r="F543" i="33"/>
  <c r="E543" i="33"/>
  <c r="M542" i="33"/>
  <c r="N542" i="33" s="1"/>
  <c r="L542" i="33"/>
  <c r="K542" i="33"/>
  <c r="J542" i="33"/>
  <c r="I542" i="33"/>
  <c r="G542" i="33"/>
  <c r="H542" i="33" s="1"/>
  <c r="F542" i="33"/>
  <c r="E542" i="33"/>
  <c r="D542" i="33"/>
  <c r="M541" i="33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N539" i="33" s="1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N536" i="33"/>
  <c r="L536" i="33"/>
  <c r="K536" i="33"/>
  <c r="J536" i="33"/>
  <c r="I536" i="33"/>
  <c r="G536" i="33"/>
  <c r="H536" i="33" s="1"/>
  <c r="F536" i="33"/>
  <c r="E536" i="33"/>
  <c r="D536" i="33"/>
  <c r="M535" i="33"/>
  <c r="N535" i="33" s="1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N531" i="33" s="1"/>
  <c r="L531" i="33"/>
  <c r="K531" i="33"/>
  <c r="J531" i="33"/>
  <c r="I531" i="33"/>
  <c r="G531" i="33"/>
  <c r="H531" i="33"/>
  <c r="F531" i="33"/>
  <c r="E531" i="33"/>
  <c r="D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 s="1"/>
  <c r="L524" i="33"/>
  <c r="K524" i="33"/>
  <c r="J524" i="33"/>
  <c r="I524" i="33"/>
  <c r="G524" i="33"/>
  <c r="H524" i="33" s="1"/>
  <c r="F524" i="33"/>
  <c r="E524" i="33"/>
  <c r="D524" i="33"/>
  <c r="M523" i="33"/>
  <c r="N523" i="33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N519" i="33" s="1"/>
  <c r="L519" i="33"/>
  <c r="K519" i="33"/>
  <c r="J519" i="33"/>
  <c r="I519" i="33"/>
  <c r="G519" i="33"/>
  <c r="H519" i="33" s="1"/>
  <c r="F519" i="33"/>
  <c r="E519" i="33"/>
  <c r="D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/>
  <c r="F516" i="33"/>
  <c r="E516" i="33"/>
  <c r="M515" i="33"/>
  <c r="N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L510" i="33"/>
  <c r="K510" i="33"/>
  <c r="J510" i="33"/>
  <c r="I510" i="33"/>
  <c r="G510" i="33"/>
  <c r="H510" i="33" s="1"/>
  <c r="F510" i="33"/>
  <c r="E510" i="33"/>
  <c r="M509" i="33"/>
  <c r="L509" i="33"/>
  <c r="K509" i="33"/>
  <c r="J509" i="33"/>
  <c r="I509" i="33"/>
  <c r="G509" i="33"/>
  <c r="H509" i="33" s="1"/>
  <c r="F509" i="33"/>
  <c r="E509" i="33"/>
  <c r="D509" i="33"/>
  <c r="N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N505" i="33" s="1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L503" i="33"/>
  <c r="K503" i="33"/>
  <c r="J503" i="33"/>
  <c r="I503" i="33"/>
  <c r="G503" i="33"/>
  <c r="H503" i="33" s="1"/>
  <c r="F503" i="33"/>
  <c r="E503" i="33"/>
  <c r="D503" i="33"/>
  <c r="N503" i="33"/>
  <c r="M502" i="33"/>
  <c r="N502" i="33" s="1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N499" i="33" s="1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L497" i="33"/>
  <c r="K497" i="33"/>
  <c r="J497" i="33"/>
  <c r="I497" i="33"/>
  <c r="G497" i="33"/>
  <c r="H497" i="33" s="1"/>
  <c r="F497" i="33"/>
  <c r="E497" i="33"/>
  <c r="D497" i="33"/>
  <c r="M496" i="33"/>
  <c r="N496" i="33" s="1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/>
  <c r="F490" i="33"/>
  <c r="E490" i="33"/>
  <c r="D490" i="33"/>
  <c r="D489" i="33"/>
  <c r="M489" i="33"/>
  <c r="L489" i="33"/>
  <c r="K489" i="33"/>
  <c r="J489" i="33"/>
  <c r="I489" i="33"/>
  <c r="G489" i="33"/>
  <c r="H489" i="33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M487" i="33"/>
  <c r="D487" i="33"/>
  <c r="L487" i="33"/>
  <c r="K487" i="33"/>
  <c r="J487" i="33"/>
  <c r="I487" i="33"/>
  <c r="G487" i="33"/>
  <c r="H487" i="33"/>
  <c r="F487" i="33"/>
  <c r="E487" i="33"/>
  <c r="M486" i="33"/>
  <c r="N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 s="1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/>
  <c r="F479" i="33"/>
  <c r="E479" i="33"/>
  <c r="D479" i="33"/>
  <c r="M478" i="33"/>
  <c r="N478" i="33" s="1"/>
  <c r="L478" i="33"/>
  <c r="K478" i="33"/>
  <c r="J478" i="33"/>
  <c r="I478" i="33"/>
  <c r="G478" i="33"/>
  <c r="H478" i="33"/>
  <c r="F478" i="33"/>
  <c r="E478" i="33"/>
  <c r="D478" i="33"/>
  <c r="D477" i="33"/>
  <c r="M477" i="33"/>
  <c r="N477" i="33"/>
  <c r="L477" i="33"/>
  <c r="K477" i="33"/>
  <c r="J477" i="33"/>
  <c r="I477" i="33"/>
  <c r="G477" i="33"/>
  <c r="H477" i="33"/>
  <c r="F477" i="33"/>
  <c r="E477" i="33"/>
  <c r="M476" i="33"/>
  <c r="N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N474" i="33" s="1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N470" i="33" s="1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D465" i="33"/>
  <c r="M465" i="33"/>
  <c r="L465" i="33"/>
  <c r="K465" i="33"/>
  <c r="J465" i="33"/>
  <c r="I465" i="33"/>
  <c r="G465" i="33"/>
  <c r="H465" i="33"/>
  <c r="F465" i="33"/>
  <c r="E465" i="33"/>
  <c r="M464" i="33"/>
  <c r="D464" i="33"/>
  <c r="L464" i="33"/>
  <c r="K464" i="33"/>
  <c r="J464" i="33"/>
  <c r="I464" i="33"/>
  <c r="G464" i="33"/>
  <c r="H464" i="33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/>
  <c r="D462" i="33"/>
  <c r="L462" i="33"/>
  <c r="K462" i="33"/>
  <c r="J462" i="33"/>
  <c r="I462" i="33"/>
  <c r="G462" i="33"/>
  <c r="H462" i="33" s="1"/>
  <c r="F462" i="33"/>
  <c r="E462" i="33"/>
  <c r="M461" i="33"/>
  <c r="N461" i="33" s="1"/>
  <c r="D461" i="33"/>
  <c r="L461" i="33"/>
  <c r="K461" i="33"/>
  <c r="J461" i="33"/>
  <c r="I461" i="33"/>
  <c r="G461" i="33"/>
  <c r="H461" i="33" s="1"/>
  <c r="F461" i="33"/>
  <c r="E461" i="33"/>
  <c r="M460" i="33"/>
  <c r="N460" i="33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D457" i="33"/>
  <c r="N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/>
  <c r="D452" i="33"/>
  <c r="L452" i="33"/>
  <c r="K452" i="33"/>
  <c r="J452" i="33"/>
  <c r="I452" i="33"/>
  <c r="G452" i="33"/>
  <c r="H452" i="33" s="1"/>
  <c r="F452" i="33"/>
  <c r="E452" i="33"/>
  <c r="M451" i="33"/>
  <c r="N451" i="33" s="1"/>
  <c r="L451" i="33"/>
  <c r="K451" i="33"/>
  <c r="J451" i="33"/>
  <c r="I451" i="33"/>
  <c r="G451" i="33"/>
  <c r="H451" i="33" s="1"/>
  <c r="F451" i="33"/>
  <c r="E451" i="33"/>
  <c r="D451" i="33"/>
  <c r="M450" i="33"/>
  <c r="N450" i="33"/>
  <c r="D450" i="33"/>
  <c r="L450" i="33"/>
  <c r="K450" i="33"/>
  <c r="J450" i="33"/>
  <c r="I450" i="33"/>
  <c r="G450" i="33"/>
  <c r="H450" i="33" s="1"/>
  <c r="F450" i="33"/>
  <c r="E450" i="33"/>
  <c r="M449" i="33"/>
  <c r="N449" i="33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 s="1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/>
  <c r="F446" i="33"/>
  <c r="E446" i="33"/>
  <c r="D446" i="33"/>
  <c r="M445" i="33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N443" i="33" s="1"/>
  <c r="D443" i="33"/>
  <c r="L443" i="33"/>
  <c r="K443" i="33"/>
  <c r="J443" i="33"/>
  <c r="I443" i="33"/>
  <c r="G443" i="33"/>
  <c r="H443" i="33" s="1"/>
  <c r="F443" i="33"/>
  <c r="E443" i="33"/>
  <c r="M442" i="33"/>
  <c r="N442" i="33" s="1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D440" i="33"/>
  <c r="L440" i="33"/>
  <c r="K440" i="33"/>
  <c r="J440" i="33"/>
  <c r="I440" i="33"/>
  <c r="G440" i="33"/>
  <c r="H440" i="33" s="1"/>
  <c r="F440" i="33"/>
  <c r="E440" i="33"/>
  <c r="M439" i="33"/>
  <c r="N439" i="33" s="1"/>
  <c r="L439" i="33"/>
  <c r="K439" i="33"/>
  <c r="J439" i="33"/>
  <c r="I439" i="33"/>
  <c r="G439" i="33"/>
  <c r="H439" i="33" s="1"/>
  <c r="F439" i="33"/>
  <c r="E439" i="33"/>
  <c r="D439" i="33"/>
  <c r="M438" i="33"/>
  <c r="D438" i="33"/>
  <c r="L438" i="33"/>
  <c r="K438" i="33"/>
  <c r="J438" i="33"/>
  <c r="I438" i="33"/>
  <c r="G438" i="33"/>
  <c r="H438" i="33" s="1"/>
  <c r="F438" i="33"/>
  <c r="E438" i="33"/>
  <c r="M437" i="33"/>
  <c r="N437" i="33" s="1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N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L429" i="33"/>
  <c r="K429" i="33"/>
  <c r="J429" i="33"/>
  <c r="I429" i="33"/>
  <c r="G429" i="33"/>
  <c r="H429" i="33" s="1"/>
  <c r="F429" i="33"/>
  <c r="E429" i="33"/>
  <c r="M428" i="33"/>
  <c r="N428" i="33" s="1"/>
  <c r="L428" i="33"/>
  <c r="K428" i="33"/>
  <c r="J428" i="33"/>
  <c r="I428" i="33"/>
  <c r="G428" i="33"/>
  <c r="H428" i="33" s="1"/>
  <c r="F428" i="33"/>
  <c r="E428" i="33"/>
  <c r="D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N426" i="33" s="1"/>
  <c r="D426" i="33"/>
  <c r="L426" i="33"/>
  <c r="K426" i="33"/>
  <c r="J426" i="33"/>
  <c r="I426" i="33"/>
  <c r="G426" i="33"/>
  <c r="H426" i="33" s="1"/>
  <c r="F426" i="33"/>
  <c r="E426" i="33"/>
  <c r="M425" i="33"/>
  <c r="N425" i="33" s="1"/>
  <c r="D425" i="33"/>
  <c r="L425" i="33"/>
  <c r="K425" i="33"/>
  <c r="J425" i="33"/>
  <c r="I425" i="33"/>
  <c r="G425" i="33"/>
  <c r="H425" i="33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N422" i="33"/>
  <c r="D422" i="33"/>
  <c r="L422" i="33"/>
  <c r="K422" i="33"/>
  <c r="J422" i="33"/>
  <c r="I422" i="33"/>
  <c r="G422" i="33"/>
  <c r="H422" i="33" s="1"/>
  <c r="F422" i="33"/>
  <c r="E422" i="33"/>
  <c r="M421" i="33"/>
  <c r="N421" i="33" s="1"/>
  <c r="D421" i="33"/>
  <c r="L421" i="33"/>
  <c r="K421" i="33"/>
  <c r="J421" i="33"/>
  <c r="I421" i="33"/>
  <c r="G421" i="33"/>
  <c r="H421" i="33" s="1"/>
  <c r="F421" i="33"/>
  <c r="E421" i="33"/>
  <c r="M420" i="33"/>
  <c r="N420" i="33"/>
  <c r="D420" i="33"/>
  <c r="L420" i="33"/>
  <c r="K420" i="33"/>
  <c r="J420" i="33"/>
  <c r="I420" i="33"/>
  <c r="G420" i="33"/>
  <c r="H420" i="33" s="1"/>
  <c r="F420" i="33"/>
  <c r="E420" i="33"/>
  <c r="M419" i="33"/>
  <c r="N419" i="33"/>
  <c r="L419" i="33"/>
  <c r="K419" i="33"/>
  <c r="J419" i="33"/>
  <c r="I419" i="33"/>
  <c r="G419" i="33"/>
  <c r="H419" i="33" s="1"/>
  <c r="F419" i="33"/>
  <c r="E419" i="33"/>
  <c r="D419" i="33"/>
  <c r="M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/>
  <c r="L415" i="33"/>
  <c r="K415" i="33"/>
  <c r="J415" i="33"/>
  <c r="I415" i="33"/>
  <c r="G415" i="33"/>
  <c r="H415" i="33"/>
  <c r="F415" i="33"/>
  <c r="E415" i="33"/>
  <c r="D415" i="33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N407" i="33"/>
  <c r="L407" i="33"/>
  <c r="K407" i="33"/>
  <c r="J407" i="33"/>
  <c r="I407" i="33"/>
  <c r="G407" i="33"/>
  <c r="H407" i="33" s="1"/>
  <c r="F407" i="33"/>
  <c r="E407" i="33"/>
  <c r="D407" i="33"/>
  <c r="M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N403" i="33" s="1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/>
  <c r="N17" i="33" s="1"/>
  <c r="D17" i="33"/>
  <c r="E17" i="33"/>
  <c r="L16" i="33"/>
  <c r="L15" i="33"/>
  <c r="M15" i="33" s="1"/>
  <c r="N15" i="33" s="1"/>
  <c r="D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D3" i="33"/>
  <c r="L9" i="33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/>
  <c r="D399" i="33"/>
  <c r="K399" i="33"/>
  <c r="J399" i="33"/>
  <c r="I399" i="33"/>
  <c r="G399" i="33"/>
  <c r="H399" i="33"/>
  <c r="F399" i="33"/>
  <c r="E399" i="33"/>
  <c r="M398" i="33"/>
  <c r="K398" i="33"/>
  <c r="J398" i="33"/>
  <c r="I398" i="33"/>
  <c r="G398" i="33"/>
  <c r="H398" i="33" s="1"/>
  <c r="F398" i="33"/>
  <c r="E398" i="33"/>
  <c r="D398" i="33"/>
  <c r="N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N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N390" i="33" s="1"/>
  <c r="D390" i="33"/>
  <c r="K390" i="33"/>
  <c r="J390" i="33"/>
  <c r="I390" i="33"/>
  <c r="G390" i="33"/>
  <c r="H390" i="33" s="1"/>
  <c r="F390" i="33"/>
  <c r="E390" i="33"/>
  <c r="M389" i="33"/>
  <c r="N389" i="33" s="1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N387" i="33"/>
  <c r="K387" i="33"/>
  <c r="J387" i="33"/>
  <c r="I387" i="33"/>
  <c r="G387" i="33"/>
  <c r="H387" i="33"/>
  <c r="F387" i="33"/>
  <c r="E387" i="33"/>
  <c r="M386" i="33"/>
  <c r="D386" i="33"/>
  <c r="K386" i="33"/>
  <c r="J386" i="33"/>
  <c r="I386" i="33"/>
  <c r="G386" i="33"/>
  <c r="H386" i="33" s="1"/>
  <c r="F386" i="33"/>
  <c r="E386" i="33"/>
  <c r="M385" i="33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D383" i="33"/>
  <c r="K383" i="33"/>
  <c r="J383" i="33"/>
  <c r="I383" i="33"/>
  <c r="G383" i="33"/>
  <c r="H383" i="33" s="1"/>
  <c r="F383" i="33"/>
  <c r="E383" i="33"/>
  <c r="M382" i="33"/>
  <c r="N382" i="33" s="1"/>
  <c r="D382" i="33"/>
  <c r="K382" i="33"/>
  <c r="J382" i="33"/>
  <c r="I382" i="33"/>
  <c r="G382" i="33"/>
  <c r="H382" i="33"/>
  <c r="F382" i="33"/>
  <c r="E382" i="33"/>
  <c r="M381" i="33"/>
  <c r="D381" i="33"/>
  <c r="N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N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N374" i="33" s="1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D367" i="33"/>
  <c r="K367" i="33"/>
  <c r="J367" i="33"/>
  <c r="I367" i="33"/>
  <c r="G367" i="33"/>
  <c r="H367" i="33" s="1"/>
  <c r="F367" i="33"/>
  <c r="E367" i="33"/>
  <c r="M366" i="33"/>
  <c r="D366" i="33"/>
  <c r="K366" i="33"/>
  <c r="J366" i="33"/>
  <c r="I366" i="33"/>
  <c r="G366" i="33"/>
  <c r="H366" i="33" s="1"/>
  <c r="F366" i="33"/>
  <c r="E366" i="33"/>
  <c r="M365" i="33"/>
  <c r="N365" i="33"/>
  <c r="D365" i="33"/>
  <c r="K365" i="33"/>
  <c r="J365" i="33"/>
  <c r="I365" i="33"/>
  <c r="G365" i="33"/>
  <c r="H365" i="33" s="1"/>
  <c r="F365" i="33"/>
  <c r="E365" i="33"/>
  <c r="M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N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N359" i="33" s="1"/>
  <c r="D359" i="33"/>
  <c r="K359" i="33"/>
  <c r="J359" i="33"/>
  <c r="I359" i="33"/>
  <c r="G359" i="33"/>
  <c r="H359" i="33" s="1"/>
  <c r="F359" i="33"/>
  <c r="E359" i="33"/>
  <c r="M358" i="33"/>
  <c r="N358" i="33" s="1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N356" i="33" s="1"/>
  <c r="D356" i="33"/>
  <c r="K356" i="33"/>
  <c r="J356" i="33"/>
  <c r="I356" i="33"/>
  <c r="G356" i="33"/>
  <c r="H356" i="33" s="1"/>
  <c r="F356" i="33"/>
  <c r="E356" i="33"/>
  <c r="M355" i="33"/>
  <c r="N355" i="33" s="1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/>
  <c r="F353" i="33"/>
  <c r="E353" i="33"/>
  <c r="M352" i="33"/>
  <c r="D352" i="33"/>
  <c r="K352" i="33"/>
  <c r="J352" i="33"/>
  <c r="I352" i="33"/>
  <c r="G352" i="33"/>
  <c r="H352" i="33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N349" i="33" s="1"/>
  <c r="K349" i="33"/>
  <c r="J349" i="33"/>
  <c r="I349" i="33"/>
  <c r="G349" i="33"/>
  <c r="H349" i="33"/>
  <c r="F349" i="33"/>
  <c r="E349" i="33"/>
  <c r="D349" i="33"/>
  <c r="M348" i="33"/>
  <c r="D348" i="33"/>
  <c r="K348" i="33"/>
  <c r="J348" i="33"/>
  <c r="I348" i="33"/>
  <c r="G348" i="33"/>
  <c r="H348" i="33" s="1"/>
  <c r="F348" i="33"/>
  <c r="E348" i="33"/>
  <c r="M347" i="33"/>
  <c r="N347" i="33"/>
  <c r="D347" i="33"/>
  <c r="K347" i="33"/>
  <c r="J347" i="33"/>
  <c r="I347" i="33"/>
  <c r="G347" i="33"/>
  <c r="H347" i="33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/>
  <c r="K345" i="33"/>
  <c r="J345" i="33"/>
  <c r="I345" i="33"/>
  <c r="G345" i="33"/>
  <c r="H345" i="33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N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D340" i="33"/>
  <c r="K340" i="33"/>
  <c r="J340" i="33"/>
  <c r="I340" i="33"/>
  <c r="G340" i="33"/>
  <c r="H340" i="33" s="1"/>
  <c r="F340" i="33"/>
  <c r="E340" i="33"/>
  <c r="M339" i="33"/>
  <c r="N339" i="33" s="1"/>
  <c r="D339" i="33"/>
  <c r="K339" i="33"/>
  <c r="J339" i="33"/>
  <c r="I339" i="33"/>
  <c r="G339" i="33"/>
  <c r="H339" i="33" s="1"/>
  <c r="F339" i="33"/>
  <c r="E339" i="33"/>
  <c r="M338" i="33"/>
  <c r="N338" i="33" s="1"/>
  <c r="D338" i="33"/>
  <c r="K338" i="33"/>
  <c r="J338" i="33"/>
  <c r="I338" i="33"/>
  <c r="G338" i="33"/>
  <c r="H338" i="33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 s="1"/>
  <c r="K335" i="33"/>
  <c r="J335" i="33"/>
  <c r="I335" i="33"/>
  <c r="G335" i="33"/>
  <c r="H335" i="33"/>
  <c r="F335" i="33"/>
  <c r="E335" i="33"/>
  <c r="D335" i="33"/>
  <c r="M334" i="33"/>
  <c r="K334" i="33"/>
  <c r="J334" i="33"/>
  <c r="I334" i="33"/>
  <c r="G334" i="33"/>
  <c r="H334" i="33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N332" i="33" s="1"/>
  <c r="D332" i="33"/>
  <c r="K332" i="33"/>
  <c r="J332" i="33"/>
  <c r="I332" i="33"/>
  <c r="G332" i="33"/>
  <c r="H332" i="33"/>
  <c r="F332" i="33"/>
  <c r="E332" i="33"/>
  <c r="M331" i="33"/>
  <c r="D331" i="33"/>
  <c r="K331" i="33"/>
  <c r="J331" i="33"/>
  <c r="I331" i="33"/>
  <c r="G331" i="33"/>
  <c r="H331" i="33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N328" i="33" s="1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N320" i="33"/>
  <c r="D320" i="33"/>
  <c r="K320" i="33"/>
  <c r="J320" i="33"/>
  <c r="I320" i="33"/>
  <c r="G320" i="33"/>
  <c r="H320" i="33" s="1"/>
  <c r="F320" i="33"/>
  <c r="E320" i="33"/>
  <c r="M319" i="33"/>
  <c r="K319" i="33"/>
  <c r="J319" i="33"/>
  <c r="I319" i="33"/>
  <c r="G319" i="33"/>
  <c r="H319" i="33"/>
  <c r="F319" i="33"/>
  <c r="E319" i="33"/>
  <c r="D319" i="33"/>
  <c r="M318" i="33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K316" i="33"/>
  <c r="J316" i="33"/>
  <c r="I316" i="33"/>
  <c r="G316" i="33"/>
  <c r="H316" i="33" s="1"/>
  <c r="F316" i="33"/>
  <c r="E316" i="33"/>
  <c r="D316" i="33"/>
  <c r="M315" i="33"/>
  <c r="D315" i="33"/>
  <c r="K315" i="33"/>
  <c r="J315" i="33"/>
  <c r="I315" i="33"/>
  <c r="G315" i="33"/>
  <c r="H315" i="33"/>
  <c r="F315" i="33"/>
  <c r="E315" i="33"/>
  <c r="M314" i="33"/>
  <c r="N314" i="33"/>
  <c r="D314" i="33"/>
  <c r="K314" i="33"/>
  <c r="J314" i="33"/>
  <c r="I314" i="33"/>
  <c r="G314" i="33"/>
  <c r="H314" i="33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D312" i="33"/>
  <c r="K312" i="33"/>
  <c r="J312" i="33"/>
  <c r="I312" i="33"/>
  <c r="G312" i="33"/>
  <c r="H312" i="33" s="1"/>
  <c r="F312" i="33"/>
  <c r="E312" i="33"/>
  <c r="M311" i="33"/>
  <c r="N311" i="33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/>
  <c r="F303" i="33"/>
  <c r="E303" i="33"/>
  <c r="M302" i="33"/>
  <c r="D302" i="33"/>
  <c r="K302" i="33"/>
  <c r="J302" i="33"/>
  <c r="I302" i="33"/>
  <c r="G302" i="33"/>
  <c r="H302" i="33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/>
  <c r="F299" i="33"/>
  <c r="E299" i="33"/>
  <c r="M298" i="33"/>
  <c r="N298" i="33" s="1"/>
  <c r="D298" i="33"/>
  <c r="K298" i="33"/>
  <c r="J298" i="33"/>
  <c r="I298" i="33"/>
  <c r="G298" i="33"/>
  <c r="H298" i="33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 s="1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/>
  <c r="F293" i="33"/>
  <c r="E293" i="33"/>
  <c r="M292" i="33"/>
  <c r="N292" i="33" s="1"/>
  <c r="D292" i="33"/>
  <c r="K292" i="33"/>
  <c r="J292" i="33"/>
  <c r="I292" i="33"/>
  <c r="G292" i="33"/>
  <c r="H292" i="33" s="1"/>
  <c r="F292" i="33"/>
  <c r="E292" i="33"/>
  <c r="M291" i="33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/>
  <c r="F285" i="33"/>
  <c r="E285" i="33"/>
  <c r="M284" i="33"/>
  <c r="D284" i="33"/>
  <c r="K284" i="33"/>
  <c r="J284" i="33"/>
  <c r="I284" i="33"/>
  <c r="G284" i="33"/>
  <c r="H284" i="33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 s="1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/>
  <c r="F275" i="33"/>
  <c r="E275" i="33"/>
  <c r="M274" i="33"/>
  <c r="D274" i="33"/>
  <c r="K274" i="33"/>
  <c r="J274" i="33"/>
  <c r="I274" i="33"/>
  <c r="G274" i="33"/>
  <c r="H274" i="33"/>
  <c r="F274" i="33"/>
  <c r="E274" i="33"/>
  <c r="M273" i="33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N271" i="33"/>
  <c r="K271" i="33"/>
  <c r="J271" i="33"/>
  <c r="I271" i="33"/>
  <c r="G271" i="33"/>
  <c r="H271" i="33"/>
  <c r="F271" i="33"/>
  <c r="E271" i="33"/>
  <c r="D271" i="33"/>
  <c r="M270" i="33"/>
  <c r="N270" i="33" s="1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N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/>
  <c r="F260" i="33"/>
  <c r="E260" i="33"/>
  <c r="M259" i="33"/>
  <c r="N259" i="33"/>
  <c r="D259" i="33"/>
  <c r="K259" i="33"/>
  <c r="J259" i="33"/>
  <c r="I259" i="33"/>
  <c r="G259" i="33"/>
  <c r="H259" i="33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/>
  <c r="F249" i="33"/>
  <c r="E249" i="33"/>
  <c r="M248" i="33"/>
  <c r="N248" i="33" s="1"/>
  <c r="D248" i="33"/>
  <c r="K248" i="33"/>
  <c r="J248" i="33"/>
  <c r="I248" i="33"/>
  <c r="G248" i="33"/>
  <c r="H248" i="33"/>
  <c r="F248" i="33"/>
  <c r="E248" i="33"/>
  <c r="M247" i="33"/>
  <c r="N247" i="33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/>
  <c r="F239" i="33"/>
  <c r="E239" i="33"/>
  <c r="M238" i="33"/>
  <c r="D238" i="33"/>
  <c r="K238" i="33"/>
  <c r="J238" i="33"/>
  <c r="I238" i="33"/>
  <c r="G238" i="33"/>
  <c r="H238" i="33" s="1"/>
  <c r="F238" i="33"/>
  <c r="E238" i="33"/>
  <c r="M237" i="33"/>
  <c r="N237" i="33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/>
  <c r="F225" i="33"/>
  <c r="E225" i="33"/>
  <c r="M224" i="33"/>
  <c r="N224" i="33" s="1"/>
  <c r="D224" i="33"/>
  <c r="K224" i="33"/>
  <c r="J224" i="33"/>
  <c r="I224" i="33"/>
  <c r="G224" i="33"/>
  <c r="H224" i="33"/>
  <c r="F224" i="33"/>
  <c r="E224" i="33"/>
  <c r="M223" i="33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E219" i="33"/>
  <c r="D218" i="33"/>
  <c r="D196" i="33"/>
  <c r="E196" i="33"/>
  <c r="D217" i="33"/>
  <c r="L217" i="33"/>
  <c r="M217" i="33" s="1"/>
  <c r="N217" i="33" s="1"/>
  <c r="D216" i="33"/>
  <c r="E216" i="33"/>
  <c r="D215" i="33"/>
  <c r="D214" i="33"/>
  <c r="E214" i="33"/>
  <c r="D213" i="33"/>
  <c r="D212" i="33"/>
  <c r="E212" i="33"/>
  <c r="D211" i="33"/>
  <c r="D210" i="33"/>
  <c r="E210" i="33"/>
  <c r="D209" i="33"/>
  <c r="D208" i="33"/>
  <c r="E208" i="33"/>
  <c r="D207" i="33"/>
  <c r="D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D190" i="33"/>
  <c r="L190" i="33"/>
  <c r="M190" i="33"/>
  <c r="N190" i="33" s="1"/>
  <c r="D189" i="33"/>
  <c r="E189" i="33"/>
  <c r="D188" i="33"/>
  <c r="D187" i="33"/>
  <c r="D186" i="33"/>
  <c r="D185" i="33"/>
  <c r="L185" i="33"/>
  <c r="M185" i="33" s="1"/>
  <c r="N185" i="33" s="1"/>
  <c r="D184" i="33"/>
  <c r="E184" i="33"/>
  <c r="D183" i="33"/>
  <c r="E183" i="33"/>
  <c r="D182" i="33"/>
  <c r="E182" i="33"/>
  <c r="D181" i="33"/>
  <c r="D180" i="33"/>
  <c r="L180" i="33"/>
  <c r="M180" i="33" s="1"/>
  <c r="N180" i="33" s="1"/>
  <c r="D179" i="33"/>
  <c r="D178" i="33"/>
  <c r="E178" i="33"/>
  <c r="D177" i="33"/>
  <c r="E177" i="33"/>
  <c r="D176" i="33"/>
  <c r="E176" i="33"/>
  <c r="D175" i="33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L166" i="33"/>
  <c r="M166" i="33" s="1"/>
  <c r="N166" i="33" s="1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E158" i="33"/>
  <c r="D157" i="33"/>
  <c r="E157" i="33"/>
  <c r="D156" i="33"/>
  <c r="D155" i="33"/>
  <c r="E155" i="33"/>
  <c r="D154" i="33"/>
  <c r="E154" i="33"/>
  <c r="D153" i="33"/>
  <c r="D152" i="33"/>
  <c r="E152" i="33"/>
  <c r="D151" i="33"/>
  <c r="E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D144" i="33"/>
  <c r="D145" i="33"/>
  <c r="E145" i="33"/>
  <c r="D146" i="33"/>
  <c r="D147" i="33"/>
  <c r="E147" i="33"/>
  <c r="D118" i="33"/>
  <c r="E118" i="33"/>
  <c r="D119" i="33"/>
  <c r="D120" i="33"/>
  <c r="E120" i="33"/>
  <c r="D121" i="33"/>
  <c r="E121" i="33"/>
  <c r="D122" i="33"/>
  <c r="L122" i="33"/>
  <c r="M122" i="33" s="1"/>
  <c r="N122" i="33" s="1"/>
  <c r="D123" i="33"/>
  <c r="L123" i="33"/>
  <c r="M123" i="33" s="1"/>
  <c r="N123" i="33" s="1"/>
  <c r="D124" i="33"/>
  <c r="E124" i="33"/>
  <c r="D125" i="33"/>
  <c r="L125" i="33"/>
  <c r="M125" i="33" s="1"/>
  <c r="N125" i="33" s="1"/>
  <c r="D126" i="33"/>
  <c r="D127" i="33"/>
  <c r="E127" i="33"/>
  <c r="D128" i="33"/>
  <c r="D65" i="33"/>
  <c r="D136" i="33"/>
  <c r="E136" i="33"/>
  <c r="D129" i="33"/>
  <c r="E129" i="33"/>
  <c r="D130" i="33"/>
  <c r="D131" i="33"/>
  <c r="E131" i="33"/>
  <c r="D132" i="33"/>
  <c r="D133" i="33"/>
  <c r="D134" i="33"/>
  <c r="D135" i="33"/>
  <c r="E135" i="33"/>
  <c r="D137" i="33"/>
  <c r="D138" i="33"/>
  <c r="E138" i="33"/>
  <c r="D116" i="33"/>
  <c r="L116" i="33"/>
  <c r="M116" i="33"/>
  <c r="N116" i="33" s="1"/>
  <c r="D117" i="33"/>
  <c r="A7" i="37"/>
  <c r="C7" i="37"/>
  <c r="D115" i="33"/>
  <c r="E115" i="33"/>
  <c r="D114" i="33"/>
  <c r="D113" i="33"/>
  <c r="D112" i="33"/>
  <c r="D111" i="33"/>
  <c r="E111" i="33"/>
  <c r="D100" i="33"/>
  <c r="E100" i="33"/>
  <c r="D99" i="33"/>
  <c r="D98" i="33"/>
  <c r="E98" i="33"/>
  <c r="D97" i="33"/>
  <c r="E97" i="33"/>
  <c r="D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L91" i="33"/>
  <c r="M91" i="33" s="1"/>
  <c r="N91" i="33" s="1"/>
  <c r="D90" i="33"/>
  <c r="D89" i="33"/>
  <c r="E89" i="33"/>
  <c r="D88" i="33"/>
  <c r="E88" i="33"/>
  <c r="D85" i="33"/>
  <c r="E85" i="33"/>
  <c r="D84" i="33"/>
  <c r="L84" i="33"/>
  <c r="M84" i="33"/>
  <c r="N84" i="33" s="1"/>
  <c r="D83" i="33"/>
  <c r="E83" i="33"/>
  <c r="D79" i="33"/>
  <c r="D4" i="33"/>
  <c r="E4" i="33"/>
  <c r="D110" i="33"/>
  <c r="D109" i="33"/>
  <c r="E109" i="33"/>
  <c r="D108" i="33"/>
  <c r="D107" i="33"/>
  <c r="D106" i="33"/>
  <c r="D105" i="33"/>
  <c r="D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E80" i="33"/>
  <c r="G5" i="22"/>
  <c r="G4" i="22"/>
  <c r="G3" i="22"/>
  <c r="G6" i="22"/>
  <c r="F6" i="22"/>
  <c r="J6" i="22"/>
  <c r="D78" i="33"/>
  <c r="E78" i="33"/>
  <c r="D77" i="33"/>
  <c r="E77" i="33"/>
  <c r="D76" i="33"/>
  <c r="E76" i="33"/>
  <c r="D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L68" i="33"/>
  <c r="M68" i="33" s="1"/>
  <c r="N68" i="33" s="1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L51" i="33"/>
  <c r="M51" i="33" s="1"/>
  <c r="N51" i="33" s="1"/>
  <c r="D50" i="33"/>
  <c r="E50" i="33"/>
  <c r="D49" i="33"/>
  <c r="E49" i="33"/>
  <c r="D48" i="33"/>
  <c r="L48" i="33"/>
  <c r="M48" i="33" s="1"/>
  <c r="N48" i="33" s="1"/>
  <c r="D47" i="33"/>
  <c r="E47" i="33"/>
  <c r="D46" i="33"/>
  <c r="L46" i="33"/>
  <c r="M46" i="33" s="1"/>
  <c r="N46" i="33" s="1"/>
  <c r="D45" i="33"/>
  <c r="D44" i="33"/>
  <c r="D36" i="33"/>
  <c r="E36" i="33"/>
  <c r="D37" i="33"/>
  <c r="E37" i="33"/>
  <c r="D38" i="33"/>
  <c r="E38" i="33"/>
  <c r="D39" i="33"/>
  <c r="D40" i="33"/>
  <c r="E40" i="33"/>
  <c r="D41" i="33"/>
  <c r="D42" i="33"/>
  <c r="D43" i="33"/>
  <c r="L43" i="33"/>
  <c r="M43" i="33" s="1"/>
  <c r="N43" i="33" s="1"/>
  <c r="I2" i="33"/>
  <c r="I1" i="33"/>
  <c r="D31" i="33"/>
  <c r="D30" i="33"/>
  <c r="D35" i="33"/>
  <c r="D34" i="33"/>
  <c r="L34" i="33"/>
  <c r="M34" i="33" s="1"/>
  <c r="N34" i="33" s="1"/>
  <c r="D33" i="33"/>
  <c r="E33" i="33"/>
  <c r="D32" i="33"/>
  <c r="E32" i="33"/>
  <c r="D29" i="33"/>
  <c r="D28" i="33"/>
  <c r="E28" i="33"/>
  <c r="D27" i="33"/>
  <c r="E27" i="33"/>
  <c r="F10" i="21"/>
  <c r="B10" i="21"/>
  <c r="D22" i="33"/>
  <c r="E22" i="33"/>
  <c r="D16" i="33"/>
  <c r="D9" i="33"/>
  <c r="E9" i="33"/>
  <c r="D10" i="33"/>
  <c r="D11" i="33"/>
  <c r="E12" i="33"/>
  <c r="D3" i="7"/>
  <c r="P5" i="18"/>
  <c r="P7" i="18"/>
  <c r="P9" i="18"/>
  <c r="O9" i="18"/>
  <c r="P11" i="18"/>
  <c r="P13" i="18"/>
  <c r="O13" i="18"/>
  <c r="J3" i="7"/>
  <c r="O7" i="18"/>
  <c r="P3" i="7"/>
  <c r="P4" i="7"/>
  <c r="V3" i="7"/>
  <c r="V4" i="7"/>
  <c r="O11" i="18"/>
  <c r="V5" i="7"/>
  <c r="V6" i="7"/>
  <c r="AE10" i="7"/>
  <c r="AG10" i="7"/>
  <c r="AI10" i="7"/>
  <c r="C6" i="19"/>
  <c r="AE9" i="7"/>
  <c r="AG9" i="7"/>
  <c r="O17" i="18"/>
  <c r="AI9" i="7"/>
  <c r="F2" i="16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O18" i="18"/>
  <c r="Y17" i="18"/>
  <c r="R18" i="18"/>
  <c r="X18" i="18"/>
  <c r="X17" i="18"/>
  <c r="W17" i="18"/>
  <c r="V17" i="18"/>
  <c r="U17" i="18"/>
  <c r="AE4" i="7"/>
  <c r="AI4" i="7"/>
  <c r="O16" i="18"/>
  <c r="AG4" i="7"/>
  <c r="S4" i="7"/>
  <c r="F6" i="2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F3" i="21"/>
  <c r="D3" i="21"/>
  <c r="E3" i="21"/>
  <c r="F12" i="21"/>
  <c r="C12" i="21"/>
  <c r="F11" i="21"/>
  <c r="C11" i="21"/>
  <c r="B9" i="21"/>
  <c r="F8" i="21"/>
  <c r="C8" i="21"/>
  <c r="B7" i="21"/>
  <c r="B4" i="21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F5" i="22"/>
  <c r="J5" i="22"/>
  <c r="B5" i="22"/>
  <c r="B4" i="22"/>
  <c r="B3" i="22"/>
  <c r="F9" i="21"/>
  <c r="C9" i="21"/>
  <c r="F7" i="21"/>
  <c r="C7" i="21"/>
  <c r="F5" i="21"/>
  <c r="D5" i="21"/>
  <c r="F4" i="21"/>
  <c r="D4" i="21"/>
  <c r="D9" i="21"/>
  <c r="AG3" i="7"/>
  <c r="P16" i="18"/>
  <c r="P12" i="18"/>
  <c r="O12" i="18"/>
  <c r="P4" i="18"/>
  <c r="P14" i="18"/>
  <c r="P6" i="18"/>
  <c r="P8" i="18"/>
  <c r="S3" i="7"/>
  <c r="O10" i="18"/>
  <c r="P10" i="18"/>
  <c r="AI3" i="7"/>
  <c r="AE3" i="7"/>
  <c r="N6" i="21"/>
  <c r="H6" i="21"/>
  <c r="L7" i="21"/>
  <c r="K6" i="21"/>
  <c r="K7" i="21"/>
  <c r="M6" i="21"/>
  <c r="M7" i="21"/>
  <c r="L6" i="21"/>
  <c r="G2" i="16"/>
  <c r="E2" i="16"/>
  <c r="H9" i="19"/>
  <c r="G8" i="19"/>
  <c r="G12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/>
  <c r="L36" i="16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9" i="16"/>
  <c r="J9" i="16" s="1"/>
  <c r="L9" i="16" s="1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15" i="33"/>
  <c r="E67" i="33"/>
  <c r="E82" i="33"/>
  <c r="E84" i="33"/>
  <c r="E96" i="33"/>
  <c r="E43" i="33"/>
  <c r="N278" i="33"/>
  <c r="E114" i="33"/>
  <c r="E106" i="33"/>
  <c r="E19" i="33"/>
  <c r="E48" i="33"/>
  <c r="E133" i="33"/>
  <c r="E66" i="33"/>
  <c r="E81" i="33"/>
  <c r="E119" i="33"/>
  <c r="N294" i="33"/>
  <c r="E105" i="33"/>
  <c r="E112" i="33"/>
  <c r="E44" i="33"/>
  <c r="N281" i="33"/>
  <c r="E195" i="33"/>
  <c r="E5" i="33"/>
  <c r="E172" i="33"/>
  <c r="E123" i="33"/>
  <c r="E164" i="33"/>
  <c r="E166" i="33"/>
  <c r="E203" i="33"/>
  <c r="E197" i="33"/>
  <c r="E190" i="33"/>
  <c r="E188" i="33"/>
  <c r="E181" i="33"/>
  <c r="E179" i="33"/>
  <c r="E45" i="33"/>
  <c r="N296" i="33"/>
  <c r="E70" i="33"/>
  <c r="N364" i="33"/>
  <c r="L221" i="33"/>
  <c r="M221" i="33" s="1"/>
  <c r="N221" i="33" s="1"/>
  <c r="N400" i="33"/>
  <c r="N331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351" i="33"/>
  <c r="N601" i="33"/>
  <c r="L189" i="33"/>
  <c r="M189" i="33" s="1"/>
  <c r="N189" i="33" s="1"/>
  <c r="L206" i="33"/>
  <c r="M206" i="33" s="1"/>
  <c r="N206" i="33" s="1"/>
  <c r="E206" i="33"/>
  <c r="N619" i="33"/>
  <c r="E187" i="33"/>
  <c r="L64" i="33"/>
  <c r="M64" i="33" s="1"/>
  <c r="N64" i="33" s="1"/>
  <c r="L129" i="33"/>
  <c r="M129" i="33"/>
  <c r="N129" i="33" s="1"/>
  <c r="L89" i="33"/>
  <c r="M89" i="33" s="1"/>
  <c r="N89" i="33" s="1"/>
  <c r="L45" i="33"/>
  <c r="M45" i="33" s="1"/>
  <c r="N45" i="33" s="1"/>
  <c r="L53" i="33"/>
  <c r="M53" i="33" s="1"/>
  <c r="N53" i="33" s="1"/>
  <c r="L176" i="33"/>
  <c r="M176" i="33" s="1"/>
  <c r="N176" i="33" s="1"/>
  <c r="L138" i="33"/>
  <c r="M138" i="33"/>
  <c r="N138" i="33" s="1"/>
  <c r="L54" i="33"/>
  <c r="M54" i="33" s="1"/>
  <c r="N54" i="33" s="1"/>
  <c r="L145" i="33"/>
  <c r="M145" i="33"/>
  <c r="N145" i="33" s="1"/>
  <c r="L172" i="33"/>
  <c r="M172" i="33" s="1"/>
  <c r="N172" i="33" s="1"/>
  <c r="L164" i="33"/>
  <c r="M164" i="33"/>
  <c r="N164" i="33" s="1"/>
  <c r="L183" i="33"/>
  <c r="M183" i="33" s="1"/>
  <c r="N183" i="33" s="1"/>
  <c r="L111" i="33"/>
  <c r="M111" i="33" s="1"/>
  <c r="N111" i="33" s="1"/>
  <c r="E3" i="33"/>
  <c r="L210" i="33"/>
  <c r="M210" i="33" s="1"/>
  <c r="N210" i="33" s="1"/>
  <c r="L114" i="33"/>
  <c r="M114" i="33" s="1"/>
  <c r="N114" i="33" s="1"/>
  <c r="L44" i="33"/>
  <c r="M44" i="33" s="1"/>
  <c r="N44" i="33" s="1"/>
  <c r="L182" i="33"/>
  <c r="M182" i="33" s="1"/>
  <c r="N182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L158" i="33"/>
  <c r="M158" i="33" s="1"/>
  <c r="N158" i="33" s="1"/>
  <c r="N595" i="33"/>
  <c r="E29" i="33"/>
  <c r="L140" i="33"/>
  <c r="M140" i="33" s="1"/>
  <c r="N140" i="33" s="1"/>
  <c r="L87" i="33"/>
  <c r="M87" i="33" s="1"/>
  <c r="N87" i="33" s="1"/>
  <c r="L98" i="33"/>
  <c r="M98" i="33" s="1"/>
  <c r="N98" i="33" s="1"/>
  <c r="L219" i="33"/>
  <c r="M219" i="33"/>
  <c r="N219" i="33" s="1"/>
  <c r="L112" i="33"/>
  <c r="M112" i="33" s="1"/>
  <c r="N112" i="33" s="1"/>
  <c r="E64" i="33"/>
  <c r="N642" i="33"/>
  <c r="E139" i="33"/>
  <c r="N369" i="33"/>
  <c r="N633" i="33"/>
  <c r="Q18" i="20"/>
  <c r="R18" i="20"/>
  <c r="Q3" i="20"/>
  <c r="Q13" i="20"/>
  <c r="Q24" i="20"/>
  <c r="R24" i="20"/>
  <c r="E16" i="33"/>
  <c r="E56" i="33"/>
  <c r="E141" i="33"/>
  <c r="E191" i="33"/>
  <c r="E185" i="33"/>
  <c r="E117" i="33"/>
  <c r="L177" i="33"/>
  <c r="M177" i="33" s="1"/>
  <c r="N177" i="33" s="1"/>
  <c r="E58" i="33"/>
  <c r="L80" i="33"/>
  <c r="M80" i="33" s="1"/>
  <c r="N80" i="33" s="1"/>
  <c r="D8" i="21"/>
  <c r="P15" i="18"/>
  <c r="O5" i="18"/>
  <c r="L30" i="33"/>
  <c r="M30" i="33" s="1"/>
  <c r="N30" i="33" s="1"/>
  <c r="E30" i="33"/>
  <c r="N438" i="33"/>
  <c r="L38" i="33"/>
  <c r="M38" i="33" s="1"/>
  <c r="N38" i="33" s="1"/>
  <c r="E144" i="33"/>
  <c r="N506" i="33"/>
  <c r="E10" i="33"/>
  <c r="E34" i="33"/>
  <c r="E65" i="33"/>
  <c r="N385" i="33"/>
  <c r="N512" i="33"/>
  <c r="N325" i="33"/>
  <c r="N482" i="33"/>
  <c r="N488" i="33"/>
  <c r="N658" i="33"/>
  <c r="N672" i="33"/>
  <c r="N446" i="33"/>
  <c r="N666" i="33"/>
  <c r="N520" i="33"/>
  <c r="N606" i="33"/>
  <c r="O8" i="18"/>
  <c r="N466" i="33"/>
  <c r="N596" i="33"/>
  <c r="N597" i="33"/>
  <c r="N609" i="33"/>
  <c r="N318" i="33"/>
  <c r="N418" i="33"/>
  <c r="N469" i="33"/>
  <c r="N558" i="33"/>
  <c r="N639" i="33"/>
  <c r="N671" i="33"/>
  <c r="N678" i="33"/>
  <c r="N401" i="33"/>
  <c r="N611" i="33"/>
  <c r="N691" i="33"/>
  <c r="P42" i="20"/>
  <c r="R42" i="20"/>
  <c r="N648" i="33"/>
  <c r="N660" i="33"/>
  <c r="N688" i="33"/>
  <c r="N694" i="33"/>
  <c r="N700" i="33"/>
  <c r="N456" i="33"/>
  <c r="N528" i="33"/>
  <c r="N550" i="33"/>
  <c r="N620" i="33"/>
  <c r="N668" i="33"/>
  <c r="N675" i="33"/>
  <c r="C5" i="9"/>
  <c r="G19" i="20"/>
  <c r="Q17" i="20"/>
  <c r="N472" i="33"/>
  <c r="N514" i="33"/>
  <c r="N560" i="33"/>
  <c r="N561" i="33"/>
  <c r="N576" i="33"/>
  <c r="N618" i="33"/>
  <c r="N676" i="33"/>
  <c r="N297" i="33"/>
  <c r="N337" i="33"/>
  <c r="N341" i="33"/>
  <c r="N409" i="33"/>
  <c r="N497" i="33"/>
  <c r="N569" i="33"/>
  <c r="N594" i="33"/>
  <c r="N627" i="33"/>
  <c r="N667" i="33"/>
  <c r="N673" i="33"/>
  <c r="N692" i="33"/>
  <c r="P34" i="20"/>
  <c r="R34" i="20"/>
  <c r="C6" i="9"/>
  <c r="C7" i="9"/>
  <c r="Q13" i="44" a="1"/>
  <c r="Q13" i="44"/>
  <c r="E75" i="33"/>
  <c r="L78" i="33"/>
  <c r="M78" i="33" s="1"/>
  <c r="N78" i="33" s="1"/>
  <c r="L174" i="33"/>
  <c r="M174" i="33"/>
  <c r="N174" i="33" s="1"/>
  <c r="N7" i="21"/>
  <c r="N459" i="33"/>
  <c r="N479" i="33"/>
  <c r="N491" i="33"/>
  <c r="N300" i="33"/>
  <c r="N327" i="33"/>
  <c r="N366" i="33"/>
  <c r="N378" i="33"/>
  <c r="N429" i="33"/>
  <c r="N659" i="33"/>
  <c r="N656" i="33"/>
  <c r="E146" i="33"/>
  <c r="E215" i="33"/>
  <c r="N266" i="33"/>
  <c r="N454" i="33"/>
  <c r="N494" i="33"/>
  <c r="N582" i="33"/>
  <c r="N602" i="33"/>
  <c r="N634" i="33"/>
  <c r="N682" i="33"/>
  <c r="N698" i="33"/>
  <c r="N380" i="33"/>
  <c r="N383" i="33"/>
  <c r="N464" i="33"/>
  <c r="E122" i="33"/>
  <c r="L94" i="33"/>
  <c r="M94" i="33" s="1"/>
  <c r="N94" i="33" s="1"/>
  <c r="L101" i="33"/>
  <c r="M101" i="33" s="1"/>
  <c r="N101" i="33" s="1"/>
  <c r="L55" i="33"/>
  <c r="M55" i="33" s="1"/>
  <c r="N55" i="33" s="1"/>
  <c r="E9" i="21"/>
  <c r="N471" i="33"/>
  <c r="N475" i="33"/>
  <c r="N483" i="33"/>
  <c r="N516" i="33"/>
  <c r="N286" i="33"/>
  <c r="N313" i="33"/>
  <c r="N316" i="33"/>
  <c r="N319" i="33"/>
  <c r="N373" i="33"/>
  <c r="N484" i="33"/>
  <c r="N395" i="33"/>
  <c r="N273" i="33"/>
  <c r="N458" i="33"/>
  <c r="N657" i="33"/>
  <c r="N697" i="33"/>
  <c r="R3" i="20"/>
  <c r="K22" i="22"/>
  <c r="L19" i="22"/>
  <c r="G4" i="20"/>
  <c r="G6" i="20"/>
  <c r="Q6" i="20"/>
  <c r="R6" i="20"/>
  <c r="G14" i="20"/>
  <c r="G16" i="20"/>
  <c r="Q16" i="20"/>
  <c r="R16" i="20"/>
  <c r="G9" i="20"/>
  <c r="Q7" i="20"/>
  <c r="R7" i="20"/>
  <c r="G24" i="20"/>
  <c r="Q22" i="20"/>
  <c r="G11" i="19"/>
  <c r="E8" i="21"/>
  <c r="Y18" i="18"/>
  <c r="E175" i="33"/>
  <c r="N363" i="33"/>
  <c r="N375" i="33"/>
  <c r="E108" i="33"/>
  <c r="L108" i="33"/>
  <c r="M108" i="33" s="1"/>
  <c r="N108" i="33" s="1"/>
  <c r="E126" i="33"/>
  <c r="L126" i="33"/>
  <c r="M126" i="33" s="1"/>
  <c r="N126" i="33" s="1"/>
  <c r="N379" i="33"/>
  <c r="L196" i="33"/>
  <c r="M196" i="33"/>
  <c r="N196" i="33" s="1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L186" i="33"/>
  <c r="M186" i="33"/>
  <c r="N186" i="33" s="1"/>
  <c r="B6" i="21"/>
  <c r="E153" i="33"/>
  <c r="E201" i="33"/>
  <c r="L216" i="33"/>
  <c r="M216" i="33" s="1"/>
  <c r="N216" i="33" s="1"/>
  <c r="L179" i="33"/>
  <c r="M179" i="33" s="1"/>
  <c r="N179" i="33" s="1"/>
  <c r="L184" i="33"/>
  <c r="M184" i="33" s="1"/>
  <c r="N184" i="33" s="1"/>
  <c r="L60" i="33"/>
  <c r="M60" i="33" s="1"/>
  <c r="N60" i="33" s="1"/>
  <c r="L133" i="33"/>
  <c r="M133" i="33" s="1"/>
  <c r="N133" i="33" s="1"/>
  <c r="L86" i="33"/>
  <c r="M86" i="33" s="1"/>
  <c r="N86" i="33" s="1"/>
  <c r="L167" i="33"/>
  <c r="M167" i="33"/>
  <c r="N167" i="33" s="1"/>
  <c r="L66" i="33"/>
  <c r="M66" i="33" s="1"/>
  <c r="N66" i="33" s="1"/>
  <c r="L161" i="33"/>
  <c r="M161" i="33" s="1"/>
  <c r="N161" i="33" s="1"/>
  <c r="L106" i="33"/>
  <c r="M106" i="33" s="1"/>
  <c r="N106" i="33" s="1"/>
  <c r="L57" i="33"/>
  <c r="M57" i="33" s="1"/>
  <c r="N57" i="33" s="1"/>
  <c r="L191" i="33"/>
  <c r="M191" i="33" s="1"/>
  <c r="N191" i="33" s="1"/>
  <c r="E79" i="33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391" i="33"/>
  <c r="N416" i="33"/>
  <c r="N423" i="33"/>
  <c r="N517" i="33"/>
  <c r="N553" i="33"/>
  <c r="N585" i="33"/>
  <c r="N600" i="33"/>
  <c r="N654" i="33"/>
  <c r="N683" i="33"/>
  <c r="N690" i="33"/>
  <c r="N289" i="33"/>
  <c r="N315" i="33"/>
  <c r="N404" i="33"/>
  <c r="N513" i="33"/>
  <c r="L29" i="33"/>
  <c r="M29" i="33" s="1"/>
  <c r="N29" i="33" s="1"/>
  <c r="L65" i="33"/>
  <c r="M65" i="33" s="1"/>
  <c r="N65" i="33" s="1"/>
  <c r="L162" i="33"/>
  <c r="M162" i="33" s="1"/>
  <c r="N162" i="33" s="1"/>
  <c r="N348" i="33"/>
  <c r="N354" i="33"/>
  <c r="N441" i="33"/>
  <c r="N501" i="33"/>
  <c r="N534" i="33"/>
  <c r="N565" i="33"/>
  <c r="N589" i="33"/>
  <c r="N605" i="33"/>
  <c r="N643" i="33"/>
  <c r="R6" i="19"/>
  <c r="N489" i="33"/>
  <c r="N537" i="33"/>
  <c r="N615" i="33"/>
  <c r="R17" i="20"/>
  <c r="G21" i="20"/>
  <c r="Q21" i="20"/>
  <c r="R21" i="20"/>
  <c r="G10" i="19"/>
  <c r="L208" i="33"/>
  <c r="M208" i="33"/>
  <c r="N208" i="33" s="1"/>
  <c r="E207" i="33"/>
  <c r="L131" i="33"/>
  <c r="M131" i="33" s="1"/>
  <c r="N131" i="33" s="1"/>
  <c r="E213" i="33"/>
  <c r="L213" i="33"/>
  <c r="M213" i="33" s="1"/>
  <c r="N213" i="33" s="1"/>
  <c r="N367" i="33"/>
  <c r="N510" i="33"/>
  <c r="N650" i="33"/>
  <c r="L152" i="33"/>
  <c r="M152" i="33" s="1"/>
  <c r="N152" i="33" s="1"/>
  <c r="E137" i="33"/>
  <c r="L163" i="33"/>
  <c r="M163" i="33"/>
  <c r="N163" i="33" s="1"/>
  <c r="N372" i="33"/>
  <c r="G7" i="16"/>
  <c r="K7" i="16"/>
  <c r="M7" i="16"/>
  <c r="F7" i="16"/>
  <c r="J7" i="16" s="1"/>
  <c r="L7" i="16" s="1"/>
  <c r="N455" i="33"/>
  <c r="N632" i="33"/>
  <c r="E209" i="33"/>
  <c r="L209" i="33"/>
  <c r="M209" i="33"/>
  <c r="N209" i="33" s="1"/>
  <c r="N487" i="33"/>
  <c r="N493" i="33"/>
  <c r="P38" i="20"/>
  <c r="R38" i="20"/>
  <c r="N342" i="33"/>
  <c r="N352" i="33"/>
  <c r="N402" i="33"/>
  <c r="N430" i="33"/>
  <c r="N481" i="33"/>
  <c r="N559" i="33"/>
  <c r="N566" i="33"/>
  <c r="N612" i="33"/>
  <c r="N302" i="33"/>
  <c r="N346" i="33"/>
  <c r="N357" i="33"/>
  <c r="N394" i="33"/>
  <c r="N396" i="33"/>
  <c r="N444" i="33"/>
  <c r="N463" i="33"/>
  <c r="N511" i="33"/>
  <c r="N518" i="33"/>
  <c r="N549" i="33"/>
  <c r="N599" i="33"/>
  <c r="N681" i="33"/>
  <c r="N267" i="33"/>
  <c r="N269" i="33"/>
  <c r="N307" i="33"/>
  <c r="N495" i="33"/>
  <c r="N543" i="33"/>
  <c r="N581" i="33"/>
  <c r="N635" i="33"/>
  <c r="N641" i="33"/>
  <c r="N670" i="33"/>
  <c r="N412" i="33"/>
  <c r="N274" i="33"/>
  <c r="N329" i="33"/>
  <c r="N386" i="33"/>
  <c r="N413" i="33"/>
  <c r="N498" i="33"/>
  <c r="N533" i="33"/>
  <c r="N540" i="33"/>
  <c r="N546" i="33"/>
  <c r="N571" i="33"/>
  <c r="N616" i="33"/>
  <c r="R23" i="20"/>
  <c r="G26" i="20"/>
  <c r="Q26" i="20"/>
  <c r="R26" i="20"/>
  <c r="E116" i="33"/>
  <c r="L63" i="33"/>
  <c r="M63" i="33" s="1"/>
  <c r="N63" i="33" s="1"/>
  <c r="C3" i="21"/>
  <c r="N344" i="33"/>
  <c r="N350" i="33"/>
  <c r="C19" i="19"/>
  <c r="N417" i="33"/>
  <c r="N445" i="33"/>
  <c r="N507" i="33"/>
  <c r="N552" i="33"/>
  <c r="N669" i="33"/>
  <c r="Q10" i="20"/>
  <c r="R10" i="20"/>
  <c r="L50" i="33"/>
  <c r="M50" i="33" s="1"/>
  <c r="N50" i="33" s="1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E12" i="21"/>
  <c r="N310" i="33"/>
  <c r="N334" i="33"/>
  <c r="N340" i="33"/>
  <c r="N424" i="33"/>
  <c r="N440" i="33"/>
  <c r="N522" i="33"/>
  <c r="N587" i="33"/>
  <c r="N623" i="33"/>
  <c r="N649" i="33"/>
  <c r="N661" i="33"/>
  <c r="N664" i="33"/>
  <c r="O15" i="18"/>
  <c r="E46" i="33"/>
  <c r="N527" i="33"/>
  <c r="N651" i="33"/>
  <c r="N685" i="33"/>
  <c r="Q12" i="20"/>
  <c r="R12" i="20"/>
  <c r="B8" i="21"/>
  <c r="L83" i="33"/>
  <c r="M83" i="33" s="1"/>
  <c r="N83" i="33" s="1"/>
  <c r="L103" i="33"/>
  <c r="M103" i="33" s="1"/>
  <c r="N103" i="33" s="1"/>
  <c r="N276" i="33"/>
  <c r="N279" i="33"/>
  <c r="N288" i="33"/>
  <c r="N291" i="33"/>
  <c r="N411" i="33"/>
  <c r="N473" i="33"/>
  <c r="N303" i="33"/>
  <c r="N324" i="33"/>
  <c r="N541" i="33"/>
  <c r="N562" i="33"/>
  <c r="N570" i="33"/>
  <c r="N574" i="33"/>
  <c r="N578" i="33"/>
  <c r="N586" i="33"/>
  <c r="N610" i="33"/>
  <c r="N626" i="33"/>
  <c r="N638" i="33"/>
  <c r="N662" i="33"/>
  <c r="M9" i="33"/>
  <c r="N9" i="33" s="1"/>
  <c r="M16" i="33"/>
  <c r="N16" i="33" s="1"/>
  <c r="N406" i="33"/>
  <c r="N414" i="33"/>
  <c r="N436" i="33"/>
  <c r="N448" i="33"/>
  <c r="N530" i="33"/>
  <c r="N567" i="33"/>
  <c r="N674" i="33"/>
  <c r="C7" i="19"/>
  <c r="O14" i="18"/>
  <c r="L171" i="33"/>
  <c r="M171" i="33" s="1"/>
  <c r="N171" i="33" s="1"/>
  <c r="B12" i="21"/>
  <c r="L173" i="33"/>
  <c r="M173" i="33" s="1"/>
  <c r="N173" i="33" s="1"/>
  <c r="D12" i="21"/>
  <c r="N275" i="33"/>
  <c r="N427" i="33"/>
  <c r="N508" i="33"/>
  <c r="N532" i="33"/>
  <c r="N625" i="33"/>
  <c r="N629" i="33"/>
  <c r="Q9" i="20"/>
  <c r="R9" i="20"/>
  <c r="R8" i="20"/>
  <c r="R28" i="44" a="1"/>
  <c r="R28" i="44"/>
  <c r="T28" i="44"/>
  <c r="R24" i="44" a="1"/>
  <c r="R24" i="44"/>
  <c r="U24" i="44" s="1"/>
  <c r="R13" i="44" a="1"/>
  <c r="R13" i="44"/>
  <c r="U13" i="44" s="1"/>
  <c r="R17" i="44" a="1"/>
  <c r="R17" i="44" s="1"/>
  <c r="Q21" i="44" a="1"/>
  <c r="Q21" i="44"/>
  <c r="N223" i="33"/>
  <c r="N226" i="33"/>
  <c r="N232" i="33"/>
  <c r="N235" i="33"/>
  <c r="R22" i="20"/>
  <c r="Q25" i="20"/>
  <c r="R25" i="20"/>
  <c r="L121" i="33"/>
  <c r="M121" i="33" s="1"/>
  <c r="N121" i="33" s="1"/>
  <c r="Q2" i="20"/>
  <c r="K14" i="22"/>
  <c r="L128" i="33"/>
  <c r="M128" i="33" s="1"/>
  <c r="N128" i="33" s="1"/>
  <c r="E128" i="33"/>
  <c r="R13" i="20"/>
  <c r="Q15" i="20"/>
  <c r="R15" i="20"/>
  <c r="E7" i="21"/>
  <c r="D7" i="21"/>
  <c r="E31" i="33"/>
  <c r="L31" i="33"/>
  <c r="M31" i="33" s="1"/>
  <c r="N31" i="33" s="1"/>
  <c r="E52" i="33"/>
  <c r="L52" i="33"/>
  <c r="M52" i="33" s="1"/>
  <c r="N52" i="33" s="1"/>
  <c r="L69" i="33"/>
  <c r="M69" i="33" s="1"/>
  <c r="N69" i="33" s="1"/>
  <c r="E69" i="33"/>
  <c r="E143" i="33"/>
  <c r="L143" i="33"/>
  <c r="M143" i="33" s="1"/>
  <c r="N143" i="33" s="1"/>
  <c r="E218" i="33"/>
  <c r="L218" i="33"/>
  <c r="M218" i="33"/>
  <c r="N218" i="33" s="1"/>
  <c r="D11" i="21"/>
  <c r="E11" i="21"/>
  <c r="E6" i="21"/>
  <c r="D6" i="21"/>
  <c r="Q20" i="20"/>
  <c r="R20" i="20"/>
  <c r="L212" i="33"/>
  <c r="M212" i="33"/>
  <c r="N212" i="33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L156" i="33"/>
  <c r="M156" i="33" s="1"/>
  <c r="N156" i="33" s="1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F14" i="21"/>
  <c r="B3" i="21"/>
  <c r="E11" i="33"/>
  <c r="L74" i="33"/>
  <c r="M74" i="33" s="1"/>
  <c r="N74" i="33" s="1"/>
  <c r="E74" i="33"/>
  <c r="E110" i="33"/>
  <c r="L110" i="33"/>
  <c r="M110" i="33" s="1"/>
  <c r="N110" i="33" s="1"/>
  <c r="L151" i="33"/>
  <c r="M151" i="33" s="1"/>
  <c r="N151" i="33" s="1"/>
  <c r="L187" i="33"/>
  <c r="M187" i="33" s="1"/>
  <c r="N187" i="33" s="1"/>
  <c r="L70" i="33"/>
  <c r="M70" i="33"/>
  <c r="N70" i="33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75" i="33"/>
  <c r="M175" i="33" s="1"/>
  <c r="N175" i="33" s="1"/>
  <c r="L146" i="33"/>
  <c r="M146" i="33"/>
  <c r="N146" i="33" s="1"/>
  <c r="L178" i="33"/>
  <c r="M178" i="33" s="1"/>
  <c r="N178" i="33" s="1"/>
  <c r="L67" i="33"/>
  <c r="M67" i="33"/>
  <c r="N67" i="33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85" i="33"/>
  <c r="M85" i="33" s="1"/>
  <c r="N85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204" i="33"/>
  <c r="M204" i="33"/>
  <c r="N204" i="33" s="1"/>
  <c r="L135" i="33"/>
  <c r="M135" i="33"/>
  <c r="N135" i="33" s="1"/>
  <c r="L170" i="33"/>
  <c r="M170" i="33" s="1"/>
  <c r="N170" i="33" s="1"/>
  <c r="L197" i="33"/>
  <c r="M197" i="33" s="1"/>
  <c r="N197" i="33" s="1"/>
  <c r="L71" i="33"/>
  <c r="M71" i="33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119" i="33"/>
  <c r="M119" i="33" s="1"/>
  <c r="N119" i="33" s="1"/>
  <c r="L222" i="33"/>
  <c r="M222" i="33"/>
  <c r="N222" i="33" s="1"/>
  <c r="L160" i="33"/>
  <c r="M160" i="33" s="1"/>
  <c r="N160" i="33" s="1"/>
  <c r="L149" i="33"/>
  <c r="M149" i="33" s="1"/>
  <c r="N149" i="33" s="1"/>
  <c r="L169" i="33"/>
  <c r="M169" i="33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97" i="33"/>
  <c r="M97" i="33" s="1"/>
  <c r="N97" i="33" s="1"/>
  <c r="L168" i="33"/>
  <c r="M168" i="33"/>
  <c r="N168" i="33" s="1"/>
  <c r="L88" i="33"/>
  <c r="M88" i="33" s="1"/>
  <c r="N88" i="33" s="1"/>
  <c r="L47" i="33"/>
  <c r="M47" i="33" s="1"/>
  <c r="N47" i="33" s="1"/>
  <c r="L148" i="33"/>
  <c r="M148" i="33"/>
  <c r="N148" i="33" s="1"/>
  <c r="L136" i="33"/>
  <c r="M136" i="33" s="1"/>
  <c r="N136" i="33" s="1"/>
  <c r="L92" i="33"/>
  <c r="M92" i="33" s="1"/>
  <c r="N92" i="33"/>
  <c r="C4" i="21"/>
  <c r="E4" i="21"/>
  <c r="E217" i="33"/>
  <c r="W18" i="18"/>
  <c r="V18" i="18"/>
  <c r="U18" i="18"/>
  <c r="K24" i="22"/>
  <c r="L5" i="22"/>
  <c r="E41" i="33"/>
  <c r="L41" i="33"/>
  <c r="M41" i="33" s="1"/>
  <c r="N41" i="33" s="1"/>
  <c r="G11" i="20"/>
  <c r="Q11" i="20"/>
  <c r="R11" i="20"/>
  <c r="B11" i="21"/>
  <c r="C6" i="21"/>
  <c r="L35" i="33"/>
  <c r="M35" i="33" s="1"/>
  <c r="N35" i="33"/>
  <c r="E35" i="33"/>
  <c r="E200" i="33"/>
  <c r="L200" i="33"/>
  <c r="M200" i="33" s="1"/>
  <c r="N200" i="33" s="1"/>
  <c r="E5" i="21"/>
  <c r="B5" i="21"/>
  <c r="C5" i="21"/>
  <c r="N405" i="33"/>
  <c r="N431" i="33"/>
  <c r="N37" i="20"/>
  <c r="L141" i="33"/>
  <c r="M141" i="33" s="1"/>
  <c r="N141" i="33" s="1"/>
  <c r="K37" i="20"/>
  <c r="L32" i="33"/>
  <c r="M32" i="33" s="1"/>
  <c r="N32" i="33" s="1"/>
  <c r="E61" i="33"/>
  <c r="L61" i="33"/>
  <c r="M61" i="33" s="1"/>
  <c r="N61" i="33" s="1"/>
  <c r="L195" i="33"/>
  <c r="M195" i="33" s="1"/>
  <c r="N195" i="33" s="1"/>
  <c r="N408" i="33"/>
  <c r="C6" i="22"/>
  <c r="B6" i="22"/>
  <c r="E104" i="33"/>
  <c r="L104" i="33"/>
  <c r="M104" i="33" s="1"/>
  <c r="N104" i="33" s="1"/>
  <c r="E125" i="33"/>
  <c r="N538" i="33"/>
  <c r="E222" i="33"/>
  <c r="L39" i="33"/>
  <c r="M39" i="33" s="1"/>
  <c r="N39" i="33" s="1"/>
  <c r="E39" i="33"/>
  <c r="L117" i="33"/>
  <c r="M117" i="33" s="1"/>
  <c r="N117" i="33" s="1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L53" i="20"/>
  <c r="J49" i="20"/>
  <c r="H37" i="20"/>
  <c r="P35" i="20"/>
  <c r="R35" i="20"/>
  <c r="N435" i="33"/>
  <c r="N548" i="33"/>
  <c r="N588" i="33"/>
  <c r="N613" i="33"/>
  <c r="N630" i="33"/>
  <c r="N573" i="33"/>
  <c r="N591" i="33"/>
  <c r="N665" i="33"/>
  <c r="K48" i="20"/>
  <c r="Q24" i="44" a="1"/>
  <c r="Q24" i="44"/>
  <c r="N686" i="33"/>
  <c r="J48" i="20"/>
  <c r="P46" i="20"/>
  <c r="R46" i="20"/>
  <c r="M3" i="33"/>
  <c r="N3" i="33" s="1"/>
  <c r="N500" i="33"/>
  <c r="N563" i="33"/>
  <c r="N580" i="33"/>
  <c r="N614" i="33"/>
  <c r="N693" i="33"/>
  <c r="N238" i="33"/>
  <c r="N244" i="33"/>
  <c r="N284" i="33"/>
  <c r="N290" i="33"/>
  <c r="N468" i="33"/>
  <c r="N525" i="33"/>
  <c r="L52" i="20"/>
  <c r="P50" i="20"/>
  <c r="R50" i="20"/>
  <c r="G3" i="19"/>
  <c r="C9" i="19"/>
  <c r="C10" i="19"/>
  <c r="G4" i="19"/>
  <c r="G5" i="19"/>
  <c r="G15" i="19"/>
  <c r="C21" i="19"/>
  <c r="C22" i="19"/>
  <c r="G16" i="19"/>
  <c r="G17" i="19"/>
  <c r="V28" i="44"/>
  <c r="U28" i="44"/>
  <c r="V13" i="44"/>
  <c r="L3" i="22"/>
  <c r="L6" i="22"/>
  <c r="P47" i="20"/>
  <c r="R47" i="20"/>
  <c r="K3" i="22"/>
  <c r="K5" i="22"/>
  <c r="L4" i="22"/>
  <c r="R2" i="20"/>
  <c r="Q5" i="20"/>
  <c r="R5" i="20"/>
  <c r="K4" i="22"/>
  <c r="K6" i="22"/>
  <c r="E14" i="21"/>
  <c r="B14" i="21"/>
  <c r="C14" i="21"/>
  <c r="D14" i="21"/>
  <c r="P51" i="20"/>
  <c r="R51" i="20"/>
  <c r="P43" i="20"/>
  <c r="R43" i="20"/>
  <c r="A8" i="37"/>
  <c r="C8" i="37"/>
  <c r="A9" i="37"/>
  <c r="C9" i="37"/>
  <c r="A10" i="37"/>
  <c r="A11" i="37"/>
  <c r="C11" i="37" s="1"/>
  <c r="C10" i="37"/>
  <c r="F110" i="33"/>
  <c r="AV36" i="7"/>
  <c r="AV21" i="7"/>
  <c r="F139" i="33"/>
  <c r="AO26" i="7"/>
  <c r="AV33" i="7"/>
  <c r="F93" i="33"/>
  <c r="F96" i="33"/>
  <c r="F195" i="33"/>
  <c r="H8" i="16"/>
  <c r="AU14" i="7"/>
  <c r="I165" i="33"/>
  <c r="AQ34" i="7"/>
  <c r="AP14" i="7"/>
  <c r="I104" i="33"/>
  <c r="AR16" i="7"/>
  <c r="AN18" i="7"/>
  <c r="F130" i="33"/>
  <c r="I153" i="33"/>
  <c r="AQ3" i="7"/>
  <c r="I195" i="33"/>
  <c r="I20" i="33"/>
  <c r="I34" i="33"/>
  <c r="AO16" i="7"/>
  <c r="AN23" i="7"/>
  <c r="AU3" i="7"/>
  <c r="AV16" i="7"/>
  <c r="AP31" i="7"/>
  <c r="I138" i="33"/>
  <c r="I78" i="33"/>
  <c r="AV7" i="7"/>
  <c r="F112" i="33"/>
  <c r="AR5" i="7"/>
  <c r="F181" i="33"/>
  <c r="F39" i="33"/>
  <c r="F45" i="33"/>
  <c r="G9" i="18"/>
  <c r="F131" i="33"/>
  <c r="F109" i="33"/>
  <c r="I84" i="33"/>
  <c r="I170" i="33"/>
  <c r="I126" i="33"/>
  <c r="AR33" i="7"/>
  <c r="AP18" i="7"/>
  <c r="AQ22" i="7"/>
  <c r="F33" i="33"/>
  <c r="I48" i="33"/>
  <c r="F168" i="33"/>
  <c r="F202" i="33"/>
  <c r="AU16" i="7"/>
  <c r="I63" i="33"/>
  <c r="F50" i="33"/>
  <c r="F49" i="33"/>
  <c r="F127" i="33"/>
  <c r="F192" i="33"/>
  <c r="F167" i="33"/>
  <c r="F170" i="33"/>
  <c r="I17" i="33"/>
  <c r="G18" i="18"/>
  <c r="F163" i="33"/>
  <c r="AP11" i="7"/>
  <c r="I101" i="33"/>
  <c r="AR34" i="7"/>
  <c r="I12" i="33"/>
  <c r="G16" i="18"/>
  <c r="F213" i="33"/>
  <c r="I62" i="33"/>
  <c r="I169" i="33"/>
  <c r="F38" i="33"/>
  <c r="F134" i="33"/>
  <c r="I123" i="33"/>
  <c r="AP26" i="7"/>
  <c r="I150" i="33"/>
  <c r="F207" i="33"/>
  <c r="F70" i="33"/>
  <c r="AP5" i="7"/>
  <c r="AQ25" i="7"/>
  <c r="AN36" i="7"/>
  <c r="I59" i="33"/>
  <c r="I65" i="33"/>
  <c r="AU24" i="7"/>
  <c r="AR30" i="7"/>
  <c r="F85" i="33"/>
  <c r="AP28" i="7"/>
  <c r="AP15" i="7"/>
  <c r="F111" i="33"/>
  <c r="F98" i="33"/>
  <c r="AP35" i="7"/>
  <c r="I7" i="33"/>
  <c r="F129" i="33"/>
  <c r="I110" i="33"/>
  <c r="AV8" i="7"/>
  <c r="I144" i="33"/>
  <c r="I116" i="33"/>
  <c r="I54" i="33"/>
  <c r="I41" i="33"/>
  <c r="F58" i="33"/>
  <c r="AP32" i="7"/>
  <c r="AU22" i="7"/>
  <c r="I21" i="33"/>
  <c r="F136" i="33"/>
  <c r="F43" i="33"/>
  <c r="F68" i="33"/>
  <c r="AP30" i="7"/>
  <c r="F154" i="33"/>
  <c r="F165" i="33"/>
  <c r="AV15" i="7"/>
  <c r="F30" i="33"/>
  <c r="I202" i="33"/>
  <c r="F72" i="33"/>
  <c r="I51" i="33"/>
  <c r="I3" i="33"/>
  <c r="F193" i="33"/>
  <c r="I154" i="33"/>
  <c r="F99" i="33"/>
  <c r="F66" i="33"/>
  <c r="F142" i="33"/>
  <c r="F69" i="33"/>
  <c r="F57" i="33"/>
  <c r="F141" i="33"/>
  <c r="I181" i="33"/>
  <c r="AR24" i="7"/>
  <c r="I50" i="33"/>
  <c r="AV14" i="7"/>
  <c r="I147" i="33"/>
  <c r="AV25" i="7"/>
  <c r="AO7" i="7"/>
  <c r="AV17" i="7"/>
  <c r="AP7" i="7"/>
  <c r="AR27" i="7"/>
  <c r="I186" i="33"/>
  <c r="AO19" i="7"/>
  <c r="F205" i="33"/>
  <c r="AR6" i="7"/>
  <c r="I193" i="33"/>
  <c r="I222" i="33"/>
  <c r="AP12" i="7"/>
  <c r="AV22" i="7"/>
  <c r="AN10" i="7"/>
  <c r="I127" i="33"/>
  <c r="I85" i="33"/>
  <c r="I45" i="33"/>
  <c r="F171" i="33"/>
  <c r="AV35" i="7"/>
  <c r="F180" i="33"/>
  <c r="I122" i="33"/>
  <c r="F107" i="33"/>
  <c r="F41" i="33"/>
  <c r="F140" i="33"/>
  <c r="AR22" i="7"/>
  <c r="F4" i="33"/>
  <c r="I139" i="33"/>
  <c r="F162" i="33"/>
  <c r="AO22" i="7"/>
  <c r="F155" i="33"/>
  <c r="F208" i="33"/>
  <c r="AN8" i="7"/>
  <c r="I119" i="33"/>
  <c r="I176" i="33"/>
  <c r="I19" i="33"/>
  <c r="F54" i="33"/>
  <c r="AO8" i="7"/>
  <c r="AQ4" i="7"/>
  <c r="AO5" i="7"/>
  <c r="F73" i="33"/>
  <c r="F75" i="33"/>
  <c r="I143" i="33"/>
  <c r="F173" i="33"/>
  <c r="I173" i="33"/>
  <c r="D7" i="16"/>
  <c r="F89" i="33"/>
  <c r="F121" i="33"/>
  <c r="F203" i="33"/>
  <c r="AO9" i="7"/>
  <c r="I131" i="33"/>
  <c r="F21" i="33"/>
  <c r="I148" i="33"/>
  <c r="F32" i="33"/>
  <c r="AU30" i="7"/>
  <c r="I103" i="33"/>
  <c r="I98" i="33"/>
  <c r="AV24" i="7"/>
  <c r="I96" i="33"/>
  <c r="AO13" i="7"/>
  <c r="AQ28" i="7"/>
  <c r="F15" i="33"/>
  <c r="I57" i="33"/>
  <c r="AU25" i="7"/>
  <c r="AO17" i="7"/>
  <c r="F197" i="33"/>
  <c r="AQ16" i="7"/>
  <c r="I218" i="33"/>
  <c r="I73" i="33"/>
  <c r="F216" i="33"/>
  <c r="G12" i="18"/>
  <c r="F19" i="33"/>
  <c r="F198" i="33"/>
  <c r="AV30" i="7"/>
  <c r="I64" i="33"/>
  <c r="AN19" i="7"/>
  <c r="AR29" i="7"/>
  <c r="AQ19" i="7"/>
  <c r="I156" i="33"/>
  <c r="I124" i="33"/>
  <c r="F152" i="33"/>
  <c r="AQ26" i="7"/>
  <c r="I217" i="33"/>
  <c r="F133" i="33"/>
  <c r="AP20" i="7"/>
  <c r="AQ11" i="7"/>
  <c r="AP29" i="7"/>
  <c r="AV6" i="7"/>
  <c r="F46" i="33"/>
  <c r="F118" i="33"/>
  <c r="AR8" i="7"/>
  <c r="AR36" i="7"/>
  <c r="AU23" i="7"/>
  <c r="AN6" i="7"/>
  <c r="I42" i="33"/>
  <c r="AN5" i="7"/>
  <c r="F125" i="33"/>
  <c r="I157" i="33"/>
  <c r="AU9" i="7"/>
  <c r="AU31" i="7"/>
  <c r="I8" i="16"/>
  <c r="AU33" i="7"/>
  <c r="F158" i="33"/>
  <c r="I91" i="33"/>
  <c r="F51" i="33"/>
  <c r="AP17" i="7"/>
  <c r="F189" i="33"/>
  <c r="G6" i="18"/>
  <c r="F200" i="33"/>
  <c r="I94" i="33"/>
  <c r="AP16" i="7"/>
  <c r="I201" i="33"/>
  <c r="I155" i="33"/>
  <c r="AV18" i="7"/>
  <c r="I118" i="33"/>
  <c r="I167" i="33"/>
  <c r="I43" i="33"/>
  <c r="AQ8" i="7"/>
  <c r="AU4" i="7"/>
  <c r="F222" i="33"/>
  <c r="AO6" i="7"/>
  <c r="F156" i="33"/>
  <c r="F186" i="33"/>
  <c r="F214" i="33"/>
  <c r="I163" i="33"/>
  <c r="F26" i="33"/>
  <c r="AU35" i="7"/>
  <c r="F191" i="33"/>
  <c r="I66" i="33"/>
  <c r="I200" i="33"/>
  <c r="AU8" i="7"/>
  <c r="AO14" i="7"/>
  <c r="I211" i="33"/>
  <c r="AQ27" i="7"/>
  <c r="I141" i="33"/>
  <c r="I100" i="33"/>
  <c r="I178" i="33"/>
  <c r="I149" i="33"/>
  <c r="I26" i="33"/>
  <c r="AR12" i="7"/>
  <c r="AR15" i="7"/>
  <c r="I197" i="33"/>
  <c r="AO33" i="7"/>
  <c r="F220" i="33"/>
  <c r="I151" i="33"/>
  <c r="F63" i="33"/>
  <c r="F148" i="33"/>
  <c r="AO34" i="7"/>
  <c r="AP13" i="7"/>
  <c r="AU10" i="7"/>
  <c r="F90" i="33"/>
  <c r="F82" i="33"/>
  <c r="F159" i="33"/>
  <c r="F204" i="33"/>
  <c r="AU13" i="7"/>
  <c r="AV5" i="7"/>
  <c r="AQ18" i="7"/>
  <c r="AO27" i="7"/>
  <c r="I10" i="33"/>
  <c r="AR10" i="7"/>
  <c r="F106" i="33"/>
  <c r="I209" i="33"/>
  <c r="AP4" i="7"/>
  <c r="F81" i="33"/>
  <c r="F14" i="33"/>
  <c r="AP27" i="7"/>
  <c r="AV29" i="7"/>
  <c r="F119" i="33"/>
  <c r="AQ12" i="7"/>
  <c r="F52" i="33"/>
  <c r="AV20" i="7"/>
  <c r="F210" i="33"/>
  <c r="AQ33" i="7"/>
  <c r="AV10" i="7"/>
  <c r="AR7" i="7"/>
  <c r="AQ15" i="7"/>
  <c r="F179" i="33"/>
  <c r="I164" i="33"/>
  <c r="AR13" i="7"/>
  <c r="AR31" i="7"/>
  <c r="I38" i="33"/>
  <c r="AO12" i="7"/>
  <c r="I4" i="33"/>
  <c r="F188" i="33"/>
  <c r="F126" i="33"/>
  <c r="G4" i="18"/>
  <c r="AQ20" i="7"/>
  <c r="F115" i="33"/>
  <c r="AN24" i="7"/>
  <c r="AR4" i="7"/>
  <c r="F128" i="33"/>
  <c r="I49" i="33"/>
  <c r="F59" i="33"/>
  <c r="AQ24" i="7"/>
  <c r="AU29" i="7"/>
  <c r="I28" i="33"/>
  <c r="F218" i="33"/>
  <c r="AO4" i="7"/>
  <c r="I44" i="33"/>
  <c r="I99" i="33"/>
  <c r="F124" i="33"/>
  <c r="F86" i="33"/>
  <c r="AN11" i="7"/>
  <c r="AO25" i="7"/>
  <c r="AU20" i="7"/>
  <c r="I132" i="33"/>
  <c r="AV27" i="7"/>
  <c r="I47" i="33"/>
  <c r="AN32" i="7"/>
  <c r="AN21" i="7"/>
  <c r="I168" i="33"/>
  <c r="I46" i="33"/>
  <c r="I82" i="33"/>
  <c r="F18" i="33"/>
  <c r="F37" i="33"/>
  <c r="AR9" i="7"/>
  <c r="I67" i="33"/>
  <c r="I115" i="33"/>
  <c r="AQ23" i="7"/>
  <c r="I166" i="33"/>
  <c r="I35" i="33"/>
  <c r="AN15" i="7"/>
  <c r="AP34" i="7"/>
  <c r="AU11" i="7"/>
  <c r="F87" i="33"/>
  <c r="AR28" i="7"/>
  <c r="F67" i="33"/>
  <c r="I199" i="33"/>
  <c r="F83" i="33"/>
  <c r="AU26" i="7"/>
  <c r="F61" i="33"/>
  <c r="AR20" i="7"/>
  <c r="AV31" i="7"/>
  <c r="I137" i="33"/>
  <c r="F150" i="33"/>
  <c r="I71" i="33"/>
  <c r="F132" i="33"/>
  <c r="F7" i="33"/>
  <c r="AU17" i="7"/>
  <c r="F116" i="33"/>
  <c r="AV26" i="7"/>
  <c r="I129" i="33"/>
  <c r="F47" i="33"/>
  <c r="AR19" i="7"/>
  <c r="I53" i="33"/>
  <c r="F164" i="33"/>
  <c r="I111" i="33"/>
  <c r="AN16" i="7"/>
  <c r="F94" i="33"/>
  <c r="F176" i="33"/>
  <c r="AQ14" i="7"/>
  <c r="F64" i="33"/>
  <c r="I39" i="33"/>
  <c r="I192" i="33"/>
  <c r="AV19" i="7"/>
  <c r="I220" i="33"/>
  <c r="I184" i="33"/>
  <c r="F9" i="33"/>
  <c r="F113" i="33"/>
  <c r="AR23" i="7"/>
  <c r="I114" i="33"/>
  <c r="I182" i="33"/>
  <c r="AN22" i="7"/>
  <c r="F178" i="33"/>
  <c r="I125" i="33"/>
  <c r="I120" i="33"/>
  <c r="AQ13" i="7"/>
  <c r="F36" i="33"/>
  <c r="F211" i="33"/>
  <c r="F182" i="33"/>
  <c r="F65" i="33"/>
  <c r="I145" i="33"/>
  <c r="AR18" i="7"/>
  <c r="AP9" i="7"/>
  <c r="F42" i="33"/>
  <c r="I142" i="33"/>
  <c r="AO3" i="7"/>
  <c r="AV9" i="7"/>
  <c r="I56" i="33"/>
  <c r="I69" i="33"/>
  <c r="I89" i="33"/>
  <c r="AU15" i="7"/>
  <c r="I6" i="33"/>
  <c r="I207" i="33"/>
  <c r="I219" i="33"/>
  <c r="F206" i="33"/>
  <c r="AO28" i="7"/>
  <c r="I174" i="33"/>
  <c r="F196" i="33"/>
  <c r="AO29" i="7"/>
  <c r="AU7" i="7"/>
  <c r="AU6" i="7"/>
  <c r="I136" i="33"/>
  <c r="AV13" i="7"/>
  <c r="I204" i="33"/>
  <c r="AO21" i="7"/>
  <c r="I121" i="33"/>
  <c r="I196" i="33"/>
  <c r="I172" i="33"/>
  <c r="I55" i="33"/>
  <c r="F35" i="33"/>
  <c r="F145" i="33"/>
  <c r="F122" i="33"/>
  <c r="I93" i="33"/>
  <c r="I194" i="33"/>
  <c r="F221" i="33"/>
  <c r="I107" i="33"/>
  <c r="D9" i="16"/>
  <c r="I92" i="33"/>
  <c r="I52" i="33"/>
  <c r="AN28" i="7"/>
  <c r="F143" i="33"/>
  <c r="I23" i="33"/>
  <c r="AR35" i="7"/>
  <c r="AV34" i="7"/>
  <c r="F117" i="33"/>
  <c r="AU18" i="7"/>
  <c r="AP10" i="7"/>
  <c r="F16" i="33"/>
  <c r="F183" i="33"/>
  <c r="I15" i="33"/>
  <c r="F149" i="33"/>
  <c r="AQ21" i="7"/>
  <c r="I146" i="33"/>
  <c r="I205" i="33"/>
  <c r="I117" i="33"/>
  <c r="I5" i="33"/>
  <c r="AQ32" i="7"/>
  <c r="AV28" i="7"/>
  <c r="AR14" i="7"/>
  <c r="AV32" i="7"/>
  <c r="G7" i="18"/>
  <c r="F79" i="33"/>
  <c r="E7" i="16"/>
  <c r="AO20" i="7"/>
  <c r="I191" i="33"/>
  <c r="G13" i="18"/>
  <c r="I140" i="33"/>
  <c r="F147" i="33"/>
  <c r="AN7" i="7"/>
  <c r="I37" i="33"/>
  <c r="AO35" i="7"/>
  <c r="F157" i="33"/>
  <c r="F185" i="33"/>
  <c r="F34" i="33"/>
  <c r="AN14" i="7"/>
  <c r="I162" i="33"/>
  <c r="AN9" i="7"/>
  <c r="I68" i="33"/>
  <c r="F199" i="33"/>
  <c r="F215" i="33"/>
  <c r="F28" i="33"/>
  <c r="AP21" i="7"/>
  <c r="AR11" i="7"/>
  <c r="E8" i="16"/>
  <c r="F137" i="33"/>
  <c r="AO23" i="7"/>
  <c r="AN34" i="7"/>
  <c r="I74" i="33"/>
  <c r="F74" i="33"/>
  <c r="AU32" i="7"/>
  <c r="F6" i="33"/>
  <c r="AU34" i="7"/>
  <c r="I13" i="33"/>
  <c r="F40" i="33"/>
  <c r="F60" i="33"/>
  <c r="F177" i="33"/>
  <c r="AR26" i="7"/>
  <c r="I158" i="33"/>
  <c r="AO30" i="7"/>
  <c r="F11" i="33"/>
  <c r="F56" i="33"/>
  <c r="AO11" i="7"/>
  <c r="AQ35" i="7"/>
  <c r="F103" i="33"/>
  <c r="I90" i="33"/>
  <c r="F29" i="33"/>
  <c r="F80" i="33"/>
  <c r="F48" i="33"/>
  <c r="F27" i="33"/>
  <c r="AN30" i="7"/>
  <c r="F22" i="33"/>
  <c r="AR3" i="7"/>
  <c r="AQ29" i="7"/>
  <c r="I216" i="33"/>
  <c r="I189" i="33"/>
  <c r="F105" i="33"/>
  <c r="AN12" i="7"/>
  <c r="AQ7" i="7"/>
  <c r="F212" i="33"/>
  <c r="I180" i="33"/>
  <c r="G5" i="18"/>
  <c r="F161" i="33"/>
  <c r="I8" i="33"/>
  <c r="I221" i="33"/>
  <c r="G17" i="18"/>
  <c r="F108" i="33"/>
  <c r="AQ10" i="7"/>
  <c r="I128" i="33"/>
  <c r="I61" i="33"/>
  <c r="F23" i="33"/>
  <c r="AQ17" i="7"/>
  <c r="AN31" i="7"/>
  <c r="F20" i="33"/>
  <c r="AO15" i="7"/>
  <c r="AP3" i="7"/>
  <c r="AN25" i="7"/>
  <c r="I113" i="33"/>
  <c r="F13" i="33"/>
  <c r="I210" i="33"/>
  <c r="I177" i="33"/>
  <c r="F166" i="33"/>
  <c r="F144" i="33"/>
  <c r="G10" i="18"/>
  <c r="I160" i="33"/>
  <c r="G11" i="18"/>
  <c r="I31" i="33"/>
  <c r="I187" i="33"/>
  <c r="AV23" i="7"/>
  <c r="AN4" i="7"/>
  <c r="AN26" i="7"/>
  <c r="F97" i="33"/>
  <c r="F217" i="33"/>
  <c r="I97" i="33"/>
  <c r="I171" i="33"/>
  <c r="AP24" i="7"/>
  <c r="F55" i="33"/>
  <c r="AN13" i="7"/>
  <c r="I152" i="33"/>
  <c r="I30" i="33"/>
  <c r="F44" i="33"/>
  <c r="F153" i="33"/>
  <c r="AV12" i="7"/>
  <c r="AQ31" i="7"/>
  <c r="F92" i="33"/>
  <c r="AP22" i="7"/>
  <c r="I206" i="33"/>
  <c r="F104" i="33"/>
  <c r="AQ36" i="7"/>
  <c r="I135" i="33"/>
  <c r="I190" i="33"/>
  <c r="F17" i="33"/>
  <c r="I102" i="33"/>
  <c r="F10" i="33"/>
  <c r="I9" i="16"/>
  <c r="F101" i="33"/>
  <c r="F5" i="33"/>
  <c r="F169" i="33"/>
  <c r="F172" i="33"/>
  <c r="I215" i="33"/>
  <c r="F12" i="33"/>
  <c r="I7" i="16"/>
  <c r="I133" i="33"/>
  <c r="AP6" i="7"/>
  <c r="F219" i="33"/>
  <c r="AR25" i="7"/>
  <c r="G8" i="18"/>
  <c r="AP36" i="7"/>
  <c r="I185" i="33"/>
  <c r="I203" i="33"/>
  <c r="I40" i="33"/>
  <c r="I60" i="33"/>
  <c r="F77" i="33"/>
  <c r="I198" i="33"/>
  <c r="F100" i="33"/>
  <c r="I18" i="33"/>
  <c r="I212" i="33"/>
  <c r="AP33" i="7"/>
  <c r="AU19" i="7"/>
  <c r="I86" i="33"/>
  <c r="I22" i="33"/>
  <c r="I108" i="33"/>
  <c r="I24" i="33"/>
  <c r="I213" i="33"/>
  <c r="F184" i="33"/>
  <c r="H7" i="16"/>
  <c r="H9" i="16"/>
  <c r="AU21" i="7"/>
  <c r="AU36" i="7"/>
  <c r="I14" i="33"/>
  <c r="F123" i="33"/>
  <c r="I16" i="33"/>
  <c r="F24" i="33"/>
  <c r="AN20" i="7"/>
  <c r="I70" i="33"/>
  <c r="F25" i="33"/>
  <c r="AU27" i="7"/>
  <c r="F84" i="33"/>
  <c r="AV4" i="7"/>
  <c r="E9" i="16"/>
  <c r="I109" i="33"/>
  <c r="I130" i="33"/>
  <c r="AQ5" i="7"/>
  <c r="AP8" i="7"/>
  <c r="AN35" i="7"/>
  <c r="I25" i="33"/>
  <c r="F88" i="33"/>
  <c r="AO32" i="7"/>
  <c r="F190" i="33"/>
  <c r="AN3" i="7"/>
  <c r="AO31" i="7"/>
  <c r="F31" i="33"/>
  <c r="I9" i="33"/>
  <c r="I87" i="33"/>
  <c r="F201" i="33"/>
  <c r="AP19" i="7"/>
  <c r="F76" i="33"/>
  <c r="F160" i="33"/>
  <c r="I58" i="33"/>
  <c r="F53" i="33"/>
  <c r="F120" i="33"/>
  <c r="AN17" i="7"/>
  <c r="AN29" i="7"/>
  <c r="AU12" i="7"/>
  <c r="I29" i="33"/>
  <c r="F114" i="33"/>
  <c r="I80" i="33"/>
  <c r="F62" i="33"/>
  <c r="I159" i="33"/>
  <c r="I77" i="33"/>
  <c r="F3" i="33"/>
  <c r="I27" i="33"/>
  <c r="I11" i="33"/>
  <c r="I179" i="33"/>
  <c r="AN27" i="7"/>
  <c r="I106" i="33"/>
  <c r="I75" i="33"/>
  <c r="F174" i="33"/>
  <c r="AO24" i="7"/>
  <c r="D8" i="16"/>
  <c r="I36" i="33"/>
  <c r="I79" i="33"/>
  <c r="I81" i="33"/>
  <c r="AV11" i="7"/>
  <c r="I134" i="33"/>
  <c r="I83" i="33"/>
  <c r="AU28" i="7"/>
  <c r="I105" i="33"/>
  <c r="I208" i="33"/>
  <c r="I88" i="33"/>
  <c r="F175" i="33"/>
  <c r="AP23" i="7"/>
  <c r="AR21" i="7"/>
  <c r="F71" i="33"/>
  <c r="I32" i="33"/>
  <c r="I72" i="33"/>
  <c r="AQ30" i="7"/>
  <c r="F194" i="33"/>
  <c r="F95" i="33"/>
  <c r="I175" i="33"/>
  <c r="I183" i="33"/>
  <c r="I33" i="33"/>
  <c r="I112" i="33"/>
  <c r="AP25" i="7"/>
  <c r="F102" i="33"/>
  <c r="AQ6" i="7"/>
  <c r="AR32" i="7"/>
  <c r="I188" i="33"/>
  <c r="AO18" i="7"/>
  <c r="AV3" i="7"/>
  <c r="F138" i="33"/>
  <c r="AR17" i="7"/>
  <c r="AQ9" i="7"/>
  <c r="I76" i="33"/>
  <c r="F187" i="33"/>
  <c r="I95" i="33"/>
  <c r="AO36" i="7"/>
  <c r="AO10" i="7"/>
  <c r="F8" i="33"/>
  <c r="I161" i="33"/>
  <c r="F91" i="33"/>
  <c r="F135" i="33"/>
  <c r="F146" i="33"/>
  <c r="F151" i="33"/>
  <c r="AU5" i="7"/>
  <c r="F209" i="33"/>
  <c r="I214" i="33"/>
  <c r="F78" i="33"/>
  <c r="AN33" i="7"/>
  <c r="R16" i="44" l="1" a="1"/>
  <c r="R16" i="44" s="1"/>
  <c r="T16" i="44" s="1"/>
  <c r="U12" i="44"/>
  <c r="V12" i="44"/>
  <c r="T12" i="44"/>
  <c r="V20" i="44"/>
  <c r="T20" i="44"/>
  <c r="U20" i="44"/>
  <c r="V21" i="44"/>
  <c r="U21" i="44"/>
  <c r="V29" i="44"/>
  <c r="U29" i="44"/>
  <c r="T24" i="44"/>
  <c r="R25" i="44" a="1"/>
  <c r="R25" i="44" s="1"/>
  <c r="Q20" i="44" a="1"/>
  <c r="Q20" i="44" s="1"/>
  <c r="V24" i="44"/>
  <c r="Q17" i="44" a="1"/>
  <c r="Q17" i="44" s="1"/>
  <c r="M3" i="47"/>
  <c r="N3" i="47" s="1"/>
  <c r="Q16" i="44" a="1"/>
  <c r="Q16" i="44" s="1"/>
  <c r="U17" i="44"/>
  <c r="V17" i="44"/>
  <c r="AB11" i="18"/>
  <c r="AC11" i="18" s="1"/>
  <c r="V9" i="18"/>
  <c r="W9" i="18" s="1"/>
  <c r="AB6" i="18"/>
  <c r="AC6" i="18" s="1"/>
  <c r="AB5" i="18"/>
  <c r="AC5" i="18" s="1"/>
  <c r="AB7" i="18"/>
  <c r="AC7" i="18" s="1"/>
  <c r="V7" i="18"/>
  <c r="W7" i="18" s="1"/>
  <c r="V11" i="18"/>
  <c r="W11" i="18" s="1"/>
  <c r="AB9" i="18"/>
  <c r="AC9" i="18" s="1"/>
  <c r="V6" i="18"/>
  <c r="W6" i="18" s="1"/>
  <c r="V10" i="18"/>
  <c r="W10" i="18" s="1"/>
  <c r="V8" i="18"/>
  <c r="W8" i="18" s="1"/>
  <c r="AB8" i="18"/>
  <c r="AC8" i="18" s="1"/>
  <c r="AB10" i="18"/>
  <c r="AC10" i="18" s="1"/>
  <c r="V5" i="18"/>
  <c r="W5" i="18" s="1"/>
  <c r="AB4" i="18"/>
  <c r="AC4" i="18" s="1"/>
  <c r="E10" i="18"/>
  <c r="J10" i="18" s="1"/>
  <c r="M10" i="18" s="1"/>
  <c r="N10" i="18" s="1"/>
  <c r="H13" i="18"/>
  <c r="E11" i="18"/>
  <c r="J11" i="18" s="1"/>
  <c r="L11" i="18" s="1"/>
  <c r="E5" i="18"/>
  <c r="J5" i="18" s="1"/>
  <c r="M5" i="18" s="1"/>
  <c r="N5" i="18" s="1"/>
  <c r="E9" i="18"/>
  <c r="J9" i="18" s="1"/>
  <c r="M9" i="18" s="1"/>
  <c r="N9" i="18" s="1"/>
  <c r="M13" i="18"/>
  <c r="N13" i="18" s="1"/>
  <c r="E4" i="18"/>
  <c r="H4" i="18" s="1"/>
  <c r="E6" i="18"/>
  <c r="J6" i="18" s="1"/>
  <c r="L6" i="18" s="1"/>
  <c r="E12" i="18"/>
  <c r="J18" i="18"/>
  <c r="L18" i="18" s="1"/>
  <c r="N18" i="18" s="1"/>
  <c r="H18" i="18"/>
  <c r="H8" i="18"/>
  <c r="J8" i="18"/>
  <c r="F8" i="18" s="1"/>
  <c r="J17" i="18"/>
  <c r="L17" i="18" s="1"/>
  <c r="N17" i="18" s="1"/>
  <c r="H17" i="18"/>
  <c r="J16" i="18"/>
  <c r="F16" i="18" s="1"/>
  <c r="H16" i="18"/>
  <c r="G157" i="33"/>
  <c r="H157" i="33" s="1"/>
  <c r="J197" i="33"/>
  <c r="K197" i="33" s="1"/>
  <c r="G35" i="33"/>
  <c r="H35" i="33" s="1"/>
  <c r="J115" i="33"/>
  <c r="K115" i="33" s="1"/>
  <c r="J46" i="33"/>
  <c r="K46" i="33" s="1"/>
  <c r="J116" i="33"/>
  <c r="K116" i="33" s="1"/>
  <c r="J44" i="33"/>
  <c r="K44" i="33" s="1"/>
  <c r="G108" i="33"/>
  <c r="H108" i="33" s="1"/>
  <c r="J56" i="33"/>
  <c r="K56" i="33" s="1"/>
  <c r="J211" i="33"/>
  <c r="K211" i="33" s="1"/>
  <c r="J54" i="33"/>
  <c r="K54" i="33" s="1"/>
  <c r="G101" i="33"/>
  <c r="H101" i="33" s="1"/>
  <c r="G19" i="33"/>
  <c r="H19" i="33" s="1"/>
  <c r="J127" i="33"/>
  <c r="K127" i="33" s="1"/>
  <c r="G69" i="33"/>
  <c r="H69" i="33" s="1"/>
  <c r="J149" i="33"/>
  <c r="K149" i="33" s="1"/>
  <c r="J153" i="33"/>
  <c r="K153" i="33" s="1"/>
  <c r="G133" i="33"/>
  <c r="H133" i="33" s="1"/>
  <c r="G89" i="33"/>
  <c r="H89" i="33" s="1"/>
  <c r="J109" i="33"/>
  <c r="K109" i="33" s="1"/>
  <c r="G73" i="33"/>
  <c r="H73" i="33" s="1"/>
  <c r="G5" i="33"/>
  <c r="H5" i="33" s="1"/>
  <c r="J138" i="33"/>
  <c r="K138" i="33" s="1"/>
  <c r="J139" i="33"/>
  <c r="K139" i="33" s="1"/>
  <c r="G74" i="33"/>
  <c r="H74" i="33" s="1"/>
  <c r="J199" i="33"/>
  <c r="K199" i="33" s="1"/>
  <c r="J105" i="33"/>
  <c r="K105" i="33" s="1"/>
  <c r="G81" i="33"/>
  <c r="H81" i="33" s="1"/>
  <c r="J3" i="33"/>
  <c r="K3" i="33" s="1"/>
  <c r="G165" i="33"/>
  <c r="H165" i="33" s="1"/>
  <c r="G80" i="33"/>
  <c r="H80" i="33" s="1"/>
  <c r="J144" i="33"/>
  <c r="K144" i="33" s="1"/>
  <c r="G59" i="33"/>
  <c r="H59" i="33" s="1"/>
  <c r="J17" i="33"/>
  <c r="K17" i="33" s="1"/>
  <c r="G194" i="33"/>
  <c r="H194" i="33" s="1"/>
  <c r="J178" i="33"/>
  <c r="K178" i="33" s="1"/>
  <c r="J48" i="33"/>
  <c r="K48" i="33" s="1"/>
  <c r="J32" i="33"/>
  <c r="K32" i="33" s="1"/>
  <c r="J170" i="33"/>
  <c r="K170" i="33" s="1"/>
  <c r="G187" i="33"/>
  <c r="H187" i="33" s="1"/>
  <c r="J113" i="33"/>
  <c r="K113" i="33" s="1"/>
  <c r="G87" i="33"/>
  <c r="H87" i="33" s="1"/>
  <c r="J131" i="33"/>
  <c r="K131" i="33" s="1"/>
  <c r="J83" i="33"/>
  <c r="K83" i="33" s="1"/>
  <c r="J134" i="33"/>
  <c r="K134" i="33" s="1"/>
  <c r="J78" i="33"/>
  <c r="K78" i="33" s="1"/>
  <c r="J27" i="33"/>
  <c r="K27" i="33" s="1"/>
  <c r="G84" i="33"/>
  <c r="H84" i="33" s="1"/>
  <c r="G55" i="33"/>
  <c r="H55" i="33" s="1"/>
  <c r="G127" i="33"/>
  <c r="H127" i="33" s="1"/>
  <c r="J103" i="33"/>
  <c r="K103" i="33" s="1"/>
  <c r="J47" i="33"/>
  <c r="K47" i="33" s="1"/>
  <c r="G66" i="33"/>
  <c r="H66" i="33" s="1"/>
  <c r="J189" i="33"/>
  <c r="K189" i="33" s="1"/>
  <c r="O7" i="16"/>
  <c r="G48" i="33"/>
  <c r="H48" i="33" s="1"/>
  <c r="J135" i="33"/>
  <c r="K135" i="33" s="1"/>
  <c r="G16" i="33"/>
  <c r="H16" i="33" s="1"/>
  <c r="J74" i="33"/>
  <c r="K74" i="33" s="1"/>
  <c r="G141" i="33"/>
  <c r="H141" i="33" s="1"/>
  <c r="J106" i="33"/>
  <c r="K106" i="33" s="1"/>
  <c r="J63" i="33"/>
  <c r="K63" i="33" s="1"/>
  <c r="G212" i="33"/>
  <c r="H212" i="33" s="1"/>
  <c r="G17" i="33"/>
  <c r="H17" i="33" s="1"/>
  <c r="G135" i="33"/>
  <c r="H135" i="33" s="1"/>
  <c r="J136" i="33"/>
  <c r="K136" i="33" s="1"/>
  <c r="G11" i="33"/>
  <c r="H11" i="33" s="1"/>
  <c r="J122" i="33"/>
  <c r="K122" i="33" s="1"/>
  <c r="G95" i="33"/>
  <c r="H95" i="33" s="1"/>
  <c r="G49" i="33"/>
  <c r="H49" i="33" s="1"/>
  <c r="G21" i="33"/>
  <c r="H21" i="33" s="1"/>
  <c r="J126" i="33"/>
  <c r="K126" i="33" s="1"/>
  <c r="G134" i="33"/>
  <c r="H134" i="33" s="1"/>
  <c r="J36" i="33"/>
  <c r="K36" i="33" s="1"/>
  <c r="J11" i="33"/>
  <c r="K11" i="33" s="1"/>
  <c r="J9" i="33"/>
  <c r="K9" i="33" s="1"/>
  <c r="G200" i="33"/>
  <c r="H200" i="33" s="1"/>
  <c r="G56" i="33"/>
  <c r="H56" i="33" s="1"/>
  <c r="G175" i="33"/>
  <c r="H175" i="33" s="1"/>
  <c r="J151" i="33"/>
  <c r="K151" i="33" s="1"/>
  <c r="G122" i="33"/>
  <c r="H122" i="33" s="1"/>
  <c r="G198" i="33"/>
  <c r="H198" i="33" s="1"/>
  <c r="J60" i="33"/>
  <c r="K60" i="33" s="1"/>
  <c r="J172" i="33"/>
  <c r="K172" i="33" s="1"/>
  <c r="J182" i="33"/>
  <c r="K182" i="33" s="1"/>
  <c r="J5" i="33"/>
  <c r="K5" i="33" s="1"/>
  <c r="G98" i="33"/>
  <c r="H98" i="33" s="1"/>
  <c r="G47" i="33"/>
  <c r="H47" i="33" s="1"/>
  <c r="J77" i="33"/>
  <c r="K77" i="33" s="1"/>
  <c r="G184" i="33"/>
  <c r="H184" i="33" s="1"/>
  <c r="J210" i="33"/>
  <c r="K210" i="33" s="1"/>
  <c r="J8" i="33"/>
  <c r="K8" i="33" s="1"/>
  <c r="G92" i="33"/>
  <c r="H92" i="33" s="1"/>
  <c r="G36" i="33"/>
  <c r="H36" i="33" s="1"/>
  <c r="J95" i="33"/>
  <c r="K95" i="33" s="1"/>
  <c r="J20" i="33"/>
  <c r="K20" i="33" s="1"/>
  <c r="J218" i="33"/>
  <c r="K218" i="33" s="1"/>
  <c r="G170" i="33"/>
  <c r="H170" i="33" s="1"/>
  <c r="G18" i="33"/>
  <c r="H18" i="33" s="1"/>
  <c r="G138" i="33"/>
  <c r="H138" i="33" s="1"/>
  <c r="J101" i="33"/>
  <c r="K101" i="33" s="1"/>
  <c r="G163" i="33"/>
  <c r="H163" i="33" s="1"/>
  <c r="G183" i="33"/>
  <c r="H183" i="33" s="1"/>
  <c r="J10" i="33"/>
  <c r="K10" i="33" s="1"/>
  <c r="G204" i="33"/>
  <c r="H204" i="33" s="1"/>
  <c r="G14" i="18"/>
  <c r="J207" i="33"/>
  <c r="K207" i="33" s="1"/>
  <c r="J181" i="33"/>
  <c r="K181" i="33" s="1"/>
  <c r="G113" i="33"/>
  <c r="H113" i="33" s="1"/>
  <c r="G147" i="33"/>
  <c r="H147" i="33" s="1"/>
  <c r="J67" i="33"/>
  <c r="K67" i="33" s="1"/>
  <c r="J168" i="33"/>
  <c r="K168" i="33" s="1"/>
  <c r="G107" i="33"/>
  <c r="H107" i="33" s="1"/>
  <c r="G20" i="33"/>
  <c r="H20" i="33" s="1"/>
  <c r="J76" i="33"/>
  <c r="K76" i="33" s="1"/>
  <c r="G166" i="33"/>
  <c r="H166" i="33" s="1"/>
  <c r="O8" i="16"/>
  <c r="G192" i="33"/>
  <c r="H192" i="33" s="1"/>
  <c r="G145" i="33"/>
  <c r="H145" i="33" s="1"/>
  <c r="G186" i="33"/>
  <c r="H186" i="33" s="1"/>
  <c r="G178" i="33"/>
  <c r="H178" i="33" s="1"/>
  <c r="G26" i="33"/>
  <c r="H26" i="33" s="1"/>
  <c r="J107" i="33"/>
  <c r="K107" i="33" s="1"/>
  <c r="J155" i="33"/>
  <c r="K155" i="33" s="1"/>
  <c r="G142" i="33"/>
  <c r="H142" i="33" s="1"/>
  <c r="F13" i="18"/>
  <c r="G28" i="33"/>
  <c r="H28" i="33" s="1"/>
  <c r="J91" i="33"/>
  <c r="K91" i="33" s="1"/>
  <c r="J190" i="33"/>
  <c r="K190" i="33" s="1"/>
  <c r="J220" i="33"/>
  <c r="K220" i="33" s="1"/>
  <c r="G4" i="33"/>
  <c r="H4" i="33" s="1"/>
  <c r="G40" i="33"/>
  <c r="H40" i="33" s="1"/>
  <c r="J65" i="33"/>
  <c r="K65" i="33" s="1"/>
  <c r="J96" i="33"/>
  <c r="K96" i="33" s="1"/>
  <c r="G206" i="33"/>
  <c r="H206" i="33" s="1"/>
  <c r="G160" i="33"/>
  <c r="H160" i="33" s="1"/>
  <c r="J35" i="33"/>
  <c r="K35" i="33" s="1"/>
  <c r="J51" i="33"/>
  <c r="K51" i="33" s="1"/>
  <c r="G154" i="33"/>
  <c r="H154" i="33" s="1"/>
  <c r="J53" i="33"/>
  <c r="K53" i="33" s="1"/>
  <c r="G222" i="33"/>
  <c r="H222" i="33" s="1"/>
  <c r="G82" i="33"/>
  <c r="H82" i="33" s="1"/>
  <c r="J29" i="33"/>
  <c r="K29" i="33" s="1"/>
  <c r="J104" i="33"/>
  <c r="K104" i="33" s="1"/>
  <c r="J161" i="33"/>
  <c r="K161" i="33" s="1"/>
  <c r="J30" i="33"/>
  <c r="K30" i="33" s="1"/>
  <c r="J100" i="33"/>
  <c r="K100" i="33" s="1"/>
  <c r="G33" i="33"/>
  <c r="H33" i="33" s="1"/>
  <c r="G177" i="33"/>
  <c r="H177" i="33" s="1"/>
  <c r="J4" i="33"/>
  <c r="K4" i="33" s="1"/>
  <c r="J84" i="33"/>
  <c r="K84" i="33" s="1"/>
  <c r="J119" i="33"/>
  <c r="K119" i="33" s="1"/>
  <c r="J71" i="33"/>
  <c r="K71" i="33" s="1"/>
  <c r="G118" i="33"/>
  <c r="H118" i="33" s="1"/>
  <c r="J146" i="33"/>
  <c r="K146" i="33" s="1"/>
  <c r="J14" i="33"/>
  <c r="K14" i="33" s="1"/>
  <c r="J6" i="33"/>
  <c r="K6" i="33" s="1"/>
  <c r="J66" i="33"/>
  <c r="K66" i="33" s="1"/>
  <c r="J157" i="33"/>
  <c r="K157" i="33" s="1"/>
  <c r="G62" i="33"/>
  <c r="H62" i="33" s="1"/>
  <c r="J156" i="33"/>
  <c r="K156" i="33" s="1"/>
  <c r="J80" i="33"/>
  <c r="K80" i="33" s="1"/>
  <c r="J64" i="33"/>
  <c r="K64" i="33" s="1"/>
  <c r="G94" i="33"/>
  <c r="H94" i="33" s="1"/>
  <c r="J222" i="33"/>
  <c r="K222" i="33" s="1"/>
  <c r="J208" i="33"/>
  <c r="K208" i="33" s="1"/>
  <c r="G167" i="33"/>
  <c r="H167" i="33" s="1"/>
  <c r="G38" i="33"/>
  <c r="H38" i="33" s="1"/>
  <c r="G99" i="33"/>
  <c r="H99" i="33" s="1"/>
  <c r="J175" i="33"/>
  <c r="K175" i="33" s="1"/>
  <c r="G12" i="33"/>
  <c r="H12" i="33" s="1"/>
  <c r="G104" i="33"/>
  <c r="H104" i="33" s="1"/>
  <c r="G139" i="33"/>
  <c r="H139" i="33" s="1"/>
  <c r="J89" i="33"/>
  <c r="K89" i="33" s="1"/>
  <c r="G106" i="33"/>
  <c r="H106" i="33" s="1"/>
  <c r="J121" i="33"/>
  <c r="K121" i="33" s="1"/>
  <c r="J165" i="33"/>
  <c r="K165" i="33" s="1"/>
  <c r="G146" i="33"/>
  <c r="H146" i="33" s="1"/>
  <c r="G181" i="33"/>
  <c r="H181" i="33" s="1"/>
  <c r="J213" i="33"/>
  <c r="K213" i="33" s="1"/>
  <c r="J49" i="33"/>
  <c r="K49" i="33" s="1"/>
  <c r="J198" i="33"/>
  <c r="K198" i="33" s="1"/>
  <c r="G50" i="33"/>
  <c r="H50" i="33" s="1"/>
  <c r="G54" i="33"/>
  <c r="H54" i="33" s="1"/>
  <c r="G209" i="33"/>
  <c r="H209" i="33" s="1"/>
  <c r="G190" i="33"/>
  <c r="H190" i="33" s="1"/>
  <c r="J45" i="33"/>
  <c r="K45" i="33" s="1"/>
  <c r="J150" i="33"/>
  <c r="K150" i="33" s="1"/>
  <c r="J160" i="33"/>
  <c r="K160" i="33" s="1"/>
  <c r="J73" i="33"/>
  <c r="K73" i="33" s="1"/>
  <c r="G102" i="33"/>
  <c r="H102" i="33" s="1"/>
  <c r="G189" i="33"/>
  <c r="H189" i="33" s="1"/>
  <c r="G217" i="33"/>
  <c r="H217" i="33" s="1"/>
  <c r="J179" i="33"/>
  <c r="K179" i="33" s="1"/>
  <c r="J143" i="33"/>
  <c r="K143" i="33" s="1"/>
  <c r="G96" i="33"/>
  <c r="H96" i="33" s="1"/>
  <c r="J162" i="33"/>
  <c r="K162" i="33" s="1"/>
  <c r="J40" i="33"/>
  <c r="K40" i="33" s="1"/>
  <c r="J191" i="33"/>
  <c r="K191" i="33" s="1"/>
  <c r="J204" i="33"/>
  <c r="K204" i="33" s="1"/>
  <c r="O9" i="16"/>
  <c r="G196" i="33"/>
  <c r="H196" i="33" s="1"/>
  <c r="G180" i="33"/>
  <c r="H180" i="33" s="1"/>
  <c r="J129" i="33"/>
  <c r="K129" i="33" s="1"/>
  <c r="N9" i="16"/>
  <c r="J88" i="33"/>
  <c r="K88" i="33" s="1"/>
  <c r="G23" i="33"/>
  <c r="H23" i="33" s="1"/>
  <c r="G6" i="33"/>
  <c r="H6" i="33" s="1"/>
  <c r="G161" i="33"/>
  <c r="H161" i="33" s="1"/>
  <c r="G211" i="33"/>
  <c r="H211" i="33" s="1"/>
  <c r="J79" i="33"/>
  <c r="K79" i="33" s="1"/>
  <c r="J34" i="33"/>
  <c r="K34" i="33" s="1"/>
  <c r="G29" i="33"/>
  <c r="H29" i="33" s="1"/>
  <c r="G221" i="33"/>
  <c r="H221" i="33" s="1"/>
  <c r="J192" i="33"/>
  <c r="K192" i="33" s="1"/>
  <c r="G111" i="33"/>
  <c r="H111" i="33" s="1"/>
  <c r="G159" i="33"/>
  <c r="H159" i="33" s="1"/>
  <c r="J61" i="33"/>
  <c r="K61" i="33" s="1"/>
  <c r="J133" i="33"/>
  <c r="K133" i="33" s="1"/>
  <c r="G8" i="33"/>
  <c r="H8" i="33" s="1"/>
  <c r="J81" i="33"/>
  <c r="K81" i="33" s="1"/>
  <c r="G215" i="33"/>
  <c r="H215" i="33" s="1"/>
  <c r="G61" i="33"/>
  <c r="H61" i="33" s="1"/>
  <c r="J124" i="33"/>
  <c r="K124" i="33" s="1"/>
  <c r="G114" i="33"/>
  <c r="H114" i="33" s="1"/>
  <c r="J195" i="33"/>
  <c r="K195" i="33" s="1"/>
  <c r="G126" i="33"/>
  <c r="H126" i="33" s="1"/>
  <c r="G63" i="33"/>
  <c r="H63" i="33" s="1"/>
  <c r="J94" i="33"/>
  <c r="K94" i="33" s="1"/>
  <c r="G15" i="33"/>
  <c r="H15" i="33" s="1"/>
  <c r="J55" i="33"/>
  <c r="K55" i="33" s="1"/>
  <c r="J132" i="33"/>
  <c r="K132" i="33" s="1"/>
  <c r="G197" i="33"/>
  <c r="H197" i="33" s="1"/>
  <c r="G218" i="33"/>
  <c r="H218" i="33" s="1"/>
  <c r="J177" i="33"/>
  <c r="K177" i="33" s="1"/>
  <c r="J52" i="33"/>
  <c r="K52" i="33" s="1"/>
  <c r="J18" i="33"/>
  <c r="K18" i="33" s="1"/>
  <c r="G52" i="33"/>
  <c r="H52" i="33" s="1"/>
  <c r="G86" i="33"/>
  <c r="H86" i="33" s="1"/>
  <c r="G182" i="33"/>
  <c r="H182" i="33" s="1"/>
  <c r="J163" i="33"/>
  <c r="K163" i="33" s="1"/>
  <c r="G24" i="33"/>
  <c r="H24" i="33" s="1"/>
  <c r="J114" i="33"/>
  <c r="K114" i="33" s="1"/>
  <c r="G150" i="33"/>
  <c r="H150" i="33" s="1"/>
  <c r="G46" i="33"/>
  <c r="H46" i="33" s="1"/>
  <c r="J201" i="33"/>
  <c r="K201" i="33" s="1"/>
  <c r="G153" i="33"/>
  <c r="H153" i="33" s="1"/>
  <c r="J159" i="33"/>
  <c r="K159" i="33" s="1"/>
  <c r="G42" i="33"/>
  <c r="H42" i="33" s="1"/>
  <c r="G125" i="33"/>
  <c r="H125" i="33" s="1"/>
  <c r="J173" i="33"/>
  <c r="K173" i="33" s="1"/>
  <c r="G85" i="33"/>
  <c r="H85" i="33" s="1"/>
  <c r="G115" i="33"/>
  <c r="H115" i="33" s="1"/>
  <c r="J209" i="33"/>
  <c r="K209" i="33" s="1"/>
  <c r="J13" i="33"/>
  <c r="K13" i="33" s="1"/>
  <c r="J59" i="33"/>
  <c r="K59" i="33" s="1"/>
  <c r="J193" i="33"/>
  <c r="K193" i="33" s="1"/>
  <c r="G43" i="33"/>
  <c r="H43" i="33" s="1"/>
  <c r="J164" i="33"/>
  <c r="K164" i="33" s="1"/>
  <c r="J169" i="33"/>
  <c r="K169" i="33" s="1"/>
  <c r="J166" i="33"/>
  <c r="K166" i="33" s="1"/>
  <c r="G72" i="33"/>
  <c r="H72" i="33" s="1"/>
  <c r="G156" i="33"/>
  <c r="H156" i="33" s="1"/>
  <c r="J184" i="33"/>
  <c r="K184" i="33" s="1"/>
  <c r="J110" i="33"/>
  <c r="K110" i="33" s="1"/>
  <c r="J25" i="33"/>
  <c r="K25" i="33" s="1"/>
  <c r="J98" i="33"/>
  <c r="K98" i="33" s="1"/>
  <c r="J141" i="33"/>
  <c r="K141" i="33" s="1"/>
  <c r="G9" i="33"/>
  <c r="H9" i="33" s="1"/>
  <c r="G109" i="33"/>
  <c r="H109" i="33" s="1"/>
  <c r="J186" i="33"/>
  <c r="K186" i="33" s="1"/>
  <c r="J24" i="33"/>
  <c r="K24" i="33" s="1"/>
  <c r="G32" i="33"/>
  <c r="H32" i="33" s="1"/>
  <c r="J43" i="33"/>
  <c r="K43" i="33" s="1"/>
  <c r="G203" i="33"/>
  <c r="H203" i="33" s="1"/>
  <c r="J205" i="33"/>
  <c r="K205" i="33" s="1"/>
  <c r="G25" i="33"/>
  <c r="H25" i="33" s="1"/>
  <c r="J171" i="33"/>
  <c r="K171" i="33" s="1"/>
  <c r="G97" i="33"/>
  <c r="H97" i="33" s="1"/>
  <c r="J214" i="33"/>
  <c r="K214" i="33" s="1"/>
  <c r="G53" i="33"/>
  <c r="H53" i="33" s="1"/>
  <c r="G93" i="33"/>
  <c r="H93" i="33" s="1"/>
  <c r="J154" i="33"/>
  <c r="K154" i="33" s="1"/>
  <c r="G152" i="33"/>
  <c r="H152" i="33" s="1"/>
  <c r="J215" i="33"/>
  <c r="K215" i="33" s="1"/>
  <c r="G158" i="33"/>
  <c r="H158" i="33" s="1"/>
  <c r="J206" i="33"/>
  <c r="K206" i="33" s="1"/>
  <c r="N7" i="16"/>
  <c r="J112" i="33"/>
  <c r="K112" i="33" s="1"/>
  <c r="G30" i="33"/>
  <c r="H30" i="33" s="1"/>
  <c r="G202" i="33"/>
  <c r="H202" i="33" s="1"/>
  <c r="J19" i="33"/>
  <c r="K19" i="33" s="1"/>
  <c r="G3" i="33"/>
  <c r="H3" i="33" s="1"/>
  <c r="G22" i="33"/>
  <c r="H22" i="33" s="1"/>
  <c r="J176" i="33"/>
  <c r="K176" i="33" s="1"/>
  <c r="J187" i="33"/>
  <c r="K187" i="33" s="1"/>
  <c r="J194" i="33"/>
  <c r="K194" i="33" s="1"/>
  <c r="J158" i="33"/>
  <c r="K158" i="33" s="1"/>
  <c r="G128" i="33"/>
  <c r="H128" i="33" s="1"/>
  <c r="J75" i="33"/>
  <c r="K75" i="33" s="1"/>
  <c r="J87" i="33"/>
  <c r="K87" i="33" s="1"/>
  <c r="G77" i="33"/>
  <c r="H77" i="33" s="1"/>
  <c r="G41" i="33"/>
  <c r="H41" i="33" s="1"/>
  <c r="J23" i="33"/>
  <c r="K23" i="33" s="1"/>
  <c r="J58" i="33"/>
  <c r="K58" i="33" s="1"/>
  <c r="G120" i="33"/>
  <c r="H120" i="33" s="1"/>
  <c r="G130" i="33"/>
  <c r="H130" i="33" s="1"/>
  <c r="G199" i="33"/>
  <c r="H199" i="33" s="1"/>
  <c r="G78" i="33"/>
  <c r="H78" i="33" s="1"/>
  <c r="G117" i="33"/>
  <c r="H117" i="33" s="1"/>
  <c r="G7" i="33"/>
  <c r="H7" i="33" s="1"/>
  <c r="J72" i="33"/>
  <c r="K72" i="33" s="1"/>
  <c r="G220" i="33"/>
  <c r="H220" i="33" s="1"/>
  <c r="J216" i="33"/>
  <c r="K216" i="33" s="1"/>
  <c r="G148" i="33"/>
  <c r="H148" i="33" s="1"/>
  <c r="J203" i="33"/>
  <c r="K203" i="33" s="1"/>
  <c r="J196" i="33"/>
  <c r="K196" i="33" s="1"/>
  <c r="G79" i="33"/>
  <c r="H79" i="33" s="1"/>
  <c r="G60" i="33"/>
  <c r="H60" i="33" s="1"/>
  <c r="G10" i="33"/>
  <c r="H10" i="33" s="1"/>
  <c r="G90" i="33"/>
  <c r="H90" i="33" s="1"/>
  <c r="J117" i="33"/>
  <c r="K117" i="33" s="1"/>
  <c r="J92" i="33"/>
  <c r="K92" i="33" s="1"/>
  <c r="G185" i="33"/>
  <c r="H185" i="33" s="1"/>
  <c r="J12" i="33"/>
  <c r="K12" i="33" s="1"/>
  <c r="G15" i="18"/>
  <c r="J145" i="33"/>
  <c r="K145" i="33" s="1"/>
  <c r="J38" i="33"/>
  <c r="K38" i="33" s="1"/>
  <c r="J120" i="33"/>
  <c r="K120" i="33" s="1"/>
  <c r="J85" i="33"/>
  <c r="K85" i="33" s="1"/>
  <c r="J90" i="33"/>
  <c r="K90" i="33" s="1"/>
  <c r="J137" i="33"/>
  <c r="K137" i="33" s="1"/>
  <c r="J39" i="33"/>
  <c r="K39" i="33" s="1"/>
  <c r="J183" i="33"/>
  <c r="K183" i="33" s="1"/>
  <c r="G155" i="33"/>
  <c r="H155" i="33" s="1"/>
  <c r="J188" i="33"/>
  <c r="K188" i="33" s="1"/>
  <c r="J82" i="33"/>
  <c r="K82" i="33" s="1"/>
  <c r="G14" i="33"/>
  <c r="H14" i="33" s="1"/>
  <c r="J21" i="33"/>
  <c r="K21" i="33" s="1"/>
  <c r="G88" i="33"/>
  <c r="H88" i="33" s="1"/>
  <c r="G188" i="33"/>
  <c r="H188" i="33" s="1"/>
  <c r="G100" i="33"/>
  <c r="H100" i="33" s="1"/>
  <c r="J212" i="33"/>
  <c r="K212" i="33" s="1"/>
  <c r="G119" i="33"/>
  <c r="H119" i="33" s="1"/>
  <c r="G179" i="33"/>
  <c r="H179" i="33" s="1"/>
  <c r="J62" i="33"/>
  <c r="K62" i="33" s="1"/>
  <c r="J140" i="33"/>
  <c r="K140" i="33" s="1"/>
  <c r="G37" i="33"/>
  <c r="H37" i="33" s="1"/>
  <c r="G136" i="33"/>
  <c r="H136" i="33" s="1"/>
  <c r="J99" i="33"/>
  <c r="K99" i="33" s="1"/>
  <c r="G70" i="33"/>
  <c r="H70" i="33" s="1"/>
  <c r="J28" i="33"/>
  <c r="K28" i="33" s="1"/>
  <c r="J16" i="33"/>
  <c r="K16" i="33" s="1"/>
  <c r="J26" i="33"/>
  <c r="K26" i="33" s="1"/>
  <c r="J15" i="33"/>
  <c r="K15" i="33" s="1"/>
  <c r="J142" i="33"/>
  <c r="K142" i="33" s="1"/>
  <c r="J200" i="33"/>
  <c r="K200" i="33" s="1"/>
  <c r="G124" i="33"/>
  <c r="H124" i="33" s="1"/>
  <c r="N8" i="16"/>
  <c r="G214" i="33"/>
  <c r="H214" i="33" s="1"/>
  <c r="G31" i="33"/>
  <c r="H31" i="33" s="1"/>
  <c r="J108" i="33"/>
  <c r="K108" i="33" s="1"/>
  <c r="G44" i="33"/>
  <c r="H44" i="33" s="1"/>
  <c r="J221" i="33"/>
  <c r="K221" i="33" s="1"/>
  <c r="J7" i="33"/>
  <c r="K7" i="33" s="1"/>
  <c r="J217" i="33"/>
  <c r="K217" i="33" s="1"/>
  <c r="G173" i="33"/>
  <c r="H173" i="33" s="1"/>
  <c r="G123" i="33"/>
  <c r="H123" i="33" s="1"/>
  <c r="J123" i="33"/>
  <c r="K123" i="33" s="1"/>
  <c r="G144" i="33"/>
  <c r="H144" i="33" s="1"/>
  <c r="G140" i="33"/>
  <c r="H140" i="33" s="1"/>
  <c r="J86" i="33"/>
  <c r="K86" i="33" s="1"/>
  <c r="G34" i="33"/>
  <c r="H34" i="33" s="1"/>
  <c r="J202" i="33"/>
  <c r="K202" i="33" s="1"/>
  <c r="G68" i="33"/>
  <c r="H68" i="33" s="1"/>
  <c r="G39" i="33"/>
  <c r="H39" i="33" s="1"/>
  <c r="G129" i="33"/>
  <c r="H129" i="33" s="1"/>
  <c r="J33" i="33"/>
  <c r="K33" i="33" s="1"/>
  <c r="G76" i="33"/>
  <c r="H76" i="33" s="1"/>
  <c r="J219" i="33"/>
  <c r="K219" i="33" s="1"/>
  <c r="G169" i="33"/>
  <c r="H169" i="33" s="1"/>
  <c r="G45" i="33"/>
  <c r="H45" i="33" s="1"/>
  <c r="G131" i="33"/>
  <c r="H131" i="33" s="1"/>
  <c r="J118" i="33"/>
  <c r="K118" i="33" s="1"/>
  <c r="J31" i="33"/>
  <c r="K31" i="33" s="1"/>
  <c r="J93" i="33"/>
  <c r="K93" i="33" s="1"/>
  <c r="G149" i="33"/>
  <c r="H149" i="33" s="1"/>
  <c r="G57" i="33"/>
  <c r="H57" i="33" s="1"/>
  <c r="J41" i="33"/>
  <c r="K41" i="33" s="1"/>
  <c r="G143" i="33"/>
  <c r="H143" i="33" s="1"/>
  <c r="G121" i="33"/>
  <c r="H121" i="33" s="1"/>
  <c r="G191" i="33"/>
  <c r="H191" i="33" s="1"/>
  <c r="J68" i="33"/>
  <c r="K68" i="33" s="1"/>
  <c r="G83" i="33"/>
  <c r="H83" i="33" s="1"/>
  <c r="G151" i="33"/>
  <c r="H151" i="33" s="1"/>
  <c r="G208" i="33"/>
  <c r="H208" i="33" s="1"/>
  <c r="J70" i="33"/>
  <c r="K70" i="33" s="1"/>
  <c r="J111" i="33"/>
  <c r="K111" i="33" s="1"/>
  <c r="J97" i="33"/>
  <c r="K97" i="33" s="1"/>
  <c r="G132" i="33"/>
  <c r="H132" i="33" s="1"/>
  <c r="G67" i="33"/>
  <c r="H67" i="33" s="1"/>
  <c r="J128" i="33"/>
  <c r="K128" i="33" s="1"/>
  <c r="G91" i="33"/>
  <c r="H91" i="33" s="1"/>
  <c r="G193" i="33"/>
  <c r="H193" i="33" s="1"/>
  <c r="G219" i="33"/>
  <c r="H219" i="33" s="1"/>
  <c r="J167" i="33"/>
  <c r="K167" i="33" s="1"/>
  <c r="G172" i="33"/>
  <c r="H172" i="33" s="1"/>
  <c r="G58" i="33"/>
  <c r="H58" i="33" s="1"/>
  <c r="G216" i="33"/>
  <c r="H216" i="33" s="1"/>
  <c r="G137" i="33"/>
  <c r="H137" i="33" s="1"/>
  <c r="G210" i="33"/>
  <c r="H210" i="33" s="1"/>
  <c r="J37" i="33"/>
  <c r="K37" i="33" s="1"/>
  <c r="J148" i="33"/>
  <c r="K148" i="33" s="1"/>
  <c r="G164" i="33"/>
  <c r="H164" i="33" s="1"/>
  <c r="G168" i="33"/>
  <c r="H168" i="33" s="1"/>
  <c r="G105" i="33"/>
  <c r="H105" i="33" s="1"/>
  <c r="J152" i="33"/>
  <c r="K152" i="33" s="1"/>
  <c r="G112" i="33"/>
  <c r="H112" i="33" s="1"/>
  <c r="G71" i="33"/>
  <c r="H71" i="33" s="1"/>
  <c r="J69" i="33"/>
  <c r="K69" i="33" s="1"/>
  <c r="G27" i="33"/>
  <c r="H27" i="33" s="1"/>
  <c r="J42" i="33"/>
  <c r="K42" i="33" s="1"/>
  <c r="G174" i="33"/>
  <c r="H174" i="33" s="1"/>
  <c r="J57" i="33"/>
  <c r="K57" i="33" s="1"/>
  <c r="J147" i="33"/>
  <c r="K147" i="33" s="1"/>
  <c r="G162" i="33"/>
  <c r="H162" i="33" s="1"/>
  <c r="J130" i="33"/>
  <c r="K130" i="33" s="1"/>
  <c r="G201" i="33"/>
  <c r="H201" i="33" s="1"/>
  <c r="G51" i="33"/>
  <c r="H51" i="33" s="1"/>
  <c r="G205" i="33"/>
  <c r="H205" i="33" s="1"/>
  <c r="J50" i="33"/>
  <c r="K50" i="33" s="1"/>
  <c r="G213" i="33"/>
  <c r="H213" i="33" s="1"/>
  <c r="J185" i="33"/>
  <c r="K185" i="33" s="1"/>
  <c r="G75" i="33"/>
  <c r="H75" i="33" s="1"/>
  <c r="G176" i="33"/>
  <c r="H176" i="33" s="1"/>
  <c r="J102" i="33"/>
  <c r="K102" i="33" s="1"/>
  <c r="G207" i="33"/>
  <c r="H207" i="33" s="1"/>
  <c r="J174" i="33"/>
  <c r="K174" i="33" s="1"/>
  <c r="G171" i="33"/>
  <c r="H171" i="33" s="1"/>
  <c r="G116" i="33"/>
  <c r="H116" i="33" s="1"/>
  <c r="G110" i="33"/>
  <c r="H110" i="33" s="1"/>
  <c r="J180" i="33"/>
  <c r="K180" i="33" s="1"/>
  <c r="G65" i="33"/>
  <c r="H65" i="33" s="1"/>
  <c r="G195" i="33"/>
  <c r="H195" i="33" s="1"/>
  <c r="J125" i="33"/>
  <c r="K125" i="33" s="1"/>
  <c r="G13" i="33"/>
  <c r="H13" i="33" s="1"/>
  <c r="G103" i="33"/>
  <c r="H103" i="33" s="1"/>
  <c r="J22" i="33"/>
  <c r="K22" i="33" s="1"/>
  <c r="G64" i="33"/>
  <c r="H64" i="33" s="1"/>
  <c r="A12" i="37"/>
  <c r="E7" i="18"/>
  <c r="U16" i="44" l="1"/>
  <c r="V16" i="44"/>
  <c r="U25" i="44"/>
  <c r="V25" i="44"/>
  <c r="F17" i="18"/>
  <c r="K17" i="18" s="1"/>
  <c r="F10" i="18"/>
  <c r="F5" i="18"/>
  <c r="K13" i="18"/>
  <c r="H5" i="18"/>
  <c r="F18" i="18"/>
  <c r="K18" i="18" s="1"/>
  <c r="F9" i="18"/>
  <c r="L5" i="18"/>
  <c r="H9" i="18"/>
  <c r="H6" i="18"/>
  <c r="H10" i="18"/>
  <c r="L10" i="18"/>
  <c r="F11" i="18"/>
  <c r="K16" i="18"/>
  <c r="H11" i="18"/>
  <c r="M11" i="18"/>
  <c r="N11" i="18" s="1"/>
  <c r="L9" i="18"/>
  <c r="K8" i="18"/>
  <c r="F6" i="18"/>
  <c r="M6" i="18"/>
  <c r="N6" i="18" s="1"/>
  <c r="J4" i="18"/>
  <c r="F4" i="18" s="1"/>
  <c r="K4" i="18" s="1"/>
  <c r="J12" i="18"/>
  <c r="H12" i="18"/>
  <c r="E14" i="18"/>
  <c r="L8" i="18"/>
  <c r="M8" i="18"/>
  <c r="N8" i="18" s="1"/>
  <c r="L16" i="18"/>
  <c r="N16" i="18" s="1"/>
  <c r="L20" i="18"/>
  <c r="J7" i="18"/>
  <c r="E15" i="18"/>
  <c r="H7" i="18"/>
  <c r="A13" i="37"/>
  <c r="C12" i="37"/>
  <c r="K10" i="18" l="1"/>
  <c r="K5" i="18"/>
  <c r="K11" i="18"/>
  <c r="K9" i="18"/>
  <c r="H15" i="18"/>
  <c r="K6" i="18"/>
  <c r="H14" i="18"/>
  <c r="M4" i="18"/>
  <c r="N4" i="18" s="1"/>
  <c r="L4" i="18"/>
  <c r="L12" i="18"/>
  <c r="J14" i="18"/>
  <c r="M12" i="18"/>
  <c r="N12" i="18" s="1"/>
  <c r="F12" i="18"/>
  <c r="L7" i="18"/>
  <c r="J15" i="18"/>
  <c r="M7" i="18"/>
  <c r="F7" i="18"/>
  <c r="A14" i="37"/>
  <c r="C13" i="37"/>
  <c r="L14" i="18" l="1"/>
  <c r="K12" i="18"/>
  <c r="F14" i="18"/>
  <c r="K14" i="18" s="1"/>
  <c r="C14" i="37"/>
  <c r="A15" i="37"/>
  <c r="K7" i="18"/>
  <c r="F15" i="18"/>
  <c r="K15" i="18" s="1"/>
  <c r="N7" i="18"/>
  <c r="N14" i="18" s="1"/>
  <c r="M14" i="18"/>
  <c r="A16" i="37" l="1"/>
  <c r="C15" i="37"/>
  <c r="A17" i="37" l="1"/>
  <c r="C16" i="37"/>
  <c r="C17" i="37" l="1"/>
  <c r="A18" i="37"/>
  <c r="A19" i="37" l="1"/>
  <c r="C18" i="37"/>
  <c r="C19" i="37" l="1"/>
  <c r="A20" i="37"/>
  <c r="C20" i="37" l="1"/>
  <c r="A21" i="37"/>
  <c r="C21" i="37" l="1"/>
  <c r="A22" i="37"/>
  <c r="C22" i="37" l="1"/>
  <c r="A23" i="37"/>
  <c r="C23" i="37" l="1"/>
  <c r="A24" i="37"/>
  <c r="C24" i="37" l="1"/>
  <c r="A25" i="37"/>
  <c r="A26" i="37" l="1"/>
  <c r="C25" i="37"/>
  <c r="C26" i="37" l="1"/>
  <c r="A27" i="37"/>
  <c r="A28" i="37" l="1"/>
  <c r="C27" i="37"/>
  <c r="A29" i="37" l="1"/>
  <c r="C28" i="37"/>
  <c r="C29" i="37" l="1"/>
  <c r="A30" i="37"/>
  <c r="F1" i="37" l="1"/>
  <c r="D1" i="37"/>
  <c r="A31" i="37"/>
  <c r="C30" i="37"/>
  <c r="C31" i="37" l="1"/>
  <c r="A32" i="37"/>
  <c r="A33" i="37" l="1"/>
  <c r="C32" i="37"/>
  <c r="A34" i="37" l="1"/>
  <c r="C33" i="37"/>
  <c r="C34" i="37" l="1"/>
  <c r="A35" i="37"/>
  <c r="A36" i="37" l="1"/>
  <c r="C35" i="37"/>
  <c r="C36" i="37" l="1"/>
  <c r="A37" i="37"/>
  <c r="C37" i="37" l="1"/>
  <c r="A38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<sst xmlns="http://schemas.openxmlformats.org/spreadsheetml/2006/main" count="1326" uniqueCount="476">
  <si>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</si>
  <si>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</si>
  <si>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</si>
  <si>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</si>
  <si>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</si>
  <si>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</si>
  <si>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</si>
  <si>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</si>
  <si>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</si>
  <si>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</si>
  <si>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</si>
  <si>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</si>
  <si>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</si>
  <si>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</si>
  <si>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</si>
  <si>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</si>
  <si>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</si>
  <si>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</si>
  <si>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</si>
  <si>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</si>
  <si>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</si>
  <si>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</si>
  <si>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</si>
  <si>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</si>
  <si>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</si>
  <si>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</si>
  <si>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</si>
  <si>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</si>
  <si>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</si>
  <si>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</si>
  <si>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</si>
  <si>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</si>
  <si>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</si>
  <si>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</si>
  <si>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</si>
  <si>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</si>
  <si>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</si>
  <si>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</si>
  <si>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</si>
  <si>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</si>
  <si>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</si>
  <si>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</si>
  <si>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</si>
  <si>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</si>
  <si>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</si>
  <si>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</si>
  <si>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</si>
  <si>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</si>
  <si>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</si>
  <si>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</si>
  <si>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</si>
  <si>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</si>
  <si>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</si>
  <si>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</si>
  <si>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</si>
  <si>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</si>
  <si>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</si>
  <si>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</si>
  <si>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</si>
  <si>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</si>
  <si>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</si>
  <si>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</si>
  <si>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</si>
  <si>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</si>
  <si>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</si>
  <si>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</si>
  <si>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</si>
  <si>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</si>
  <si>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</si>
  <si>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</si>
  <si>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</si>
  <si>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</si>
  <si>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</si>
  <si>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</si>
  <si>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</si>
  <si>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</si>
  <si>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</si>
  <si>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</si>
  <si>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</si>
  <si>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</si>
  <si>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</si>
  <si>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</si>
  <si>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</si>
  <si>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</si>
  <si>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</si>
  <si>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</si>
  <si>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</si>
  <si>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</si>
  <si>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</si>
  <si>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</si>
  <si>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</si>
  <si>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</si>
  <si>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</si>
  <si>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</si>
  <si>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</si>
  <si>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</si>
  <si>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</si>
  <si>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</si>
  <si>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</si>
  <si>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</si>
  <si>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</si>
  <si>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</si>
  <si>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</si>
  <si>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</si>
  <si>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</si>
  <si>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</si>
  <si>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</si>
  <si>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</si>
  <si>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</si>
  <si>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</si>
  <si>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</si>
  <si>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</si>
  <si>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</si>
  <si>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</si>
  <si>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</si>
  <si>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</si>
  <si>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</si>
  <si>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</si>
  <si>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</si>
  <si>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</si>
  <si>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</si>
  <si>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</si>
  <si>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</si>
  <si>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</si>
  <si>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</si>
  <si>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</si>
  <si>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</si>
  <si>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</si>
  <si>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</si>
  <si>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</si>
  <si>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</si>
  <si>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</si>
  <si>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</si>
  <si>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</si>
  <si>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</si>
  <si>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</si>
  <si>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</si>
  <si>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</si>
  <si>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</si>
  <si>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</si>
  <si>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</si>
  <si>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</si>
  <si>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</si>
  <si>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</si>
  <si>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</si>
  <si>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</si>
  <si>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</si>
  <si>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</si>
  <si>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</si>
  <si>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</si>
  <si>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</si>
  <si>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</si>
  <si>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</si>
  <si>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</si>
  <si>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</si>
  <si>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</si>
  <si>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</si>
  <si>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</si>
  <si>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</si>
  <si>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</si>
  <si>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</si>
  <si>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</si>
  <si>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</si>
  <si>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</si>
  <si>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</si>
  <si>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</si>
  <si>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</si>
  <si>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</si>
  <si>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</si>
  <si>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</si>
  <si>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</si>
  <si>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</si>
  <si>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</si>
  <si>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</si>
  <si>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</si>
  <si>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</si>
  <si>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</si>
  <si>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</si>
  <si>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</si>
  <si>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</si>
  <si>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</si>
  <si>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</si>
  <si>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</si>
  <si>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</si>
  <si>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</si>
  <si>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</si>
  <si>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</si>
  <si>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</si>
  <si>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</si>
  <si>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</si>
  <si>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</si>
  <si>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</si>
  <si>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</si>
  <si>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</si>
  <si>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</si>
  <si>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</si>
  <si>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</si>
  <si>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</si>
  <si>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</si>
  <si>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</si>
  <si>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</si>
  <si>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</si>
  <si>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</si>
  <si>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</si>
  <si>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</si>
  <si>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</si>
  <si>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</si>
  <si>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</si>
  <si>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</si>
  <si>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</si>
  <si>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</si>
  <si>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</si>
  <si>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</si>
  <si>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</si>
  <si>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</si>
  <si>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</si>
  <si>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</si>
  <si>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</si>
  <si>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</si>
  <si>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</si>
  <si>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</si>
  <si>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</si>
  <si>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</si>
  <si>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</si>
  <si>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</si>
  <si>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</si>
  <si>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</si>
  <si>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</si>
  <si>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</si>
  <si>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</si>
  <si>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</si>
  <si>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</si>
  <si>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</si>
  <si>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</si>
  <si>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</si>
  <si>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</si>
  <si>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</si>
  <si>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</si>
  <si>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</si>
  <si>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</si>
  <si>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</si>
  <si>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</si>
  <si>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</si>
  <si>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</si>
  <si>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</si>
  <si>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</si>
  <si>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</si>
  <si>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</si>
  <si>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</si>
  <si>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</si>
  <si>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</si>
  <si>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</si>
  <si>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</si>
  <si>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</si>
  <si>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</si>
  <si>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</si>
  <si>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</si>
  <si>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</si>
  <si>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</si>
  <si>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</si>
  <si>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</si>
  <si>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</si>
  <si>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</si>
  <si>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</si>
  <si>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</si>
  <si>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</si>
  <si>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</si>
  <si>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</si>
  <si>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</si>
  <si>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</si>
  <si>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</si>
  <si>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</si>
  <si>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</si>
  <si>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</si>
  <si>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</si>
  <si>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</si>
  <si>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</si>
  <si>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</si>
  <si>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</si>
  <si>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</si>
  <si>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</si>
  <si>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</si>
  <si>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</si>
  <si>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</si>
  <si>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</si>
  <si>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</si>
  <si>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</si>
  <si>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</si>
  <si>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</si>
  <si>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</si>
  <si>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</si>
  <si>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</si>
  <si>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</si>
  <si>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</si>
  <si>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</si>
  <si>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</si>
  <si>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</si>
  <si>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</si>
  <si>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</si>
  <si>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</si>
  <si>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</si>
  <si>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</si>
  <si>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</si>
  <si>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</si>
  <si>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</si>
  <si>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</si>
  <si>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</si>
  <si>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</si>
  <si>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</si>
  <si>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</si>
  <si>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</si>
  <si>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</si>
  <si>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</si>
  <si>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</si>
  <si>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</si>
  <si>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</si>
  <si>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</si>
  <si>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</si>
  <si>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</si>
  <si>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</si>
  <si>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</si>
  <si>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</si>
  <si>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</si>
  <si>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</si>
  <si>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</si>
  <si>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</si>
  <si>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</si>
  <si>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</si>
  <si>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</si>
  <si>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</si>
  <si>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</si>
  <si>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</si>
  <si>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</si>
  <si>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</si>
  <si>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</si>
  <si>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</si>
  <si>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</si>
  <si>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</si>
  <si>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</si>
  <si>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</si>
  <si>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</si>
  <si>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</si>
  <si>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</si>
  <si>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</si>
  <si>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</si>
  <si>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</si>
  <si>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</si>
  <si>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</si>
  <si>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</si>
  <si>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</si>
  <si>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</si>
  <si>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</si>
  <si>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</si>
  <si>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</si>
  <si>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尚缺</t>
  </si>
  <si>
    <t>目標
滿突</t>
  </si>
  <si>
    <t>建築
等級</t>
  </si>
  <si>
    <t>等量滿突</t>
  </si>
  <si>
    <t xml:space="preserve"> 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</si>
  <si>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</si>
  <si>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</si>
  <si>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</si>
  <si>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</si>
  <si>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</si>
  <si>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</si>
  <si>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</si>
  <si>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</si>
  <si>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</si>
  <si>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</si>
  <si>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</si>
  <si>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</si>
  <si>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</si>
  <si>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</si>
  <si>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</si>
  <si>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</si>
  <si>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</si>
  <si>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</si>
  <si>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</si>
  <si>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</si>
  <si>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</si>
  <si>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</si>
  <si>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</si>
  <si>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</si>
  <si>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</si>
  <si>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場次差</t>
  </si>
  <si>
    <t>HP%差</t>
  </si>
  <si>
    <t>STR%差</t>
  </si>
  <si>
    <t>0</t>
  </si>
  <si>
    <t>LV</t>
  </si>
  <si>
    <t>銀(累加)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</si>
  <si>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</si>
  <si>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</si>
  <si>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</si>
  <si>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</si>
  <si>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</si>
  <si>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</si>
  <si>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</si>
  <si>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</si>
  <si>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</si>
  <si>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</si>
  <si>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</si>
  <si>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</si>
  <si>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</si>
  <si>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</si>
  <si>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</si>
  <si>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</si>
  <si>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</si>
  <si>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</si>
  <si>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</si>
  <si>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</si>
  <si>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</si>
  <si>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</si>
  <si>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</si>
  <si>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</si>
  <si>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</si>
  <si>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</si>
  <si>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</si>
  <si>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</si>
  <si>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</si>
  <si>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</si>
  <si>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</si>
  <si>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</si>
  <si>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</si>
  <si>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</si>
  <si>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</si>
  <si>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</si>
  <si>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</si>
  <si>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</si>
  <si>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</si>
  <si>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</si>
  <si>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</si>
  <si>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</si>
  <si>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</si>
  <si>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</si>
  <si>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</si>
  <si>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</si>
  <si>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</si>
  <si>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預估時間點</t>
  </si>
  <si>
    <t>距今差異</t>
  </si>
  <si>
    <t>龍絆日夏儂 / 禮包</t>
  </si>
  <si>
    <t>每日變化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</si>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</sst>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\+0.0;[Red]\-0.0;0.0"/>
    <numFmt numFmtId="185" formatCode="[Color50]_(&quot;$&quot;* #,##0.00;[Red]_(&quot;$&quot;* \-#,##0.00;_(&quot;$&quot;* &quot;-&quot;??;_(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34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82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56" xfId="1" applyNumberFormat="1" applyFont="1" applyBorder="1" applyAlignment="1">
      <alignment horizontal="center" vertical="center"/>
    </xf>
    <xf numFmtId="10" fontId="33" fillId="0" borderId="57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10" fontId="33" fillId="0" borderId="0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2" fontId="6" fillId="0" borderId="55" xfId="0" applyNumberFormat="1" applyFont="1" applyBorder="1" applyAlignment="1">
      <alignment horizontal="center" vertical="center"/>
    </xf>
    <xf numFmtId="2" fontId="6" fillId="0" borderId="57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8" borderId="14" xfId="0" applyNumberFormat="1" applyFont="1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0" fillId="8" borderId="11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10" borderId="14" xfId="0" applyNumberFormat="1" applyFon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0" fillId="10" borderId="11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6" borderId="14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12" borderId="14" xfId="0" applyNumberFormat="1" applyFont="1" applyFill="1" applyBorder="1" applyAlignment="1">
      <alignment horizontal="center" vertical="center"/>
    </xf>
    <xf numFmtId="0" fontId="0" fillId="12" borderId="10" xfId="0" applyNumberFormat="1" applyFont="1" applyFill="1" applyBorder="1" applyAlignment="1">
      <alignment horizontal="center" vertical="center"/>
    </xf>
    <xf numFmtId="0" fontId="0" fillId="12" borderId="6" xfId="0" applyNumberFormat="1" applyFont="1" applyFill="1" applyBorder="1" applyAlignment="1">
      <alignment horizontal="center" vertical="center"/>
    </xf>
    <xf numFmtId="0" fontId="0" fillId="12" borderId="11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1" fontId="0" fillId="0" borderId="9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47" fillId="0" borderId="0" xfId="0" applyFont="1" applyBorder="1" applyAlignment="1">
      <alignment vertical="center" textRotation="255"/>
    </xf>
    <xf numFmtId="0" fontId="6" fillId="0" borderId="0" xfId="0" applyNumberFormat="1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1" fontId="0" fillId="0" borderId="0" xfId="0" applyNumberFormat="1" applyAlignment="1">
      <alignment horizontal="right" vertical="center"/>
    </xf>
    <xf numFmtId="182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5" fontId="0" fillId="0" borderId="0" xfId="3" applyNumberFormat="1" applyFont="1" applyAlignment="1">
      <alignment vertical="center"/>
    </xf>
    <xf numFmtId="185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47" fillId="4" borderId="7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12" borderId="8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47" fillId="12" borderId="7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10" borderId="8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8" borderId="9" xfId="0" applyNumberFormat="1" applyFont="1" applyFill="1" applyBorder="1" applyAlignment="1">
      <alignment horizontal="center" vertical="center"/>
    </xf>
    <xf numFmtId="0" fontId="47" fillId="8" borderId="14" xfId="0" applyNumberFormat="1" applyFont="1" applyFill="1" applyBorder="1" applyAlignment="1">
      <alignment horizontal="center" vertical="center"/>
    </xf>
    <xf numFmtId="0" fontId="47" fillId="4" borderId="8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4" borderId="9" xfId="0" applyNumberFormat="1" applyFont="1" applyFill="1" applyBorder="1" applyAlignment="1">
      <alignment horizontal="center" vertical="center"/>
    </xf>
    <xf numFmtId="0" fontId="47" fillId="4" borderId="11" xfId="0" applyNumberFormat="1" applyFont="1" applyFill="1" applyBorder="1" applyAlignment="1">
      <alignment horizontal="center" vertical="center"/>
    </xf>
    <xf numFmtId="0" fontId="47" fillId="10" borderId="9" xfId="0" applyNumberFormat="1" applyFont="1" applyFill="1" applyBorder="1" applyAlignment="1">
      <alignment horizontal="center" vertical="center"/>
    </xf>
    <xf numFmtId="0" fontId="47" fillId="10" borderId="14" xfId="0" applyNumberFormat="1" applyFont="1" applyFill="1" applyBorder="1" applyAlignment="1">
      <alignment horizontal="center" vertical="center"/>
    </xf>
    <xf numFmtId="0" fontId="47" fillId="6" borderId="8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6" borderId="9" xfId="0" applyNumberFormat="1" applyFont="1" applyFill="1" applyBorder="1" applyAlignment="1">
      <alignment horizontal="center" vertical="center"/>
    </xf>
    <xf numFmtId="0" fontId="47" fillId="6" borderId="14" xfId="0" applyNumberFormat="1" applyFont="1" applyFill="1" applyBorder="1" applyAlignment="1">
      <alignment horizontal="center" vertical="center"/>
    </xf>
    <xf numFmtId="0" fontId="47" fillId="10" borderId="7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12" borderId="9" xfId="0" applyNumberFormat="1" applyFont="1" applyFill="1" applyBorder="1" applyAlignment="1">
      <alignment horizontal="center" vertical="center"/>
    </xf>
    <xf numFmtId="0" fontId="47" fillId="12" borderId="14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6" borderId="7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1" fillId="8" borderId="0" xfId="0" applyNumberFormat="1" applyFont="1" applyFill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0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0" xfId="0" applyNumberFormat="1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3" fontId="6" fillId="0" borderId="0" xfId="0" applyNumberFormat="1" applyFont="1" applyAlignment="1">
      <alignment horizontal="center" vertical="center"/>
    </xf>
    <xf numFmtId="183" fontId="6" fillId="0" borderId="6" xfId="0" applyNumberFormat="1" applyFont="1" applyBorder="1" applyAlignment="1">
      <alignment horizontal="center" vertical="center"/>
    </xf>
    <xf numFmtId="183" fontId="3" fillId="0" borderId="0" xfId="0" applyNumberFormat="1" applyFont="1" applyAlignment="1">
      <alignment horizontal="center" vertical="center"/>
    </xf>
    <xf numFmtId="183" fontId="3" fillId="0" borderId="6" xfId="0" applyNumberFormat="1" applyFont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13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0DFF"/>
      <color rgb="FFFF7DFF"/>
      <color rgb="FF481F67"/>
      <color rgb="FFF3A671"/>
      <color rgb="FFFFDA65"/>
      <color rgb="FFFFFF93"/>
      <color rgb="FF83C937"/>
      <color rgb="FFC9E7A7"/>
      <color rgb="FFB8E08C"/>
      <color rgb="FF19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2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chartsheet" Target="chartsheets/sheet3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8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  <c:pt idx="25">
                  <c:v>83165</c:v>
                </c:pt>
                <c:pt idx="26">
                  <c:v>83265</c:v>
                </c:pt>
                <c:pt idx="27">
                  <c:v>84715</c:v>
                </c:pt>
                <c:pt idx="28">
                  <c:v>83515</c:v>
                </c:pt>
                <c:pt idx="29">
                  <c:v>83930</c:v>
                </c:pt>
                <c:pt idx="30">
                  <c:v>84305</c:v>
                </c:pt>
                <c:pt idx="31">
                  <c:v>87405</c:v>
                </c:pt>
                <c:pt idx="32">
                  <c:v>87855</c:v>
                </c:pt>
                <c:pt idx="33">
                  <c:v>88580</c:v>
                </c:pt>
                <c:pt idx="34">
                  <c:v>88680</c:v>
                </c:pt>
                <c:pt idx="35">
                  <c:v>43445</c:v>
                </c:pt>
                <c:pt idx="36">
                  <c:v>46125</c:v>
                </c:pt>
                <c:pt idx="37">
                  <c:v>46500</c:v>
                </c:pt>
                <c:pt idx="38">
                  <c:v>46650</c:v>
                </c:pt>
                <c:pt idx="39">
                  <c:v>47100</c:v>
                </c:pt>
                <c:pt idx="40">
                  <c:v>47875</c:v>
                </c:pt>
                <c:pt idx="41">
                  <c:v>53675</c:v>
                </c:pt>
                <c:pt idx="42">
                  <c:v>55000</c:v>
                </c:pt>
                <c:pt idx="43">
                  <c:v>55450</c:v>
                </c:pt>
                <c:pt idx="44">
                  <c:v>55625</c:v>
                </c:pt>
                <c:pt idx="45">
                  <c:v>54575</c:v>
                </c:pt>
                <c:pt idx="46">
                  <c:v>54750</c:v>
                </c:pt>
                <c:pt idx="47">
                  <c:v>55025</c:v>
                </c:pt>
                <c:pt idx="48">
                  <c:v>56850</c:v>
                </c:pt>
                <c:pt idx="49">
                  <c:v>57475</c:v>
                </c:pt>
                <c:pt idx="50">
                  <c:v>38725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  <c:pt idx="25">
                  <c:v>23189</c:v>
                </c:pt>
                <c:pt idx="26">
                  <c:v>22979</c:v>
                </c:pt>
                <c:pt idx="27">
                  <c:v>22959</c:v>
                </c:pt>
                <c:pt idx="28">
                  <c:v>22899</c:v>
                </c:pt>
                <c:pt idx="29">
                  <c:v>22919</c:v>
                </c:pt>
                <c:pt idx="30">
                  <c:v>23324</c:v>
                </c:pt>
                <c:pt idx="31">
                  <c:v>22834</c:v>
                </c:pt>
                <c:pt idx="32">
                  <c:v>23254</c:v>
                </c:pt>
                <c:pt idx="33">
                  <c:v>23284</c:v>
                </c:pt>
                <c:pt idx="34">
                  <c:v>23224</c:v>
                </c:pt>
                <c:pt idx="35">
                  <c:v>17324</c:v>
                </c:pt>
                <c:pt idx="36">
                  <c:v>16939</c:v>
                </c:pt>
                <c:pt idx="37">
                  <c:v>17459</c:v>
                </c:pt>
                <c:pt idx="38">
                  <c:v>17389</c:v>
                </c:pt>
                <c:pt idx="39">
                  <c:v>17429</c:v>
                </c:pt>
                <c:pt idx="40">
                  <c:v>20219</c:v>
                </c:pt>
                <c:pt idx="41">
                  <c:v>20119</c:v>
                </c:pt>
                <c:pt idx="42">
                  <c:v>20164</c:v>
                </c:pt>
                <c:pt idx="43">
                  <c:v>20154</c:v>
                </c:pt>
                <c:pt idx="44">
                  <c:v>20064</c:v>
                </c:pt>
                <c:pt idx="45">
                  <c:v>20014</c:v>
                </c:pt>
                <c:pt idx="46">
                  <c:v>18604</c:v>
                </c:pt>
                <c:pt idx="47">
                  <c:v>18979</c:v>
                </c:pt>
                <c:pt idx="48">
                  <c:v>18829</c:v>
                </c:pt>
                <c:pt idx="49">
                  <c:v>23169</c:v>
                </c:pt>
                <c:pt idx="50">
                  <c:v>28749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  <c:pt idx="25">
                  <c:v>106354</c:v>
                </c:pt>
                <c:pt idx="26">
                  <c:v>106244</c:v>
                </c:pt>
                <c:pt idx="27">
                  <c:v>107674</c:v>
                </c:pt>
                <c:pt idx="28">
                  <c:v>106414</c:v>
                </c:pt>
                <c:pt idx="29">
                  <c:v>106849</c:v>
                </c:pt>
                <c:pt idx="30">
                  <c:v>107629</c:v>
                </c:pt>
                <c:pt idx="31">
                  <c:v>110239</c:v>
                </c:pt>
                <c:pt idx="32">
                  <c:v>111109</c:v>
                </c:pt>
                <c:pt idx="33">
                  <c:v>111864</c:v>
                </c:pt>
                <c:pt idx="34">
                  <c:v>111904</c:v>
                </c:pt>
                <c:pt idx="35">
                  <c:v>60769</c:v>
                </c:pt>
                <c:pt idx="36">
                  <c:v>63064</c:v>
                </c:pt>
                <c:pt idx="37">
                  <c:v>63959</c:v>
                </c:pt>
                <c:pt idx="38">
                  <c:v>64039</c:v>
                </c:pt>
                <c:pt idx="39">
                  <c:v>64529</c:v>
                </c:pt>
                <c:pt idx="40">
                  <c:v>68094</c:v>
                </c:pt>
                <c:pt idx="41">
                  <c:v>73794</c:v>
                </c:pt>
                <c:pt idx="42">
                  <c:v>75164</c:v>
                </c:pt>
                <c:pt idx="43">
                  <c:v>75604</c:v>
                </c:pt>
                <c:pt idx="44">
                  <c:v>75689</c:v>
                </c:pt>
                <c:pt idx="45">
                  <c:v>74589</c:v>
                </c:pt>
                <c:pt idx="46">
                  <c:v>73354</c:v>
                </c:pt>
                <c:pt idx="47">
                  <c:v>74004</c:v>
                </c:pt>
                <c:pt idx="48">
                  <c:v>75679</c:v>
                </c:pt>
                <c:pt idx="49">
                  <c:v>80644</c:v>
                </c:pt>
                <c:pt idx="50">
                  <c:v>67474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819" t="s">
        <v>197</v>
      </c>
      <c r="B10" s="439" t="s">
        <v>198</v>
      </c>
    </row>
    <row r="11" spans="1:3" s="426" customFormat="1" ht="35.25" customHeight="1" x14ac:dyDescent="0.25">
      <c r="A11" s="820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821" t="s">
        <v>194</v>
      </c>
      <c r="B17" s="816" t="s">
        <v>194</v>
      </c>
      <c r="C17" s="442" t="s">
        <v>202</v>
      </c>
    </row>
    <row r="18" spans="1:3" s="425" customFormat="1" ht="22.5" customHeight="1" x14ac:dyDescent="0.25">
      <c r="A18" s="822"/>
      <c r="B18" s="817"/>
      <c r="C18" s="442" t="s">
        <v>232</v>
      </c>
    </row>
    <row r="19" spans="1:3" s="425" customFormat="1" ht="22.5" customHeight="1" x14ac:dyDescent="0.25">
      <c r="A19" s="822"/>
      <c r="B19" s="817"/>
      <c r="C19" s="447" t="s">
        <v>229</v>
      </c>
    </row>
    <row r="20" spans="1:3" s="425" customFormat="1" ht="22.5" customHeight="1" x14ac:dyDescent="0.25">
      <c r="A20" s="822"/>
      <c r="B20" s="817"/>
      <c r="C20" s="447" t="s">
        <v>228</v>
      </c>
    </row>
    <row r="21" spans="1:3" s="438" customFormat="1" ht="22.5" customHeight="1" thickBot="1" x14ac:dyDescent="0.3">
      <c r="A21" s="823"/>
      <c r="B21" s="818"/>
      <c r="C21" s="443" t="s">
        <v>233</v>
      </c>
    </row>
    <row r="22" spans="1:3" s="435" customFormat="1" ht="22.5" customHeight="1" x14ac:dyDescent="0.25">
      <c r="A22" s="821" t="s">
        <v>207</v>
      </c>
      <c r="B22" s="816" t="s">
        <v>208</v>
      </c>
      <c r="C22" s="441" t="s">
        <v>209</v>
      </c>
    </row>
    <row r="23" spans="1:3" s="425" customFormat="1" ht="22.5" customHeight="1" x14ac:dyDescent="0.25">
      <c r="A23" s="822"/>
      <c r="B23" s="817"/>
      <c r="C23" s="442" t="s">
        <v>210</v>
      </c>
    </row>
    <row r="24" spans="1:3" s="425" customFormat="1" ht="22.5" customHeight="1" x14ac:dyDescent="0.25">
      <c r="A24" s="822"/>
      <c r="B24" s="817"/>
      <c r="C24" s="425" t="s">
        <v>213</v>
      </c>
    </row>
    <row r="25" spans="1:3" s="425" customFormat="1" ht="22.5" customHeight="1" x14ac:dyDescent="0.25">
      <c r="A25" s="822"/>
      <c r="B25" s="817"/>
      <c r="C25" s="442" t="s">
        <v>211</v>
      </c>
    </row>
    <row r="26" spans="1:3" s="438" customFormat="1" ht="22.5" customHeight="1" thickBot="1" x14ac:dyDescent="0.3">
      <c r="A26" s="823"/>
      <c r="B26" s="818"/>
      <c r="C26" s="438" t="s">
        <v>212</v>
      </c>
    </row>
    <row r="27" spans="1:3" s="435" customFormat="1" ht="22.5" customHeight="1" x14ac:dyDescent="0.25">
      <c r="A27" s="821" t="s">
        <v>215</v>
      </c>
      <c r="B27" s="816" t="s">
        <v>215</v>
      </c>
      <c r="C27" s="441" t="s">
        <v>216</v>
      </c>
    </row>
    <row r="28" spans="1:3" s="425" customFormat="1" ht="22.5" customHeight="1" x14ac:dyDescent="0.25">
      <c r="A28" s="822"/>
      <c r="B28" s="817"/>
      <c r="C28" s="447" t="s">
        <v>268</v>
      </c>
    </row>
    <row r="29" spans="1:3" s="425" customFormat="1" ht="22.5" customHeight="1" x14ac:dyDescent="0.25">
      <c r="A29" s="822"/>
      <c r="B29" s="817"/>
      <c r="C29" s="447" t="s">
        <v>270</v>
      </c>
    </row>
    <row r="30" spans="1:3" s="425" customFormat="1" ht="22.5" customHeight="1" x14ac:dyDescent="0.25">
      <c r="A30" s="822"/>
      <c r="B30" s="817"/>
      <c r="C30" s="425" t="s">
        <v>269</v>
      </c>
    </row>
    <row r="31" spans="1:3" s="437" customFormat="1" ht="22.5" customHeight="1" thickBot="1" x14ac:dyDescent="0.3">
      <c r="A31" s="823"/>
      <c r="B31" s="436" t="s">
        <v>217</v>
      </c>
      <c r="C31" s="437" t="s">
        <v>341</v>
      </c>
    </row>
    <row r="32" spans="1:3" s="435" customFormat="1" ht="22.5" customHeight="1" x14ac:dyDescent="0.25">
      <c r="A32" s="813" t="s">
        <v>221</v>
      </c>
      <c r="B32" s="810" t="s">
        <v>221</v>
      </c>
      <c r="C32" s="441" t="s">
        <v>222</v>
      </c>
    </row>
    <row r="33" spans="1:3" s="425" customFormat="1" ht="22.5" customHeight="1" x14ac:dyDescent="0.25">
      <c r="A33" s="814"/>
      <c r="B33" s="811"/>
      <c r="C33" s="442" t="s">
        <v>223</v>
      </c>
    </row>
    <row r="34" spans="1:3" s="425" customFormat="1" ht="22.5" customHeight="1" x14ac:dyDescent="0.25">
      <c r="A34" s="814"/>
      <c r="B34" s="811"/>
      <c r="C34" s="442" t="s">
        <v>224</v>
      </c>
    </row>
    <row r="35" spans="1:3" s="438" customFormat="1" ht="22.5" customHeight="1" thickBot="1" x14ac:dyDescent="0.3">
      <c r="A35" s="815"/>
      <c r="B35" s="812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5" customFormat="1" ht="36" customHeight="1" x14ac:dyDescent="0.25">
      <c r="A1" s="831" t="s">
        <v>452</v>
      </c>
      <c r="B1" s="831"/>
      <c r="C1" s="831"/>
      <c r="D1" s="831"/>
      <c r="E1" s="831"/>
      <c r="F1" s="831"/>
      <c r="G1" s="831"/>
      <c r="H1" s="831"/>
      <c r="I1" s="831"/>
      <c r="J1" s="831"/>
      <c r="K1" s="831"/>
      <c r="L1" s="831"/>
      <c r="M1" s="831"/>
    </row>
    <row r="2" spans="1:21" s="11" customFormat="1" ht="18.75" customHeight="1" x14ac:dyDescent="0.25">
      <c r="A2" s="832" t="s">
        <v>342</v>
      </c>
      <c r="B2" s="832"/>
      <c r="C2" s="832"/>
      <c r="D2" s="832"/>
      <c r="E2" s="832"/>
      <c r="F2" s="832"/>
      <c r="G2" s="832"/>
      <c r="H2" s="832"/>
      <c r="I2" s="832"/>
      <c r="J2" s="832"/>
      <c r="K2" s="832"/>
      <c r="L2" s="832"/>
      <c r="M2" s="832"/>
      <c r="N2" s="624"/>
      <c r="O2" s="624"/>
      <c r="P2" s="624"/>
      <c r="Q2" s="624"/>
      <c r="R2" s="624"/>
      <c r="S2" s="624"/>
      <c r="T2" s="624"/>
      <c r="U2" s="624"/>
    </row>
    <row r="3" spans="1:21" s="141" customFormat="1" ht="21" customHeight="1" x14ac:dyDescent="0.25">
      <c r="A3" s="858" t="s">
        <v>275</v>
      </c>
      <c r="B3" s="856" t="s">
        <v>336</v>
      </c>
      <c r="C3" s="857"/>
      <c r="D3" s="856" t="s">
        <v>322</v>
      </c>
      <c r="E3" s="857"/>
      <c r="F3" s="856" t="s">
        <v>326</v>
      </c>
      <c r="G3" s="857"/>
      <c r="H3" s="856" t="s">
        <v>326</v>
      </c>
      <c r="I3" s="857"/>
      <c r="J3" s="856" t="s">
        <v>365</v>
      </c>
      <c r="K3" s="857"/>
      <c r="L3" s="856"/>
      <c r="M3" s="857"/>
      <c r="N3" s="856"/>
      <c r="O3" s="857"/>
      <c r="P3" s="856"/>
      <c r="Q3" s="857"/>
      <c r="R3" s="856"/>
      <c r="S3" s="857"/>
      <c r="T3" s="856"/>
      <c r="U3" s="857"/>
    </row>
    <row r="4" spans="1:21" s="612" customFormat="1" ht="21" customHeight="1" x14ac:dyDescent="0.25">
      <c r="A4" s="859"/>
      <c r="B4" s="610" t="s">
        <v>272</v>
      </c>
      <c r="C4" s="611" t="s">
        <v>292</v>
      </c>
      <c r="D4" s="610" t="s">
        <v>287</v>
      </c>
      <c r="E4" s="611" t="s">
        <v>324</v>
      </c>
      <c r="F4" s="610" t="s">
        <v>294</v>
      </c>
      <c r="G4" s="611" t="s">
        <v>272</v>
      </c>
      <c r="H4" s="610" t="s">
        <v>294</v>
      </c>
      <c r="I4" s="611" t="s">
        <v>329</v>
      </c>
      <c r="J4" s="610" t="s">
        <v>366</v>
      </c>
      <c r="K4" s="611" t="s">
        <v>367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60"/>
      <c r="B5" s="854" t="s">
        <v>337</v>
      </c>
      <c r="C5" s="855"/>
      <c r="D5" s="854" t="s">
        <v>325</v>
      </c>
      <c r="E5" s="855"/>
      <c r="F5" s="854" t="s">
        <v>330</v>
      </c>
      <c r="G5" s="861"/>
      <c r="H5" s="861"/>
      <c r="I5" s="855"/>
      <c r="J5" s="854" t="s">
        <v>368</v>
      </c>
      <c r="K5" s="855"/>
      <c r="L5" s="854"/>
      <c r="M5" s="855"/>
      <c r="N5" s="854"/>
      <c r="O5" s="855"/>
      <c r="P5" s="854"/>
      <c r="Q5" s="855"/>
      <c r="R5" s="854"/>
      <c r="S5" s="855"/>
      <c r="T5" s="854"/>
      <c r="U5" s="855"/>
    </row>
    <row r="6" spans="1:21" s="609" customFormat="1" ht="21" customHeight="1" x14ac:dyDescent="0.25">
      <c r="A6" s="828" t="s">
        <v>277</v>
      </c>
      <c r="B6" s="824" t="s">
        <v>271</v>
      </c>
      <c r="C6" s="825"/>
      <c r="D6" s="824" t="s">
        <v>296</v>
      </c>
      <c r="E6" s="825"/>
      <c r="F6" s="824" t="s">
        <v>304</v>
      </c>
      <c r="G6" s="825"/>
      <c r="H6" s="824" t="s">
        <v>419</v>
      </c>
      <c r="I6" s="825"/>
      <c r="J6" s="824"/>
      <c r="K6" s="825"/>
      <c r="L6" s="824"/>
      <c r="M6" s="825"/>
      <c r="N6" s="824"/>
      <c r="O6" s="825"/>
      <c r="P6" s="824"/>
      <c r="Q6" s="825"/>
      <c r="R6" s="824"/>
      <c r="S6" s="825"/>
      <c r="T6" s="824"/>
      <c r="U6" s="825"/>
    </row>
    <row r="7" spans="1:21" s="613" customFormat="1" ht="21" customHeight="1" x14ac:dyDescent="0.25">
      <c r="A7" s="829"/>
      <c r="B7" s="610" t="s">
        <v>327</v>
      </c>
      <c r="C7" s="611" t="s">
        <v>418</v>
      </c>
      <c r="D7" s="610" t="s">
        <v>359</v>
      </c>
      <c r="E7" s="611" t="s">
        <v>343</v>
      </c>
      <c r="F7" s="610" t="s">
        <v>362</v>
      </c>
      <c r="G7" s="611" t="s">
        <v>418</v>
      </c>
      <c r="H7" s="610" t="s">
        <v>284</v>
      </c>
      <c r="I7" s="611" t="s">
        <v>418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29"/>
      <c r="B8" s="826" t="s">
        <v>417</v>
      </c>
      <c r="C8" s="827"/>
      <c r="D8" s="826"/>
      <c r="E8" s="827"/>
      <c r="F8" s="826" t="s">
        <v>328</v>
      </c>
      <c r="G8" s="827"/>
      <c r="H8" s="826"/>
      <c r="I8" s="827"/>
      <c r="J8" s="826"/>
      <c r="K8" s="827"/>
      <c r="L8" s="826"/>
      <c r="M8" s="827"/>
      <c r="N8" s="826"/>
      <c r="O8" s="827"/>
      <c r="P8" s="826"/>
      <c r="Q8" s="827"/>
      <c r="R8" s="826"/>
      <c r="S8" s="827"/>
      <c r="T8" s="826"/>
      <c r="U8" s="827"/>
    </row>
    <row r="9" spans="1:21" s="803" customFormat="1" ht="21" customHeight="1" x14ac:dyDescent="0.25">
      <c r="A9" s="829"/>
      <c r="B9" s="824" t="s">
        <v>446</v>
      </c>
      <c r="C9" s="825"/>
      <c r="D9" s="824" t="s">
        <v>296</v>
      </c>
      <c r="E9" s="825"/>
      <c r="F9" s="824" t="s">
        <v>450</v>
      </c>
      <c r="G9" s="825"/>
      <c r="H9" s="824"/>
      <c r="I9" s="825"/>
      <c r="J9" s="824"/>
      <c r="K9" s="825"/>
      <c r="L9" s="824"/>
      <c r="M9" s="825"/>
      <c r="N9" s="824"/>
      <c r="O9" s="825"/>
      <c r="P9" s="824"/>
      <c r="Q9" s="825"/>
      <c r="R9" s="824"/>
      <c r="S9" s="825"/>
      <c r="T9" s="824"/>
      <c r="U9" s="825"/>
    </row>
    <row r="10" spans="1:21" s="613" customFormat="1" ht="21" customHeight="1" x14ac:dyDescent="0.25">
      <c r="A10" s="829"/>
      <c r="B10" s="610" t="s">
        <v>447</v>
      </c>
      <c r="C10" s="611" t="s">
        <v>418</v>
      </c>
      <c r="D10" s="610" t="s">
        <v>447</v>
      </c>
      <c r="E10" s="611" t="s">
        <v>314</v>
      </c>
      <c r="F10" s="610" t="s">
        <v>451</v>
      </c>
      <c r="G10" s="611" t="s">
        <v>287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804" customFormat="1" ht="21" customHeight="1" x14ac:dyDescent="0.25">
      <c r="A11" s="830"/>
      <c r="B11" s="826" t="s">
        <v>449</v>
      </c>
      <c r="C11" s="827"/>
      <c r="D11" s="826" t="s">
        <v>448</v>
      </c>
      <c r="E11" s="827"/>
      <c r="F11" s="826" t="s">
        <v>448</v>
      </c>
      <c r="G11" s="827"/>
      <c r="H11" s="826"/>
      <c r="I11" s="827"/>
      <c r="J11" s="826"/>
      <c r="K11" s="827"/>
      <c r="L11" s="826"/>
      <c r="M11" s="827"/>
      <c r="N11" s="826"/>
      <c r="O11" s="827"/>
      <c r="P11" s="826"/>
      <c r="Q11" s="827"/>
      <c r="R11" s="826"/>
      <c r="S11" s="827"/>
      <c r="T11" s="826"/>
      <c r="U11" s="827"/>
    </row>
    <row r="12" spans="1:21" s="153" customFormat="1" ht="21" customHeight="1" x14ac:dyDescent="0.25">
      <c r="A12" s="851" t="s">
        <v>278</v>
      </c>
      <c r="B12" s="849" t="s">
        <v>303</v>
      </c>
      <c r="C12" s="850"/>
      <c r="D12" s="849" t="s">
        <v>310</v>
      </c>
      <c r="E12" s="850"/>
      <c r="F12" s="849"/>
      <c r="G12" s="850"/>
      <c r="H12" s="849"/>
      <c r="I12" s="850"/>
      <c r="J12" s="849"/>
      <c r="K12" s="850"/>
      <c r="L12" s="849"/>
      <c r="M12" s="850"/>
      <c r="N12" s="849"/>
      <c r="O12" s="850"/>
      <c r="P12" s="849"/>
      <c r="Q12" s="850"/>
      <c r="R12" s="849"/>
      <c r="S12" s="850"/>
      <c r="T12" s="849"/>
      <c r="U12" s="850"/>
    </row>
    <row r="13" spans="1:21" s="612" customFormat="1" ht="21" customHeight="1" x14ac:dyDescent="0.25">
      <c r="A13" s="852"/>
      <c r="B13" s="610" t="s">
        <v>299</v>
      </c>
      <c r="C13" s="611" t="s">
        <v>301</v>
      </c>
      <c r="D13" s="610" t="s">
        <v>297</v>
      </c>
      <c r="E13" s="611" t="s">
        <v>314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853"/>
      <c r="B14" s="847" t="s">
        <v>307</v>
      </c>
      <c r="C14" s="848"/>
      <c r="D14" s="847" t="s">
        <v>315</v>
      </c>
      <c r="E14" s="848"/>
      <c r="F14" s="847"/>
      <c r="G14" s="848"/>
      <c r="H14" s="847"/>
      <c r="I14" s="848"/>
      <c r="J14" s="847"/>
      <c r="K14" s="848"/>
      <c r="L14" s="847"/>
      <c r="M14" s="848"/>
      <c r="N14" s="847"/>
      <c r="O14" s="848"/>
      <c r="P14" s="847"/>
      <c r="Q14" s="848"/>
      <c r="R14" s="847"/>
      <c r="S14" s="848"/>
      <c r="T14" s="847"/>
      <c r="U14" s="848"/>
    </row>
    <row r="15" spans="1:21" s="161" customFormat="1" ht="21" customHeight="1" x14ac:dyDescent="0.25">
      <c r="A15" s="844" t="s">
        <v>280</v>
      </c>
      <c r="B15" s="842" t="s">
        <v>285</v>
      </c>
      <c r="C15" s="843"/>
      <c r="D15" s="842" t="s">
        <v>285</v>
      </c>
      <c r="E15" s="843"/>
      <c r="F15" s="842"/>
      <c r="G15" s="843"/>
      <c r="H15" s="842"/>
      <c r="I15" s="843"/>
      <c r="J15" s="842"/>
      <c r="K15" s="843"/>
      <c r="L15" s="842"/>
      <c r="M15" s="843"/>
      <c r="N15" s="842"/>
      <c r="O15" s="843"/>
      <c r="P15" s="842"/>
      <c r="Q15" s="843"/>
      <c r="R15" s="842"/>
      <c r="S15" s="843"/>
      <c r="T15" s="842"/>
      <c r="U15" s="843"/>
    </row>
    <row r="16" spans="1:21" s="612" customFormat="1" ht="21" customHeight="1" x14ac:dyDescent="0.25">
      <c r="A16" s="845"/>
      <c r="B16" s="610" t="s">
        <v>284</v>
      </c>
      <c r="C16" s="611" t="s">
        <v>294</v>
      </c>
      <c r="D16" s="610" t="s">
        <v>286</v>
      </c>
      <c r="E16" s="611" t="s">
        <v>284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46"/>
      <c r="B17" s="840" t="s">
        <v>339</v>
      </c>
      <c r="C17" s="841"/>
      <c r="D17" s="840" t="s">
        <v>298</v>
      </c>
      <c r="E17" s="841"/>
      <c r="F17" s="840"/>
      <c r="G17" s="841"/>
      <c r="H17" s="840"/>
      <c r="I17" s="841"/>
      <c r="J17" s="840"/>
      <c r="K17" s="841"/>
      <c r="L17" s="840"/>
      <c r="M17" s="841"/>
      <c r="N17" s="840"/>
      <c r="O17" s="841"/>
      <c r="P17" s="840"/>
      <c r="Q17" s="841"/>
      <c r="R17" s="840"/>
      <c r="S17" s="841"/>
      <c r="T17" s="840"/>
      <c r="U17" s="841"/>
    </row>
    <row r="18" spans="1:21" s="168" customFormat="1" ht="21" customHeight="1" x14ac:dyDescent="0.25">
      <c r="A18" s="837" t="s">
        <v>282</v>
      </c>
      <c r="B18" s="835" t="s">
        <v>288</v>
      </c>
      <c r="C18" s="836"/>
      <c r="D18" s="835" t="s">
        <v>361</v>
      </c>
      <c r="E18" s="836"/>
      <c r="F18" s="835" t="s">
        <v>290</v>
      </c>
      <c r="G18" s="836"/>
      <c r="H18" s="835" t="s">
        <v>340</v>
      </c>
      <c r="I18" s="836"/>
      <c r="J18" s="835"/>
      <c r="K18" s="836"/>
      <c r="L18" s="835"/>
      <c r="M18" s="836"/>
      <c r="N18" s="835"/>
      <c r="O18" s="836"/>
      <c r="P18" s="835"/>
      <c r="Q18" s="836"/>
      <c r="R18" s="835"/>
      <c r="S18" s="836"/>
      <c r="T18" s="835"/>
      <c r="U18" s="836"/>
    </row>
    <row r="19" spans="1:21" s="612" customFormat="1" ht="21" customHeight="1" x14ac:dyDescent="0.25">
      <c r="A19" s="838"/>
      <c r="B19" s="732" t="s">
        <v>289</v>
      </c>
      <c r="C19" s="611" t="s">
        <v>360</v>
      </c>
      <c r="D19" s="610" t="s">
        <v>362</v>
      </c>
      <c r="E19" s="611" t="s">
        <v>360</v>
      </c>
      <c r="F19" s="610" t="s">
        <v>287</v>
      </c>
      <c r="G19" s="611" t="s">
        <v>292</v>
      </c>
      <c r="H19" s="610" t="s">
        <v>308</v>
      </c>
      <c r="I19" s="611" t="s">
        <v>338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39"/>
      <c r="B20" s="833"/>
      <c r="C20" s="834"/>
      <c r="D20" s="833"/>
      <c r="E20" s="834"/>
      <c r="F20" s="833" t="s">
        <v>291</v>
      </c>
      <c r="G20" s="834"/>
      <c r="H20" s="833"/>
      <c r="I20" s="834"/>
      <c r="J20" s="833"/>
      <c r="K20" s="834"/>
      <c r="L20" s="833"/>
      <c r="M20" s="834"/>
      <c r="N20" s="833"/>
      <c r="O20" s="834"/>
      <c r="P20" s="833"/>
      <c r="Q20" s="834"/>
      <c r="R20" s="833"/>
      <c r="S20" s="834"/>
      <c r="T20" s="833"/>
      <c r="U20" s="834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5" customFormat="1" ht="36" customHeight="1" x14ac:dyDescent="0.25">
      <c r="A1" s="862" t="s">
        <v>460</v>
      </c>
      <c r="B1" s="862"/>
      <c r="C1" s="862"/>
      <c r="D1" s="862"/>
      <c r="E1" s="862"/>
      <c r="F1" s="862"/>
      <c r="G1" s="862"/>
      <c r="H1" s="862"/>
      <c r="I1" s="862"/>
      <c r="J1" s="862"/>
      <c r="K1" s="862"/>
      <c r="L1" s="862"/>
      <c r="M1" s="862"/>
    </row>
    <row r="2" spans="1:21" s="141" customFormat="1" ht="21" customHeight="1" x14ac:dyDescent="0.25">
      <c r="A2" s="863" t="s">
        <v>276</v>
      </c>
      <c r="B2" s="856" t="s">
        <v>336</v>
      </c>
      <c r="C2" s="857"/>
      <c r="D2" s="856" t="s">
        <v>322</v>
      </c>
      <c r="E2" s="857"/>
      <c r="F2" s="856" t="s">
        <v>326</v>
      </c>
      <c r="G2" s="857"/>
      <c r="H2" s="856" t="s">
        <v>326</v>
      </c>
      <c r="I2" s="857"/>
      <c r="J2" s="856" t="s">
        <v>420</v>
      </c>
      <c r="K2" s="857"/>
      <c r="L2" s="856"/>
      <c r="M2" s="857"/>
      <c r="N2" s="856"/>
      <c r="O2" s="857"/>
      <c r="P2" s="856"/>
      <c r="Q2" s="857"/>
      <c r="R2" s="856"/>
      <c r="S2" s="857"/>
      <c r="T2" s="856"/>
      <c r="U2" s="857"/>
    </row>
    <row r="3" spans="1:21" s="612" customFormat="1" ht="21" customHeight="1" x14ac:dyDescent="0.25">
      <c r="A3" s="864"/>
      <c r="B3" s="809" t="s">
        <v>272</v>
      </c>
      <c r="C3" s="611" t="s">
        <v>292</v>
      </c>
      <c r="D3" s="610" t="s">
        <v>287</v>
      </c>
      <c r="E3" s="611" t="s">
        <v>324</v>
      </c>
      <c r="F3" s="610" t="s">
        <v>294</v>
      </c>
      <c r="G3" s="611" t="s">
        <v>272</v>
      </c>
      <c r="H3" s="610" t="s">
        <v>294</v>
      </c>
      <c r="I3" s="611" t="s">
        <v>329</v>
      </c>
      <c r="J3" s="610" t="s">
        <v>287</v>
      </c>
      <c r="K3" s="611" t="s">
        <v>392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64"/>
      <c r="B4" s="854" t="s">
        <v>337</v>
      </c>
      <c r="C4" s="855"/>
      <c r="D4" s="854" t="s">
        <v>325</v>
      </c>
      <c r="E4" s="855"/>
      <c r="F4" s="854" t="s">
        <v>330</v>
      </c>
      <c r="G4" s="861"/>
      <c r="H4" s="861"/>
      <c r="I4" s="855"/>
      <c r="J4" s="854" t="s">
        <v>428</v>
      </c>
      <c r="K4" s="855"/>
      <c r="L4" s="854"/>
      <c r="M4" s="855"/>
      <c r="N4" s="854"/>
      <c r="O4" s="855"/>
      <c r="P4" s="854"/>
      <c r="Q4" s="855"/>
      <c r="R4" s="854"/>
      <c r="S4" s="855"/>
      <c r="T4" s="854"/>
      <c r="U4" s="855"/>
    </row>
    <row r="5" spans="1:21" s="803" customFormat="1" ht="21" customHeight="1" x14ac:dyDescent="0.25">
      <c r="A5" s="829"/>
      <c r="B5" s="824" t="s">
        <v>446</v>
      </c>
      <c r="C5" s="825"/>
      <c r="D5" s="824" t="s">
        <v>445</v>
      </c>
      <c r="E5" s="825"/>
      <c r="F5" s="824" t="s">
        <v>296</v>
      </c>
      <c r="G5" s="825"/>
      <c r="H5" s="824"/>
      <c r="I5" s="825"/>
      <c r="J5" s="824"/>
      <c r="K5" s="825"/>
      <c r="L5" s="824"/>
      <c r="M5" s="825"/>
      <c r="N5" s="824"/>
      <c r="O5" s="825"/>
      <c r="P5" s="824"/>
      <c r="Q5" s="825"/>
      <c r="R5" s="824"/>
      <c r="S5" s="825"/>
      <c r="T5" s="824"/>
      <c r="U5" s="825"/>
    </row>
    <row r="6" spans="1:21" s="613" customFormat="1" ht="21" customHeight="1" x14ac:dyDescent="0.25">
      <c r="A6" s="829"/>
      <c r="B6" s="610" t="s">
        <v>447</v>
      </c>
      <c r="C6" s="611" t="s">
        <v>287</v>
      </c>
      <c r="D6" s="610" t="s">
        <v>287</v>
      </c>
      <c r="E6" s="611" t="s">
        <v>407</v>
      </c>
      <c r="F6" s="610" t="s">
        <v>447</v>
      </c>
      <c r="G6" s="611" t="s">
        <v>314</v>
      </c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804" customFormat="1" ht="21" customHeight="1" x14ac:dyDescent="0.25">
      <c r="A7" s="830"/>
      <c r="B7" s="826" t="s">
        <v>448</v>
      </c>
      <c r="C7" s="827"/>
      <c r="D7" s="826" t="s">
        <v>448</v>
      </c>
      <c r="E7" s="827"/>
      <c r="F7" s="826" t="s">
        <v>448</v>
      </c>
      <c r="G7" s="827"/>
      <c r="H7" s="826"/>
      <c r="I7" s="827"/>
      <c r="J7" s="826"/>
      <c r="K7" s="827"/>
      <c r="L7" s="826"/>
      <c r="M7" s="827"/>
      <c r="N7" s="826"/>
      <c r="O7" s="827"/>
      <c r="P7" s="826"/>
      <c r="Q7" s="827"/>
      <c r="R7" s="826"/>
      <c r="S7" s="827"/>
      <c r="T7" s="826"/>
      <c r="U7" s="827"/>
    </row>
    <row r="8" spans="1:21" s="153" customFormat="1" ht="21" customHeight="1" x14ac:dyDescent="0.25">
      <c r="A8" s="873" t="s">
        <v>279</v>
      </c>
      <c r="B8" s="871" t="s">
        <v>293</v>
      </c>
      <c r="C8" s="850"/>
      <c r="D8" s="849" t="s">
        <v>303</v>
      </c>
      <c r="E8" s="850"/>
      <c r="F8" s="849" t="s">
        <v>300</v>
      </c>
      <c r="G8" s="850"/>
      <c r="H8" s="849" t="s">
        <v>310</v>
      </c>
      <c r="I8" s="850"/>
      <c r="J8" s="849" t="s">
        <v>310</v>
      </c>
      <c r="K8" s="850"/>
      <c r="L8" s="849" t="s">
        <v>345</v>
      </c>
      <c r="M8" s="850"/>
      <c r="N8" s="849"/>
      <c r="O8" s="850"/>
      <c r="P8" s="849"/>
      <c r="Q8" s="850"/>
      <c r="R8" s="849"/>
      <c r="S8" s="850"/>
      <c r="T8" s="849"/>
      <c r="U8" s="850"/>
    </row>
    <row r="9" spans="1:21" s="612" customFormat="1" ht="21" customHeight="1" x14ac:dyDescent="0.25">
      <c r="A9" s="874"/>
      <c r="B9" s="613" t="s">
        <v>284</v>
      </c>
      <c r="C9" s="611" t="s">
        <v>294</v>
      </c>
      <c r="D9" s="610" t="s">
        <v>299</v>
      </c>
      <c r="E9" s="611" t="s">
        <v>301</v>
      </c>
      <c r="F9" s="610" t="s">
        <v>305</v>
      </c>
      <c r="G9" s="611" t="s">
        <v>306</v>
      </c>
      <c r="H9" s="610" t="s">
        <v>287</v>
      </c>
      <c r="I9" s="611" t="s">
        <v>311</v>
      </c>
      <c r="J9" s="610" t="s">
        <v>331</v>
      </c>
      <c r="K9" s="611" t="s">
        <v>311</v>
      </c>
      <c r="L9" s="610" t="s">
        <v>297</v>
      </c>
      <c r="M9" s="611" t="s">
        <v>429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74"/>
      <c r="B10" s="872" t="s">
        <v>295</v>
      </c>
      <c r="C10" s="848"/>
      <c r="D10" s="847" t="s">
        <v>307</v>
      </c>
      <c r="E10" s="848"/>
      <c r="F10" s="847" t="s">
        <v>302</v>
      </c>
      <c r="G10" s="848"/>
      <c r="H10" s="847"/>
      <c r="I10" s="848"/>
      <c r="J10" s="847" t="s">
        <v>332</v>
      </c>
      <c r="K10" s="848"/>
      <c r="L10" s="847"/>
      <c r="M10" s="848"/>
      <c r="N10" s="847"/>
      <c r="O10" s="848"/>
      <c r="P10" s="847"/>
      <c r="Q10" s="848"/>
      <c r="R10" s="847"/>
      <c r="S10" s="848"/>
      <c r="T10" s="847"/>
      <c r="U10" s="848"/>
    </row>
    <row r="11" spans="1:21" s="153" customFormat="1" ht="21" customHeight="1" x14ac:dyDescent="0.25">
      <c r="A11" s="874"/>
      <c r="B11" s="871" t="s">
        <v>312</v>
      </c>
      <c r="C11" s="850"/>
      <c r="D11" s="849" t="s">
        <v>316</v>
      </c>
      <c r="E11" s="850"/>
      <c r="F11" s="849" t="s">
        <v>319</v>
      </c>
      <c r="G11" s="850"/>
      <c r="H11" s="849" t="s">
        <v>333</v>
      </c>
      <c r="I11" s="850"/>
      <c r="J11" s="849" t="s">
        <v>333</v>
      </c>
      <c r="K11" s="850"/>
      <c r="L11" s="849" t="s">
        <v>290</v>
      </c>
      <c r="M11" s="850"/>
      <c r="N11" s="849"/>
      <c r="O11" s="850"/>
      <c r="P11" s="849"/>
      <c r="Q11" s="850"/>
      <c r="R11" s="849"/>
      <c r="S11" s="850"/>
      <c r="T11" s="849"/>
      <c r="U11" s="850"/>
    </row>
    <row r="12" spans="1:21" s="612" customFormat="1" ht="21" customHeight="1" x14ac:dyDescent="0.25">
      <c r="A12" s="874"/>
      <c r="B12" s="613" t="s">
        <v>284</v>
      </c>
      <c r="C12" s="611" t="s">
        <v>287</v>
      </c>
      <c r="D12" s="610" t="s">
        <v>317</v>
      </c>
      <c r="E12" s="611" t="s">
        <v>301</v>
      </c>
      <c r="F12" s="610" t="s">
        <v>309</v>
      </c>
      <c r="G12" s="611" t="s">
        <v>320</v>
      </c>
      <c r="H12" s="610" t="s">
        <v>309</v>
      </c>
      <c r="I12" s="611" t="s">
        <v>320</v>
      </c>
      <c r="J12" s="610" t="s">
        <v>309</v>
      </c>
      <c r="K12" s="611" t="s">
        <v>335</v>
      </c>
      <c r="L12" s="610" t="s">
        <v>372</v>
      </c>
      <c r="M12" s="611" t="s">
        <v>306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75"/>
      <c r="B13" s="872" t="s">
        <v>313</v>
      </c>
      <c r="C13" s="848"/>
      <c r="D13" s="847" t="s">
        <v>318</v>
      </c>
      <c r="E13" s="848"/>
      <c r="F13" s="847" t="s">
        <v>321</v>
      </c>
      <c r="G13" s="848"/>
      <c r="H13" s="847" t="s">
        <v>334</v>
      </c>
      <c r="I13" s="848"/>
      <c r="J13" s="847"/>
      <c r="K13" s="848"/>
      <c r="L13" s="847" t="s">
        <v>422</v>
      </c>
      <c r="M13" s="848"/>
      <c r="N13" s="847"/>
      <c r="O13" s="848"/>
      <c r="P13" s="847"/>
      <c r="Q13" s="848"/>
      <c r="R13" s="847"/>
      <c r="S13" s="848"/>
      <c r="T13" s="847"/>
      <c r="U13" s="848"/>
    </row>
    <row r="14" spans="1:21" s="161" customFormat="1" ht="21" customHeight="1" x14ac:dyDescent="0.25">
      <c r="A14" s="868" t="s">
        <v>281</v>
      </c>
      <c r="B14" s="876" t="s">
        <v>285</v>
      </c>
      <c r="C14" s="843"/>
      <c r="D14" s="842" t="s">
        <v>273</v>
      </c>
      <c r="E14" s="843"/>
      <c r="F14" s="842" t="s">
        <v>383</v>
      </c>
      <c r="G14" s="843"/>
      <c r="H14" s="842" t="s">
        <v>285</v>
      </c>
      <c r="I14" s="843"/>
      <c r="J14" s="842"/>
      <c r="K14" s="843"/>
      <c r="L14" s="842"/>
      <c r="M14" s="843"/>
      <c r="N14" s="842"/>
      <c r="O14" s="843"/>
      <c r="P14" s="842"/>
      <c r="Q14" s="843"/>
      <c r="R14" s="842"/>
      <c r="S14" s="843"/>
      <c r="T14" s="842"/>
      <c r="U14" s="843"/>
    </row>
    <row r="15" spans="1:21" s="612" customFormat="1" ht="21" customHeight="1" x14ac:dyDescent="0.25">
      <c r="A15" s="869"/>
      <c r="B15" s="613" t="s">
        <v>274</v>
      </c>
      <c r="C15" s="611" t="s">
        <v>294</v>
      </c>
      <c r="D15" s="742" t="s">
        <v>364</v>
      </c>
      <c r="E15" s="611" t="s">
        <v>363</v>
      </c>
      <c r="F15" s="610" t="s">
        <v>380</v>
      </c>
      <c r="G15" s="611" t="s">
        <v>292</v>
      </c>
      <c r="H15" s="610" t="s">
        <v>380</v>
      </c>
      <c r="I15" s="611" t="s">
        <v>294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70"/>
      <c r="B16" s="877" t="s">
        <v>382</v>
      </c>
      <c r="C16" s="841"/>
      <c r="D16" s="877" t="s">
        <v>382</v>
      </c>
      <c r="E16" s="841"/>
      <c r="F16" s="840" t="s">
        <v>381</v>
      </c>
      <c r="G16" s="841"/>
      <c r="H16" s="840" t="s">
        <v>381</v>
      </c>
      <c r="I16" s="841"/>
      <c r="J16" s="840"/>
      <c r="K16" s="841"/>
      <c r="L16" s="840"/>
      <c r="M16" s="841"/>
      <c r="N16" s="840"/>
      <c r="O16" s="841"/>
      <c r="P16" s="840"/>
      <c r="Q16" s="841"/>
      <c r="R16" s="840"/>
      <c r="S16" s="841"/>
      <c r="T16" s="840"/>
      <c r="U16" s="841"/>
    </row>
    <row r="17" spans="1:21" s="168" customFormat="1" ht="21" customHeight="1" x14ac:dyDescent="0.25">
      <c r="A17" s="865" t="s">
        <v>283</v>
      </c>
      <c r="B17" s="835" t="s">
        <v>288</v>
      </c>
      <c r="C17" s="836"/>
      <c r="D17" s="835" t="s">
        <v>361</v>
      </c>
      <c r="E17" s="836"/>
      <c r="F17" s="835" t="s">
        <v>290</v>
      </c>
      <c r="G17" s="836"/>
      <c r="H17" s="835" t="s">
        <v>340</v>
      </c>
      <c r="I17" s="836"/>
      <c r="J17" s="835" t="s">
        <v>415</v>
      </c>
      <c r="K17" s="836"/>
      <c r="L17" s="835"/>
      <c r="M17" s="836"/>
      <c r="N17" s="835"/>
      <c r="O17" s="836"/>
      <c r="P17" s="835"/>
      <c r="Q17" s="836"/>
      <c r="R17" s="835"/>
      <c r="S17" s="836"/>
      <c r="T17" s="835"/>
      <c r="U17" s="836"/>
    </row>
    <row r="18" spans="1:21" s="612" customFormat="1" ht="21" customHeight="1" x14ac:dyDescent="0.25">
      <c r="A18" s="866"/>
      <c r="B18" s="731" t="s">
        <v>289</v>
      </c>
      <c r="C18" s="611" t="s">
        <v>360</v>
      </c>
      <c r="D18" s="610" t="s">
        <v>362</v>
      </c>
      <c r="E18" s="611" t="s">
        <v>360</v>
      </c>
      <c r="F18" s="610" t="s">
        <v>287</v>
      </c>
      <c r="G18" s="611" t="s">
        <v>292</v>
      </c>
      <c r="H18" s="610" t="s">
        <v>308</v>
      </c>
      <c r="I18" s="611" t="s">
        <v>338</v>
      </c>
      <c r="J18" s="610" t="s">
        <v>416</v>
      </c>
      <c r="K18" s="611" t="s">
        <v>314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67"/>
      <c r="B19" s="833"/>
      <c r="C19" s="834"/>
      <c r="D19" s="833"/>
      <c r="E19" s="834"/>
      <c r="F19" s="833" t="s">
        <v>291</v>
      </c>
      <c r="G19" s="834"/>
      <c r="H19" s="833"/>
      <c r="I19" s="834"/>
      <c r="J19" s="833"/>
      <c r="K19" s="834"/>
      <c r="L19" s="833"/>
      <c r="M19" s="834"/>
      <c r="N19" s="833"/>
      <c r="O19" s="834"/>
      <c r="P19" s="833"/>
      <c r="Q19" s="834"/>
      <c r="R19" s="833"/>
      <c r="S19" s="834"/>
      <c r="T19" s="833"/>
      <c r="U19" s="834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2" workbookViewId="0">
      <selection activeCell="J30" sqref="J30:J31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878" t="s">
        <v>369</v>
      </c>
      <c r="I1" s="878"/>
      <c r="J1" s="878"/>
      <c r="K1" s="878"/>
      <c r="L1" s="878"/>
      <c r="M1" s="878"/>
      <c r="N1" s="878"/>
      <c r="O1" s="878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45" t="s">
        <v>263</v>
      </c>
      <c r="B2" s="946"/>
      <c r="C2" s="946"/>
      <c r="D2" s="947"/>
      <c r="F2" s="922" t="s">
        <v>30</v>
      </c>
      <c r="G2" s="923"/>
      <c r="H2" s="930" t="s">
        <v>244</v>
      </c>
      <c r="I2" s="931"/>
      <c r="J2" s="931"/>
      <c r="K2" s="931"/>
      <c r="L2" s="931"/>
      <c r="M2" s="931"/>
      <c r="N2" s="931"/>
      <c r="O2" s="932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15" t="s">
        <v>220</v>
      </c>
      <c r="B3" s="916"/>
      <c r="C3" s="916"/>
      <c r="D3" s="917"/>
      <c r="F3" s="924"/>
      <c r="G3" s="925"/>
      <c r="H3" s="517" t="str">
        <f>"中級 (" &amp; HDRAG_GAMES_HBRUN_MED &amp; "場)"</f>
        <v>中級 (299場)</v>
      </c>
      <c r="I3" s="938" t="str">
        <f>"高級 (" &amp; HDRAG_GAMES_HBRUN_EXP &amp; "場)"</f>
        <v>高級 (225場)</v>
      </c>
      <c r="J3" s="939"/>
      <c r="K3" s="940"/>
      <c r="L3" s="938" t="str">
        <f>"超級 (" &amp; HDRAG_GAMES_HBRUN_MST &amp; "場)"</f>
        <v>超級 (232場)</v>
      </c>
      <c r="M3" s="939"/>
      <c r="N3" s="939"/>
      <c r="O3" s="948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934">
        <f>HDRAG_AVG_HBRUN_MED_ORB</f>
        <v>2.4381270903010033</v>
      </c>
      <c r="I5" s="933">
        <f>HDRAG_AVG_HBRUN_EXP_ORB</f>
        <v>4.4133333333333331</v>
      </c>
      <c r="J5" s="933">
        <f>HDRAG_AVG_HBRUN_EXP_TAIL</f>
        <v>2</v>
      </c>
      <c r="K5" s="935">
        <f>HDRAG_AVG_HBRUN_EXP_ORIHAL</f>
        <v>0.31555555555555553</v>
      </c>
      <c r="L5" s="933">
        <f>HDRAG_AVG_HBRUN_MST_ORB</f>
        <v>6.3965517241379306</v>
      </c>
      <c r="M5" s="933">
        <f>HDRAG_AVG_HBRUN_MST_TAIL</f>
        <v>2.0517241379310347</v>
      </c>
      <c r="N5" s="933">
        <f>HDRAG_AVG_HBRUN_MST_HORN</f>
        <v>1.9827586206896552</v>
      </c>
      <c r="O5" s="918">
        <f>HDRAG_AVG_HBRUN_MST_ORIHAL</f>
        <v>0.58620689655172409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934"/>
      <c r="I6" s="933"/>
      <c r="J6" s="933"/>
      <c r="K6" s="935"/>
      <c r="L6" s="933"/>
      <c r="M6" s="972"/>
      <c r="N6" s="972"/>
      <c r="O6" s="919"/>
      <c r="P6" s="488" t="s">
        <v>42</v>
      </c>
      <c r="Q6" s="511">
        <f>IF(HDRAG_HAS_REC_HBRUN,MAX(HDRAG_MAX_ALL - G6,0),"")</f>
        <v>0</v>
      </c>
      <c r="R6" s="512">
        <f t="shared" ref="R6:R26" si="0"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926" t="s">
        <v>35</v>
      </c>
      <c r="G7" s="927"/>
      <c r="H7" s="910" t="s">
        <v>244</v>
      </c>
      <c r="I7" s="911"/>
      <c r="J7" s="911"/>
      <c r="K7" s="911"/>
      <c r="L7" s="911"/>
      <c r="M7" s="911"/>
      <c r="N7" s="911"/>
      <c r="O7" s="912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928"/>
      <c r="G8" s="929"/>
      <c r="H8" s="518" t="str">
        <f>"中級 (" &amp; HDRAG_GAMES_HMERC_MED &amp; "場)"</f>
        <v>中級 (246場)</v>
      </c>
      <c r="I8" s="975" t="str">
        <f>"高級 (" &amp; HDRAG_GAMES_HMERC_EXP &amp; "場)"</f>
        <v>高級 (524場)</v>
      </c>
      <c r="J8" s="976"/>
      <c r="K8" s="989"/>
      <c r="L8" s="975" t="str">
        <f>"超級 (" &amp; HDRAG_GAMES_HMERC_MST &amp; "場)"</f>
        <v>超級 (344場)</v>
      </c>
      <c r="M8" s="976"/>
      <c r="N8" s="976"/>
      <c r="O8" s="977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913">
        <f>HDRAG_AVG_HMERC_MED_ORB</f>
        <v>2.3861788617886179</v>
      </c>
      <c r="I10" s="920">
        <f>HDRAG_AVG_HMERC_EXP_ORB</f>
        <v>4.4217557251908399</v>
      </c>
      <c r="J10" s="941">
        <f>HDRAG_AVG_HMERC_EXP_TAIL</f>
        <v>2.0152671755725189</v>
      </c>
      <c r="K10" s="936">
        <f>HDRAG_AVG_HMERC_EXP_ORIHAL</f>
        <v>0.35496183206106868</v>
      </c>
      <c r="L10" s="941">
        <f>HDRAG_AVG_HMERC_MST_ORB</f>
        <v>6.4040697674418601</v>
      </c>
      <c r="M10" s="941">
        <f>HDRAG_AVG_HMERC_MST_TAIL</f>
        <v>1.9186046511627908</v>
      </c>
      <c r="N10" s="941">
        <f>HDRAG_AVG_HMERC_MST_HORN</f>
        <v>2.0843023255813953</v>
      </c>
      <c r="O10" s="943">
        <f>HDRAG_AVG_HMERC_MST_ORIHAL</f>
        <v>0.6308139534883721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945" t="s">
        <v>264</v>
      </c>
      <c r="B11" s="946"/>
      <c r="C11" s="946"/>
      <c r="D11" s="947"/>
      <c r="F11" s="490" t="s">
        <v>237</v>
      </c>
      <c r="G11" s="491">
        <f>IF(HDRAG_HAS_REC_HMERC,HDRAG_HMERC_ITEMS + G9 + G10,0)</f>
        <v>3116</v>
      </c>
      <c r="H11" s="914"/>
      <c r="I11" s="921"/>
      <c r="J11" s="942"/>
      <c r="K11" s="937"/>
      <c r="L11" s="942"/>
      <c r="M11" s="942"/>
      <c r="N11" s="942"/>
      <c r="O11" s="944"/>
      <c r="P11" s="490" t="s">
        <v>42</v>
      </c>
      <c r="Q11" s="493">
        <f>IF(HDRAG_HAS_REC_HMERC,MAX(HDRAG_MAX_ALL - G11,0),"")</f>
        <v>0</v>
      </c>
      <c r="R11" s="512">
        <f t="shared" si="0"/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879" t="s">
        <v>31</v>
      </c>
      <c r="G12" s="880"/>
      <c r="H12" s="903" t="s">
        <v>244</v>
      </c>
      <c r="I12" s="904"/>
      <c r="J12" s="904"/>
      <c r="K12" s="904"/>
      <c r="L12" s="904"/>
      <c r="M12" s="904"/>
      <c r="N12" s="904"/>
      <c r="O12" s="905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30</v>
      </c>
      <c r="C13" s="264">
        <v>372</v>
      </c>
      <c r="D13" s="566">
        <v>8</v>
      </c>
      <c r="F13" s="881"/>
      <c r="G13" s="882"/>
      <c r="H13" s="519" t="str">
        <f>"中級 (" &amp; HDRAG_GAMES_HMID_MED &amp; "場)"</f>
        <v>中級 (803場)</v>
      </c>
      <c r="I13" s="986" t="str">
        <f>"高級 (" &amp; HDRAG_GAMES_HMID_EXP &amp; "場)"</f>
        <v>高級 (471場)</v>
      </c>
      <c r="J13" s="987"/>
      <c r="K13" s="988"/>
      <c r="L13" s="986" t="str">
        <f>"超級 (" &amp; HDRAG_GAMES_HMID_MST &amp; "場)"</f>
        <v>超級 (130場)</v>
      </c>
      <c r="M13" s="987"/>
      <c r="N13" s="987"/>
      <c r="O13" s="1020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651</v>
      </c>
      <c r="C14" s="264">
        <v>843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224</v>
      </c>
      <c r="C15" s="264">
        <v>316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906">
        <f>HDRAG_AVG_HMID_MED_ORB</f>
        <v>2.5504358655043586</v>
      </c>
      <c r="I15" s="907">
        <f>HDRAG_AVG_HMID_EXP_ORB</f>
        <v>4.3949044585987265</v>
      </c>
      <c r="J15" s="907">
        <f>HDRAG_AVG_HMID_EXP_TAIL</f>
        <v>1.9660297239915074</v>
      </c>
      <c r="K15" s="901">
        <f>HDRAG_AVG_HMID_EXP_ORIHAL</f>
        <v>0.32484076433121017</v>
      </c>
      <c r="L15" s="907">
        <f>HDRAG_AVG_HMID_MST_ORB</f>
        <v>6.5</v>
      </c>
      <c r="M15" s="907">
        <f>HDRAG_AVG_HMID_MST_TAIL</f>
        <v>1.9538461538461538</v>
      </c>
      <c r="N15" s="907">
        <f>HDRAG_AVG_HMID_MST_HORN</f>
        <v>2.0769230769230771</v>
      </c>
      <c r="O15" s="908">
        <f>HDRAG_AVG_HMID_MST_ORIHAL</f>
        <v>0.63076923076923075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452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906"/>
      <c r="I16" s="907"/>
      <c r="J16" s="907"/>
      <c r="K16" s="901"/>
      <c r="L16" s="907"/>
      <c r="M16" s="974"/>
      <c r="N16" s="974"/>
      <c r="O16" s="909"/>
      <c r="P16" s="498" t="s">
        <v>42</v>
      </c>
      <c r="Q16" s="496">
        <f>IF(HDRAG_HAS_REC_HMID,MAX(HDRAG_MAX_ALL - G16,0),"")</f>
        <v>0</v>
      </c>
      <c r="R16" s="512">
        <f t="shared" si="0"/>
        <v>1</v>
      </c>
    </row>
    <row r="17" spans="1:18" ht="15.75" customHeight="1" x14ac:dyDescent="0.25">
      <c r="A17" s="502" t="s">
        <v>37</v>
      </c>
      <c r="B17" s="567">
        <v>277</v>
      </c>
      <c r="C17" s="567">
        <v>593</v>
      </c>
      <c r="D17" s="568">
        <v>8</v>
      </c>
      <c r="F17" s="883" t="s">
        <v>36</v>
      </c>
      <c r="G17" s="884"/>
      <c r="H17" s="891" t="s">
        <v>244</v>
      </c>
      <c r="I17" s="892"/>
      <c r="J17" s="892"/>
      <c r="K17" s="892"/>
      <c r="L17" s="892"/>
      <c r="M17" s="892"/>
      <c r="N17" s="892"/>
      <c r="O17" s="893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885"/>
      <c r="G18" s="886"/>
      <c r="H18" s="522" t="str">
        <f>"中級 (" &amp; HDRAG_GAMES_HJUP_MED &amp; "場)"</f>
        <v>中級 (443場)</v>
      </c>
      <c r="I18" s="983" t="str">
        <f>"高級 (" &amp; HDRAG_GAMES_HJUP_EXP &amp; "場)"</f>
        <v>高級 (435場)</v>
      </c>
      <c r="J18" s="984"/>
      <c r="K18" s="985"/>
      <c r="L18" s="983" t="str">
        <f>"超級 (" &amp; HDRAG_GAMES_HJUP_MST &amp; "場)"</f>
        <v>超級 (254場)</v>
      </c>
      <c r="M18" s="984"/>
      <c r="N18" s="984"/>
      <c r="O18" s="1019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894">
        <f>HDRAG_AVG_HJUP_MED_ORB</f>
        <v>2.4582392776523703</v>
      </c>
      <c r="I20" s="895">
        <f>HDRAG_AVG_HJUP_EXP_ORB</f>
        <v>4.4206896551724135</v>
      </c>
      <c r="J20" s="895">
        <f>HDRAG_AVG_HJUP_EXP_TAIL</f>
        <v>2.0045977011494251</v>
      </c>
      <c r="K20" s="902">
        <f>HDRAG_AVG_HJUP_EXP_ORIHAL</f>
        <v>0.30804597701149428</v>
      </c>
      <c r="L20" s="895">
        <f>HDRAG_AVG_HJUP_MST_ORB</f>
        <v>6.4763779527559056</v>
      </c>
      <c r="M20" s="895">
        <f>HDRAG_AVG_HJUP_MST_TAIL</f>
        <v>2.106299212598425</v>
      </c>
      <c r="N20" s="895">
        <f>HDRAG_AVG_HJUP_MST_HORN</f>
        <v>2.0393700787401574</v>
      </c>
      <c r="O20" s="896">
        <f>HDRAG_AVG_HJUP_MST_ORIHAL</f>
        <v>0.61417322834645671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894"/>
      <c r="I21" s="895"/>
      <c r="J21" s="895"/>
      <c r="K21" s="902"/>
      <c r="L21" s="895"/>
      <c r="M21" s="973"/>
      <c r="N21" s="973"/>
      <c r="O21" s="897"/>
      <c r="P21" s="500" t="s">
        <v>42</v>
      </c>
      <c r="Q21" s="506">
        <f>IF(HDRAG_HAS_REC_HJUP,MAX(HDRAG_MAX_ALL - G21,0),"")</f>
        <v>0</v>
      </c>
      <c r="R21" s="512">
        <f t="shared" si="0"/>
        <v>1</v>
      </c>
    </row>
    <row r="22" spans="1:18" ht="15.75" customHeight="1" x14ac:dyDescent="0.25">
      <c r="F22" s="887" t="s">
        <v>37</v>
      </c>
      <c r="G22" s="888"/>
      <c r="H22" s="898" t="s">
        <v>244</v>
      </c>
      <c r="I22" s="899"/>
      <c r="J22" s="899"/>
      <c r="K22" s="899"/>
      <c r="L22" s="899"/>
      <c r="M22" s="899"/>
      <c r="N22" s="899"/>
      <c r="O22" s="900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889"/>
      <c r="G23" s="890"/>
      <c r="H23" s="525" t="str">
        <f>"中級 (" &amp; HDRAG_GAMES_HZOD_MED &amp; "場)"</f>
        <v>中級 (241場)</v>
      </c>
      <c r="I23" s="980" t="str">
        <f>"高級 (" &amp; HDRAG_GAMES_HZOD_EXP &amp; "場)"</f>
        <v>高級 (331場)</v>
      </c>
      <c r="J23" s="981"/>
      <c r="K23" s="982"/>
      <c r="L23" s="980" t="str">
        <f>"超級 (" &amp; HDRAG_GAMES_HZOD_MST &amp; "場)"</f>
        <v>超級 (397場)</v>
      </c>
      <c r="M23" s="981"/>
      <c r="N23" s="981"/>
      <c r="O23" s="1018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53">
        <f>HDRAG_AVG_HZOD_MED_ORB</f>
        <v>2.3692946058091287</v>
      </c>
      <c r="I25" s="955">
        <f>HDRAG_AVG_HZOD_EXP_ORB</f>
        <v>4.4410876132930515</v>
      </c>
      <c r="J25" s="955">
        <f>HDRAG_AVG_HZOD_EXP_TAIL</f>
        <v>1.9607250755287009</v>
      </c>
      <c r="K25" s="960">
        <f>HDRAG_AVG_HZOD_EXP_ORIHAL</f>
        <v>0.35649546827794559</v>
      </c>
      <c r="L25" s="955">
        <f>HDRAG_AVG_HZOD_MST_ORB</f>
        <v>6.3576826196473553</v>
      </c>
      <c r="M25" s="955">
        <f>HDRAG_AVG_HZOD_MST_TAIL</f>
        <v>2.005037783375315</v>
      </c>
      <c r="N25" s="955">
        <f>HDRAG_AVG_HZOD_MST_HORN</f>
        <v>1.9899244332493702</v>
      </c>
      <c r="O25" s="951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54"/>
      <c r="I26" s="956"/>
      <c r="J26" s="956"/>
      <c r="K26" s="961"/>
      <c r="L26" s="956"/>
      <c r="M26" s="956"/>
      <c r="N26" s="956"/>
      <c r="O26" s="952"/>
      <c r="P26" s="171" t="s">
        <v>42</v>
      </c>
      <c r="Q26" s="504">
        <f>IF(HDRAG_HAS_REC_HZOD,MAX(HDRAG_MAX_ALL - G26,0),"")</f>
        <v>0</v>
      </c>
      <c r="R26" s="512">
        <f t="shared" si="0"/>
        <v>1</v>
      </c>
    </row>
    <row r="27" spans="1:18" ht="15" x14ac:dyDescent="0.25">
      <c r="H27" s="957"/>
      <c r="I27" s="958"/>
      <c r="J27" s="958"/>
      <c r="K27" s="958"/>
      <c r="L27" s="958"/>
      <c r="M27" s="958"/>
      <c r="N27" s="958"/>
      <c r="O27" s="959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1014" t="str">
        <f>"高級 (" &amp; HDRAG_GAMES_HBRUN_EXP + HDRAG_GAMES_HMERC_EXP + HDRAG_GAMES_HMID_EXP + HDRAG_GAMES_HJUP_EXP + HDRAG_GAMES_HZOD_EXP &amp; "場)"</f>
        <v>高級 (1986場)</v>
      </c>
      <c r="J28" s="1015"/>
      <c r="K28" s="1016"/>
      <c r="L28" s="1014" t="str">
        <f>"超級 (" &amp; HDRAG_GAMES_HBRUN_MST + HDRAG_GAMES_HMERC_MST + HDRAG_GAMES_HMID_MST + HDRAG_GAMES_HJUP_MST + HDRAG_GAMES_HZOD_MST &amp; "場)"</f>
        <v>超級 (1357場)</v>
      </c>
      <c r="M28" s="1015"/>
      <c r="N28" s="1015"/>
      <c r="O28" s="1017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1021">
        <f>AVERAGE(DATA_HDRAG_HBRUN_MED_ORB,HDRAG_AVG_HMERC_MED_ORB,HDRAG_AVG_HMID_MED_ORB,HDRAG_AVG_HJUP_MED_ORB,HDRAG_AVG_HZOD_MED_ORB)</f>
        <v>2.4381655069661865</v>
      </c>
      <c r="I30" s="962">
        <f>AVERAGE(DATA_HDRAG_HBRUN_EXP_ORB,HDRAG_AVG_HMERC_EXP_ORB,HDRAG_AVG_HMID_EXP_ORB,HDRAG_AVG_HJUP_EXP_ORB,HDRAG_AVG_HZOD_EXP_ORB)</f>
        <v>4.4134429583067902</v>
      </c>
      <c r="J30" s="962">
        <f>AVERAGE(DATA_HDRAG_HBRUN_EXP_TAIL,HDRAG_AVG_HMERC_EXP_TAIL,HDRAG_AVG_HMID_EXP_TAIL,HDRAG_AVG_HJUP_EXP_TAIL,HDRAG_AVG_HZOD_EXP_TAIL)</f>
        <v>1.9997668981495291</v>
      </c>
      <c r="K30" s="978">
        <f>AVERAGE(DATA_HDRAG_HBRUN_EXP_ORIHAL,HDRAG_AVG_HMERC_EXP_ORIHAL,HDRAG_AVG_HMID_EXP_ORIHAL,HDRAG_AVG_HJUP_EXP_ORIHAL,HDRAG_AVG_HZOD_EXP_ORIHAL)</f>
        <v>0.3159141661208808</v>
      </c>
      <c r="L30" s="962">
        <f>AVERAGE(DATA_HDRAG_HBRUN_MST_ORB,HDRAG_AVG_HMERC_MST_ORB,HDRAG_AVG_HMID_MST_ORB,HDRAG_AVG_HJUP_MST_ORB,HDRAG_AVG_HZOD_MST_ORB)</f>
        <v>6.3971954675417164</v>
      </c>
      <c r="M30" s="962">
        <f>AVERAGE(DATA_HDRAG_HBRUN_MST_TAIL,HDRAG_AVG_HMERC_MST_TAIL,HDRAG_AVG_HMID_MST_TAIL,HDRAG_AVG_HJUP_MST_TAIL,HDRAG_AVG_HZOD_MST_TAIL)</f>
        <v>2.0507787618685707</v>
      </c>
      <c r="N30" s="962">
        <f>AVERAGE(DATA_HDRAG_HBRUN_MST_HORN,HDRAG_AVG_HMERC_MST_HORN,HDRAG_AVG_HMID_MST_HORN,HDRAG_AVG_HJUP_MST_HORN,HDRAG_AVG_HZOD_MST_HORN)</f>
        <v>1.9838581352309068</v>
      </c>
      <c r="O30" s="949">
        <f>AVERAGE(DATA_HDRAG_HBRUN_MST_ORIHAL,HDRAG_AVG_HMERC_MST_ORIHAL,HDRAG_AVG_HMID_MST_ORIHAL,HDRAG_AVG_HJUP_MST_ORIHAL,HDRAG_AVG_HZOD_MST_ORIHAL)</f>
        <v>0.58712243623579186</v>
      </c>
    </row>
    <row r="31" spans="1:18" ht="15.75" customHeight="1" x14ac:dyDescent="0.25">
      <c r="H31" s="1022"/>
      <c r="I31" s="963"/>
      <c r="J31" s="963"/>
      <c r="K31" s="979"/>
      <c r="L31" s="963"/>
      <c r="M31" s="963"/>
      <c r="N31" s="963"/>
      <c r="O31" s="950"/>
    </row>
    <row r="32" spans="1:18" ht="15.75" customHeight="1" x14ac:dyDescent="0.25">
      <c r="G32" s="334"/>
      <c r="R32" s="262"/>
    </row>
    <row r="33" spans="3:18" ht="28.5" customHeight="1" x14ac:dyDescent="0.25">
      <c r="F33" s="990"/>
      <c r="G33" s="991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994" t="s">
        <v>24</v>
      </c>
      <c r="Q33" s="995"/>
      <c r="R33" s="604" t="s">
        <v>323</v>
      </c>
    </row>
    <row r="34" spans="3:18" ht="16.5" customHeight="1" x14ac:dyDescent="0.25">
      <c r="F34" s="968" t="s">
        <v>30</v>
      </c>
      <c r="G34" s="969"/>
      <c r="H34" s="1035" t="s">
        <v>253</v>
      </c>
      <c r="I34" s="992" t="s">
        <v>250</v>
      </c>
      <c r="J34" s="992" t="s">
        <v>250</v>
      </c>
      <c r="K34" s="992" t="s">
        <v>253</v>
      </c>
      <c r="L34" s="992" t="s">
        <v>250</v>
      </c>
      <c r="M34" s="992" t="s">
        <v>250</v>
      </c>
      <c r="N34" s="992" t="s">
        <v>253</v>
      </c>
      <c r="O34" s="1041" t="s">
        <v>250</v>
      </c>
      <c r="P34" s="615">
        <f>-(D13 * HDRAG_WEAPON_D520_HORN - SUM(H36:O36) - C13)</f>
        <v>372</v>
      </c>
      <c r="Q34" s="544" t="s">
        <v>245</v>
      </c>
      <c r="R34" s="607">
        <f>IFERROR((-D13 * HDRAG_WEAPON_D520_HORN - P34)/(-D13 * HDRAG_WEAPON_D520_HORN),"")</f>
        <v>2.5499999999999998</v>
      </c>
    </row>
    <row r="35" spans="3:18" ht="16.5" customHeight="1" x14ac:dyDescent="0.25">
      <c r="C35" s="562"/>
      <c r="D35" s="562"/>
      <c r="F35" s="970"/>
      <c r="G35" s="971"/>
      <c r="H35" s="1036"/>
      <c r="I35" s="993"/>
      <c r="J35" s="993"/>
      <c r="K35" s="993"/>
      <c r="L35" s="993"/>
      <c r="M35" s="993"/>
      <c r="N35" s="993"/>
      <c r="O35" s="1042"/>
      <c r="P35" s="616">
        <f>-(D13 * HDRAG_WEAPON_D520_TAIL - SUM(H37:O37) - B13)</f>
        <v>30</v>
      </c>
      <c r="Q35" s="601" t="s">
        <v>243</v>
      </c>
      <c r="R35" s="605">
        <f>IFERROR((-D13 * HDRAG_WEAPON_D520_TAIL - P35)/(-D13 * HDRAG_WEAPON_D520_TAIL),"")</f>
        <v>1.0288461538461537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1">_xlfn.IFNA(VLOOKUP(H34,DATA_HDRAG_WEAPON,2,FALSE), 0)</f>
        <v>30</v>
      </c>
      <c r="I36" s="571">
        <f t="shared" si="1"/>
        <v>30</v>
      </c>
      <c r="J36" s="571">
        <f t="shared" si="1"/>
        <v>30</v>
      </c>
      <c r="K36" s="571">
        <f t="shared" si="1"/>
        <v>30</v>
      </c>
      <c r="L36" s="571">
        <f t="shared" si="1"/>
        <v>30</v>
      </c>
      <c r="M36" s="571">
        <f t="shared" si="1"/>
        <v>30</v>
      </c>
      <c r="N36" s="571">
        <f t="shared" si="1"/>
        <v>30</v>
      </c>
      <c r="O36" s="576">
        <f t="shared" si="1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2">_xlfn.IFNA(VLOOKUP(H34,DATA_HDRAG_WEAPON,3,FALSE), 0)</f>
        <v>130</v>
      </c>
      <c r="I37" s="587">
        <f t="shared" si="2"/>
        <v>130</v>
      </c>
      <c r="J37" s="587">
        <f t="shared" si="2"/>
        <v>130</v>
      </c>
      <c r="K37" s="587">
        <f t="shared" si="2"/>
        <v>130</v>
      </c>
      <c r="L37" s="587">
        <f t="shared" si="2"/>
        <v>130</v>
      </c>
      <c r="M37" s="587">
        <f t="shared" si="2"/>
        <v>130</v>
      </c>
      <c r="N37" s="587">
        <f t="shared" si="2"/>
        <v>130</v>
      </c>
      <c r="O37" s="588">
        <f t="shared" si="2"/>
        <v>130</v>
      </c>
      <c r="P37" s="617"/>
      <c r="Q37" s="603"/>
      <c r="R37" s="606"/>
    </row>
    <row r="38" spans="3:18" ht="16.5" customHeight="1" x14ac:dyDescent="0.25">
      <c r="F38" s="964" t="s">
        <v>35</v>
      </c>
      <c r="G38" s="965"/>
      <c r="H38" s="1043" t="s">
        <v>253</v>
      </c>
      <c r="I38" s="1037" t="s">
        <v>250</v>
      </c>
      <c r="J38" s="1037" t="s">
        <v>250</v>
      </c>
      <c r="K38" s="1037" t="s">
        <v>253</v>
      </c>
      <c r="L38" s="1037" t="s">
        <v>250</v>
      </c>
      <c r="M38" s="1037" t="s">
        <v>253</v>
      </c>
      <c r="N38" s="1037" t="s">
        <v>253</v>
      </c>
      <c r="O38" s="1039" t="s">
        <v>250</v>
      </c>
      <c r="P38" s="615">
        <f>-(D14 * HDRAG_WEAPON_D520_HORN - SUM(H40:O40) - C14)</f>
        <v>843</v>
      </c>
      <c r="Q38" s="544" t="s">
        <v>245</v>
      </c>
      <c r="R38" s="607">
        <f>IFERROR((-D14 * HDRAG_WEAPON_D520_HORN - P38)/(-D14 * HDRAG_WEAPON_D520_HORN),"")</f>
        <v>4.5125000000000002</v>
      </c>
    </row>
    <row r="39" spans="3:18" ht="16.5" customHeight="1" x14ac:dyDescent="0.25">
      <c r="F39" s="966"/>
      <c r="G39" s="967"/>
      <c r="H39" s="1044"/>
      <c r="I39" s="1038"/>
      <c r="J39" s="1038"/>
      <c r="K39" s="1038"/>
      <c r="L39" s="1038"/>
      <c r="M39" s="1038"/>
      <c r="N39" s="1038"/>
      <c r="O39" s="1040"/>
      <c r="P39" s="616">
        <f>-(D14 * HDRAG_WEAPON_D520_TAIL - SUM(H41:O41) - B14)</f>
        <v>651</v>
      </c>
      <c r="Q39" s="601" t="s">
        <v>243</v>
      </c>
      <c r="R39" s="605">
        <f>IFERROR((-D14 * HDRAG_WEAPON_D520_TAIL - P39)/(-D14 * HDRAG_WEAPON_D520_TAIL),"")</f>
        <v>1.6259615384615385</v>
      </c>
    </row>
    <row r="40" spans="3:18" ht="22.5" hidden="1" customHeight="1" x14ac:dyDescent="0.25">
      <c r="F40" s="548"/>
      <c r="G40" s="489"/>
      <c r="H40" s="577">
        <f t="shared" ref="H40:O40" si="3">_xlfn.IFNA(VLOOKUP(H38,DATA_HDRAG_WEAPON,2,FALSE), 0)</f>
        <v>30</v>
      </c>
      <c r="I40" s="572">
        <f t="shared" si="3"/>
        <v>30</v>
      </c>
      <c r="J40" s="572">
        <f t="shared" si="3"/>
        <v>30</v>
      </c>
      <c r="K40" s="572">
        <f t="shared" si="3"/>
        <v>30</v>
      </c>
      <c r="L40" s="572">
        <f t="shared" si="3"/>
        <v>30</v>
      </c>
      <c r="M40" s="572">
        <f t="shared" si="3"/>
        <v>30</v>
      </c>
      <c r="N40" s="572">
        <f t="shared" si="3"/>
        <v>30</v>
      </c>
      <c r="O40" s="578">
        <f t="shared" si="3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4">_xlfn.IFNA(VLOOKUP(H38,DATA_HDRAG_WEAPON,3,FALSE), 0)</f>
        <v>130</v>
      </c>
      <c r="I41" s="590">
        <f t="shared" si="4"/>
        <v>130</v>
      </c>
      <c r="J41" s="590">
        <f t="shared" si="4"/>
        <v>130</v>
      </c>
      <c r="K41" s="590">
        <f t="shared" si="4"/>
        <v>130</v>
      </c>
      <c r="L41" s="590">
        <f t="shared" si="4"/>
        <v>130</v>
      </c>
      <c r="M41" s="590">
        <f t="shared" si="4"/>
        <v>130</v>
      </c>
      <c r="N41" s="590">
        <f t="shared" si="4"/>
        <v>130</v>
      </c>
      <c r="O41" s="591">
        <f t="shared" si="4"/>
        <v>130</v>
      </c>
      <c r="P41" s="617"/>
      <c r="Q41" s="603"/>
      <c r="R41" s="606"/>
    </row>
    <row r="42" spans="3:18" ht="16.5" customHeight="1" x14ac:dyDescent="0.25">
      <c r="F42" s="1027" t="s">
        <v>31</v>
      </c>
      <c r="G42" s="1028"/>
      <c r="H42" s="1025" t="s">
        <v>253</v>
      </c>
      <c r="I42" s="1023" t="s">
        <v>253</v>
      </c>
      <c r="J42" s="1023" t="s">
        <v>250</v>
      </c>
      <c r="K42" s="1023" t="s">
        <v>253</v>
      </c>
      <c r="L42" s="1023" t="s">
        <v>250</v>
      </c>
      <c r="M42" s="1023" t="s">
        <v>253</v>
      </c>
      <c r="N42" s="1023" t="s">
        <v>250</v>
      </c>
      <c r="O42" s="1033" t="s">
        <v>250</v>
      </c>
      <c r="P42" s="615">
        <f>-(D15 * HDRAG_WEAPON_D520_HORN - SUM(H44:O44) - C15)</f>
        <v>316</v>
      </c>
      <c r="Q42" s="544" t="s">
        <v>245</v>
      </c>
      <c r="R42" s="607">
        <f>IFERROR((-D15 * HDRAG_WEAPON_D520_HORN - P42)/(-D15 * HDRAG_WEAPON_D520_HORN),"")</f>
        <v>2.3166666666666669</v>
      </c>
    </row>
    <row r="43" spans="3:18" ht="16.5" customHeight="1" x14ac:dyDescent="0.25">
      <c r="F43" s="1029"/>
      <c r="G43" s="1030"/>
      <c r="H43" s="1026"/>
      <c r="I43" s="1024"/>
      <c r="J43" s="1024"/>
      <c r="K43" s="1024"/>
      <c r="L43" s="1024"/>
      <c r="M43" s="1024"/>
      <c r="N43" s="1024"/>
      <c r="O43" s="1034"/>
      <c r="P43" s="616">
        <f>-(D15 * HDRAG_WEAPON_D520_TAIL - SUM(H45:O45) - B15)</f>
        <v>224</v>
      </c>
      <c r="Q43" s="601" t="s">
        <v>243</v>
      </c>
      <c r="R43" s="605">
        <f>IFERROR((-D15 * HDRAG_WEAPON_D520_TAIL - P43)/(-D15 * HDRAG_WEAPON_D520_TAIL),"")</f>
        <v>1.2153846153846153</v>
      </c>
    </row>
    <row r="44" spans="3:18" ht="15.75" hidden="1" customHeight="1" x14ac:dyDescent="0.25">
      <c r="F44" s="549"/>
      <c r="G44" s="561"/>
      <c r="H44" s="579">
        <f t="shared" ref="H44:O44" si="5">_xlfn.IFNA(VLOOKUP(H42,DATA_HDRAG_WEAPON,2,FALSE), 0)</f>
        <v>30</v>
      </c>
      <c r="I44" s="573">
        <f t="shared" si="5"/>
        <v>30</v>
      </c>
      <c r="J44" s="573">
        <f t="shared" si="5"/>
        <v>30</v>
      </c>
      <c r="K44" s="573">
        <f t="shared" si="5"/>
        <v>30</v>
      </c>
      <c r="L44" s="573">
        <f t="shared" si="5"/>
        <v>30</v>
      </c>
      <c r="M44" s="573">
        <f t="shared" si="5"/>
        <v>30</v>
      </c>
      <c r="N44" s="573">
        <f t="shared" si="5"/>
        <v>30</v>
      </c>
      <c r="O44" s="580">
        <f t="shared" si="5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6">_xlfn.IFNA(VLOOKUP(H42,DATA_HDRAG_WEAPON,3,FALSE), 0)</f>
        <v>130</v>
      </c>
      <c r="I45" s="594">
        <f t="shared" si="6"/>
        <v>130</v>
      </c>
      <c r="J45" s="594">
        <f t="shared" si="6"/>
        <v>130</v>
      </c>
      <c r="K45" s="594">
        <f t="shared" si="6"/>
        <v>130</v>
      </c>
      <c r="L45" s="594">
        <f t="shared" si="6"/>
        <v>130</v>
      </c>
      <c r="M45" s="594">
        <f t="shared" si="6"/>
        <v>130</v>
      </c>
      <c r="N45" s="594">
        <f t="shared" si="6"/>
        <v>130</v>
      </c>
      <c r="O45" s="595">
        <f t="shared" si="6"/>
        <v>130</v>
      </c>
      <c r="P45" s="617"/>
      <c r="Q45" s="603"/>
      <c r="R45" s="606"/>
    </row>
    <row r="46" spans="3:18" ht="16.5" customHeight="1" x14ac:dyDescent="0.25">
      <c r="F46" s="1006" t="s">
        <v>36</v>
      </c>
      <c r="G46" s="1007"/>
      <c r="H46" s="1010" t="s">
        <v>250</v>
      </c>
      <c r="I46" s="1012" t="s">
        <v>253</v>
      </c>
      <c r="J46" s="1012" t="s">
        <v>253</v>
      </c>
      <c r="K46" s="1012" t="s">
        <v>253</v>
      </c>
      <c r="L46" s="1012" t="s">
        <v>250</v>
      </c>
      <c r="M46" s="1012" t="s">
        <v>250</v>
      </c>
      <c r="N46" s="1012" t="s">
        <v>250</v>
      </c>
      <c r="O46" s="1031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1008"/>
      <c r="G47" s="1009"/>
      <c r="H47" s="1011"/>
      <c r="I47" s="1013"/>
      <c r="J47" s="1013"/>
      <c r="K47" s="1013"/>
      <c r="L47" s="1013"/>
      <c r="M47" s="1013"/>
      <c r="N47" s="1013"/>
      <c r="O47" s="1032"/>
      <c r="P47" s="616">
        <f>-(D16 * HDRAG_WEAPON_D520_TAIL - SUM(H49:O49) - B16)</f>
        <v>452</v>
      </c>
      <c r="Q47" s="601" t="s">
        <v>243</v>
      </c>
      <c r="R47" s="605">
        <f>IFERROR((-D16 * HDRAG_WEAPON_D520_TAIL - P47)/(-D16 * HDRAG_WEAPON_D520_TAIL),"")</f>
        <v>1.4346153846153846</v>
      </c>
    </row>
    <row r="48" spans="3:18" ht="20.25" hidden="1" customHeight="1" x14ac:dyDescent="0.25">
      <c r="F48" s="550"/>
      <c r="G48" s="499"/>
      <c r="H48" s="581">
        <f t="shared" ref="H48:O48" si="7">_xlfn.IFNA(VLOOKUP(H46,DATA_HDRAG_WEAPON,2,FALSE), 0)</f>
        <v>30</v>
      </c>
      <c r="I48" s="574">
        <f t="shared" si="7"/>
        <v>30</v>
      </c>
      <c r="J48" s="574">
        <f t="shared" si="7"/>
        <v>30</v>
      </c>
      <c r="K48" s="574">
        <f t="shared" si="7"/>
        <v>30</v>
      </c>
      <c r="L48" s="574">
        <f t="shared" si="7"/>
        <v>30</v>
      </c>
      <c r="M48" s="574">
        <f t="shared" si="7"/>
        <v>30</v>
      </c>
      <c r="N48" s="574">
        <f t="shared" si="7"/>
        <v>30</v>
      </c>
      <c r="O48" s="582">
        <f t="shared" si="7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8">_xlfn.IFNA(VLOOKUP(H46,DATA_HDRAG_WEAPON,3,FALSE), 0)</f>
        <v>130</v>
      </c>
      <c r="I49" s="597">
        <f t="shared" si="8"/>
        <v>130</v>
      </c>
      <c r="J49" s="597">
        <f t="shared" si="8"/>
        <v>130</v>
      </c>
      <c r="K49" s="597">
        <f t="shared" si="8"/>
        <v>130</v>
      </c>
      <c r="L49" s="597">
        <f t="shared" si="8"/>
        <v>130</v>
      </c>
      <c r="M49" s="597">
        <f t="shared" si="8"/>
        <v>130</v>
      </c>
      <c r="N49" s="597">
        <f t="shared" si="8"/>
        <v>130</v>
      </c>
      <c r="O49" s="598">
        <f t="shared" si="8"/>
        <v>130</v>
      </c>
      <c r="P49" s="617"/>
      <c r="Q49" s="603"/>
      <c r="R49" s="606"/>
    </row>
    <row r="50" spans="1:18" ht="16.5" customHeight="1" x14ac:dyDescent="0.25">
      <c r="F50" s="1002" t="s">
        <v>37</v>
      </c>
      <c r="G50" s="1003"/>
      <c r="H50" s="1000" t="s">
        <v>253</v>
      </c>
      <c r="I50" s="998" t="s">
        <v>253</v>
      </c>
      <c r="J50" s="998" t="s">
        <v>250</v>
      </c>
      <c r="K50" s="998" t="s">
        <v>250</v>
      </c>
      <c r="L50" s="998" t="s">
        <v>253</v>
      </c>
      <c r="M50" s="998" t="s">
        <v>250</v>
      </c>
      <c r="N50" s="998" t="s">
        <v>253</v>
      </c>
      <c r="O50" s="996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1004"/>
      <c r="G51" s="1005"/>
      <c r="H51" s="1001"/>
      <c r="I51" s="999"/>
      <c r="J51" s="999"/>
      <c r="K51" s="999"/>
      <c r="L51" s="999"/>
      <c r="M51" s="999"/>
      <c r="N51" s="999"/>
      <c r="O51" s="997"/>
      <c r="P51" s="617">
        <f>-(D17 * HDRAG_WEAPON_D520_TAIL - SUM(H53:O53) - B17)</f>
        <v>277</v>
      </c>
      <c r="Q51" s="603" t="s">
        <v>243</v>
      </c>
      <c r="R51" s="606">
        <f>IFERROR((-D17 * HDRAG_WEAPON_D520_TAIL - P51)/(-D17 * HDRAG_WEAPON_D520_TAIL),"")</f>
        <v>1.2663461538461538</v>
      </c>
    </row>
    <row r="52" spans="1:18" ht="17.25" hidden="1" customHeight="1" x14ac:dyDescent="0.25">
      <c r="F52" s="583"/>
      <c r="G52" s="584"/>
      <c r="H52" s="599">
        <f t="shared" ref="H52:O52" si="9">_xlfn.IFNA(VLOOKUP(H50,DATA_HDRAG_WEAPON,2,FALSE), 0)</f>
        <v>30</v>
      </c>
      <c r="I52" s="558">
        <f t="shared" si="9"/>
        <v>30</v>
      </c>
      <c r="J52" s="558">
        <f t="shared" si="9"/>
        <v>30</v>
      </c>
      <c r="K52" s="558">
        <f t="shared" si="9"/>
        <v>30</v>
      </c>
      <c r="L52" s="558">
        <f t="shared" si="9"/>
        <v>30</v>
      </c>
      <c r="M52" s="558">
        <f t="shared" si="9"/>
        <v>30</v>
      </c>
      <c r="N52" s="558">
        <f t="shared" si="9"/>
        <v>30</v>
      </c>
      <c r="O52" s="600">
        <f t="shared" si="9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10">_xlfn.IFNA(VLOOKUP(H50,DATA_HDRAG_WEAPON,3,FALSE), 0)</f>
        <v>130</v>
      </c>
      <c r="I53" s="551">
        <f t="shared" si="10"/>
        <v>130</v>
      </c>
      <c r="J53" s="551">
        <f t="shared" si="10"/>
        <v>130</v>
      </c>
      <c r="K53" s="551">
        <f t="shared" si="10"/>
        <v>130</v>
      </c>
      <c r="L53" s="551">
        <f t="shared" si="10"/>
        <v>130</v>
      </c>
      <c r="M53" s="551">
        <f t="shared" si="10"/>
        <v>130</v>
      </c>
      <c r="N53" s="551">
        <f t="shared" si="10"/>
        <v>130</v>
      </c>
      <c r="O53" s="552">
        <f t="shared" si="10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12" priority="2" operator="equal">
      <formula>"D524"</formula>
    </cfRule>
  </conditionalFormatting>
  <conditionalFormatting sqref="R34:R51">
    <cfRule type="cellIs" dxfId="11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31" t="s">
        <v>241</v>
      </c>
      <c r="C1" s="831"/>
      <c r="D1" s="831"/>
      <c r="E1" s="831" t="s">
        <v>246</v>
      </c>
      <c r="F1" s="831"/>
      <c r="G1" s="831"/>
      <c r="H1" s="83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31" workbookViewId="0">
      <selection activeCell="H347" sqref="H347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31" t="s">
        <v>241</v>
      </c>
      <c r="C1" s="831"/>
      <c r="D1" s="831"/>
      <c r="E1" s="831" t="s">
        <v>246</v>
      </c>
      <c r="F1" s="831"/>
      <c r="G1" s="831"/>
      <c r="H1" s="83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806">
        <v>7</v>
      </c>
      <c r="F333" s="806">
        <v>2</v>
      </c>
      <c r="G333" s="806">
        <v>3</v>
      </c>
      <c r="H333" s="806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</row>
    <row r="348" spans="2:8" ht="15" customHeight="1" x14ac:dyDescent="0.25">
      <c r="B348" s="1">
        <v>4</v>
      </c>
      <c r="C348" s="1">
        <v>2</v>
      </c>
      <c r="D348" s="1">
        <v>1</v>
      </c>
    </row>
    <row r="349" spans="2:8" ht="15" customHeight="1" x14ac:dyDescent="0.25">
      <c r="B349" s="1">
        <v>5</v>
      </c>
      <c r="C349" s="1">
        <v>1</v>
      </c>
      <c r="D349" s="1">
        <v>1</v>
      </c>
    </row>
    <row r="350" spans="2:8" ht="15" customHeight="1" x14ac:dyDescent="0.25">
      <c r="B350" s="1">
        <v>4</v>
      </c>
      <c r="C350" s="1">
        <v>2</v>
      </c>
      <c r="D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</row>
    <row r="352" spans="2:8" ht="15" customHeight="1" x14ac:dyDescent="0.25">
      <c r="B352" s="1">
        <v>5</v>
      </c>
      <c r="C352" s="1">
        <v>2</v>
      </c>
      <c r="D352" s="1">
        <v>0</v>
      </c>
    </row>
    <row r="353" spans="2:4" ht="15" customHeight="1" x14ac:dyDescent="0.25">
      <c r="B353" s="1">
        <v>5</v>
      </c>
      <c r="C353" s="1">
        <v>2</v>
      </c>
      <c r="D353" s="1">
        <v>0</v>
      </c>
    </row>
    <row r="354" spans="2:4" ht="15" customHeight="1" x14ac:dyDescent="0.25">
      <c r="B354" s="1">
        <v>4</v>
      </c>
      <c r="C354" s="1">
        <v>1</v>
      </c>
      <c r="D354" s="1">
        <v>0</v>
      </c>
    </row>
    <row r="355" spans="2:4" ht="15" customHeight="1" x14ac:dyDescent="0.25">
      <c r="B355" s="1">
        <v>5</v>
      </c>
      <c r="C355" s="1">
        <v>2</v>
      </c>
      <c r="D355" s="1">
        <v>0</v>
      </c>
    </row>
    <row r="356" spans="2:4" ht="15" customHeight="1" x14ac:dyDescent="0.25">
      <c r="B356" s="1">
        <v>4</v>
      </c>
      <c r="C356" s="1">
        <v>1</v>
      </c>
      <c r="D356" s="1">
        <v>0</v>
      </c>
    </row>
    <row r="357" spans="2:4" ht="15" customHeight="1" x14ac:dyDescent="0.25">
      <c r="B357" s="1">
        <v>4</v>
      </c>
      <c r="C357" s="1">
        <v>3</v>
      </c>
      <c r="D357" s="1">
        <v>0</v>
      </c>
    </row>
    <row r="358" spans="2:4" ht="15" customHeight="1" x14ac:dyDescent="0.25">
      <c r="B358" s="1">
        <v>5</v>
      </c>
      <c r="C358" s="1">
        <v>3</v>
      </c>
      <c r="D358" s="1">
        <v>1</v>
      </c>
    </row>
    <row r="359" spans="2:4" ht="15" customHeight="1" x14ac:dyDescent="0.25">
      <c r="B359" s="1">
        <v>4</v>
      </c>
      <c r="C359" s="1">
        <v>1</v>
      </c>
      <c r="D359" s="1">
        <v>1</v>
      </c>
    </row>
    <row r="360" spans="2:4" ht="15" customHeight="1" x14ac:dyDescent="0.25">
      <c r="B360" s="1">
        <v>4</v>
      </c>
      <c r="C360" s="1">
        <v>2</v>
      </c>
      <c r="D360" s="1">
        <v>0</v>
      </c>
    </row>
    <row r="361" spans="2:4" ht="15" customHeight="1" x14ac:dyDescent="0.25">
      <c r="B361" s="1">
        <v>4</v>
      </c>
      <c r="C361" s="1">
        <v>2</v>
      </c>
      <c r="D361" s="1">
        <v>1</v>
      </c>
    </row>
    <row r="362" spans="2:4" ht="15" customHeight="1" x14ac:dyDescent="0.25">
      <c r="B362" s="1">
        <v>7</v>
      </c>
      <c r="C362" s="1">
        <v>2</v>
      </c>
      <c r="D362" s="1">
        <v>0</v>
      </c>
    </row>
    <row r="363" spans="2:4" ht="15" customHeight="1" x14ac:dyDescent="0.25">
      <c r="B363" s="1">
        <v>5</v>
      </c>
      <c r="C363" s="1">
        <v>3</v>
      </c>
      <c r="D363" s="1">
        <v>0</v>
      </c>
    </row>
    <row r="364" spans="2:4" ht="15" customHeight="1" x14ac:dyDescent="0.25">
      <c r="B364" s="1">
        <v>4</v>
      </c>
      <c r="C364" s="1">
        <v>2</v>
      </c>
      <c r="D364" s="1">
        <v>1</v>
      </c>
    </row>
    <row r="365" spans="2:4" ht="15" customHeight="1" x14ac:dyDescent="0.25">
      <c r="B365" s="1">
        <v>6</v>
      </c>
      <c r="C365" s="1">
        <v>2</v>
      </c>
      <c r="D365" s="1">
        <v>1</v>
      </c>
    </row>
    <row r="366" spans="2:4" ht="15" customHeight="1" x14ac:dyDescent="0.25">
      <c r="B366" s="1">
        <v>4</v>
      </c>
      <c r="C366" s="1">
        <v>3</v>
      </c>
      <c r="D366" s="1">
        <v>1</v>
      </c>
    </row>
    <row r="367" spans="2:4" ht="15" customHeight="1" x14ac:dyDescent="0.25">
      <c r="B367" s="1">
        <v>4</v>
      </c>
      <c r="C367" s="1">
        <v>2</v>
      </c>
      <c r="D367" s="1">
        <v>0</v>
      </c>
    </row>
    <row r="368" spans="2:4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805">
        <v>5</v>
      </c>
      <c r="C523" s="805">
        <v>3</v>
      </c>
      <c r="D523" s="805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2" workbookViewId="0">
      <selection activeCell="G124" sqref="G123:H12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31" t="s">
        <v>241</v>
      </c>
      <c r="C1" s="831"/>
      <c r="D1" s="831"/>
      <c r="E1" s="831" t="s">
        <v>246</v>
      </c>
      <c r="F1" s="831"/>
      <c r="G1" s="831"/>
      <c r="H1" s="831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31" t="s">
        <v>241</v>
      </c>
      <c r="C1" s="831"/>
      <c r="D1" s="831"/>
      <c r="E1" s="831" t="s">
        <v>246</v>
      </c>
      <c r="F1" s="831"/>
      <c r="G1" s="831"/>
      <c r="H1" s="831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1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31" t="s">
        <v>241</v>
      </c>
      <c r="C1" s="831"/>
      <c r="D1" s="831"/>
      <c r="E1" s="831" t="s">
        <v>246</v>
      </c>
      <c r="F1" s="831"/>
      <c r="G1" s="831"/>
      <c r="H1" s="83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1" sqref="J11:K11"/>
    </sheetView>
  </sheetViews>
  <sheetFormatPr defaultColWidth="9.85546875" defaultRowHeight="15" x14ac:dyDescent="0.25"/>
  <cols>
    <col min="1" max="10" width="9.85546875" style="733"/>
    <col min="11" max="11" width="9.85546875" style="733" customWidth="1"/>
    <col min="12" max="16384" width="9.85546875" style="733"/>
  </cols>
  <sheetData>
    <row r="1" spans="1:21" ht="36" customHeight="1" x14ac:dyDescent="0.25">
      <c r="A1" s="862" t="s">
        <v>467</v>
      </c>
      <c r="B1" s="862"/>
      <c r="C1" s="862"/>
      <c r="D1" s="862"/>
      <c r="E1" s="862"/>
      <c r="F1" s="862"/>
      <c r="G1" s="862"/>
      <c r="H1" s="862"/>
      <c r="I1" s="862"/>
      <c r="J1" s="862"/>
      <c r="K1" s="862"/>
      <c r="L1" s="741"/>
      <c r="M1" s="741"/>
    </row>
    <row r="2" spans="1:21" s="738" customFormat="1" ht="21" customHeight="1" x14ac:dyDescent="0.25">
      <c r="A2" s="863" t="s">
        <v>346</v>
      </c>
      <c r="B2" s="856"/>
      <c r="C2" s="857"/>
      <c r="D2" s="856"/>
      <c r="E2" s="857"/>
      <c r="F2" s="856"/>
      <c r="G2" s="857"/>
      <c r="H2" s="856"/>
      <c r="I2" s="857"/>
      <c r="J2" s="856"/>
      <c r="K2" s="857"/>
      <c r="L2" s="856"/>
      <c r="M2" s="857"/>
      <c r="N2" s="856"/>
      <c r="O2" s="857"/>
      <c r="P2" s="856"/>
      <c r="Q2" s="857"/>
      <c r="R2" s="856"/>
      <c r="S2" s="857"/>
      <c r="T2" s="856"/>
      <c r="U2" s="857"/>
    </row>
    <row r="3" spans="1:21" s="612" customFormat="1" ht="21" customHeight="1" x14ac:dyDescent="0.25">
      <c r="A3" s="864"/>
      <c r="B3" s="737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64"/>
      <c r="B4" s="854"/>
      <c r="C4" s="855"/>
      <c r="D4" s="854"/>
      <c r="E4" s="855"/>
      <c r="F4" s="854"/>
      <c r="G4" s="861"/>
      <c r="H4" s="861"/>
      <c r="I4" s="855"/>
      <c r="J4" s="854"/>
      <c r="K4" s="855"/>
      <c r="L4" s="854"/>
      <c r="M4" s="855"/>
      <c r="N4" s="854"/>
      <c r="O4" s="855"/>
      <c r="P4" s="854"/>
      <c r="Q4" s="855"/>
      <c r="R4" s="854"/>
      <c r="S4" s="855"/>
      <c r="T4" s="854"/>
      <c r="U4" s="855"/>
    </row>
    <row r="5" spans="1:21" s="735" customFormat="1" ht="21" customHeight="1" x14ac:dyDescent="0.25">
      <c r="A5" s="828" t="s">
        <v>347</v>
      </c>
      <c r="B5" s="1055" t="s">
        <v>464</v>
      </c>
      <c r="C5" s="825"/>
      <c r="D5" s="1055" t="s">
        <v>464</v>
      </c>
      <c r="E5" s="825"/>
      <c r="F5" s="824" t="s">
        <v>469</v>
      </c>
      <c r="G5" s="825"/>
      <c r="H5" s="824" t="s">
        <v>471</v>
      </c>
      <c r="I5" s="825"/>
      <c r="J5" s="824" t="s">
        <v>450</v>
      </c>
      <c r="K5" s="825"/>
      <c r="L5" s="824"/>
      <c r="M5" s="825"/>
      <c r="N5" s="824"/>
      <c r="O5" s="825"/>
      <c r="P5" s="824"/>
      <c r="Q5" s="825"/>
      <c r="R5" s="824"/>
      <c r="S5" s="825"/>
      <c r="T5" s="824"/>
      <c r="U5" s="825"/>
    </row>
    <row r="6" spans="1:21" s="613" customFormat="1" ht="21" customHeight="1" x14ac:dyDescent="0.25">
      <c r="A6" s="829"/>
      <c r="B6" s="613" t="s">
        <v>407</v>
      </c>
      <c r="C6" s="611" t="s">
        <v>397</v>
      </c>
      <c r="D6" s="610" t="s">
        <v>447</v>
      </c>
      <c r="E6" s="611" t="s">
        <v>468</v>
      </c>
      <c r="F6" s="610" t="s">
        <v>308</v>
      </c>
      <c r="G6" s="611" t="s">
        <v>447</v>
      </c>
      <c r="H6" s="610" t="s">
        <v>447</v>
      </c>
      <c r="I6" s="611" t="s">
        <v>314</v>
      </c>
      <c r="J6" s="610" t="s">
        <v>472</v>
      </c>
      <c r="K6" s="611" t="s">
        <v>380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36" customFormat="1" ht="21" customHeight="1" x14ac:dyDescent="0.25">
      <c r="A7" s="830"/>
      <c r="B7" s="1054" t="s">
        <v>465</v>
      </c>
      <c r="C7" s="827"/>
      <c r="D7" s="826" t="s">
        <v>466</v>
      </c>
      <c r="E7" s="827"/>
      <c r="F7" s="826" t="s">
        <v>470</v>
      </c>
      <c r="G7" s="827"/>
      <c r="H7" s="826" t="s">
        <v>474</v>
      </c>
      <c r="I7" s="827"/>
      <c r="J7" s="826" t="s">
        <v>473</v>
      </c>
      <c r="K7" s="827"/>
      <c r="L7" s="826"/>
      <c r="M7" s="827"/>
      <c r="N7" s="826"/>
      <c r="O7" s="827"/>
      <c r="P7" s="826"/>
      <c r="Q7" s="827"/>
      <c r="R7" s="826"/>
      <c r="S7" s="827"/>
      <c r="T7" s="826"/>
      <c r="U7" s="827"/>
    </row>
    <row r="8" spans="1:21" s="739" customFormat="1" ht="21" customHeight="1" x14ac:dyDescent="0.25">
      <c r="A8" s="873" t="s">
        <v>348</v>
      </c>
      <c r="B8" s="871" t="s">
        <v>320</v>
      </c>
      <c r="C8" s="850"/>
      <c r="D8" s="849" t="s">
        <v>371</v>
      </c>
      <c r="E8" s="850"/>
      <c r="F8" s="849" t="s">
        <v>374</v>
      </c>
      <c r="G8" s="850"/>
      <c r="H8" s="849" t="s">
        <v>376</v>
      </c>
      <c r="I8" s="850"/>
      <c r="J8" s="849" t="s">
        <v>345</v>
      </c>
      <c r="K8" s="850"/>
      <c r="L8" s="849"/>
      <c r="M8" s="850"/>
      <c r="N8" s="849"/>
      <c r="O8" s="850"/>
      <c r="P8" s="849"/>
      <c r="Q8" s="850"/>
      <c r="R8" s="849"/>
      <c r="S8" s="850"/>
      <c r="T8" s="849"/>
      <c r="U8" s="850"/>
    </row>
    <row r="9" spans="1:21" s="612" customFormat="1" ht="21" customHeight="1" x14ac:dyDescent="0.25">
      <c r="A9" s="874"/>
      <c r="B9" s="613" t="s">
        <v>289</v>
      </c>
      <c r="C9" s="611" t="s">
        <v>306</v>
      </c>
      <c r="D9" s="610" t="s">
        <v>372</v>
      </c>
      <c r="E9" s="611" t="s">
        <v>306</v>
      </c>
      <c r="F9" s="610" t="s">
        <v>294</v>
      </c>
      <c r="G9" s="611" t="s">
        <v>306</v>
      </c>
      <c r="H9" s="610" t="s">
        <v>308</v>
      </c>
      <c r="I9" s="611" t="s">
        <v>377</v>
      </c>
      <c r="J9" s="610" t="s">
        <v>297</v>
      </c>
      <c r="K9" s="611" t="s">
        <v>403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734" customFormat="1" ht="21" customHeight="1" x14ac:dyDescent="0.25">
      <c r="A10" s="874"/>
      <c r="B10" s="1045" t="s">
        <v>370</v>
      </c>
      <c r="C10" s="1046"/>
      <c r="D10" s="1047" t="s">
        <v>373</v>
      </c>
      <c r="E10" s="1046"/>
      <c r="F10" s="1047" t="s">
        <v>375</v>
      </c>
      <c r="G10" s="1046"/>
      <c r="H10" s="1047" t="s">
        <v>378</v>
      </c>
      <c r="I10" s="1046"/>
      <c r="J10" s="1047" t="s">
        <v>379</v>
      </c>
      <c r="K10" s="1046"/>
      <c r="L10" s="847"/>
      <c r="M10" s="848"/>
      <c r="N10" s="847"/>
      <c r="O10" s="848"/>
      <c r="P10" s="847"/>
      <c r="Q10" s="848"/>
      <c r="R10" s="847"/>
      <c r="S10" s="848"/>
      <c r="T10" s="847"/>
      <c r="U10" s="848"/>
    </row>
    <row r="11" spans="1:21" s="739" customFormat="1" ht="21" customHeight="1" x14ac:dyDescent="0.25">
      <c r="A11" s="874"/>
      <c r="B11" s="871" t="s">
        <v>362</v>
      </c>
      <c r="C11" s="850"/>
      <c r="D11" s="849" t="s">
        <v>458</v>
      </c>
      <c r="E11" s="850"/>
      <c r="F11" s="849" t="s">
        <v>462</v>
      </c>
      <c r="G11" s="850"/>
      <c r="H11" s="849"/>
      <c r="I11" s="850"/>
      <c r="J11" s="849"/>
      <c r="K11" s="850"/>
      <c r="L11" s="849"/>
      <c r="M11" s="850"/>
      <c r="N11" s="849"/>
      <c r="O11" s="850"/>
      <c r="P11" s="849"/>
      <c r="Q11" s="850"/>
      <c r="R11" s="849"/>
      <c r="S11" s="850"/>
      <c r="T11" s="849"/>
      <c r="U11" s="850"/>
    </row>
    <row r="12" spans="1:21" s="612" customFormat="1" ht="21" customHeight="1" x14ac:dyDescent="0.25">
      <c r="A12" s="874"/>
      <c r="B12" s="613" t="s">
        <v>418</v>
      </c>
      <c r="C12" s="611" t="s">
        <v>306</v>
      </c>
      <c r="D12" s="610" t="s">
        <v>459</v>
      </c>
      <c r="E12" s="611" t="s">
        <v>305</v>
      </c>
      <c r="F12" s="610" t="s">
        <v>306</v>
      </c>
      <c r="G12" s="611" t="s">
        <v>418</v>
      </c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87" customFormat="1" ht="21" customHeight="1" x14ac:dyDescent="0.25">
      <c r="A13" s="875"/>
      <c r="B13" s="1045" t="s">
        <v>421</v>
      </c>
      <c r="C13" s="1046"/>
      <c r="D13" s="1047"/>
      <c r="E13" s="1046"/>
      <c r="F13" s="1047" t="s">
        <v>421</v>
      </c>
      <c r="G13" s="1046"/>
      <c r="H13" s="1047"/>
      <c r="I13" s="1046"/>
      <c r="J13" s="1047"/>
      <c r="K13" s="1046"/>
      <c r="L13" s="847"/>
      <c r="M13" s="848"/>
      <c r="N13" s="847"/>
      <c r="O13" s="848"/>
      <c r="P13" s="847"/>
      <c r="Q13" s="848"/>
      <c r="R13" s="847"/>
      <c r="S13" s="848"/>
      <c r="T13" s="847"/>
      <c r="U13" s="848"/>
    </row>
    <row r="14" spans="1:21" s="161" customFormat="1" ht="21" customHeight="1" x14ac:dyDescent="0.25">
      <c r="A14" s="844" t="s">
        <v>349</v>
      </c>
      <c r="B14" s="842" t="s">
        <v>390</v>
      </c>
      <c r="C14" s="843"/>
      <c r="D14" s="842" t="s">
        <v>399</v>
      </c>
      <c r="E14" s="843"/>
      <c r="F14" s="842" t="s">
        <v>398</v>
      </c>
      <c r="G14" s="843"/>
      <c r="H14" s="842" t="s">
        <v>396</v>
      </c>
      <c r="I14" s="843"/>
      <c r="J14" s="842" t="s">
        <v>405</v>
      </c>
      <c r="K14" s="843"/>
      <c r="L14" s="876"/>
      <c r="M14" s="843"/>
      <c r="N14" s="842"/>
      <c r="O14" s="843"/>
      <c r="P14" s="842"/>
      <c r="Q14" s="843"/>
      <c r="R14" s="842"/>
      <c r="S14" s="843"/>
      <c r="T14" s="842"/>
      <c r="U14" s="843"/>
    </row>
    <row r="15" spans="1:21" s="612" customFormat="1" ht="21" customHeight="1" x14ac:dyDescent="0.25">
      <c r="A15" s="845"/>
      <c r="B15" s="610" t="s">
        <v>380</v>
      </c>
      <c r="C15" s="611" t="s">
        <v>412</v>
      </c>
      <c r="D15" s="610" t="s">
        <v>289</v>
      </c>
      <c r="E15" s="611" t="s">
        <v>380</v>
      </c>
      <c r="F15" s="610" t="s">
        <v>406</v>
      </c>
      <c r="G15" s="611" t="s">
        <v>403</v>
      </c>
      <c r="H15" s="610" t="s">
        <v>397</v>
      </c>
      <c r="I15" s="611" t="s">
        <v>380</v>
      </c>
      <c r="J15" s="610" t="s">
        <v>305</v>
      </c>
      <c r="K15" s="611" t="s">
        <v>380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45"/>
      <c r="B16" s="840" t="s">
        <v>395</v>
      </c>
      <c r="C16" s="841"/>
      <c r="D16" s="1048" t="s">
        <v>402</v>
      </c>
      <c r="E16" s="1049"/>
      <c r="F16" s="840" t="s">
        <v>404</v>
      </c>
      <c r="G16" s="841"/>
      <c r="H16" s="840" t="s">
        <v>400</v>
      </c>
      <c r="I16" s="841"/>
      <c r="J16" s="840" t="s">
        <v>400</v>
      </c>
      <c r="K16" s="841"/>
      <c r="L16" s="877"/>
      <c r="M16" s="841"/>
      <c r="N16" s="840"/>
      <c r="O16" s="841"/>
      <c r="P16" s="840"/>
      <c r="Q16" s="841"/>
      <c r="R16" s="840"/>
      <c r="S16" s="841"/>
      <c r="T16" s="840"/>
      <c r="U16" s="841"/>
    </row>
    <row r="17" spans="1:21" s="161" customFormat="1" ht="21" customHeight="1" x14ac:dyDescent="0.25">
      <c r="A17" s="845"/>
      <c r="B17" s="842" t="s">
        <v>390</v>
      </c>
      <c r="C17" s="843"/>
      <c r="D17" s="842" t="s">
        <v>394</v>
      </c>
      <c r="E17" s="843"/>
      <c r="F17" s="842" t="s">
        <v>399</v>
      </c>
      <c r="G17" s="843"/>
      <c r="H17" s="1052" t="s">
        <v>455</v>
      </c>
      <c r="I17" s="1053"/>
      <c r="J17" s="1052"/>
      <c r="K17" s="1053"/>
      <c r="L17" s="842"/>
      <c r="M17" s="843"/>
      <c r="N17" s="842"/>
      <c r="O17" s="843"/>
      <c r="P17" s="842"/>
      <c r="Q17" s="843"/>
      <c r="R17" s="842"/>
      <c r="S17" s="843"/>
      <c r="T17" s="842"/>
      <c r="U17" s="843"/>
    </row>
    <row r="18" spans="1:21" s="612" customFormat="1" ht="21" customHeight="1" x14ac:dyDescent="0.25">
      <c r="A18" s="845"/>
      <c r="B18" s="610" t="s">
        <v>299</v>
      </c>
      <c r="C18" s="611" t="s">
        <v>392</v>
      </c>
      <c r="D18" s="610" t="s">
        <v>299</v>
      </c>
      <c r="E18" s="611" t="s">
        <v>392</v>
      </c>
      <c r="F18" s="610" t="s">
        <v>289</v>
      </c>
      <c r="G18" s="611" t="s">
        <v>392</v>
      </c>
      <c r="H18" s="610" t="s">
        <v>407</v>
      </c>
      <c r="I18" s="611" t="s">
        <v>372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45"/>
      <c r="B19" s="840" t="s">
        <v>393</v>
      </c>
      <c r="C19" s="841"/>
      <c r="D19" s="840" t="s">
        <v>411</v>
      </c>
      <c r="E19" s="841"/>
      <c r="F19" s="840" t="s">
        <v>401</v>
      </c>
      <c r="G19" s="841"/>
      <c r="H19" s="840"/>
      <c r="I19" s="841"/>
      <c r="J19" s="840"/>
      <c r="K19" s="841"/>
      <c r="L19" s="840"/>
      <c r="M19" s="841"/>
      <c r="N19" s="840"/>
      <c r="O19" s="841"/>
      <c r="P19" s="840"/>
      <c r="Q19" s="841"/>
      <c r="R19" s="840"/>
      <c r="S19" s="841"/>
      <c r="T19" s="840"/>
      <c r="U19" s="841"/>
    </row>
    <row r="20" spans="1:21" s="161" customFormat="1" ht="21" customHeight="1" x14ac:dyDescent="0.25">
      <c r="A20" s="845"/>
      <c r="B20" s="1052" t="s">
        <v>405</v>
      </c>
      <c r="C20" s="1053"/>
      <c r="D20" s="1052" t="s">
        <v>285</v>
      </c>
      <c r="E20" s="1053"/>
      <c r="F20" s="842" t="s">
        <v>390</v>
      </c>
      <c r="G20" s="843"/>
      <c r="H20" s="1052" t="s">
        <v>414</v>
      </c>
      <c r="I20" s="1053"/>
      <c r="J20" s="1052"/>
      <c r="K20" s="1053"/>
      <c r="L20" s="842"/>
      <c r="M20" s="843"/>
      <c r="N20" s="842"/>
      <c r="O20" s="843"/>
      <c r="P20" s="842"/>
      <c r="Q20" s="843"/>
      <c r="R20" s="842"/>
      <c r="S20" s="843"/>
      <c r="T20" s="842"/>
      <c r="U20" s="843"/>
    </row>
    <row r="21" spans="1:21" s="612" customFormat="1" ht="21" customHeight="1" x14ac:dyDescent="0.25">
      <c r="A21" s="845"/>
      <c r="B21" s="610" t="s">
        <v>305</v>
      </c>
      <c r="C21" s="611" t="s">
        <v>407</v>
      </c>
      <c r="D21" s="610" t="s">
        <v>294</v>
      </c>
      <c r="E21" s="611" t="s">
        <v>407</v>
      </c>
      <c r="F21" s="610" t="s">
        <v>391</v>
      </c>
      <c r="G21" s="611" t="s">
        <v>367</v>
      </c>
      <c r="H21" s="610" t="s">
        <v>308</v>
      </c>
      <c r="I21" s="611" t="s">
        <v>380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46"/>
      <c r="B22" s="840" t="s">
        <v>413</v>
      </c>
      <c r="C22" s="841"/>
      <c r="D22" s="840" t="s">
        <v>413</v>
      </c>
      <c r="E22" s="841"/>
      <c r="F22" s="840" t="s">
        <v>413</v>
      </c>
      <c r="G22" s="841"/>
      <c r="H22" s="840" t="s">
        <v>413</v>
      </c>
      <c r="I22" s="841"/>
      <c r="J22" s="840"/>
      <c r="K22" s="841"/>
      <c r="L22" s="840"/>
      <c r="M22" s="841"/>
      <c r="N22" s="840"/>
      <c r="O22" s="841"/>
      <c r="P22" s="840"/>
      <c r="Q22" s="841"/>
      <c r="R22" s="840"/>
      <c r="S22" s="841"/>
      <c r="T22" s="840"/>
      <c r="U22" s="841"/>
    </row>
    <row r="23" spans="1:21" s="740" customFormat="1" ht="21" customHeight="1" x14ac:dyDescent="0.25">
      <c r="A23" s="865" t="s">
        <v>350</v>
      </c>
      <c r="B23" s="1050"/>
      <c r="C23" s="1051"/>
      <c r="D23" s="1050"/>
      <c r="E23" s="1051"/>
      <c r="F23" s="835"/>
      <c r="G23" s="836"/>
      <c r="H23" s="835"/>
      <c r="I23" s="836"/>
      <c r="J23" s="835"/>
      <c r="K23" s="836"/>
      <c r="L23" s="835"/>
      <c r="M23" s="836"/>
      <c r="N23" s="835"/>
      <c r="O23" s="836"/>
      <c r="P23" s="835"/>
      <c r="Q23" s="836"/>
      <c r="R23" s="835"/>
      <c r="S23" s="836"/>
      <c r="T23" s="835"/>
      <c r="U23" s="836"/>
    </row>
    <row r="24" spans="1:21" s="612" customFormat="1" ht="21" customHeight="1" x14ac:dyDescent="0.25">
      <c r="A24" s="866"/>
      <c r="B24" s="737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67"/>
      <c r="B25" s="833"/>
      <c r="C25" s="834"/>
      <c r="D25" s="833"/>
      <c r="E25" s="834"/>
      <c r="F25" s="833"/>
      <c r="G25" s="834"/>
      <c r="H25" s="833"/>
      <c r="I25" s="834"/>
      <c r="J25" s="833"/>
      <c r="K25" s="834"/>
      <c r="L25" s="833"/>
      <c r="M25" s="834"/>
      <c r="N25" s="833"/>
      <c r="O25" s="834"/>
      <c r="P25" s="833"/>
      <c r="Q25" s="834"/>
      <c r="R25" s="833"/>
      <c r="S25" s="834"/>
      <c r="T25" s="833"/>
      <c r="U25" s="834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W35"/>
  <sheetViews>
    <sheetView tabSelected="1" zoomScale="101" zoomScaleNormal="100" workbookViewId="0">
      <selection activeCell="O10" sqref="O9:O10"/>
    </sheetView>
  </sheetViews>
  <sheetFormatPr defaultColWidth="9.28515625" defaultRowHeight="15" x14ac:dyDescent="0.25"/>
  <cols>
    <col min="1" max="1" width="1.42578125" style="627" customWidth="1"/>
    <col min="2" max="2" width="7.5703125" style="627" customWidth="1"/>
    <col min="3" max="4" width="6" style="626" customWidth="1"/>
    <col min="5" max="5" width="6" style="627" customWidth="1"/>
    <col min="6" max="6" width="6" style="626" customWidth="1"/>
    <col min="7" max="7" width="2.28515625" style="626" customWidth="1"/>
    <col min="8" max="8" width="8.28515625" style="626" customWidth="1"/>
    <col min="9" max="16" width="7.140625" style="626" customWidth="1"/>
    <col min="17" max="17" width="7.140625" style="623" customWidth="1"/>
    <col min="18" max="18" width="7.140625" style="626" customWidth="1"/>
    <col min="19" max="19" width="4" style="626" customWidth="1"/>
    <col min="20" max="21" width="7.140625" style="627" customWidth="1"/>
    <col min="22" max="22" width="36.5703125" style="626" customWidth="1"/>
    <col min="23" max="16384" width="9.28515625" style="626"/>
  </cols>
  <sheetData>
    <row r="1" spans="1:23" s="627" customFormat="1" ht="8.65" customHeight="1" x14ac:dyDescent="0.25">
      <c r="A1" s="627">
        <v>5</v>
      </c>
      <c r="H1" s="240"/>
      <c r="I1" s="240"/>
      <c r="J1" s="240"/>
      <c r="K1" s="240"/>
      <c r="L1" s="240"/>
      <c r="M1" s="240"/>
      <c r="N1" s="240"/>
      <c r="O1" s="240"/>
      <c r="P1" s="240"/>
      <c r="Q1" s="699"/>
      <c r="R1" s="240"/>
      <c r="S1" s="240"/>
      <c r="T1" s="240"/>
      <c r="U1" s="240"/>
      <c r="V1" s="240"/>
    </row>
    <row r="2" spans="1:23" ht="15" customHeight="1" x14ac:dyDescent="0.25">
      <c r="C2" s="1058" t="s">
        <v>344</v>
      </c>
      <c r="D2" s="1059"/>
      <c r="E2" s="1062" t="s">
        <v>355</v>
      </c>
      <c r="F2" s="1062" t="s">
        <v>356</v>
      </c>
      <c r="H2" s="1071" t="s">
        <v>410</v>
      </c>
      <c r="I2" s="1101" t="s">
        <v>66</v>
      </c>
      <c r="J2" s="1058" t="s">
        <v>239</v>
      </c>
      <c r="K2" s="1059"/>
      <c r="L2" s="1058" t="s">
        <v>241</v>
      </c>
      <c r="M2" s="1100"/>
      <c r="N2" s="1059"/>
      <c r="O2" s="699"/>
      <c r="P2" s="240"/>
      <c r="Q2" s="240"/>
      <c r="R2" s="240"/>
      <c r="S2" s="240"/>
      <c r="T2" s="240"/>
      <c r="U2" s="626"/>
    </row>
    <row r="3" spans="1:23" ht="15.95" customHeight="1" x14ac:dyDescent="0.25">
      <c r="C3" s="650" t="s">
        <v>65</v>
      </c>
      <c r="D3" s="651" t="s">
        <v>64</v>
      </c>
      <c r="E3" s="1063"/>
      <c r="F3" s="1063"/>
      <c r="H3" s="1072"/>
      <c r="I3" s="1102"/>
      <c r="J3" s="759" t="s">
        <v>25</v>
      </c>
      <c r="K3" s="761" t="s">
        <v>65</v>
      </c>
      <c r="L3" s="759" t="s">
        <v>25</v>
      </c>
      <c r="M3" s="760" t="s">
        <v>65</v>
      </c>
      <c r="N3" s="761" t="s">
        <v>64</v>
      </c>
      <c r="O3" s="700"/>
      <c r="P3" s="692"/>
      <c r="Q3" s="692"/>
      <c r="R3" s="692"/>
      <c r="S3" s="240"/>
      <c r="T3" s="240"/>
      <c r="U3" s="626"/>
    </row>
    <row r="4" spans="1:23" ht="21.95" customHeight="1" x14ac:dyDescent="0.25">
      <c r="B4" s="652" t="s">
        <v>346</v>
      </c>
      <c r="C4" s="661"/>
      <c r="D4" s="662"/>
      <c r="E4" s="662"/>
      <c r="F4" s="663"/>
      <c r="H4" s="1072"/>
      <c r="I4" s="652" t="s">
        <v>346</v>
      </c>
      <c r="J4" s="758">
        <f>IFERROR(COUNT(AGITO_FLAME_STD_SILVER),"")</f>
        <v>0</v>
      </c>
      <c r="K4" s="680" t="str">
        <f>IFERROR(AVERAGE(AGITO_FLAME_STD_SILVER), "")</f>
        <v/>
      </c>
      <c r="L4" s="758">
        <f>IFERROR(COUNT(AGITO_FLAME_EXP_SILVER),"")</f>
        <v>0</v>
      </c>
      <c r="M4" s="680" t="str">
        <f>IFERROR(AVERAGE(AGITO_FLAME_EXP_SILVER),"")</f>
        <v/>
      </c>
      <c r="N4" s="681" t="str">
        <f>IFERROR(AVERAGE(AGITO_FLAME_EXP_GOLD),"")</f>
        <v/>
      </c>
      <c r="O4" s="700"/>
      <c r="P4" s="698"/>
      <c r="Q4" s="692"/>
      <c r="R4" s="692"/>
      <c r="S4" s="240"/>
      <c r="T4" s="240"/>
      <c r="U4" s="626"/>
    </row>
    <row r="5" spans="1:23" s="307" customFormat="1" ht="21.95" customHeight="1" x14ac:dyDescent="0.25">
      <c r="B5" s="653" t="s">
        <v>347</v>
      </c>
      <c r="C5" s="664">
        <v>230</v>
      </c>
      <c r="D5" s="665">
        <v>330</v>
      </c>
      <c r="E5" s="665">
        <v>8</v>
      </c>
      <c r="F5" s="666">
        <v>15</v>
      </c>
      <c r="H5" s="1072"/>
      <c r="I5" s="653" t="s">
        <v>347</v>
      </c>
      <c r="J5" s="648">
        <f>IFERROR(COUNT(AGITO_WATER_STD_SILVER),"")</f>
        <v>68</v>
      </c>
      <c r="K5" s="682">
        <f>IFERROR(AVERAGE(AGITO_WATER_STD_SILVER), "")</f>
        <v>5.117647058823529</v>
      </c>
      <c r="L5" s="648">
        <f>IFERROR(COUNT(AGITO_WATER_EXP_SILVER),"")</f>
        <v>203</v>
      </c>
      <c r="M5" s="682">
        <f>IFERROR(AVERAGE(AGITO_WATER_EXP_SILVER),"")</f>
        <v>2.5566502463054186</v>
      </c>
      <c r="N5" s="683">
        <f>IFERROR(AVERAGE(AGITO_WATER_EXP_GOLD),"")</f>
        <v>3.4679802955665027</v>
      </c>
      <c r="O5" s="700"/>
      <c r="P5" s="698"/>
      <c r="Q5" s="692"/>
      <c r="R5" s="692"/>
      <c r="S5" s="240"/>
      <c r="T5" s="240"/>
    </row>
    <row r="6" spans="1:23" ht="21.95" customHeight="1" x14ac:dyDescent="0.25">
      <c r="B6" s="654" t="s">
        <v>348</v>
      </c>
      <c r="C6" s="667">
        <v>3140</v>
      </c>
      <c r="D6" s="668">
        <v>2574</v>
      </c>
      <c r="E6" s="668">
        <v>24</v>
      </c>
      <c r="F6" s="669">
        <v>15</v>
      </c>
      <c r="H6" s="1072"/>
      <c r="I6" s="654" t="s">
        <v>348</v>
      </c>
      <c r="J6" s="649">
        <f>IFERROR(COUNT(AGITO_WIND_STD_SILVER),"")</f>
        <v>366</v>
      </c>
      <c r="K6" s="684">
        <f>IFERROR(AVERAGE(AGITO_WIND_STD_SILVER), "")</f>
        <v>5.1912568306010929</v>
      </c>
      <c r="L6" s="649">
        <f>IFERROR(COUNT(AGITO_WIND_EXP_SILVER),"")</f>
        <v>916</v>
      </c>
      <c r="M6" s="684">
        <f>IFERROR(AVERAGE(AGITO_WIND_EXP_SILVER),"")</f>
        <v>2.6659388646288211</v>
      </c>
      <c r="N6" s="685">
        <f>IFERROR(AVERAGE(AGITO_WIND_EXP_GOLD),"")</f>
        <v>3.4519650655021836</v>
      </c>
      <c r="O6" s="700"/>
      <c r="P6" s="698"/>
      <c r="Q6" s="692"/>
      <c r="R6" s="692"/>
      <c r="S6" s="240"/>
      <c r="T6" s="240"/>
      <c r="U6" s="626"/>
    </row>
    <row r="7" spans="1:23" ht="21.95" customHeight="1" x14ac:dyDescent="0.25">
      <c r="B7" s="655" t="s">
        <v>349</v>
      </c>
      <c r="C7" s="670">
        <v>2242</v>
      </c>
      <c r="D7" s="671">
        <v>1826</v>
      </c>
      <c r="E7" s="671">
        <v>20</v>
      </c>
      <c r="F7" s="672">
        <v>15</v>
      </c>
      <c r="H7" s="1072"/>
      <c r="I7" s="655" t="s">
        <v>349</v>
      </c>
      <c r="J7" s="763">
        <f>IFERROR(COUNT(AGITO_LIGHT_STD_SILVER),"")</f>
        <v>92</v>
      </c>
      <c r="K7" s="686">
        <f>IFERROR(AVERAGE(AGITO_LIGHT_STD_SILVER), "")</f>
        <v>5.2065217391304346</v>
      </c>
      <c r="L7" s="763">
        <f>IFERROR(COUNT(AGITO_LIGHT_EXP_SILVER),"")</f>
        <v>825</v>
      </c>
      <c r="M7" s="686">
        <f>IFERROR(AVERAGE(AGITO_LIGHT_EXP_SILVER),"")</f>
        <v>2.5709090909090908</v>
      </c>
      <c r="N7" s="687">
        <f>IFERROR(AVERAGE(AGITO_LIGHT_EXP_GOLD),"")</f>
        <v>3.5127272727272727</v>
      </c>
      <c r="O7" s="700" t="s">
        <v>358</v>
      </c>
      <c r="P7" s="698"/>
      <c r="Q7" s="692"/>
      <c r="R7" s="692"/>
      <c r="S7" s="240"/>
      <c r="T7" s="240"/>
      <c r="U7" s="626"/>
    </row>
    <row r="8" spans="1:23" s="307" customFormat="1" ht="21.95" customHeight="1" x14ac:dyDescent="0.25">
      <c r="B8" s="656" t="s">
        <v>350</v>
      </c>
      <c r="C8" s="673"/>
      <c r="D8" s="674"/>
      <c r="E8" s="674"/>
      <c r="F8" s="675"/>
      <c r="H8" s="1072"/>
      <c r="I8" s="770" t="s">
        <v>350</v>
      </c>
      <c r="J8" s="764">
        <f>IFERROR(COUNT(AGITO_SHADOW_STD_SILVER),"")</f>
        <v>0</v>
      </c>
      <c r="K8" s="766" t="str">
        <f>IFERROR(AVERAGE(AGITO_SHADOW_STD_SILVER), "")</f>
        <v/>
      </c>
      <c r="L8" s="764">
        <f>IFERROR(COUNT(AGITO_SHADOW_EXP_SILVER),"")</f>
        <v>0</v>
      </c>
      <c r="M8" s="766" t="str">
        <f>IFERROR(AVERAGE(AGITO_SHADOW_EXP_SILVER),"")</f>
        <v/>
      </c>
      <c r="N8" s="774" t="str">
        <f>IFERROR(AVERAGE(AGITO_SHADOW_EXP_GOLD),"")</f>
        <v/>
      </c>
      <c r="O8" s="700"/>
      <c r="P8" s="698"/>
      <c r="Q8" s="692"/>
      <c r="R8" s="692"/>
      <c r="S8" s="240"/>
      <c r="T8" s="240"/>
    </row>
    <row r="9" spans="1:23" s="307" customFormat="1" ht="21.95" customHeight="1" x14ac:dyDescent="0.25">
      <c r="B9" s="613"/>
      <c r="C9" s="767"/>
      <c r="D9" s="767"/>
      <c r="E9" s="767"/>
      <c r="F9" s="767"/>
      <c r="H9" s="1073"/>
      <c r="I9" s="771" t="s">
        <v>238</v>
      </c>
      <c r="J9" s="772">
        <f>IFERROR(COUNT(AGITO_FLAME_STD_SILVER,AGITO_WATER_STD_SILVER,AGITO_WIND_STD_SILVER,AGITO_LIGHT_STD_SILVER,AGITO_SHADOW_STD_SILVER),"")</f>
        <v>526</v>
      </c>
      <c r="K9" s="775">
        <f>IFERROR(AVERAGE(AGITO_FLAME_STD_SILVER,AGITO_WATER_STD_SILVER,AGITO_WIND_STD_SILVER,AGITO_LIGHT_STD_SILVER,AGITO_SHADOW_STD_SILVER),"")</f>
        <v>5.1844106463878328</v>
      </c>
      <c r="L9" s="772">
        <f>IFERROR(COUNT(AGITO_FLAME_EXP_SILVER,AGITO_WATER_EXP_SILVER,AGITO_WIND_EXP_SILVER,AGITO_LIGHT_EXP_SILVER,AGITO_SHADOW_EXP_SILVER),"")</f>
        <v>1944</v>
      </c>
      <c r="M9" s="775">
        <f>IFERROR(AVERAGE(AGITO_FLAME_EXP_SILVER,AGITO_WATER_EXP_SILVER,AGITO_WIND_EXP_SILVER,AGITO_LIGHT_EXP_SILVER,AGITO_SHADOW_EXP_SILVER),"")</f>
        <v>2.6141975308641974</v>
      </c>
      <c r="N9" s="773">
        <f>IFERROR(AVERAGE(AGITO_FLAME_EXP_GOLD,AGITO_WATER_EXP_GOLD,AGITO_WIND_EXP_GOLD,AGITO_LIGHT_EXP_GOLD,AGITO_SHADOW_EXP_GOLD),"")</f>
        <v>3.4794238683127574</v>
      </c>
      <c r="O9" s="768"/>
      <c r="P9" s="769"/>
      <c r="Q9" s="769"/>
      <c r="R9" s="700"/>
      <c r="S9" s="698"/>
      <c r="T9" s="692"/>
      <c r="U9" s="692"/>
      <c r="V9" s="240"/>
      <c r="W9" s="240"/>
    </row>
    <row r="10" spans="1:23" ht="15" customHeight="1" x14ac:dyDescent="0.25">
      <c r="B10" s="1105" t="s">
        <v>38</v>
      </c>
      <c r="C10" s="1058" t="s">
        <v>354</v>
      </c>
      <c r="D10" s="1100"/>
      <c r="E10" s="1100"/>
      <c r="F10" s="1059"/>
      <c r="H10" s="240"/>
      <c r="I10" s="240"/>
      <c r="J10" s="240"/>
      <c r="K10" s="240"/>
      <c r="L10" s="240"/>
      <c r="M10" s="240"/>
      <c r="N10" s="240"/>
      <c r="O10" s="240"/>
      <c r="P10" s="240"/>
      <c r="Q10" s="699"/>
      <c r="R10" s="240"/>
      <c r="S10" s="240"/>
      <c r="T10" s="240"/>
      <c r="U10" s="240"/>
      <c r="V10" s="240"/>
    </row>
    <row r="11" spans="1:23" x14ac:dyDescent="0.25">
      <c r="B11" s="1106"/>
      <c r="C11" s="1109" t="s">
        <v>65</v>
      </c>
      <c r="D11" s="878"/>
      <c r="E11" s="878" t="s">
        <v>64</v>
      </c>
      <c r="F11" s="1108"/>
      <c r="H11" s="657"/>
      <c r="I11" s="658" t="s">
        <v>168</v>
      </c>
      <c r="J11" s="659" t="s">
        <v>7</v>
      </c>
      <c r="K11" s="659" t="s">
        <v>248</v>
      </c>
      <c r="L11" s="659" t="s">
        <v>5</v>
      </c>
      <c r="M11" s="659" t="s">
        <v>10</v>
      </c>
      <c r="N11" s="659" t="s">
        <v>13</v>
      </c>
      <c r="O11" s="659" t="s">
        <v>4</v>
      </c>
      <c r="P11" s="660" t="s">
        <v>249</v>
      </c>
      <c r="Q11" s="701" t="s">
        <v>357</v>
      </c>
      <c r="R11" s="1078" t="s">
        <v>24</v>
      </c>
      <c r="S11" s="1079"/>
      <c r="T11" s="765" t="s">
        <v>351</v>
      </c>
      <c r="U11" s="660" t="s">
        <v>352</v>
      </c>
      <c r="V11" s="691" t="s">
        <v>323</v>
      </c>
    </row>
    <row r="12" spans="1:23" s="307" customFormat="1" ht="18.95" customHeight="1" x14ac:dyDescent="0.25">
      <c r="B12" s="1106"/>
      <c r="C12" s="1112" t="str">
        <f>IF(ISBLANK(F4),"",INDEX(DATA_AGITO_BUILDING,F4+ 1, 1))</f>
        <v/>
      </c>
      <c r="D12" s="1110"/>
      <c r="E12" s="1110" t="str">
        <f>IF(ISBLANK(F4),"",INDEX(DATA_AGITO_BUILDING,F4+ 1, 2))</f>
        <v/>
      </c>
      <c r="F12" s="1111"/>
      <c r="H12" s="968" t="s">
        <v>346</v>
      </c>
      <c r="I12" s="1080"/>
      <c r="J12" s="1082"/>
      <c r="K12" s="1082"/>
      <c r="L12" s="1082"/>
      <c r="M12" s="1082"/>
      <c r="N12" s="1082"/>
      <c r="O12" s="1082"/>
      <c r="P12" s="1084"/>
      <c r="Q12" s="704" t="str" cm="1">
        <f t="array" ref="Q12">IF(ISBLANK(C4),"",(SUM(I14:P14) + C4) / AGITO_WEAPON_MUB_SILVER)</f>
        <v/>
      </c>
      <c r="R12" s="615" cm="1">
        <f t="array" ref="R12">-(E4 * AGITO_WEAPON_MUB_SILVER - SUM(I14:P14) - C4)</f>
        <v>0</v>
      </c>
      <c r="S12" s="690" t="s">
        <v>65</v>
      </c>
      <c r="T12" s="678" t="str">
        <f>IF(R12&lt;0, _xlfn.CEILING.MATH(-R12/K4),"")</f>
        <v/>
      </c>
      <c r="U12" s="688" t="str">
        <f>IF(R12&lt;0, _xlfn.CEILING.MATH(-R12/M4),"")</f>
        <v/>
      </c>
      <c r="V12" s="693" t="str">
        <f>IFERROR((-E4 * AGITO_WEAPON_MUB_SILVER - R12)/(-E4 * AGITO_WEAPON_MUB_SILVER),"")</f>
        <v/>
      </c>
    </row>
    <row r="13" spans="1:23" s="307" customFormat="1" ht="18.95" customHeight="1" x14ac:dyDescent="0.25">
      <c r="B13" s="1106"/>
      <c r="C13" s="1112"/>
      <c r="D13" s="1110"/>
      <c r="E13" s="1110"/>
      <c r="F13" s="1111"/>
      <c r="H13" s="970"/>
      <c r="I13" s="1081"/>
      <c r="J13" s="1083"/>
      <c r="K13" s="1083"/>
      <c r="L13" s="1083"/>
      <c r="M13" s="1083"/>
      <c r="N13" s="1083"/>
      <c r="O13" s="1083"/>
      <c r="P13" s="1085"/>
      <c r="Q13" s="705" t="str" cm="1">
        <f t="array" ref="Q13">IF(ISBLANK(D4),"",(SUM(I15:P15) + D4) / AGITO_WEAPON_MUB_GOLD)</f>
        <v/>
      </c>
      <c r="R13" s="616" cm="1">
        <f t="array" ref="R13">-(E4 * AGITO_WEAPON_MUB_GOLD - SUM(I15:P15) - D4)</f>
        <v>0</v>
      </c>
      <c r="S13" s="634" t="s">
        <v>64</v>
      </c>
      <c r="T13" s="679"/>
      <c r="U13" s="689" t="str">
        <f>IF(R13&lt;0, _xlfn.CEILING.MATH(-R13/N4),"")</f>
        <v/>
      </c>
      <c r="V13" s="694" t="str">
        <f>IFERROR((-E4 * AGITO_WEAPON_MUB_GOLD - R13)/(-E4 * AGITO_WEAPON_MUB_GOLD),"")</f>
        <v/>
      </c>
    </row>
    <row r="14" spans="1:23" ht="18.75" hidden="1" customHeight="1" x14ac:dyDescent="0.25">
      <c r="B14" s="1106"/>
      <c r="C14" s="777"/>
      <c r="D14" s="778"/>
      <c r="E14" s="779"/>
      <c r="F14" s="780"/>
      <c r="H14" s="633"/>
      <c r="I14" s="709">
        <f>_xlfn.IFNA(VLOOKUP(I12,DATA_AGITO_WEAPON,2,FALSE), 0)</f>
        <v>0</v>
      </c>
      <c r="J14" s="710">
        <f>_xlfn.IFNA(VLOOKUP(J12,DATA_AGITO_WEAPON,2,FALSE), 0)</f>
        <v>0</v>
      </c>
      <c r="K14" s="710">
        <f>_xlfn.IFNA(VLOOKUP(K12,DATA_AGITO_WEAPON,2,FALSE), 0)</f>
        <v>0</v>
      </c>
      <c r="L14" s="710">
        <f>_xlfn.IFNA(VLOOKUP(L12,DATA_AGITO_WEAPON,2,FALSE), 0)</f>
        <v>0</v>
      </c>
      <c r="M14" s="710">
        <f>_xlfn.IFNA(VLOOKUP(M12,DATA_AGITO_WEAPON,2,FALSE), 0)</f>
        <v>0</v>
      </c>
      <c r="N14" s="710">
        <f>_xlfn.IFNA(VLOOKUP(N12,DATA_AGITO_WEAPON,2,FALSE), 0)</f>
        <v>0</v>
      </c>
      <c r="O14" s="710">
        <f>_xlfn.IFNA(VLOOKUP(O12,DATA_AGITO_WEAPON,2,FALSE), 0)</f>
        <v>0</v>
      </c>
      <c r="P14" s="711">
        <f>_xlfn.IFNA(VLOOKUP(P12,DATA_AGITO_WEAPON,2,FALSE), 0)</f>
        <v>0</v>
      </c>
      <c r="Q14" s="706"/>
      <c r="R14" s="640"/>
      <c r="S14" s="760"/>
      <c r="T14" s="776"/>
      <c r="U14" s="647"/>
      <c r="V14" s="694"/>
    </row>
    <row r="15" spans="1:23" ht="24" hidden="1" customHeight="1" x14ac:dyDescent="0.25">
      <c r="B15" s="1106"/>
      <c r="C15" s="777"/>
      <c r="D15" s="778"/>
      <c r="E15" s="779"/>
      <c r="F15" s="780"/>
      <c r="H15" s="557"/>
      <c r="I15" s="712">
        <f>_xlfn.IFNA(VLOOKUP(I12,DATA_AGITO_WEAPON,3,FALSE), 0)</f>
        <v>0</v>
      </c>
      <c r="J15" s="713">
        <f>_xlfn.IFNA(VLOOKUP(J12,DATA_AGITO_WEAPON,3,FALSE), 0)</f>
        <v>0</v>
      </c>
      <c r="K15" s="713">
        <f>_xlfn.IFNA(VLOOKUP(K12,DATA_AGITO_WEAPON,3,FALSE), 0)</f>
        <v>0</v>
      </c>
      <c r="L15" s="713">
        <f>_xlfn.IFNA(VLOOKUP(L12,DATA_AGITO_WEAPON,3,FALSE), 0)</f>
        <v>0</v>
      </c>
      <c r="M15" s="713">
        <f>_xlfn.IFNA(VLOOKUP(M12,DATA_AGITO_WEAPON,3,FALSE), 0)</f>
        <v>0</v>
      </c>
      <c r="N15" s="713">
        <f>_xlfn.IFNA(VLOOKUP(N12,DATA_AGITO_WEAPON,3,FALSE), 0)</f>
        <v>0</v>
      </c>
      <c r="O15" s="713">
        <f>_xlfn.IFNA(VLOOKUP(O12,DATA_AGITO_WEAPON,3,FALSE), 0)</f>
        <v>0</v>
      </c>
      <c r="P15" s="714">
        <f>_xlfn.IFNA(VLOOKUP(P12,DATA_AGITO_WEAPON,3,FALSE), 0)</f>
        <v>0</v>
      </c>
      <c r="Q15" s="706"/>
      <c r="R15" s="642"/>
      <c r="S15" s="762"/>
      <c r="T15" s="679"/>
      <c r="U15" s="689"/>
      <c r="V15" s="697"/>
    </row>
    <row r="16" spans="1:23" s="307" customFormat="1" ht="18.95" customHeight="1" x14ac:dyDescent="0.25">
      <c r="B16" s="1106"/>
      <c r="C16" s="1113">
        <f>IF(ISBLANK(F5),"",INDEX(DATA_AGITO_BUILDING,F5+ 1, 1))</f>
        <v>0</v>
      </c>
      <c r="D16" s="1114"/>
      <c r="E16" s="1115">
        <f>IF(ISBLANK(F5),"",INDEX(DATA_AGITO_BUILDING,F5+ 1, 2))</f>
        <v>0</v>
      </c>
      <c r="F16" s="1115"/>
      <c r="H16" s="964" t="s">
        <v>347</v>
      </c>
      <c r="I16" s="1096"/>
      <c r="J16" s="1076"/>
      <c r="K16" s="1076"/>
      <c r="L16" s="1076">
        <v>614</v>
      </c>
      <c r="M16" s="1076">
        <v>614</v>
      </c>
      <c r="N16" s="1076">
        <v>614</v>
      </c>
      <c r="O16" s="1076"/>
      <c r="P16" s="1090"/>
      <c r="Q16" s="704" cm="1">
        <f t="array" ref="Q16">IF(ISBLANK(C5),"",(SUM(I18:P18) + C5) / AGITO_WEAPON_MUB_SILVER)</f>
        <v>4.1500000000000004</v>
      </c>
      <c r="R16" s="615" cm="1">
        <f t="array" ref="R16">-(E5 * AGITO_WEAPON_MUB_SILVER - SUM(I18:P18) - C5)</f>
        <v>-770</v>
      </c>
      <c r="S16" s="690" t="s">
        <v>65</v>
      </c>
      <c r="T16" s="776">
        <f>IF(R16&lt;0, _xlfn.CEILING.MATH(-R16/K5),"")</f>
        <v>151</v>
      </c>
      <c r="U16" s="647">
        <f>IF(R16&lt;0, _xlfn.CEILING.MATH(-R16/M5),"")</f>
        <v>302</v>
      </c>
      <c r="V16" s="693">
        <f>IFERROR((-E5 * AGITO_WEAPON_MUB_SILVER - R16)/(-E5 * AGITO_WEAPON_MUB_SILVER),"")</f>
        <v>0.51875000000000004</v>
      </c>
    </row>
    <row r="17" spans="2:22" s="307" customFormat="1" ht="18.95" customHeight="1" x14ac:dyDescent="0.25">
      <c r="B17" s="1106"/>
      <c r="C17" s="1113"/>
      <c r="D17" s="1114"/>
      <c r="E17" s="1115"/>
      <c r="F17" s="1115"/>
      <c r="H17" s="966"/>
      <c r="I17" s="1097"/>
      <c r="J17" s="1077"/>
      <c r="K17" s="1077"/>
      <c r="L17" s="1077"/>
      <c r="M17" s="1077"/>
      <c r="N17" s="1077"/>
      <c r="O17" s="1077"/>
      <c r="P17" s="1091"/>
      <c r="Q17" s="705" cm="1">
        <f t="array" ref="Q17">IF(ISBLANK(D5),"",(SUM(I19:P19) + D5) / AGITO_WEAPON_MUB_GOLD)</f>
        <v>5.2</v>
      </c>
      <c r="R17" s="616" cm="1">
        <f t="array" ref="R17">-(E5 * AGITO_WEAPON_MUB_GOLD - SUM(I19:P19) - D5)</f>
        <v>-420</v>
      </c>
      <c r="S17" s="634" t="s">
        <v>64</v>
      </c>
      <c r="T17" s="679"/>
      <c r="U17" s="689">
        <f>IF(R17&lt;0, _xlfn.CEILING.MATH(-R17/N5),"")</f>
        <v>122</v>
      </c>
      <c r="V17" s="694">
        <f>IFERROR((-E5 * AGITO_WEAPON_MUB_GOLD - R17)/(-E5 * AGITO_WEAPON_MUB_GOLD),"")</f>
        <v>0.65</v>
      </c>
    </row>
    <row r="18" spans="2:22" ht="18.95" hidden="1" customHeight="1" x14ac:dyDescent="0.25">
      <c r="B18" s="1106"/>
      <c r="C18" s="781"/>
      <c r="D18" s="778"/>
      <c r="E18" s="782"/>
      <c r="F18" s="780"/>
      <c r="H18" s="632"/>
      <c r="I18" s="715">
        <f>_xlfn.IFNA(VLOOKUP(I16,DATA_AGITO_WEAPON,2,FALSE), 0)</f>
        <v>0</v>
      </c>
      <c r="J18" s="716">
        <f>_xlfn.IFNA(VLOOKUP(J16,DATA_AGITO_WEAPON,2,FALSE), 0)</f>
        <v>0</v>
      </c>
      <c r="K18" s="716">
        <f>_xlfn.IFNA(VLOOKUP(K16,DATA_AGITO_WEAPON,2,FALSE), 0)</f>
        <v>0</v>
      </c>
      <c r="L18" s="716">
        <f>_xlfn.IFNA(VLOOKUP(L16,DATA_AGITO_WEAPON,2,FALSE), 0)</f>
        <v>200</v>
      </c>
      <c r="M18" s="716">
        <f>_xlfn.IFNA(VLOOKUP(M16,DATA_AGITO_WEAPON,2,FALSE), 0)</f>
        <v>200</v>
      </c>
      <c r="N18" s="716">
        <f>_xlfn.IFNA(VLOOKUP(N16,DATA_AGITO_WEAPON,2,FALSE), 0)</f>
        <v>200</v>
      </c>
      <c r="O18" s="716">
        <f>_xlfn.IFNA(VLOOKUP(O16,DATA_AGITO_WEAPON,2,FALSE), 0)</f>
        <v>0</v>
      </c>
      <c r="P18" s="717">
        <f>_xlfn.IFNA(VLOOKUP(P16,DATA_AGITO_WEAPON,2,FALSE), 0)</f>
        <v>0</v>
      </c>
      <c r="Q18" s="706"/>
      <c r="R18" s="640"/>
      <c r="S18" s="635"/>
      <c r="T18" s="647"/>
      <c r="U18" s="647"/>
      <c r="V18" s="695"/>
    </row>
    <row r="19" spans="2:22" ht="18.95" hidden="1" customHeight="1" x14ac:dyDescent="0.25">
      <c r="B19" s="1106"/>
      <c r="C19" s="781"/>
      <c r="D19" s="778"/>
      <c r="E19" s="782"/>
      <c r="F19" s="780"/>
      <c r="H19" s="556"/>
      <c r="I19" s="718">
        <f>_xlfn.IFNA(VLOOKUP(I16,DATA_AGITO_WEAPON,3,FALSE), 0)</f>
        <v>0</v>
      </c>
      <c r="J19" s="719">
        <f>_xlfn.IFNA(VLOOKUP(J16,DATA_AGITO_WEAPON,3,FALSE), 0)</f>
        <v>0</v>
      </c>
      <c r="K19" s="719">
        <f>_xlfn.IFNA(VLOOKUP(K16,DATA_AGITO_WEAPON,3,FALSE), 0)</f>
        <v>0</v>
      </c>
      <c r="L19" s="719">
        <f>_xlfn.IFNA(VLOOKUP(L16,DATA_AGITO_WEAPON,3,FALSE), 0)</f>
        <v>150</v>
      </c>
      <c r="M19" s="719">
        <f>_xlfn.IFNA(VLOOKUP(M16,DATA_AGITO_WEAPON,3,FALSE), 0)</f>
        <v>150</v>
      </c>
      <c r="N19" s="719">
        <f>_xlfn.IFNA(VLOOKUP(N16,DATA_AGITO_WEAPON,3,FALSE), 0)</f>
        <v>150</v>
      </c>
      <c r="O19" s="719">
        <f>_xlfn.IFNA(VLOOKUP(O16,DATA_AGITO_WEAPON,3,FALSE), 0)</f>
        <v>0</v>
      </c>
      <c r="P19" s="720">
        <f>_xlfn.IFNA(VLOOKUP(P16,DATA_AGITO_WEAPON,3,FALSE), 0)</f>
        <v>0</v>
      </c>
      <c r="Q19" s="706"/>
      <c r="R19" s="642"/>
      <c r="S19" s="651"/>
      <c r="T19" s="647"/>
      <c r="U19" s="647"/>
      <c r="V19" s="696"/>
    </row>
    <row r="20" spans="2:22" s="307" customFormat="1" ht="18.95" customHeight="1" x14ac:dyDescent="0.25">
      <c r="B20" s="1106"/>
      <c r="C20" s="1116">
        <f>IF(ISBLANK(F6),"",INDEX(DATA_AGITO_BUILDING,F6+ 1, 1))</f>
        <v>0</v>
      </c>
      <c r="D20" s="1117"/>
      <c r="E20" s="1118">
        <f>IF(ISBLANK(F6),"",INDEX(DATA_AGITO_BUILDING,F6+ 1, 2))</f>
        <v>0</v>
      </c>
      <c r="F20" s="1118"/>
      <c r="H20" s="1027" t="s">
        <v>348</v>
      </c>
      <c r="I20" s="1103">
        <v>614</v>
      </c>
      <c r="J20" s="1092">
        <v>614</v>
      </c>
      <c r="K20" s="1092">
        <v>614</v>
      </c>
      <c r="L20" s="1092">
        <v>614</v>
      </c>
      <c r="M20" s="1092">
        <v>614</v>
      </c>
      <c r="N20" s="1092">
        <v>614</v>
      </c>
      <c r="O20" s="1092">
        <v>614</v>
      </c>
      <c r="P20" s="1094">
        <v>614</v>
      </c>
      <c r="Q20" s="704" cm="1">
        <f t="array" ref="Q20">IF(ISBLANK(C6),"",(SUM(I22:P22) + C6) / AGITO_WEAPON_MUB_SILVER)</f>
        <v>23.7</v>
      </c>
      <c r="R20" s="615" cm="1">
        <f t="array" ref="R20">-(E6 * AGITO_WEAPON_MUB_SILVER - SUM(I22:P22) - C6)</f>
        <v>-60</v>
      </c>
      <c r="S20" s="690" t="s">
        <v>65</v>
      </c>
      <c r="T20" s="678">
        <f>IF(R20&lt;0, _xlfn.CEILING.MATH(-R20/K6),"")</f>
        <v>12</v>
      </c>
      <c r="U20" s="688">
        <f>IF(R20&lt;0, _xlfn.CEILING.MATH(-R20/M6),"")</f>
        <v>23</v>
      </c>
      <c r="V20" s="693">
        <f>IFERROR((-E6 * AGITO_WEAPON_MUB_SILVER - R20)/(-E6 * AGITO_WEAPON_MUB_SILVER),"")</f>
        <v>0.98750000000000004</v>
      </c>
    </row>
    <row r="21" spans="2:22" s="307" customFormat="1" ht="18.95" customHeight="1" x14ac:dyDescent="0.25">
      <c r="B21" s="1106"/>
      <c r="C21" s="1116"/>
      <c r="D21" s="1117"/>
      <c r="E21" s="1118"/>
      <c r="F21" s="1118"/>
      <c r="H21" s="1029"/>
      <c r="I21" s="1104"/>
      <c r="J21" s="1093"/>
      <c r="K21" s="1093"/>
      <c r="L21" s="1093"/>
      <c r="M21" s="1093"/>
      <c r="N21" s="1093"/>
      <c r="O21" s="1093"/>
      <c r="P21" s="1095"/>
      <c r="Q21" s="705" cm="1">
        <f t="array" ref="Q21">IF(ISBLANK(D6),"",(SUM(I23:P23) + D6) / AGITO_WEAPON_MUB_GOLD)</f>
        <v>25.16</v>
      </c>
      <c r="R21" s="616" cm="1">
        <f t="array" ref="R21">-(E6 * AGITO_WEAPON_MUB_GOLD - SUM(I23:P23) - D6)</f>
        <v>174</v>
      </c>
      <c r="S21" s="634" t="s">
        <v>64</v>
      </c>
      <c r="T21" s="679"/>
      <c r="U21" s="689" t="str">
        <f>IF(R21&lt;0, _xlfn.CEILING.MATH(-R21/N6),"")</f>
        <v/>
      </c>
      <c r="V21" s="694">
        <f>IFERROR((-E6 * AGITO_WEAPON_MUB_GOLD - R21)/(-E6 * AGITO_WEAPON_MUB_GOLD),"")</f>
        <v>1.0483333333333333</v>
      </c>
    </row>
    <row r="22" spans="2:22" ht="24.75" hidden="1" customHeight="1" x14ac:dyDescent="0.25">
      <c r="B22" s="1106"/>
      <c r="C22" s="783"/>
      <c r="D22" s="778"/>
      <c r="E22" s="784"/>
      <c r="F22" s="780"/>
      <c r="H22" s="628"/>
      <c r="I22" s="721">
        <f>_xlfn.IFNA(VLOOKUP(I20,DATA_AGITO_WEAPON,2,FALSE), 0)</f>
        <v>200</v>
      </c>
      <c r="J22" s="722">
        <f>_xlfn.IFNA(VLOOKUP(J20,DATA_AGITO_WEAPON,2,FALSE), 0)</f>
        <v>200</v>
      </c>
      <c r="K22" s="722">
        <f>_xlfn.IFNA(VLOOKUP(K20,DATA_AGITO_WEAPON,2,FALSE), 0)</f>
        <v>200</v>
      </c>
      <c r="L22" s="722">
        <f>_xlfn.IFNA(VLOOKUP(L20,DATA_AGITO_WEAPON,2,FALSE), 0)</f>
        <v>200</v>
      </c>
      <c r="M22" s="722">
        <f>_xlfn.IFNA(VLOOKUP(M20,DATA_AGITO_WEAPON,2,FALSE), 0)</f>
        <v>200</v>
      </c>
      <c r="N22" s="722">
        <f>_xlfn.IFNA(VLOOKUP(N20,DATA_AGITO_WEAPON,2,FALSE), 0)</f>
        <v>200</v>
      </c>
      <c r="O22" s="722">
        <f>_xlfn.IFNA(VLOOKUP(O20,DATA_AGITO_WEAPON,2,FALSE), 0)</f>
        <v>200</v>
      </c>
      <c r="P22" s="723">
        <f>_xlfn.IFNA(VLOOKUP(P20,DATA_AGITO_WEAPON,2,FALSE), 0)</f>
        <v>200</v>
      </c>
      <c r="Q22" s="706"/>
      <c r="R22" s="640"/>
      <c r="S22" s="635"/>
      <c r="T22" s="647"/>
      <c r="U22" s="647"/>
      <c r="V22" s="695"/>
    </row>
    <row r="23" spans="2:22" ht="35.25" hidden="1" customHeight="1" x14ac:dyDescent="0.25">
      <c r="B23" s="1106"/>
      <c r="C23" s="783"/>
      <c r="D23" s="778"/>
      <c r="E23" s="784"/>
      <c r="F23" s="780"/>
      <c r="H23" s="628"/>
      <c r="I23" s="721">
        <f>_xlfn.IFNA(VLOOKUP(I20,DATA_AGITO_WEAPON,3,FALSE), 0)</f>
        <v>150</v>
      </c>
      <c r="J23" s="722">
        <f>_xlfn.IFNA(VLOOKUP(J20,DATA_AGITO_WEAPON,3,FALSE), 0)</f>
        <v>150</v>
      </c>
      <c r="K23" s="722">
        <f>_xlfn.IFNA(VLOOKUP(K20,DATA_AGITO_WEAPON,3,FALSE), 0)</f>
        <v>150</v>
      </c>
      <c r="L23" s="722">
        <f>_xlfn.IFNA(VLOOKUP(L20,DATA_AGITO_WEAPON,3,FALSE), 0)</f>
        <v>150</v>
      </c>
      <c r="M23" s="722">
        <f>_xlfn.IFNA(VLOOKUP(M20,DATA_AGITO_WEAPON,3,FALSE), 0)</f>
        <v>150</v>
      </c>
      <c r="N23" s="722">
        <f>_xlfn.IFNA(VLOOKUP(N20,DATA_AGITO_WEAPON,3,FALSE), 0)</f>
        <v>150</v>
      </c>
      <c r="O23" s="722">
        <f>_xlfn.IFNA(VLOOKUP(O20,DATA_AGITO_WEAPON,3,FALSE), 0)</f>
        <v>150</v>
      </c>
      <c r="P23" s="723">
        <f>_xlfn.IFNA(VLOOKUP(P20,DATA_AGITO_WEAPON,3,FALSE), 0)</f>
        <v>150</v>
      </c>
      <c r="Q23" s="706"/>
      <c r="R23" s="640"/>
      <c r="S23" s="635"/>
      <c r="T23" s="647"/>
      <c r="U23" s="647"/>
      <c r="V23" s="696"/>
    </row>
    <row r="24" spans="2:22" ht="18.95" customHeight="1" x14ac:dyDescent="0.25">
      <c r="B24" s="1106"/>
      <c r="C24" s="1119">
        <f>IF(ISBLANK(F7),"",INDEX(DATA_AGITO_BUILDING,F7+ 1, 1))</f>
        <v>0</v>
      </c>
      <c r="D24" s="1120"/>
      <c r="E24" s="1064">
        <f>IF(ISBLANK(F7),"",INDEX(DATA_AGITO_BUILDING,F7+ 1, 2))</f>
        <v>0</v>
      </c>
      <c r="F24" s="1064"/>
      <c r="H24" s="1006" t="s">
        <v>349</v>
      </c>
      <c r="I24" s="1074">
        <v>614</v>
      </c>
      <c r="J24" s="1060">
        <v>614</v>
      </c>
      <c r="K24" s="1060">
        <v>614</v>
      </c>
      <c r="L24" s="1060">
        <v>614</v>
      </c>
      <c r="M24" s="1060">
        <v>614</v>
      </c>
      <c r="N24" s="1060">
        <v>614</v>
      </c>
      <c r="O24" s="1060">
        <v>614</v>
      </c>
      <c r="P24" s="1098">
        <v>614</v>
      </c>
      <c r="Q24" s="704" cm="1">
        <f t="array" ref="Q24">IF(ISBLANK(C7),"",(SUM(I26:P26) + C7) / AGITO_WEAPON_MUB_SILVER)</f>
        <v>19.21</v>
      </c>
      <c r="R24" s="615" cm="1">
        <f t="array" ref="R24">-(E7 * AGITO_WEAPON_MUB_SILVER - SUM(I26:P26) - C7)</f>
        <v>-158</v>
      </c>
      <c r="S24" s="690" t="s">
        <v>65</v>
      </c>
      <c r="T24" s="678">
        <f>IF(R24&lt;0, _xlfn.CEILING.MATH(-R24/K7),"")</f>
        <v>31</v>
      </c>
      <c r="U24" s="688">
        <f>IF(R24&lt;0, _xlfn.CEILING.MATH(-R24/M7),"")</f>
        <v>62</v>
      </c>
      <c r="V24" s="693">
        <f>IFERROR((-E7 * AGITO_WEAPON_MUB_SILVER - R24)/(-E7 * AGITO_WEAPON_MUB_SILVER),"")</f>
        <v>0.96050000000000002</v>
      </c>
    </row>
    <row r="25" spans="2:22" ht="18.95" customHeight="1" x14ac:dyDescent="0.25">
      <c r="B25" s="1106"/>
      <c r="C25" s="1119"/>
      <c r="D25" s="1120"/>
      <c r="E25" s="1064"/>
      <c r="F25" s="1064"/>
      <c r="H25" s="1008"/>
      <c r="I25" s="1075"/>
      <c r="J25" s="1061"/>
      <c r="K25" s="1061"/>
      <c r="L25" s="1061"/>
      <c r="M25" s="1061"/>
      <c r="N25" s="1061"/>
      <c r="O25" s="1061"/>
      <c r="P25" s="1099"/>
      <c r="Q25" s="705" cm="1">
        <f t="array" ref="Q25">IF(ISBLANK(D7),"",(SUM(I27:P27) + D7) / AGITO_WEAPON_MUB_GOLD)</f>
        <v>20.173333333333332</v>
      </c>
      <c r="R25" s="616" cm="1">
        <f t="array" ref="R25">-(E7 * AGITO_WEAPON_MUB_GOLD - SUM(I27:P27) - D7)</f>
        <v>26</v>
      </c>
      <c r="S25" s="634" t="s">
        <v>64</v>
      </c>
      <c r="T25" s="679"/>
      <c r="U25" s="689" t="str">
        <f>IF(R25&lt;0, _xlfn.CEILING.MATH(-R25/N7),"")</f>
        <v/>
      </c>
      <c r="V25" s="694">
        <f>IFERROR((-E7 * AGITO_WEAPON_MUB_GOLD - R25)/(-E7 * AGITO_WEAPON_MUB_GOLD),"")</f>
        <v>1.0086666666666666</v>
      </c>
    </row>
    <row r="26" spans="2:22" ht="18.95" hidden="1" customHeight="1" x14ac:dyDescent="0.25">
      <c r="B26" s="1106"/>
      <c r="C26" s="785"/>
      <c r="D26" s="778"/>
      <c r="E26" s="786"/>
      <c r="F26" s="780"/>
      <c r="H26" s="631"/>
      <c r="I26" s="724">
        <f>_xlfn.IFNA(VLOOKUP(I24,DATA_AGITO_WEAPON,2,FALSE), 0)</f>
        <v>200</v>
      </c>
      <c r="J26" s="725">
        <f>_xlfn.IFNA(VLOOKUP(J24,DATA_AGITO_WEAPON,2,FALSE), 0)</f>
        <v>200</v>
      </c>
      <c r="K26" s="725">
        <f>_xlfn.IFNA(VLOOKUP(K24,DATA_AGITO_WEAPON,2,FALSE), 0)</f>
        <v>200</v>
      </c>
      <c r="L26" s="725">
        <f>_xlfn.IFNA(VLOOKUP(L24,DATA_AGITO_WEAPON,2,FALSE), 0)</f>
        <v>200</v>
      </c>
      <c r="M26" s="725">
        <f>_xlfn.IFNA(VLOOKUP(M24,DATA_AGITO_WEAPON,2,FALSE), 0)</f>
        <v>200</v>
      </c>
      <c r="N26" s="725">
        <f>_xlfn.IFNA(VLOOKUP(N24,DATA_AGITO_WEAPON,2,FALSE), 0)</f>
        <v>200</v>
      </c>
      <c r="O26" s="725">
        <f>_xlfn.IFNA(VLOOKUP(O24,DATA_AGITO_WEAPON,2,FALSE), 0)</f>
        <v>200</v>
      </c>
      <c r="P26" s="726">
        <f>_xlfn.IFNA(VLOOKUP(P24,DATA_AGITO_WEAPON,2,FALSE), 0)</f>
        <v>200</v>
      </c>
      <c r="Q26" s="706"/>
      <c r="R26" s="640"/>
      <c r="S26" s="635"/>
      <c r="T26" s="647"/>
      <c r="U26" s="647"/>
      <c r="V26" s="694"/>
    </row>
    <row r="27" spans="2:22" ht="18.95" hidden="1" customHeight="1" x14ac:dyDescent="0.25">
      <c r="B27" s="1106"/>
      <c r="C27" s="785"/>
      <c r="D27" s="778"/>
      <c r="E27" s="786"/>
      <c r="F27" s="780"/>
      <c r="H27" s="554"/>
      <c r="I27" s="727">
        <f>_xlfn.IFNA(VLOOKUP(I24,DATA_AGITO_WEAPON,3,FALSE), 0)</f>
        <v>150</v>
      </c>
      <c r="J27" s="728">
        <f>_xlfn.IFNA(VLOOKUP(J24,DATA_AGITO_WEAPON,3,FALSE), 0)</f>
        <v>150</v>
      </c>
      <c r="K27" s="728">
        <f>_xlfn.IFNA(VLOOKUP(K24,DATA_AGITO_WEAPON,3,FALSE), 0)</f>
        <v>150</v>
      </c>
      <c r="L27" s="728">
        <f>_xlfn.IFNA(VLOOKUP(L24,DATA_AGITO_WEAPON,3,FALSE), 0)</f>
        <v>150</v>
      </c>
      <c r="M27" s="728">
        <f>_xlfn.IFNA(VLOOKUP(M24,DATA_AGITO_WEAPON,3,FALSE), 0)</f>
        <v>150</v>
      </c>
      <c r="N27" s="728">
        <f>_xlfn.IFNA(VLOOKUP(N24,DATA_AGITO_WEAPON,3,FALSE), 0)</f>
        <v>150</v>
      </c>
      <c r="O27" s="728">
        <f>_xlfn.IFNA(VLOOKUP(O24,DATA_AGITO_WEAPON,3,FALSE), 0)</f>
        <v>150</v>
      </c>
      <c r="P27" s="729">
        <f>_xlfn.IFNA(VLOOKUP(P24,DATA_AGITO_WEAPON,3,FALSE), 0)</f>
        <v>150</v>
      </c>
      <c r="Q27" s="706"/>
      <c r="R27" s="642"/>
      <c r="S27" s="651"/>
      <c r="T27" s="647"/>
      <c r="U27" s="647"/>
      <c r="V27" s="694"/>
    </row>
    <row r="28" spans="2:22" ht="18.95" customHeight="1" x14ac:dyDescent="0.25">
      <c r="B28" s="1106"/>
      <c r="C28" s="1069" t="str">
        <f>IF(ISBLANK(F8),"",INDEX(DATA_AGITO_BUILDING,F8+ 1, 1))</f>
        <v/>
      </c>
      <c r="D28" s="1065"/>
      <c r="E28" s="1065" t="str">
        <f>IF(ISBLANK(F8),"",INDEX(DATA_AGITO_BUILDING,F8+ 1, 2))</f>
        <v/>
      </c>
      <c r="F28" s="1066"/>
      <c r="H28" s="1002" t="s">
        <v>350</v>
      </c>
      <c r="I28" s="1056"/>
      <c r="J28" s="1086"/>
      <c r="K28" s="1086"/>
      <c r="L28" s="1086"/>
      <c r="M28" s="1086"/>
      <c r="N28" s="1086"/>
      <c r="O28" s="1086"/>
      <c r="P28" s="1088"/>
      <c r="Q28" s="707" t="str" cm="1">
        <f t="array" ref="Q28">IF(ISBLANK(C8),"",(SUM(I30:P30) + C8) / AGITO_WEAPON_MUB_SILVER)</f>
        <v/>
      </c>
      <c r="R28" s="615" cm="1">
        <f t="array" ref="R28">-(E8 * AGITO_WEAPON_MUB_SILVER - SUM(I30:P30) - C8)</f>
        <v>0</v>
      </c>
      <c r="S28" s="690" t="s">
        <v>65</v>
      </c>
      <c r="T28" s="678" t="str">
        <f>IF(R28&lt;0, _xlfn.CEILING.MATH(-R28/K8),"")</f>
        <v/>
      </c>
      <c r="U28" s="688" t="str">
        <f>IF(R28&lt;0, _xlfn.CEILING.MATH(-R28/M8),"")</f>
        <v/>
      </c>
      <c r="V28" s="693" t="str">
        <f>IFERROR((-E8 * AGITO_WEAPON_MUB_SILVER - R28)/(-E8 * AGITO_WEAPON_MUB_SILVER),"")</f>
        <v/>
      </c>
    </row>
    <row r="29" spans="2:22" ht="18.95" customHeight="1" x14ac:dyDescent="0.25">
      <c r="B29" s="1107"/>
      <c r="C29" s="1070"/>
      <c r="D29" s="1067"/>
      <c r="E29" s="1067"/>
      <c r="F29" s="1068"/>
      <c r="H29" s="1004"/>
      <c r="I29" s="1057"/>
      <c r="J29" s="1087"/>
      <c r="K29" s="1087"/>
      <c r="L29" s="1087"/>
      <c r="M29" s="1087"/>
      <c r="N29" s="1087"/>
      <c r="O29" s="1087"/>
      <c r="P29" s="1089"/>
      <c r="Q29" s="708" t="str" cm="1">
        <f t="array" ref="Q29">IF(ISBLANK(D8),"",(SUM(I31:P31) + D8) / AGITO_WEAPON_MUB_GOLD)</f>
        <v/>
      </c>
      <c r="R29" s="617" cm="1">
        <f t="array" ref="R29">-(E8 * AGITO_WEAPON_MUB_GOLD - SUM(I31:P31) - D8)</f>
        <v>0</v>
      </c>
      <c r="S29" s="328" t="s">
        <v>64</v>
      </c>
      <c r="T29" s="679"/>
      <c r="U29" s="689" t="str">
        <f>IF(R29&lt;0, _xlfn.CEILING.MATH(-R29/N8),"")</f>
        <v/>
      </c>
      <c r="V29" s="697" t="str">
        <f>IFERROR((-E8 * AGITO_WEAPON_MUB_GOLD - R29)/(-E8 * AGITO_WEAPON_MUB_GOLD),"")</f>
        <v/>
      </c>
    </row>
    <row r="30" spans="2:22" hidden="1" x14ac:dyDescent="0.25">
      <c r="C30" s="307"/>
      <c r="D30" s="307"/>
      <c r="H30" s="583"/>
      <c r="I30" s="583">
        <f>_xlfn.IFNA(VLOOKUP(I28,DATA_AGITO_WEAPON,2,FALSE), 0)</f>
        <v>0</v>
      </c>
      <c r="J30" s="503">
        <f>_xlfn.IFNA(VLOOKUP(J28,DATA_AGITO_WEAPON,2,FALSE), 0)</f>
        <v>0</v>
      </c>
      <c r="K30" s="503">
        <f>_xlfn.IFNA(VLOOKUP(K28,DATA_AGITO_WEAPON,2,FALSE), 0)</f>
        <v>0</v>
      </c>
      <c r="L30" s="503">
        <f>_xlfn.IFNA(VLOOKUP(L28,DATA_AGITO_WEAPON,2,FALSE), 0)</f>
        <v>0</v>
      </c>
      <c r="M30" s="503">
        <f>_xlfn.IFNA(VLOOKUP(M28,DATA_AGITO_WEAPON,2,FALSE), 0)</f>
        <v>0</v>
      </c>
      <c r="N30" s="503">
        <f>_xlfn.IFNA(VLOOKUP(N28,DATA_AGITO_WEAPON,2,FALSE), 0)</f>
        <v>0</v>
      </c>
      <c r="O30" s="503">
        <f>_xlfn.IFNA(VLOOKUP(O28,DATA_AGITO_WEAPON,2,FALSE), 0)</f>
        <v>0</v>
      </c>
      <c r="P30" s="584">
        <f>_xlfn.IFNA(VLOOKUP(P28,DATA_AGITO_WEAPON,2,FALSE), 0)</f>
        <v>0</v>
      </c>
      <c r="Q30" s="702"/>
      <c r="R30" s="644"/>
      <c r="S30" s="641"/>
      <c r="T30" s="641"/>
      <c r="U30" s="641"/>
      <c r="V30" s="605"/>
    </row>
    <row r="31" spans="2:22" hidden="1" x14ac:dyDescent="0.25">
      <c r="H31" s="629"/>
      <c r="I31" s="629">
        <f>_xlfn.IFNA(VLOOKUP(I28,DATA_AGITO_WEAPON,3,FALSE), 0)</f>
        <v>0</v>
      </c>
      <c r="J31" s="504">
        <f>_xlfn.IFNA(VLOOKUP(J28,DATA_AGITO_WEAPON,3,FALSE), 0)</f>
        <v>0</v>
      </c>
      <c r="K31" s="504">
        <f>_xlfn.IFNA(VLOOKUP(K28,DATA_AGITO_WEAPON,3,FALSE), 0)</f>
        <v>0</v>
      </c>
      <c r="L31" s="504">
        <f>_xlfn.IFNA(VLOOKUP(L28,DATA_AGITO_WEAPON,3,FALSE), 0)</f>
        <v>0</v>
      </c>
      <c r="M31" s="504">
        <f>_xlfn.IFNA(VLOOKUP(M28,DATA_AGITO_WEAPON,3,FALSE), 0)</f>
        <v>0</v>
      </c>
      <c r="N31" s="504">
        <f>_xlfn.IFNA(VLOOKUP(N28,DATA_AGITO_WEAPON,3,FALSE), 0)</f>
        <v>0</v>
      </c>
      <c r="O31" s="504">
        <f>_xlfn.IFNA(VLOOKUP(O28,DATA_AGITO_WEAPON,3,FALSE), 0)</f>
        <v>0</v>
      </c>
      <c r="P31" s="630">
        <f>_xlfn.IFNA(VLOOKUP(P28,DATA_AGITO_WEAPON,3,FALSE), 0)</f>
        <v>0</v>
      </c>
      <c r="Q31" s="703"/>
      <c r="R31" s="645"/>
      <c r="S31" s="643"/>
      <c r="T31" s="643"/>
      <c r="U31" s="643"/>
      <c r="V31" s="606" t="str">
        <f>IFERROR(IF(S29=0,100%,(HDRAG_MAX_BUILDING - S29)/HDRAG_MAX_BUILDING),"")</f>
        <v/>
      </c>
    </row>
    <row r="35" spans="8:8" x14ac:dyDescent="0.25">
      <c r="H35" s="730"/>
    </row>
  </sheetData>
  <mergeCells count="67">
    <mergeCell ref="B10:B29"/>
    <mergeCell ref="C10:F10"/>
    <mergeCell ref="E11:F11"/>
    <mergeCell ref="C11:D11"/>
    <mergeCell ref="E12:F13"/>
    <mergeCell ref="C12:D13"/>
    <mergeCell ref="C16:D17"/>
    <mergeCell ref="E16:F17"/>
    <mergeCell ref="C20:D21"/>
    <mergeCell ref="E20:F21"/>
    <mergeCell ref="C24:D25"/>
    <mergeCell ref="L2:N2"/>
    <mergeCell ref="J2:K2"/>
    <mergeCell ref="I2:I3"/>
    <mergeCell ref="L28:L29"/>
    <mergeCell ref="M28:M29"/>
    <mergeCell ref="N28:N29"/>
    <mergeCell ref="L16:L17"/>
    <mergeCell ref="M16:M17"/>
    <mergeCell ref="N16:N17"/>
    <mergeCell ref="K20:K21"/>
    <mergeCell ref="L20:L21"/>
    <mergeCell ref="M20:M21"/>
    <mergeCell ref="N20:N21"/>
    <mergeCell ref="I20:I21"/>
    <mergeCell ref="J20:J21"/>
    <mergeCell ref="O28:O29"/>
    <mergeCell ref="P28:P29"/>
    <mergeCell ref="O16:O17"/>
    <mergeCell ref="P16:P17"/>
    <mergeCell ref="H20:H21"/>
    <mergeCell ref="O20:O21"/>
    <mergeCell ref="P20:P21"/>
    <mergeCell ref="L24:L25"/>
    <mergeCell ref="M24:M25"/>
    <mergeCell ref="N24:N25"/>
    <mergeCell ref="I16:I17"/>
    <mergeCell ref="O24:O25"/>
    <mergeCell ref="P24:P25"/>
    <mergeCell ref="J28:J29"/>
    <mergeCell ref="K28:K29"/>
    <mergeCell ref="J16:J17"/>
    <mergeCell ref="R11:S11"/>
    <mergeCell ref="I12:I13"/>
    <mergeCell ref="J12:J13"/>
    <mergeCell ref="K12:K13"/>
    <mergeCell ref="L12:L13"/>
    <mergeCell ref="M12:M13"/>
    <mergeCell ref="N12:N13"/>
    <mergeCell ref="O12:O13"/>
    <mergeCell ref="P12:P13"/>
    <mergeCell ref="H16:H17"/>
    <mergeCell ref="I28:I29"/>
    <mergeCell ref="C2:D2"/>
    <mergeCell ref="K24:K25"/>
    <mergeCell ref="H12:H13"/>
    <mergeCell ref="E2:E3"/>
    <mergeCell ref="H28:H29"/>
    <mergeCell ref="E24:F25"/>
    <mergeCell ref="E28:F29"/>
    <mergeCell ref="C28:D29"/>
    <mergeCell ref="H2:H9"/>
    <mergeCell ref="F2:F3"/>
    <mergeCell ref="H24:H25"/>
    <mergeCell ref="I24:I25"/>
    <mergeCell ref="J24:J25"/>
    <mergeCell ref="K16:K17"/>
  </mergeCells>
  <conditionalFormatting sqref="V12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V13:V15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V16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V17:V19">
    <cfRule type="dataBar" priority="1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V20:V23">
    <cfRule type="dataBar" priority="1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V24:V27">
    <cfRule type="dataBar" priority="1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V28:V31 S9 P8">
    <cfRule type="dataBar" priority="13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{F21D2F9B-FAF4-498E-BFBA-F7E0F991B1F1}</x14:id>
        </ext>
      </extLst>
    </cfRule>
  </conditionalFormatting>
  <conditionalFormatting sqref="I12:Q29">
    <cfRule type="cellIs" dxfId="10" priority="12" operator="equal">
      <formula>"D524"</formula>
    </cfRule>
  </conditionalFormatting>
  <conditionalFormatting sqref="V12:V29 S9 P8">
    <cfRule type="cellIs" dxfId="9" priority="11" operator="lessThan">
      <formula>1</formula>
    </cfRule>
  </conditionalFormatting>
  <conditionalFormatting sqref="P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{4E15156A-AC3F-486D-A0E6-091B40DAB544}</x14:id>
        </ext>
      </extLst>
    </cfRule>
  </conditionalFormatting>
  <conditionalFormatting sqref="P4">
    <cfRule type="cellIs" dxfId="8" priority="9" operator="lessThan">
      <formula>1</formula>
    </cfRule>
  </conditionalFormatting>
  <conditionalFormatting sqref="P5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{00499FDF-F5DF-4267-AB7C-C8A8804DAC47}</x14:id>
        </ext>
      </extLst>
    </cfRule>
  </conditionalFormatting>
  <conditionalFormatting sqref="P5">
    <cfRule type="cellIs" dxfId="7" priority="7" operator="lessThan">
      <formula>1</formula>
    </cfRule>
  </conditionalFormatting>
  <conditionalFormatting sqref="P6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{684CEC7E-2B0D-4287-905C-C6380EF6C044}</x14:id>
        </ext>
      </extLst>
    </cfRule>
  </conditionalFormatting>
  <conditionalFormatting sqref="P6">
    <cfRule type="cellIs" dxfId="6" priority="5" operator="lessThan">
      <formula>1</formula>
    </cfRule>
  </conditionalFormatting>
  <conditionalFormatting sqref="P7">
    <cfRule type="dataBar" priority="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{D66E6566-8735-4A92-9D7C-44FC39496FFA}</x14:id>
        </ext>
      </extLst>
    </cfRule>
  </conditionalFormatting>
  <conditionalFormatting sqref="P7">
    <cfRule type="cellIs" dxfId="5" priority="3" operator="lessThan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V13:V15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V16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V17:V19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V20:V23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V24:V27</xm:sqref>
        </x14:conditionalFormatting>
        <x14:conditionalFormatting xmlns:xm="http://schemas.microsoft.com/office/excel/2006/main">
          <x14:cfRule type="dataBar" id="{F21D2F9B-FAF4-498E-BFBA-F7E0F991B1F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V28:V31 S9 P8</xm:sqref>
        </x14:conditionalFormatting>
        <x14:conditionalFormatting xmlns:xm="http://schemas.microsoft.com/office/excel/2006/main">
          <x14:cfRule type="dataBar" id="{4E15156A-AC3F-486D-A0E6-091B40DAB5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P4</xm:sqref>
        </x14:conditionalFormatting>
        <x14:conditionalFormatting xmlns:xm="http://schemas.microsoft.com/office/excel/2006/main">
          <x14:cfRule type="dataBar" id="{00499FDF-F5DF-4267-AB7C-C8A8804DAC4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P5</xm:sqref>
        </x14:conditionalFormatting>
        <x14:conditionalFormatting xmlns:xm="http://schemas.microsoft.com/office/excel/2006/main">
          <x14:cfRule type="dataBar" id="{684CEC7E-2B0D-4287-905C-C6380EF6C0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P6</xm:sqref>
        </x14:conditionalFormatting>
        <x14:conditionalFormatting xmlns:xm="http://schemas.microsoft.com/office/excel/2006/main">
          <x14:cfRule type="dataBar" id="{D66E6566-8735-4A92-9D7C-44FC39496F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P7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918"/>
  <sheetViews>
    <sheetView topLeftCell="A175" zoomScaleNormal="100" workbookViewId="0">
      <selection activeCell="F206" sqref="F206"/>
    </sheetView>
  </sheetViews>
  <sheetFormatPr defaultColWidth="9.28515625" defaultRowHeight="15" x14ac:dyDescent="0.25"/>
  <cols>
    <col min="1" max="1" width="4.7109375" style="186" customWidth="1"/>
    <col min="2" max="2" width="4.7109375" style="211" customWidth="1"/>
    <col min="3" max="3" width="4.7109375" style="187" customWidth="1"/>
    <col min="4" max="4" width="4.7109375" style="191" customWidth="1"/>
    <col min="5" max="5" width="4.7109375" style="261" customWidth="1"/>
    <col min="6" max="6" width="4.7109375" style="192" customWidth="1"/>
    <col min="7" max="7" width="4.7109375" style="621" customWidth="1"/>
    <col min="8" max="8" width="4.7109375" style="51" customWidth="1"/>
    <col min="9" max="9" width="4.7109375" style="622" customWidth="1"/>
    <col min="10" max="10" width="4.7109375" style="201" customWidth="1"/>
    <col min="11" max="11" width="4.7109375" style="318" customWidth="1"/>
    <col min="12" max="12" width="4.7109375" style="202" customWidth="1"/>
    <col min="13" max="13" width="4.7109375" style="206" customWidth="1"/>
    <col min="14" max="14" width="4.7109375" style="178" customWidth="1"/>
    <col min="15" max="15" width="4.7109375" style="207" customWidth="1"/>
    <col min="16" max="20" width="9.28515625" style="627"/>
    <col min="21" max="21" width="9.28515625" style="646"/>
    <col min="22" max="16384" width="9.28515625" style="626"/>
  </cols>
  <sheetData>
    <row r="1" spans="1:23" x14ac:dyDescent="0.25">
      <c r="A1" s="637" t="s">
        <v>239</v>
      </c>
      <c r="B1" s="1121" t="s">
        <v>241</v>
      </c>
      <c r="C1" s="1122"/>
      <c r="D1" s="639" t="s">
        <v>239</v>
      </c>
      <c r="E1" s="1123" t="s">
        <v>241</v>
      </c>
      <c r="F1" s="1124"/>
      <c r="G1" s="676" t="s">
        <v>239</v>
      </c>
      <c r="H1" s="1125" t="s">
        <v>241</v>
      </c>
      <c r="I1" s="1126"/>
      <c r="J1" s="638" t="s">
        <v>239</v>
      </c>
      <c r="K1" s="1127" t="s">
        <v>241</v>
      </c>
      <c r="L1" s="1128"/>
      <c r="M1" s="636" t="s">
        <v>239</v>
      </c>
      <c r="N1" s="1129" t="s">
        <v>241</v>
      </c>
      <c r="O1" s="1130"/>
      <c r="Q1" s="627" t="s">
        <v>353</v>
      </c>
      <c r="R1" s="627" t="s">
        <v>65</v>
      </c>
      <c r="S1" s="627" t="s">
        <v>64</v>
      </c>
      <c r="U1" s="646">
        <v>610</v>
      </c>
      <c r="V1" s="626">
        <v>40</v>
      </c>
      <c r="W1" s="626">
        <v>30</v>
      </c>
    </row>
    <row r="2" spans="1:23" x14ac:dyDescent="0.25">
      <c r="A2" s="183" t="s">
        <v>65</v>
      </c>
      <c r="B2" s="532" t="s">
        <v>65</v>
      </c>
      <c r="C2" s="185" t="s">
        <v>64</v>
      </c>
      <c r="D2" s="188" t="s">
        <v>65</v>
      </c>
      <c r="E2" s="189" t="s">
        <v>65</v>
      </c>
      <c r="F2" s="190" t="s">
        <v>64</v>
      </c>
      <c r="G2" s="677" t="s">
        <v>65</v>
      </c>
      <c r="H2" s="531" t="s">
        <v>65</v>
      </c>
      <c r="I2" s="521" t="s">
        <v>64</v>
      </c>
      <c r="J2" s="198" t="s">
        <v>65</v>
      </c>
      <c r="K2" s="199" t="s">
        <v>65</v>
      </c>
      <c r="L2" s="200" t="s">
        <v>64</v>
      </c>
      <c r="M2" s="203" t="s">
        <v>65</v>
      </c>
      <c r="N2" s="534" t="s">
        <v>65</v>
      </c>
      <c r="O2" s="205" t="s">
        <v>64</v>
      </c>
      <c r="Q2" s="627">
        <v>0</v>
      </c>
      <c r="R2" s="627">
        <v>405</v>
      </c>
      <c r="S2" s="627">
        <v>25</v>
      </c>
      <c r="U2" s="646">
        <v>611</v>
      </c>
      <c r="V2" s="626">
        <v>80</v>
      </c>
      <c r="W2" s="626">
        <v>60</v>
      </c>
    </row>
    <row r="3" spans="1:23" x14ac:dyDescent="0.25">
      <c r="D3" s="191">
        <v>5</v>
      </c>
      <c r="E3" s="261">
        <v>3</v>
      </c>
      <c r="F3" s="192">
        <v>4</v>
      </c>
      <c r="G3" s="621">
        <v>5</v>
      </c>
      <c r="H3" s="51">
        <v>4</v>
      </c>
      <c r="I3" s="622">
        <v>3</v>
      </c>
      <c r="J3" s="201">
        <v>5</v>
      </c>
      <c r="K3" s="318">
        <v>3</v>
      </c>
      <c r="L3" s="202">
        <v>4</v>
      </c>
      <c r="Q3" s="627">
        <v>1</v>
      </c>
      <c r="R3" s="627">
        <v>385</v>
      </c>
      <c r="S3" s="627">
        <v>25</v>
      </c>
      <c r="U3" s="646">
        <v>612</v>
      </c>
      <c r="V3" s="626">
        <v>120</v>
      </c>
      <c r="W3" s="626">
        <v>90</v>
      </c>
    </row>
    <row r="4" spans="1:23" x14ac:dyDescent="0.25">
      <c r="D4" s="191">
        <v>5</v>
      </c>
      <c r="E4" s="261">
        <v>2</v>
      </c>
      <c r="F4" s="192">
        <v>3</v>
      </c>
      <c r="G4" s="621">
        <v>5</v>
      </c>
      <c r="H4" s="51">
        <v>3</v>
      </c>
      <c r="I4" s="622">
        <v>3</v>
      </c>
      <c r="J4" s="201">
        <v>5</v>
      </c>
      <c r="K4" s="318">
        <v>2</v>
      </c>
      <c r="L4" s="202">
        <v>3</v>
      </c>
      <c r="Q4" s="627">
        <v>2</v>
      </c>
      <c r="R4" s="627">
        <v>375</v>
      </c>
      <c r="S4" s="627">
        <v>25</v>
      </c>
      <c r="U4" s="646">
        <v>613</v>
      </c>
      <c r="V4" s="626">
        <v>160</v>
      </c>
      <c r="W4" s="626">
        <v>120</v>
      </c>
    </row>
    <row r="5" spans="1:23" x14ac:dyDescent="0.25">
      <c r="D5" s="191">
        <v>5</v>
      </c>
      <c r="E5" s="261">
        <v>2</v>
      </c>
      <c r="F5" s="192">
        <v>3</v>
      </c>
      <c r="G5" s="621">
        <v>5</v>
      </c>
      <c r="H5" s="51">
        <v>4</v>
      </c>
      <c r="I5" s="622">
        <v>3</v>
      </c>
      <c r="J5" s="201">
        <v>5</v>
      </c>
      <c r="K5" s="318">
        <v>2</v>
      </c>
      <c r="L5" s="202">
        <v>3</v>
      </c>
      <c r="Q5" s="627">
        <v>3</v>
      </c>
      <c r="R5" s="627">
        <v>365</v>
      </c>
      <c r="S5" s="627">
        <v>25</v>
      </c>
      <c r="U5" s="646">
        <v>614</v>
      </c>
      <c r="V5" s="626">
        <v>200</v>
      </c>
      <c r="W5" s="626">
        <v>150</v>
      </c>
    </row>
    <row r="6" spans="1:23" x14ac:dyDescent="0.25">
      <c r="D6" s="191">
        <v>5</v>
      </c>
      <c r="E6" s="261">
        <v>3</v>
      </c>
      <c r="F6" s="192">
        <v>4</v>
      </c>
      <c r="G6" s="621">
        <v>5</v>
      </c>
      <c r="H6" s="51">
        <v>3</v>
      </c>
      <c r="I6" s="622">
        <v>4</v>
      </c>
      <c r="J6" s="201">
        <v>5</v>
      </c>
      <c r="K6" s="318">
        <v>3</v>
      </c>
      <c r="L6" s="202">
        <v>3</v>
      </c>
      <c r="Q6" s="627">
        <v>4</v>
      </c>
      <c r="R6" s="627">
        <v>345</v>
      </c>
      <c r="S6" s="627">
        <v>25</v>
      </c>
    </row>
    <row r="7" spans="1:23" x14ac:dyDescent="0.25">
      <c r="D7" s="191">
        <v>5</v>
      </c>
      <c r="E7" s="261">
        <v>3</v>
      </c>
      <c r="F7" s="192">
        <v>3</v>
      </c>
      <c r="G7" s="621">
        <v>5</v>
      </c>
      <c r="H7" s="51">
        <v>2</v>
      </c>
      <c r="I7" s="622">
        <v>3</v>
      </c>
      <c r="J7" s="201">
        <v>5</v>
      </c>
      <c r="K7" s="318">
        <v>3</v>
      </c>
      <c r="L7" s="202">
        <v>4</v>
      </c>
      <c r="Q7" s="627">
        <v>5</v>
      </c>
      <c r="R7" s="627">
        <v>325</v>
      </c>
      <c r="S7" s="627">
        <v>25</v>
      </c>
    </row>
    <row r="8" spans="1:23" x14ac:dyDescent="0.25">
      <c r="D8" s="191">
        <v>5</v>
      </c>
      <c r="E8" s="261">
        <v>3</v>
      </c>
      <c r="F8" s="192">
        <v>3</v>
      </c>
      <c r="G8" s="621">
        <v>5</v>
      </c>
      <c r="H8" s="51">
        <v>3</v>
      </c>
      <c r="I8" s="622">
        <v>3</v>
      </c>
      <c r="J8" s="201">
        <v>5</v>
      </c>
      <c r="K8" s="318">
        <v>2</v>
      </c>
      <c r="L8" s="202">
        <v>4</v>
      </c>
      <c r="Q8" s="627">
        <v>6</v>
      </c>
      <c r="R8" s="627">
        <v>295</v>
      </c>
      <c r="S8" s="627">
        <v>25</v>
      </c>
    </row>
    <row r="9" spans="1:23" x14ac:dyDescent="0.25">
      <c r="D9" s="191">
        <v>6</v>
      </c>
      <c r="E9" s="261">
        <v>3</v>
      </c>
      <c r="F9" s="192">
        <v>4</v>
      </c>
      <c r="G9" s="621">
        <v>5</v>
      </c>
      <c r="H9" s="51">
        <v>2</v>
      </c>
      <c r="I9" s="622">
        <v>3</v>
      </c>
      <c r="J9" s="201">
        <v>5</v>
      </c>
      <c r="K9" s="318">
        <v>2</v>
      </c>
      <c r="L9" s="202">
        <v>3</v>
      </c>
      <c r="Q9" s="627">
        <v>7</v>
      </c>
      <c r="R9" s="627">
        <v>265</v>
      </c>
      <c r="S9" s="627">
        <v>25</v>
      </c>
    </row>
    <row r="10" spans="1:23" x14ac:dyDescent="0.25">
      <c r="D10" s="191">
        <v>5</v>
      </c>
      <c r="E10" s="261">
        <v>3</v>
      </c>
      <c r="F10" s="192">
        <v>4</v>
      </c>
      <c r="G10" s="621">
        <v>5</v>
      </c>
      <c r="H10" s="51">
        <v>3</v>
      </c>
      <c r="I10" s="622">
        <v>3</v>
      </c>
      <c r="J10" s="201">
        <v>5</v>
      </c>
      <c r="K10" s="318">
        <v>2</v>
      </c>
      <c r="L10" s="202">
        <v>4</v>
      </c>
      <c r="Q10" s="627">
        <v>8</v>
      </c>
      <c r="R10" s="627">
        <v>235</v>
      </c>
      <c r="S10" s="627">
        <v>25</v>
      </c>
    </row>
    <row r="11" spans="1:23" x14ac:dyDescent="0.25">
      <c r="D11" s="191">
        <v>6</v>
      </c>
      <c r="E11" s="261">
        <v>3</v>
      </c>
      <c r="F11" s="192">
        <v>4</v>
      </c>
      <c r="G11" s="621">
        <v>5</v>
      </c>
      <c r="H11" s="51">
        <v>2</v>
      </c>
      <c r="I11" s="622">
        <v>3</v>
      </c>
      <c r="J11" s="201">
        <v>5</v>
      </c>
      <c r="K11" s="318">
        <v>3</v>
      </c>
      <c r="L11" s="202">
        <v>5</v>
      </c>
      <c r="Q11" s="627">
        <v>9</v>
      </c>
      <c r="R11" s="627">
        <v>205</v>
      </c>
      <c r="S11" s="627">
        <v>25</v>
      </c>
    </row>
    <row r="12" spans="1:23" x14ac:dyDescent="0.25">
      <c r="D12" s="191">
        <v>6</v>
      </c>
      <c r="E12" s="261">
        <v>3</v>
      </c>
      <c r="F12" s="192">
        <v>3</v>
      </c>
      <c r="G12" s="621">
        <v>5</v>
      </c>
      <c r="H12" s="51">
        <v>3</v>
      </c>
      <c r="I12" s="622">
        <v>3</v>
      </c>
      <c r="J12" s="201">
        <v>6</v>
      </c>
      <c r="K12" s="318">
        <v>3</v>
      </c>
      <c r="L12" s="202">
        <v>3</v>
      </c>
      <c r="Q12" s="627">
        <v>10</v>
      </c>
      <c r="R12" s="627">
        <v>175</v>
      </c>
      <c r="S12" s="627">
        <v>25</v>
      </c>
    </row>
    <row r="13" spans="1:23" x14ac:dyDescent="0.25">
      <c r="D13" s="191">
        <v>5</v>
      </c>
      <c r="E13" s="261">
        <v>2</v>
      </c>
      <c r="F13" s="192">
        <v>4</v>
      </c>
      <c r="G13" s="621">
        <v>5</v>
      </c>
      <c r="H13" s="51">
        <v>2</v>
      </c>
      <c r="I13" s="622">
        <v>3</v>
      </c>
      <c r="J13" s="201">
        <v>5</v>
      </c>
      <c r="K13" s="318">
        <v>3</v>
      </c>
      <c r="L13" s="202">
        <v>3</v>
      </c>
      <c r="Q13" s="627">
        <v>11</v>
      </c>
      <c r="R13" s="627">
        <v>140</v>
      </c>
      <c r="S13" s="627">
        <v>20</v>
      </c>
    </row>
    <row r="14" spans="1:23" x14ac:dyDescent="0.25">
      <c r="D14" s="191">
        <v>5</v>
      </c>
      <c r="E14" s="261">
        <v>2</v>
      </c>
      <c r="F14" s="192">
        <v>3</v>
      </c>
      <c r="G14" s="621">
        <v>6</v>
      </c>
      <c r="H14" s="51">
        <v>3</v>
      </c>
      <c r="I14" s="622">
        <v>4</v>
      </c>
      <c r="J14" s="201">
        <v>5</v>
      </c>
      <c r="K14" s="318">
        <v>2</v>
      </c>
      <c r="L14" s="202">
        <v>4</v>
      </c>
      <c r="Q14" s="627">
        <v>12</v>
      </c>
      <c r="R14" s="627">
        <v>105</v>
      </c>
      <c r="S14" s="627">
        <v>15</v>
      </c>
    </row>
    <row r="15" spans="1:23" x14ac:dyDescent="0.25">
      <c r="D15" s="191">
        <v>5</v>
      </c>
      <c r="E15" s="261">
        <v>2</v>
      </c>
      <c r="F15" s="192">
        <v>4</v>
      </c>
      <c r="G15" s="621">
        <v>5</v>
      </c>
      <c r="H15" s="51">
        <v>2</v>
      </c>
      <c r="I15" s="622">
        <v>5</v>
      </c>
      <c r="J15" s="201">
        <v>5</v>
      </c>
      <c r="K15" s="318">
        <v>2</v>
      </c>
      <c r="L15" s="202">
        <v>4</v>
      </c>
      <c r="Q15" s="627">
        <v>13</v>
      </c>
      <c r="R15" s="627">
        <v>70</v>
      </c>
      <c r="S15" s="627">
        <v>10</v>
      </c>
    </row>
    <row r="16" spans="1:23" x14ac:dyDescent="0.25">
      <c r="D16" s="191">
        <v>5</v>
      </c>
      <c r="E16" s="261">
        <v>4</v>
      </c>
      <c r="F16" s="192">
        <v>4</v>
      </c>
      <c r="G16" s="621">
        <v>5</v>
      </c>
      <c r="H16" s="51">
        <v>3</v>
      </c>
      <c r="I16" s="622">
        <v>3</v>
      </c>
      <c r="J16" s="201">
        <v>5</v>
      </c>
      <c r="K16" s="318">
        <v>2</v>
      </c>
      <c r="L16" s="202">
        <v>3</v>
      </c>
      <c r="Q16" s="627">
        <v>14</v>
      </c>
      <c r="R16" s="627">
        <v>35</v>
      </c>
      <c r="S16" s="627">
        <v>5</v>
      </c>
    </row>
    <row r="17" spans="4:24" x14ac:dyDescent="0.25">
      <c r="D17" s="191">
        <v>5</v>
      </c>
      <c r="E17" s="261">
        <v>4</v>
      </c>
      <c r="F17" s="192">
        <v>3</v>
      </c>
      <c r="G17" s="621">
        <v>5</v>
      </c>
      <c r="H17" s="51">
        <v>3</v>
      </c>
      <c r="I17" s="622">
        <v>4</v>
      </c>
      <c r="J17" s="201">
        <v>6</v>
      </c>
      <c r="K17" s="318">
        <v>2</v>
      </c>
      <c r="L17" s="202">
        <v>3</v>
      </c>
      <c r="Q17" s="627">
        <v>15</v>
      </c>
      <c r="R17" s="627">
        <v>0</v>
      </c>
      <c r="S17" s="627">
        <v>0</v>
      </c>
    </row>
    <row r="18" spans="4:24" x14ac:dyDescent="0.25">
      <c r="D18" s="191">
        <v>5</v>
      </c>
      <c r="E18" s="261">
        <v>4</v>
      </c>
      <c r="F18" s="192">
        <v>3</v>
      </c>
      <c r="G18" s="621">
        <v>5</v>
      </c>
      <c r="H18" s="51">
        <v>4</v>
      </c>
      <c r="I18" s="622">
        <v>3</v>
      </c>
      <c r="J18" s="201">
        <v>5</v>
      </c>
      <c r="K18" s="318">
        <v>4</v>
      </c>
      <c r="L18" s="202">
        <v>5</v>
      </c>
    </row>
    <row r="19" spans="4:24" x14ac:dyDescent="0.25">
      <c r="D19" s="191">
        <v>5</v>
      </c>
      <c r="E19" s="261">
        <v>4</v>
      </c>
      <c r="F19" s="192">
        <v>5</v>
      </c>
      <c r="G19" s="621">
        <v>5</v>
      </c>
      <c r="H19" s="51">
        <v>3</v>
      </c>
      <c r="I19" s="622">
        <v>3</v>
      </c>
      <c r="J19" s="201">
        <v>5</v>
      </c>
      <c r="K19" s="318">
        <v>2</v>
      </c>
      <c r="L19" s="202">
        <v>4</v>
      </c>
      <c r="Q19" s="746" t="s">
        <v>388</v>
      </c>
      <c r="R19" s="744" t="s">
        <v>1</v>
      </c>
      <c r="S19" s="745" t="s">
        <v>0</v>
      </c>
      <c r="T19" s="745" t="s">
        <v>389</v>
      </c>
      <c r="U19" s="749" t="s">
        <v>25</v>
      </c>
      <c r="V19" s="752" t="s">
        <v>385</v>
      </c>
      <c r="W19" s="745" t="s">
        <v>386</v>
      </c>
      <c r="X19" s="753" t="s">
        <v>384</v>
      </c>
    </row>
    <row r="20" spans="4:24" x14ac:dyDescent="0.25">
      <c r="D20" s="191">
        <v>5</v>
      </c>
      <c r="E20" s="261">
        <v>3</v>
      </c>
      <c r="F20" s="192">
        <v>4</v>
      </c>
      <c r="G20" s="621">
        <v>5</v>
      </c>
      <c r="H20" s="51">
        <v>2</v>
      </c>
      <c r="I20" s="622">
        <v>3</v>
      </c>
      <c r="J20" s="201">
        <v>5</v>
      </c>
      <c r="K20" s="318">
        <v>3</v>
      </c>
      <c r="L20" s="202">
        <v>3</v>
      </c>
      <c r="Q20" s="747">
        <v>1</v>
      </c>
      <c r="R20" s="569">
        <v>3</v>
      </c>
      <c r="S20" s="262">
        <v>3</v>
      </c>
      <c r="T20" s="262">
        <v>0</v>
      </c>
      <c r="U20" s="750">
        <f>_xlfn.CEILING.MATH(T20/5.225)</f>
        <v>0</v>
      </c>
      <c r="V20" s="754" t="s">
        <v>387</v>
      </c>
      <c r="W20" s="262">
        <v>0</v>
      </c>
      <c r="X20" s="750">
        <v>0</v>
      </c>
    </row>
    <row r="21" spans="4:24" x14ac:dyDescent="0.25">
      <c r="D21" s="191">
        <v>5</v>
      </c>
      <c r="E21" s="261">
        <v>3</v>
      </c>
      <c r="F21" s="192">
        <v>3</v>
      </c>
      <c r="G21" s="621">
        <v>5</v>
      </c>
      <c r="H21" s="51">
        <v>2</v>
      </c>
      <c r="I21" s="622">
        <v>5</v>
      </c>
      <c r="J21" s="201">
        <v>5</v>
      </c>
      <c r="K21" s="318">
        <v>2</v>
      </c>
      <c r="L21" s="202">
        <v>4</v>
      </c>
      <c r="Q21" s="747">
        <f>Q20+1</f>
        <v>2</v>
      </c>
      <c r="R21" s="569">
        <v>4</v>
      </c>
      <c r="S21" s="262">
        <v>3.5</v>
      </c>
      <c r="T21" s="262">
        <v>0</v>
      </c>
      <c r="U21" s="750">
        <f>_xlfn.CEILING.MATH(T21/5.225)</f>
        <v>0</v>
      </c>
      <c r="V21" s="754">
        <f>R21-R20</f>
        <v>1</v>
      </c>
      <c r="W21" s="267">
        <f>S21-S20</f>
        <v>0.5</v>
      </c>
      <c r="X21" s="755">
        <f t="shared" ref="X21:X34" si="0">U21-U20</f>
        <v>0</v>
      </c>
    </row>
    <row r="22" spans="4:24" x14ac:dyDescent="0.25">
      <c r="D22" s="191">
        <v>5</v>
      </c>
      <c r="E22" s="261">
        <v>2</v>
      </c>
      <c r="F22" s="192">
        <v>3</v>
      </c>
      <c r="G22" s="621">
        <v>5</v>
      </c>
      <c r="H22" s="51">
        <v>3</v>
      </c>
      <c r="I22" s="622">
        <v>3</v>
      </c>
      <c r="J22" s="201">
        <v>5</v>
      </c>
      <c r="K22" s="318">
        <v>2</v>
      </c>
      <c r="L22" s="202">
        <v>3</v>
      </c>
      <c r="Q22" s="747">
        <f t="shared" ref="Q22:Q34" si="1">Q21+1</f>
        <v>3</v>
      </c>
      <c r="R22" s="569">
        <v>4.5</v>
      </c>
      <c r="S22" s="262">
        <v>4.5</v>
      </c>
      <c r="T22" s="262">
        <v>0</v>
      </c>
      <c r="U22" s="750">
        <f t="shared" ref="U22:U34" si="2">_xlfn.CEILING.MATH(T22/5.225)</f>
        <v>0</v>
      </c>
      <c r="V22" s="754">
        <f t="shared" ref="V22:V34" si="3">R22-R21</f>
        <v>0.5</v>
      </c>
      <c r="W22" s="267">
        <f t="shared" ref="W22:W34" si="4">S22-S21</f>
        <v>1</v>
      </c>
      <c r="X22" s="755">
        <f t="shared" si="0"/>
        <v>0</v>
      </c>
    </row>
    <row r="23" spans="4:24" x14ac:dyDescent="0.25">
      <c r="D23" s="191">
        <v>5</v>
      </c>
      <c r="E23" s="261">
        <v>3</v>
      </c>
      <c r="F23" s="192">
        <v>3</v>
      </c>
      <c r="G23" s="621">
        <v>5</v>
      </c>
      <c r="H23" s="51">
        <v>2</v>
      </c>
      <c r="I23" s="622">
        <v>3</v>
      </c>
      <c r="J23" s="201">
        <v>5</v>
      </c>
      <c r="K23" s="318">
        <v>2</v>
      </c>
      <c r="L23" s="202">
        <v>3</v>
      </c>
      <c r="Q23" s="747">
        <f t="shared" si="1"/>
        <v>4</v>
      </c>
      <c r="R23" s="569">
        <v>5.5</v>
      </c>
      <c r="S23" s="262">
        <v>5</v>
      </c>
      <c r="T23" s="262">
        <v>20</v>
      </c>
      <c r="U23" s="750">
        <f t="shared" si="2"/>
        <v>4</v>
      </c>
      <c r="V23" s="754">
        <f t="shared" si="3"/>
        <v>1</v>
      </c>
      <c r="W23" s="267">
        <f t="shared" si="4"/>
        <v>0.5</v>
      </c>
      <c r="X23" s="755">
        <f t="shared" si="0"/>
        <v>4</v>
      </c>
    </row>
    <row r="24" spans="4:24" x14ac:dyDescent="0.25">
      <c r="D24" s="191">
        <v>5</v>
      </c>
      <c r="E24" s="261">
        <v>2</v>
      </c>
      <c r="F24" s="192">
        <v>3</v>
      </c>
      <c r="G24" s="621">
        <v>5</v>
      </c>
      <c r="H24" s="51">
        <v>2</v>
      </c>
      <c r="I24" s="622">
        <v>3</v>
      </c>
      <c r="J24" s="201">
        <v>5</v>
      </c>
      <c r="K24" s="318">
        <v>2</v>
      </c>
      <c r="L24" s="202">
        <v>3</v>
      </c>
      <c r="Q24" s="747">
        <f t="shared" si="1"/>
        <v>5</v>
      </c>
      <c r="R24" s="569">
        <v>6</v>
      </c>
      <c r="S24" s="262">
        <v>6</v>
      </c>
      <c r="T24" s="262">
        <v>40</v>
      </c>
      <c r="U24" s="750">
        <f t="shared" si="2"/>
        <v>8</v>
      </c>
      <c r="V24" s="754">
        <f t="shared" si="3"/>
        <v>0.5</v>
      </c>
      <c r="W24" s="267">
        <f t="shared" si="4"/>
        <v>1</v>
      </c>
      <c r="X24" s="755">
        <f t="shared" si="0"/>
        <v>4</v>
      </c>
    </row>
    <row r="25" spans="4:24" x14ac:dyDescent="0.25">
      <c r="D25" s="191">
        <v>5</v>
      </c>
      <c r="E25" s="261">
        <v>2</v>
      </c>
      <c r="F25" s="192">
        <v>3</v>
      </c>
      <c r="G25" s="621">
        <v>5</v>
      </c>
      <c r="H25" s="51">
        <v>3</v>
      </c>
      <c r="I25" s="622">
        <v>3</v>
      </c>
      <c r="J25" s="201">
        <v>5</v>
      </c>
      <c r="K25" s="318">
        <v>2</v>
      </c>
      <c r="L25" s="202">
        <v>3</v>
      </c>
      <c r="Q25" s="747">
        <f t="shared" si="1"/>
        <v>6</v>
      </c>
      <c r="R25" s="569">
        <v>7</v>
      </c>
      <c r="S25" s="262">
        <v>6.5</v>
      </c>
      <c r="T25" s="262">
        <v>70</v>
      </c>
      <c r="U25" s="750">
        <f t="shared" si="2"/>
        <v>14</v>
      </c>
      <c r="V25" s="754">
        <f t="shared" si="3"/>
        <v>1</v>
      </c>
      <c r="W25" s="267">
        <f t="shared" si="4"/>
        <v>0.5</v>
      </c>
      <c r="X25" s="755">
        <f t="shared" si="0"/>
        <v>6</v>
      </c>
    </row>
    <row r="26" spans="4:24" x14ac:dyDescent="0.25">
      <c r="D26" s="191">
        <v>5</v>
      </c>
      <c r="E26" s="261">
        <v>4</v>
      </c>
      <c r="F26" s="192">
        <v>4</v>
      </c>
      <c r="G26" s="621">
        <v>5</v>
      </c>
      <c r="H26" s="51">
        <v>2</v>
      </c>
      <c r="I26" s="622">
        <v>4</v>
      </c>
      <c r="J26" s="201">
        <v>5</v>
      </c>
      <c r="K26" s="318">
        <v>2</v>
      </c>
      <c r="L26" s="202">
        <v>3</v>
      </c>
      <c r="Q26" s="747">
        <f t="shared" si="1"/>
        <v>7</v>
      </c>
      <c r="R26" s="569">
        <v>7.5</v>
      </c>
      <c r="S26" s="262">
        <v>7.5</v>
      </c>
      <c r="T26" s="262">
        <v>100</v>
      </c>
      <c r="U26" s="750">
        <f t="shared" si="2"/>
        <v>20</v>
      </c>
      <c r="V26" s="754">
        <f t="shared" si="3"/>
        <v>0.5</v>
      </c>
      <c r="W26" s="267">
        <f t="shared" si="4"/>
        <v>1</v>
      </c>
      <c r="X26" s="755">
        <f t="shared" si="0"/>
        <v>6</v>
      </c>
    </row>
    <row r="27" spans="4:24" x14ac:dyDescent="0.25">
      <c r="D27" s="191">
        <v>5</v>
      </c>
      <c r="E27" s="261">
        <v>3</v>
      </c>
      <c r="F27" s="192">
        <v>3</v>
      </c>
      <c r="G27" s="621">
        <v>5</v>
      </c>
      <c r="H27" s="51">
        <v>2</v>
      </c>
      <c r="I27" s="622">
        <v>5</v>
      </c>
      <c r="J27" s="201">
        <v>5</v>
      </c>
      <c r="K27" s="318">
        <v>3</v>
      </c>
      <c r="L27" s="202">
        <v>4</v>
      </c>
      <c r="Q27" s="747">
        <f t="shared" si="1"/>
        <v>8</v>
      </c>
      <c r="R27" s="569">
        <v>8.5</v>
      </c>
      <c r="S27" s="262">
        <v>8</v>
      </c>
      <c r="T27" s="262">
        <v>130</v>
      </c>
      <c r="U27" s="750">
        <f t="shared" si="2"/>
        <v>25</v>
      </c>
      <c r="V27" s="754">
        <f t="shared" si="3"/>
        <v>1</v>
      </c>
      <c r="W27" s="267">
        <f t="shared" si="4"/>
        <v>0.5</v>
      </c>
      <c r="X27" s="755">
        <f t="shared" si="0"/>
        <v>5</v>
      </c>
    </row>
    <row r="28" spans="4:24" x14ac:dyDescent="0.25">
      <c r="D28" s="191">
        <v>5</v>
      </c>
      <c r="E28" s="261">
        <v>4</v>
      </c>
      <c r="F28" s="192">
        <v>4</v>
      </c>
      <c r="G28" s="621">
        <v>5</v>
      </c>
      <c r="H28" s="51">
        <v>2</v>
      </c>
      <c r="I28" s="622">
        <v>3</v>
      </c>
      <c r="J28" s="201">
        <v>5</v>
      </c>
      <c r="K28" s="318">
        <v>2</v>
      </c>
      <c r="L28" s="202">
        <v>3</v>
      </c>
      <c r="Q28" s="747">
        <f t="shared" si="1"/>
        <v>9</v>
      </c>
      <c r="R28" s="569">
        <v>9</v>
      </c>
      <c r="S28" s="262">
        <v>9</v>
      </c>
      <c r="T28" s="262">
        <v>160</v>
      </c>
      <c r="U28" s="750">
        <f t="shared" si="2"/>
        <v>31</v>
      </c>
      <c r="V28" s="754">
        <f t="shared" si="3"/>
        <v>0.5</v>
      </c>
      <c r="W28" s="267">
        <f t="shared" si="4"/>
        <v>1</v>
      </c>
      <c r="X28" s="755">
        <f t="shared" si="0"/>
        <v>6</v>
      </c>
    </row>
    <row r="29" spans="4:24" x14ac:dyDescent="0.25">
      <c r="D29" s="191">
        <v>5</v>
      </c>
      <c r="E29" s="261">
        <v>2</v>
      </c>
      <c r="F29" s="192">
        <v>3</v>
      </c>
      <c r="G29" s="621">
        <v>7</v>
      </c>
      <c r="H29" s="51">
        <v>4</v>
      </c>
      <c r="I29" s="622">
        <v>2</v>
      </c>
      <c r="J29" s="201">
        <v>5</v>
      </c>
      <c r="K29" s="318">
        <v>2</v>
      </c>
      <c r="L29" s="202">
        <v>5</v>
      </c>
      <c r="Q29" s="747">
        <f t="shared" si="1"/>
        <v>10</v>
      </c>
      <c r="R29" s="569">
        <v>11</v>
      </c>
      <c r="S29" s="262">
        <v>11</v>
      </c>
      <c r="T29" s="262">
        <v>190</v>
      </c>
      <c r="U29" s="750">
        <f t="shared" si="2"/>
        <v>37</v>
      </c>
      <c r="V29" s="754">
        <f t="shared" si="3"/>
        <v>2</v>
      </c>
      <c r="W29" s="267">
        <f t="shared" si="4"/>
        <v>2</v>
      </c>
      <c r="X29" s="755">
        <f t="shared" si="0"/>
        <v>6</v>
      </c>
    </row>
    <row r="30" spans="4:24" x14ac:dyDescent="0.25">
      <c r="D30" s="191">
        <v>5</v>
      </c>
      <c r="E30" s="261">
        <v>2</v>
      </c>
      <c r="F30" s="192">
        <v>4</v>
      </c>
      <c r="G30" s="621">
        <v>6</v>
      </c>
      <c r="H30" s="51">
        <v>3</v>
      </c>
      <c r="I30" s="622">
        <v>3</v>
      </c>
      <c r="J30" s="201">
        <v>5</v>
      </c>
      <c r="K30" s="318">
        <v>2</v>
      </c>
      <c r="L30" s="202">
        <v>4</v>
      </c>
      <c r="Q30" s="747">
        <f t="shared" si="1"/>
        <v>11</v>
      </c>
      <c r="R30" s="569">
        <v>12</v>
      </c>
      <c r="S30" s="262">
        <v>12</v>
      </c>
      <c r="T30" s="262">
        <v>225</v>
      </c>
      <c r="U30" s="750">
        <f t="shared" si="2"/>
        <v>44</v>
      </c>
      <c r="V30" s="754">
        <f t="shared" si="3"/>
        <v>1</v>
      </c>
      <c r="W30" s="267">
        <f t="shared" si="4"/>
        <v>1</v>
      </c>
      <c r="X30" s="755">
        <f t="shared" si="0"/>
        <v>7</v>
      </c>
    </row>
    <row r="31" spans="4:24" x14ac:dyDescent="0.25">
      <c r="D31" s="191">
        <v>5</v>
      </c>
      <c r="E31" s="261">
        <v>3</v>
      </c>
      <c r="F31" s="192">
        <v>4</v>
      </c>
      <c r="G31" s="621">
        <v>5</v>
      </c>
      <c r="H31" s="51">
        <v>2</v>
      </c>
      <c r="I31" s="622">
        <v>4</v>
      </c>
      <c r="J31" s="201">
        <v>5</v>
      </c>
      <c r="K31" s="318">
        <v>4</v>
      </c>
      <c r="L31" s="202">
        <v>3</v>
      </c>
      <c r="Q31" s="747">
        <f t="shared" si="1"/>
        <v>12</v>
      </c>
      <c r="R31" s="569">
        <v>13</v>
      </c>
      <c r="S31" s="262">
        <v>13</v>
      </c>
      <c r="T31" s="262">
        <v>260</v>
      </c>
      <c r="U31" s="750">
        <f t="shared" si="2"/>
        <v>50</v>
      </c>
      <c r="V31" s="754">
        <f t="shared" si="3"/>
        <v>1</v>
      </c>
      <c r="W31" s="267">
        <f t="shared" si="4"/>
        <v>1</v>
      </c>
      <c r="X31" s="755">
        <f t="shared" si="0"/>
        <v>6</v>
      </c>
    </row>
    <row r="32" spans="4:24" x14ac:dyDescent="0.25">
      <c r="D32" s="191">
        <v>5</v>
      </c>
      <c r="E32" s="261">
        <v>2</v>
      </c>
      <c r="F32" s="192">
        <v>4</v>
      </c>
      <c r="G32" s="621">
        <v>5</v>
      </c>
      <c r="H32" s="51">
        <v>3</v>
      </c>
      <c r="I32" s="622">
        <v>3</v>
      </c>
      <c r="J32" s="201">
        <v>5</v>
      </c>
      <c r="K32" s="318">
        <v>3</v>
      </c>
      <c r="L32" s="202">
        <v>5</v>
      </c>
      <c r="Q32" s="747">
        <f t="shared" si="1"/>
        <v>13</v>
      </c>
      <c r="R32" s="569">
        <v>14</v>
      </c>
      <c r="S32" s="262">
        <v>14</v>
      </c>
      <c r="T32" s="262">
        <v>295</v>
      </c>
      <c r="U32" s="750">
        <f t="shared" si="2"/>
        <v>57</v>
      </c>
      <c r="V32" s="754">
        <f t="shared" si="3"/>
        <v>1</v>
      </c>
      <c r="W32" s="267">
        <f t="shared" si="4"/>
        <v>1</v>
      </c>
      <c r="X32" s="755">
        <f t="shared" si="0"/>
        <v>7</v>
      </c>
    </row>
    <row r="33" spans="4:24" x14ac:dyDescent="0.25">
      <c r="D33" s="191">
        <v>5</v>
      </c>
      <c r="E33" s="261">
        <v>2</v>
      </c>
      <c r="F33" s="192">
        <v>3</v>
      </c>
      <c r="G33" s="621">
        <v>5</v>
      </c>
      <c r="H33" s="51">
        <v>2</v>
      </c>
      <c r="I33" s="622">
        <v>3</v>
      </c>
      <c r="J33" s="201">
        <v>5</v>
      </c>
      <c r="K33" s="318">
        <v>3</v>
      </c>
      <c r="L33" s="202">
        <v>4</v>
      </c>
      <c r="Q33" s="747">
        <f t="shared" si="1"/>
        <v>14</v>
      </c>
      <c r="R33" s="569">
        <v>15</v>
      </c>
      <c r="S33" s="262">
        <v>15</v>
      </c>
      <c r="T33" s="262">
        <v>330</v>
      </c>
      <c r="U33" s="750">
        <f t="shared" si="2"/>
        <v>64</v>
      </c>
      <c r="V33" s="754">
        <f t="shared" si="3"/>
        <v>1</v>
      </c>
      <c r="W33" s="267">
        <f t="shared" si="4"/>
        <v>1</v>
      </c>
      <c r="X33" s="755">
        <f t="shared" si="0"/>
        <v>7</v>
      </c>
    </row>
    <row r="34" spans="4:24" x14ac:dyDescent="0.25">
      <c r="D34" s="191">
        <v>5</v>
      </c>
      <c r="E34" s="261">
        <v>2</v>
      </c>
      <c r="F34" s="192">
        <v>4</v>
      </c>
      <c r="G34" s="621">
        <v>5</v>
      </c>
      <c r="H34" s="51">
        <v>3</v>
      </c>
      <c r="I34" s="622">
        <v>3</v>
      </c>
      <c r="J34" s="201">
        <v>5</v>
      </c>
      <c r="K34" s="318">
        <v>2</v>
      </c>
      <c r="L34" s="202">
        <v>5</v>
      </c>
      <c r="Q34" s="748">
        <f t="shared" si="1"/>
        <v>15</v>
      </c>
      <c r="R34" s="602">
        <v>16</v>
      </c>
      <c r="S34" s="743">
        <v>16</v>
      </c>
      <c r="T34" s="743">
        <v>365</v>
      </c>
      <c r="U34" s="751">
        <f t="shared" si="2"/>
        <v>70</v>
      </c>
      <c r="V34" s="756">
        <f t="shared" si="3"/>
        <v>1</v>
      </c>
      <c r="W34" s="271">
        <f t="shared" si="4"/>
        <v>1</v>
      </c>
      <c r="X34" s="757">
        <f t="shared" si="0"/>
        <v>6</v>
      </c>
    </row>
    <row r="35" spans="4:24" x14ac:dyDescent="0.25">
      <c r="D35" s="191">
        <v>5</v>
      </c>
      <c r="E35" s="261">
        <v>2</v>
      </c>
      <c r="F35" s="192">
        <v>3</v>
      </c>
      <c r="G35" s="621">
        <v>5</v>
      </c>
      <c r="H35" s="51">
        <v>3</v>
      </c>
      <c r="I35" s="622">
        <v>5</v>
      </c>
      <c r="J35" s="201">
        <v>5</v>
      </c>
      <c r="K35" s="318">
        <v>2</v>
      </c>
      <c r="L35" s="202">
        <v>4</v>
      </c>
    </row>
    <row r="36" spans="4:24" x14ac:dyDescent="0.25">
      <c r="D36" s="191">
        <v>5</v>
      </c>
      <c r="E36" s="261">
        <v>3</v>
      </c>
      <c r="F36" s="192">
        <v>3</v>
      </c>
      <c r="G36" s="621">
        <v>5</v>
      </c>
      <c r="H36" s="51">
        <v>2</v>
      </c>
      <c r="I36" s="622">
        <v>3</v>
      </c>
      <c r="J36" s="201">
        <v>5</v>
      </c>
      <c r="K36" s="318">
        <v>2</v>
      </c>
      <c r="L36" s="202">
        <v>4</v>
      </c>
    </row>
    <row r="37" spans="4:24" x14ac:dyDescent="0.25">
      <c r="D37" s="191">
        <v>5</v>
      </c>
      <c r="E37" s="261">
        <v>2</v>
      </c>
      <c r="F37" s="192">
        <v>4</v>
      </c>
      <c r="G37" s="621">
        <v>5</v>
      </c>
      <c r="H37" s="51">
        <v>3</v>
      </c>
      <c r="I37" s="622">
        <v>4</v>
      </c>
      <c r="J37" s="201">
        <v>5</v>
      </c>
      <c r="K37" s="318">
        <v>3</v>
      </c>
      <c r="L37" s="202">
        <v>4</v>
      </c>
    </row>
    <row r="38" spans="4:24" x14ac:dyDescent="0.25">
      <c r="D38" s="191">
        <v>5</v>
      </c>
      <c r="E38" s="261">
        <v>3</v>
      </c>
      <c r="F38" s="192">
        <v>4</v>
      </c>
      <c r="G38" s="621">
        <v>5</v>
      </c>
      <c r="H38" s="51">
        <v>2</v>
      </c>
      <c r="I38" s="622">
        <v>4</v>
      </c>
      <c r="J38" s="201">
        <v>5</v>
      </c>
      <c r="K38" s="318">
        <v>2</v>
      </c>
      <c r="L38" s="202">
        <v>3</v>
      </c>
    </row>
    <row r="39" spans="4:24" x14ac:dyDescent="0.25">
      <c r="D39" s="191">
        <v>5</v>
      </c>
      <c r="E39" s="261">
        <v>3</v>
      </c>
      <c r="F39" s="192">
        <v>4</v>
      </c>
      <c r="G39" s="621">
        <v>5</v>
      </c>
      <c r="H39" s="51">
        <v>2</v>
      </c>
      <c r="I39" s="622">
        <v>5</v>
      </c>
      <c r="J39" s="201">
        <v>7</v>
      </c>
      <c r="K39" s="318">
        <v>2</v>
      </c>
      <c r="L39" s="202">
        <v>4</v>
      </c>
    </row>
    <row r="40" spans="4:24" x14ac:dyDescent="0.25">
      <c r="D40" s="191">
        <v>6</v>
      </c>
      <c r="E40" s="261">
        <v>3</v>
      </c>
      <c r="F40" s="192">
        <v>3</v>
      </c>
      <c r="G40" s="621">
        <v>5</v>
      </c>
      <c r="H40" s="51">
        <v>2</v>
      </c>
      <c r="I40" s="622">
        <v>3</v>
      </c>
      <c r="J40" s="201">
        <v>5</v>
      </c>
      <c r="K40" s="318">
        <v>3</v>
      </c>
      <c r="L40" s="202">
        <v>3</v>
      </c>
    </row>
    <row r="41" spans="4:24" x14ac:dyDescent="0.25">
      <c r="D41" s="191">
        <v>5</v>
      </c>
      <c r="E41" s="261">
        <v>2</v>
      </c>
      <c r="F41" s="192">
        <v>3</v>
      </c>
      <c r="G41" s="621">
        <v>5</v>
      </c>
      <c r="H41" s="51">
        <v>2</v>
      </c>
      <c r="I41" s="622">
        <v>4</v>
      </c>
      <c r="J41" s="201">
        <v>5</v>
      </c>
      <c r="K41" s="318">
        <v>3</v>
      </c>
      <c r="L41" s="202">
        <v>3</v>
      </c>
    </row>
    <row r="42" spans="4:24" x14ac:dyDescent="0.25">
      <c r="D42" s="191">
        <v>6</v>
      </c>
      <c r="E42" s="261">
        <v>4</v>
      </c>
      <c r="F42" s="192">
        <v>4</v>
      </c>
      <c r="G42" s="621">
        <v>5</v>
      </c>
      <c r="H42" s="51">
        <v>2</v>
      </c>
      <c r="I42" s="622">
        <v>3</v>
      </c>
      <c r="J42" s="201">
        <v>5</v>
      </c>
      <c r="K42" s="318">
        <v>2</v>
      </c>
      <c r="L42" s="202">
        <v>5</v>
      </c>
    </row>
    <row r="43" spans="4:24" x14ac:dyDescent="0.25">
      <c r="D43" s="191">
        <v>6</v>
      </c>
      <c r="E43" s="261">
        <v>3</v>
      </c>
      <c r="F43" s="192">
        <v>4</v>
      </c>
      <c r="G43" s="621">
        <v>5</v>
      </c>
      <c r="H43" s="51">
        <v>3</v>
      </c>
      <c r="I43" s="622">
        <v>4</v>
      </c>
      <c r="J43" s="201">
        <v>5</v>
      </c>
      <c r="K43" s="318">
        <v>3</v>
      </c>
      <c r="L43" s="202">
        <v>3</v>
      </c>
    </row>
    <row r="44" spans="4:24" x14ac:dyDescent="0.25">
      <c r="D44" s="191">
        <v>5</v>
      </c>
      <c r="E44" s="261">
        <v>2</v>
      </c>
      <c r="F44" s="192">
        <v>3</v>
      </c>
      <c r="G44" s="621">
        <v>5</v>
      </c>
      <c r="H44" s="51">
        <v>2</v>
      </c>
      <c r="I44" s="622">
        <v>3</v>
      </c>
      <c r="J44" s="201">
        <v>5</v>
      </c>
      <c r="K44" s="318">
        <v>2</v>
      </c>
      <c r="L44" s="202">
        <v>3</v>
      </c>
    </row>
    <row r="45" spans="4:24" x14ac:dyDescent="0.25">
      <c r="D45" s="191">
        <v>5</v>
      </c>
      <c r="E45" s="261">
        <v>2</v>
      </c>
      <c r="F45" s="192">
        <v>3</v>
      </c>
      <c r="G45" s="621">
        <v>5</v>
      </c>
      <c r="H45" s="51">
        <v>4</v>
      </c>
      <c r="I45" s="622">
        <v>5</v>
      </c>
      <c r="J45" s="201">
        <v>6</v>
      </c>
      <c r="K45" s="318">
        <v>3</v>
      </c>
      <c r="L45" s="202">
        <v>4</v>
      </c>
    </row>
    <row r="46" spans="4:24" x14ac:dyDescent="0.25">
      <c r="D46" s="191">
        <v>5</v>
      </c>
      <c r="E46" s="261">
        <v>2</v>
      </c>
      <c r="F46" s="192">
        <v>3</v>
      </c>
      <c r="G46" s="621">
        <v>5</v>
      </c>
      <c r="H46" s="51">
        <v>3</v>
      </c>
      <c r="I46" s="622">
        <v>3</v>
      </c>
      <c r="J46" s="201">
        <v>5</v>
      </c>
      <c r="K46" s="318">
        <v>2</v>
      </c>
      <c r="L46" s="202">
        <v>4</v>
      </c>
    </row>
    <row r="47" spans="4:24" x14ac:dyDescent="0.25">
      <c r="D47" s="191">
        <v>5</v>
      </c>
      <c r="E47" s="261">
        <v>2</v>
      </c>
      <c r="F47" s="192">
        <v>3</v>
      </c>
      <c r="G47" s="621">
        <v>5</v>
      </c>
      <c r="H47" s="51">
        <v>2</v>
      </c>
      <c r="I47" s="622">
        <v>5</v>
      </c>
      <c r="J47" s="201">
        <v>5</v>
      </c>
      <c r="K47" s="318">
        <v>4</v>
      </c>
      <c r="L47" s="202">
        <v>3</v>
      </c>
    </row>
    <row r="48" spans="4:24" x14ac:dyDescent="0.25">
      <c r="D48" s="191">
        <v>5</v>
      </c>
      <c r="E48" s="261">
        <v>4</v>
      </c>
      <c r="F48" s="192">
        <v>5</v>
      </c>
      <c r="G48" s="621">
        <v>5</v>
      </c>
      <c r="H48" s="51">
        <v>2</v>
      </c>
      <c r="I48" s="622">
        <v>5</v>
      </c>
      <c r="J48" s="201">
        <v>5</v>
      </c>
      <c r="K48" s="318">
        <v>2</v>
      </c>
      <c r="L48" s="202">
        <v>3</v>
      </c>
    </row>
    <row r="49" spans="4:12" x14ac:dyDescent="0.25">
      <c r="D49" s="191">
        <v>5</v>
      </c>
      <c r="E49" s="261">
        <v>3</v>
      </c>
      <c r="F49" s="192">
        <v>4</v>
      </c>
      <c r="G49" s="621">
        <v>7</v>
      </c>
      <c r="H49" s="51">
        <v>3</v>
      </c>
      <c r="I49" s="622">
        <v>4</v>
      </c>
      <c r="J49" s="201">
        <v>6</v>
      </c>
      <c r="K49" s="318">
        <v>2</v>
      </c>
      <c r="L49" s="202">
        <v>3</v>
      </c>
    </row>
    <row r="50" spans="4:12" x14ac:dyDescent="0.25">
      <c r="D50" s="191">
        <v>5</v>
      </c>
      <c r="E50" s="261">
        <v>2</v>
      </c>
      <c r="F50" s="192">
        <v>3</v>
      </c>
      <c r="G50" s="621">
        <v>6</v>
      </c>
      <c r="H50" s="51">
        <v>2</v>
      </c>
      <c r="I50" s="622">
        <v>3</v>
      </c>
      <c r="J50" s="201">
        <v>5</v>
      </c>
      <c r="K50" s="318">
        <v>2</v>
      </c>
      <c r="L50" s="202">
        <v>4</v>
      </c>
    </row>
    <row r="51" spans="4:12" x14ac:dyDescent="0.25">
      <c r="D51" s="191">
        <v>5</v>
      </c>
      <c r="E51" s="261">
        <v>2</v>
      </c>
      <c r="F51" s="192">
        <v>4</v>
      </c>
      <c r="G51" s="621">
        <v>5</v>
      </c>
      <c r="H51" s="51">
        <v>2</v>
      </c>
      <c r="I51" s="622">
        <v>4</v>
      </c>
      <c r="J51" s="201">
        <v>7</v>
      </c>
      <c r="K51" s="318">
        <v>4</v>
      </c>
      <c r="L51" s="202">
        <v>3</v>
      </c>
    </row>
    <row r="52" spans="4:12" x14ac:dyDescent="0.25">
      <c r="D52" s="191">
        <v>5</v>
      </c>
      <c r="E52" s="261">
        <v>4</v>
      </c>
      <c r="F52" s="192">
        <v>3</v>
      </c>
      <c r="G52" s="621">
        <v>6</v>
      </c>
      <c r="H52" s="51">
        <v>2</v>
      </c>
      <c r="I52" s="622">
        <v>5</v>
      </c>
      <c r="J52" s="201">
        <v>5</v>
      </c>
      <c r="K52" s="318">
        <v>3</v>
      </c>
      <c r="L52" s="202">
        <v>5</v>
      </c>
    </row>
    <row r="53" spans="4:12" x14ac:dyDescent="0.25">
      <c r="D53" s="191">
        <v>5</v>
      </c>
      <c r="E53" s="261">
        <v>2</v>
      </c>
      <c r="F53" s="192">
        <v>4</v>
      </c>
      <c r="G53" s="621">
        <v>5</v>
      </c>
      <c r="H53" s="51">
        <v>3</v>
      </c>
      <c r="I53" s="622">
        <v>4</v>
      </c>
      <c r="J53" s="201">
        <v>5</v>
      </c>
      <c r="K53" s="318">
        <v>2</v>
      </c>
      <c r="L53" s="202">
        <v>4</v>
      </c>
    </row>
    <row r="54" spans="4:12" x14ac:dyDescent="0.25">
      <c r="D54" s="191">
        <v>5</v>
      </c>
      <c r="E54" s="261">
        <v>2</v>
      </c>
      <c r="F54" s="192">
        <v>4</v>
      </c>
      <c r="G54" s="621">
        <v>5</v>
      </c>
      <c r="H54" s="51">
        <v>3</v>
      </c>
      <c r="I54" s="622">
        <v>4</v>
      </c>
      <c r="J54" s="201">
        <v>5</v>
      </c>
      <c r="K54" s="318">
        <v>4</v>
      </c>
      <c r="L54" s="202">
        <v>3</v>
      </c>
    </row>
    <row r="55" spans="4:12" x14ac:dyDescent="0.25">
      <c r="D55" s="191">
        <v>5</v>
      </c>
      <c r="E55" s="261">
        <v>2</v>
      </c>
      <c r="F55" s="192">
        <v>4</v>
      </c>
      <c r="G55" s="621">
        <v>5</v>
      </c>
      <c r="H55" s="51">
        <v>3</v>
      </c>
      <c r="I55" s="622">
        <v>3</v>
      </c>
      <c r="J55" s="201">
        <v>7</v>
      </c>
      <c r="K55" s="318">
        <v>3</v>
      </c>
      <c r="L55" s="202">
        <v>4</v>
      </c>
    </row>
    <row r="56" spans="4:12" x14ac:dyDescent="0.25">
      <c r="D56" s="191">
        <v>5</v>
      </c>
      <c r="E56" s="261">
        <v>2</v>
      </c>
      <c r="F56" s="192">
        <v>3</v>
      </c>
      <c r="G56" s="621">
        <v>5</v>
      </c>
      <c r="H56" s="51">
        <v>3</v>
      </c>
      <c r="I56" s="622">
        <v>3</v>
      </c>
      <c r="J56" s="201">
        <v>5</v>
      </c>
      <c r="K56" s="318">
        <v>2</v>
      </c>
      <c r="L56" s="202">
        <v>3</v>
      </c>
    </row>
    <row r="57" spans="4:12" x14ac:dyDescent="0.25">
      <c r="D57" s="191">
        <v>5</v>
      </c>
      <c r="E57" s="261">
        <v>3</v>
      </c>
      <c r="F57" s="192">
        <v>5</v>
      </c>
      <c r="G57" s="621">
        <v>5</v>
      </c>
      <c r="H57" s="51">
        <v>4</v>
      </c>
      <c r="I57" s="622">
        <v>4</v>
      </c>
      <c r="J57" s="201">
        <v>5</v>
      </c>
      <c r="K57" s="318">
        <v>3</v>
      </c>
      <c r="L57" s="202">
        <v>5</v>
      </c>
    </row>
    <row r="58" spans="4:12" x14ac:dyDescent="0.25">
      <c r="D58" s="191">
        <v>5</v>
      </c>
      <c r="E58" s="261">
        <v>2</v>
      </c>
      <c r="F58" s="192">
        <v>3</v>
      </c>
      <c r="G58" s="621">
        <v>5</v>
      </c>
      <c r="H58" s="51">
        <v>3</v>
      </c>
      <c r="I58" s="622">
        <v>4</v>
      </c>
      <c r="J58" s="201">
        <v>5</v>
      </c>
      <c r="K58" s="318">
        <v>3</v>
      </c>
      <c r="L58" s="202">
        <v>3</v>
      </c>
    </row>
    <row r="59" spans="4:12" x14ac:dyDescent="0.25">
      <c r="D59" s="191">
        <v>5</v>
      </c>
      <c r="E59" s="261">
        <v>2</v>
      </c>
      <c r="F59" s="192">
        <v>4</v>
      </c>
      <c r="G59" s="621">
        <v>5</v>
      </c>
      <c r="H59" s="51">
        <v>3</v>
      </c>
      <c r="I59" s="622">
        <v>3</v>
      </c>
      <c r="J59" s="201">
        <v>7</v>
      </c>
      <c r="K59" s="318">
        <v>3</v>
      </c>
      <c r="L59" s="202">
        <v>3</v>
      </c>
    </row>
    <row r="60" spans="4:12" x14ac:dyDescent="0.25">
      <c r="D60" s="191">
        <v>5</v>
      </c>
      <c r="E60" s="261">
        <v>3</v>
      </c>
      <c r="F60" s="192">
        <v>4</v>
      </c>
      <c r="G60" s="621">
        <v>5</v>
      </c>
      <c r="H60" s="51">
        <v>4</v>
      </c>
      <c r="I60" s="622">
        <v>3</v>
      </c>
      <c r="J60" s="201">
        <v>5</v>
      </c>
      <c r="K60" s="318">
        <v>2</v>
      </c>
      <c r="L60" s="202">
        <v>3</v>
      </c>
    </row>
    <row r="61" spans="4:12" x14ac:dyDescent="0.25">
      <c r="D61" s="191">
        <v>6</v>
      </c>
      <c r="E61" s="261">
        <v>3</v>
      </c>
      <c r="F61" s="192">
        <v>4</v>
      </c>
      <c r="G61" s="621">
        <v>5</v>
      </c>
      <c r="H61" s="51">
        <v>2</v>
      </c>
      <c r="I61" s="622">
        <v>3</v>
      </c>
      <c r="J61" s="201">
        <v>5</v>
      </c>
      <c r="K61" s="318">
        <v>3</v>
      </c>
      <c r="L61" s="202">
        <v>3</v>
      </c>
    </row>
    <row r="62" spans="4:12" x14ac:dyDescent="0.25">
      <c r="D62" s="191">
        <v>5</v>
      </c>
      <c r="E62" s="261">
        <v>3</v>
      </c>
      <c r="F62" s="192">
        <v>5</v>
      </c>
      <c r="G62" s="621">
        <v>5</v>
      </c>
      <c r="H62" s="51">
        <v>2</v>
      </c>
      <c r="I62" s="622">
        <v>3</v>
      </c>
      <c r="J62" s="201">
        <v>5</v>
      </c>
      <c r="K62" s="318">
        <v>2</v>
      </c>
      <c r="L62" s="202">
        <v>3</v>
      </c>
    </row>
    <row r="63" spans="4:12" x14ac:dyDescent="0.25">
      <c r="D63" s="191">
        <v>5</v>
      </c>
      <c r="E63" s="261">
        <v>2</v>
      </c>
      <c r="F63" s="192">
        <v>3</v>
      </c>
      <c r="G63" s="621">
        <v>5</v>
      </c>
      <c r="H63" s="51">
        <v>2</v>
      </c>
      <c r="I63" s="622">
        <v>3</v>
      </c>
      <c r="J63" s="201">
        <v>5</v>
      </c>
      <c r="K63" s="318">
        <v>2</v>
      </c>
      <c r="L63" s="202">
        <v>3</v>
      </c>
    </row>
    <row r="64" spans="4:12" x14ac:dyDescent="0.25">
      <c r="D64" s="191">
        <v>5</v>
      </c>
      <c r="E64" s="261">
        <v>4</v>
      </c>
      <c r="F64" s="192">
        <v>3</v>
      </c>
      <c r="G64" s="621">
        <v>5</v>
      </c>
      <c r="H64" s="51">
        <v>3</v>
      </c>
      <c r="I64" s="622">
        <v>4</v>
      </c>
      <c r="J64" s="201">
        <v>5</v>
      </c>
      <c r="K64" s="318">
        <v>3</v>
      </c>
      <c r="L64" s="202">
        <v>3</v>
      </c>
    </row>
    <row r="65" spans="4:12" x14ac:dyDescent="0.25">
      <c r="D65" s="191">
        <v>6</v>
      </c>
      <c r="E65" s="261">
        <v>2</v>
      </c>
      <c r="F65" s="192">
        <v>3</v>
      </c>
      <c r="G65" s="621">
        <v>5</v>
      </c>
      <c r="H65" s="51">
        <v>3</v>
      </c>
      <c r="I65" s="622">
        <v>4</v>
      </c>
      <c r="J65" s="201">
        <v>5</v>
      </c>
      <c r="K65" s="318">
        <v>3</v>
      </c>
      <c r="L65" s="202">
        <v>3</v>
      </c>
    </row>
    <row r="66" spans="4:12" x14ac:dyDescent="0.25">
      <c r="D66" s="191">
        <v>5</v>
      </c>
      <c r="E66" s="261">
        <v>2</v>
      </c>
      <c r="F66" s="192">
        <v>4</v>
      </c>
      <c r="G66" s="621">
        <v>5</v>
      </c>
      <c r="H66" s="51">
        <v>2</v>
      </c>
      <c r="I66" s="622">
        <v>4</v>
      </c>
      <c r="J66" s="201">
        <v>5</v>
      </c>
      <c r="K66" s="318">
        <v>2</v>
      </c>
      <c r="L66" s="202">
        <v>3</v>
      </c>
    </row>
    <row r="67" spans="4:12" x14ac:dyDescent="0.25">
      <c r="D67" s="191">
        <v>5</v>
      </c>
      <c r="E67" s="261">
        <v>4</v>
      </c>
      <c r="F67" s="192">
        <v>4</v>
      </c>
      <c r="G67" s="621">
        <v>5</v>
      </c>
      <c r="H67" s="51">
        <v>2</v>
      </c>
      <c r="I67" s="622">
        <v>5</v>
      </c>
      <c r="J67" s="201">
        <v>5</v>
      </c>
      <c r="K67" s="318">
        <v>2</v>
      </c>
      <c r="L67" s="202">
        <v>3</v>
      </c>
    </row>
    <row r="68" spans="4:12" x14ac:dyDescent="0.25">
      <c r="D68" s="191">
        <v>5</v>
      </c>
      <c r="E68" s="261">
        <v>3</v>
      </c>
      <c r="F68" s="192">
        <v>3</v>
      </c>
      <c r="G68" s="621">
        <v>5</v>
      </c>
      <c r="H68" s="51">
        <v>2</v>
      </c>
      <c r="I68" s="622">
        <v>3</v>
      </c>
      <c r="J68" s="201">
        <v>5</v>
      </c>
      <c r="K68" s="318">
        <v>3</v>
      </c>
      <c r="L68" s="202">
        <v>4</v>
      </c>
    </row>
    <row r="69" spans="4:12" x14ac:dyDescent="0.25">
      <c r="D69" s="191">
        <v>5</v>
      </c>
      <c r="E69" s="261">
        <v>2</v>
      </c>
      <c r="F69" s="192">
        <v>3</v>
      </c>
      <c r="G69" s="621">
        <v>5</v>
      </c>
      <c r="H69" s="51">
        <v>3</v>
      </c>
      <c r="I69" s="622">
        <v>4</v>
      </c>
      <c r="J69" s="201">
        <v>6</v>
      </c>
      <c r="K69" s="318">
        <v>3</v>
      </c>
      <c r="L69" s="202">
        <v>4</v>
      </c>
    </row>
    <row r="70" spans="4:12" x14ac:dyDescent="0.25">
      <c r="D70" s="191">
        <v>5</v>
      </c>
      <c r="E70" s="261">
        <v>2</v>
      </c>
      <c r="F70" s="192">
        <v>5</v>
      </c>
      <c r="G70" s="621">
        <v>6</v>
      </c>
      <c r="H70" s="51">
        <v>3</v>
      </c>
      <c r="I70" s="622">
        <v>3</v>
      </c>
      <c r="J70" s="201">
        <v>5</v>
      </c>
      <c r="K70" s="318">
        <v>3</v>
      </c>
      <c r="L70" s="202">
        <v>5</v>
      </c>
    </row>
    <row r="71" spans="4:12" x14ac:dyDescent="0.25">
      <c r="E71" s="261">
        <v>2</v>
      </c>
      <c r="F71" s="192">
        <v>3</v>
      </c>
      <c r="G71" s="621">
        <v>5</v>
      </c>
      <c r="H71" s="51">
        <v>2</v>
      </c>
      <c r="I71" s="622">
        <v>3</v>
      </c>
      <c r="J71" s="201">
        <v>6</v>
      </c>
      <c r="K71" s="318">
        <v>3</v>
      </c>
      <c r="L71" s="202">
        <v>3</v>
      </c>
    </row>
    <row r="72" spans="4:12" x14ac:dyDescent="0.25">
      <c r="E72" s="261">
        <v>2</v>
      </c>
      <c r="F72" s="192">
        <v>3</v>
      </c>
      <c r="G72" s="621">
        <v>6</v>
      </c>
      <c r="H72" s="51">
        <v>2</v>
      </c>
      <c r="I72" s="622">
        <v>3</v>
      </c>
      <c r="J72" s="201">
        <v>5</v>
      </c>
      <c r="K72" s="318">
        <v>2</v>
      </c>
      <c r="L72" s="202">
        <v>4</v>
      </c>
    </row>
    <row r="73" spans="4:12" x14ac:dyDescent="0.25">
      <c r="E73" s="261">
        <v>2</v>
      </c>
      <c r="F73" s="192">
        <v>3</v>
      </c>
      <c r="G73" s="621">
        <v>5</v>
      </c>
      <c r="H73" s="51">
        <v>3</v>
      </c>
      <c r="I73" s="622">
        <v>4</v>
      </c>
      <c r="J73" s="201">
        <v>5</v>
      </c>
      <c r="K73" s="318">
        <v>4</v>
      </c>
      <c r="L73" s="202">
        <v>4</v>
      </c>
    </row>
    <row r="74" spans="4:12" x14ac:dyDescent="0.25">
      <c r="E74" s="261">
        <v>2</v>
      </c>
      <c r="F74" s="192">
        <v>4</v>
      </c>
      <c r="G74" s="621">
        <v>5</v>
      </c>
      <c r="H74" s="51">
        <v>2</v>
      </c>
      <c r="I74" s="622">
        <v>4</v>
      </c>
      <c r="J74" s="201">
        <v>5</v>
      </c>
      <c r="K74" s="318">
        <v>2</v>
      </c>
      <c r="L74" s="202">
        <v>3</v>
      </c>
    </row>
    <row r="75" spans="4:12" x14ac:dyDescent="0.25">
      <c r="E75" s="261">
        <v>2</v>
      </c>
      <c r="F75" s="192">
        <v>3</v>
      </c>
      <c r="G75" s="621">
        <v>5</v>
      </c>
      <c r="H75" s="51">
        <v>2</v>
      </c>
      <c r="I75" s="622">
        <v>3</v>
      </c>
      <c r="J75" s="201">
        <v>5</v>
      </c>
      <c r="K75" s="318">
        <v>3</v>
      </c>
      <c r="L75" s="202">
        <v>3</v>
      </c>
    </row>
    <row r="76" spans="4:12" x14ac:dyDescent="0.25">
      <c r="E76" s="261">
        <v>2</v>
      </c>
      <c r="F76" s="192">
        <v>3</v>
      </c>
      <c r="G76" s="621">
        <v>6</v>
      </c>
      <c r="H76" s="51">
        <v>2</v>
      </c>
      <c r="I76" s="622">
        <v>3</v>
      </c>
      <c r="J76" s="201">
        <v>5</v>
      </c>
      <c r="K76" s="318">
        <v>3</v>
      </c>
      <c r="L76" s="202">
        <v>3</v>
      </c>
    </row>
    <row r="77" spans="4:12" x14ac:dyDescent="0.25">
      <c r="E77" s="261">
        <v>2</v>
      </c>
      <c r="F77" s="192">
        <v>4</v>
      </c>
      <c r="G77" s="621">
        <v>5</v>
      </c>
      <c r="H77" s="51">
        <v>3</v>
      </c>
      <c r="I77" s="622">
        <v>3</v>
      </c>
      <c r="J77" s="201">
        <v>5</v>
      </c>
      <c r="K77" s="318">
        <v>3</v>
      </c>
      <c r="L77" s="202">
        <v>3</v>
      </c>
    </row>
    <row r="78" spans="4:12" x14ac:dyDescent="0.25">
      <c r="E78" s="261">
        <v>2</v>
      </c>
      <c r="F78" s="192">
        <v>3</v>
      </c>
      <c r="G78" s="621">
        <v>5</v>
      </c>
      <c r="H78" s="51">
        <v>3</v>
      </c>
      <c r="I78" s="622">
        <v>3</v>
      </c>
      <c r="J78" s="201">
        <v>5</v>
      </c>
      <c r="K78" s="318">
        <v>2</v>
      </c>
      <c r="L78" s="202">
        <v>3</v>
      </c>
    </row>
    <row r="79" spans="4:12" x14ac:dyDescent="0.25">
      <c r="E79" s="261">
        <v>2</v>
      </c>
      <c r="F79" s="192">
        <v>4</v>
      </c>
      <c r="G79" s="621">
        <v>5</v>
      </c>
      <c r="H79" s="51">
        <v>3</v>
      </c>
      <c r="I79" s="622">
        <v>3</v>
      </c>
      <c r="J79" s="201">
        <v>5</v>
      </c>
      <c r="K79" s="318">
        <v>3</v>
      </c>
      <c r="L79" s="202">
        <v>4</v>
      </c>
    </row>
    <row r="80" spans="4:12" x14ac:dyDescent="0.25">
      <c r="E80" s="261">
        <v>2</v>
      </c>
      <c r="F80" s="192">
        <v>3</v>
      </c>
      <c r="G80" s="621">
        <v>5</v>
      </c>
      <c r="H80" s="51">
        <v>3</v>
      </c>
      <c r="I80" s="622">
        <v>3</v>
      </c>
      <c r="J80" s="201">
        <v>5</v>
      </c>
      <c r="K80" s="318">
        <v>4</v>
      </c>
      <c r="L80" s="202">
        <v>5</v>
      </c>
    </row>
    <row r="81" spans="5:12" x14ac:dyDescent="0.25">
      <c r="E81" s="261">
        <v>3</v>
      </c>
      <c r="F81" s="192">
        <v>5</v>
      </c>
      <c r="G81" s="621">
        <v>5</v>
      </c>
      <c r="H81" s="51">
        <v>2</v>
      </c>
      <c r="I81" s="622">
        <v>3</v>
      </c>
      <c r="J81" s="201">
        <v>5</v>
      </c>
      <c r="K81" s="318">
        <v>2</v>
      </c>
      <c r="L81" s="202">
        <v>4</v>
      </c>
    </row>
    <row r="82" spans="5:12" x14ac:dyDescent="0.25">
      <c r="E82" s="261">
        <v>4</v>
      </c>
      <c r="F82" s="192">
        <v>4</v>
      </c>
      <c r="G82" s="621">
        <v>5</v>
      </c>
      <c r="H82" s="51">
        <v>4</v>
      </c>
      <c r="I82" s="622">
        <v>3</v>
      </c>
      <c r="J82" s="201">
        <v>6</v>
      </c>
      <c r="K82" s="318">
        <v>3</v>
      </c>
      <c r="L82" s="202">
        <v>5</v>
      </c>
    </row>
    <row r="83" spans="5:12" x14ac:dyDescent="0.25">
      <c r="E83" s="261">
        <v>2</v>
      </c>
      <c r="F83" s="192">
        <v>3</v>
      </c>
      <c r="G83" s="621">
        <v>5</v>
      </c>
      <c r="H83" s="51">
        <v>3</v>
      </c>
      <c r="I83" s="622">
        <v>3</v>
      </c>
      <c r="J83" s="201">
        <v>5</v>
      </c>
      <c r="K83" s="318">
        <v>2</v>
      </c>
      <c r="L83" s="202">
        <v>3</v>
      </c>
    </row>
    <row r="84" spans="5:12" x14ac:dyDescent="0.25">
      <c r="E84" s="261">
        <v>2</v>
      </c>
      <c r="F84" s="192">
        <v>5</v>
      </c>
      <c r="G84" s="621">
        <v>5</v>
      </c>
      <c r="H84" s="51">
        <v>3</v>
      </c>
      <c r="I84" s="622">
        <v>3</v>
      </c>
      <c r="J84" s="201">
        <v>6</v>
      </c>
      <c r="K84" s="318">
        <v>3</v>
      </c>
      <c r="L84" s="202">
        <v>3</v>
      </c>
    </row>
    <row r="85" spans="5:12" x14ac:dyDescent="0.25">
      <c r="E85" s="261">
        <v>2</v>
      </c>
      <c r="F85" s="192">
        <v>3</v>
      </c>
      <c r="G85" s="621">
        <v>5</v>
      </c>
      <c r="H85" s="51">
        <v>2</v>
      </c>
      <c r="I85" s="622">
        <v>3</v>
      </c>
      <c r="J85" s="201">
        <v>5</v>
      </c>
      <c r="K85" s="318">
        <v>2</v>
      </c>
      <c r="L85" s="202">
        <v>4</v>
      </c>
    </row>
    <row r="86" spans="5:12" x14ac:dyDescent="0.25">
      <c r="E86" s="261">
        <v>2</v>
      </c>
      <c r="F86" s="192">
        <v>3</v>
      </c>
      <c r="G86" s="621">
        <v>7</v>
      </c>
      <c r="H86" s="51">
        <v>3</v>
      </c>
      <c r="I86" s="622">
        <v>3</v>
      </c>
      <c r="J86" s="201">
        <v>6</v>
      </c>
      <c r="K86" s="318">
        <v>3</v>
      </c>
      <c r="L86" s="202">
        <v>3</v>
      </c>
    </row>
    <row r="87" spans="5:12" x14ac:dyDescent="0.25">
      <c r="E87" s="261">
        <v>2</v>
      </c>
      <c r="F87" s="192">
        <v>3</v>
      </c>
      <c r="G87" s="621">
        <v>5</v>
      </c>
      <c r="H87" s="51">
        <v>4</v>
      </c>
      <c r="I87" s="622">
        <v>3</v>
      </c>
      <c r="J87" s="201">
        <v>7</v>
      </c>
      <c r="K87" s="318">
        <v>2</v>
      </c>
      <c r="L87" s="202">
        <v>4</v>
      </c>
    </row>
    <row r="88" spans="5:12" x14ac:dyDescent="0.25">
      <c r="E88" s="261">
        <v>2</v>
      </c>
      <c r="F88" s="192">
        <v>3</v>
      </c>
      <c r="G88" s="621">
        <v>5</v>
      </c>
      <c r="H88" s="51">
        <v>2</v>
      </c>
      <c r="I88" s="622">
        <v>4</v>
      </c>
      <c r="J88" s="201">
        <v>5</v>
      </c>
      <c r="K88" s="318">
        <v>2</v>
      </c>
      <c r="L88" s="202">
        <v>3</v>
      </c>
    </row>
    <row r="89" spans="5:12" x14ac:dyDescent="0.25">
      <c r="E89" s="261">
        <v>2</v>
      </c>
      <c r="F89" s="192">
        <v>4</v>
      </c>
      <c r="G89" s="621">
        <v>5</v>
      </c>
      <c r="H89" s="51">
        <v>3</v>
      </c>
      <c r="I89" s="622">
        <v>3</v>
      </c>
      <c r="J89" s="201">
        <v>5</v>
      </c>
      <c r="K89" s="318">
        <v>2</v>
      </c>
      <c r="L89" s="202">
        <v>4</v>
      </c>
    </row>
    <row r="90" spans="5:12" x14ac:dyDescent="0.25">
      <c r="E90" s="261">
        <v>2</v>
      </c>
      <c r="F90" s="192">
        <v>3</v>
      </c>
      <c r="G90" s="621">
        <v>5</v>
      </c>
      <c r="H90" s="51">
        <v>2</v>
      </c>
      <c r="I90" s="622">
        <v>3</v>
      </c>
      <c r="J90" s="201">
        <v>5</v>
      </c>
      <c r="K90" s="318">
        <v>2</v>
      </c>
      <c r="L90" s="202">
        <v>3</v>
      </c>
    </row>
    <row r="91" spans="5:12" x14ac:dyDescent="0.25">
      <c r="E91" s="261">
        <v>3</v>
      </c>
      <c r="F91" s="192">
        <v>3</v>
      </c>
      <c r="G91" s="621">
        <v>5</v>
      </c>
      <c r="H91" s="51">
        <v>3</v>
      </c>
      <c r="I91" s="622">
        <v>3</v>
      </c>
      <c r="J91" s="201">
        <v>5</v>
      </c>
      <c r="K91" s="318">
        <v>2</v>
      </c>
      <c r="L91" s="202">
        <v>4</v>
      </c>
    </row>
    <row r="92" spans="5:12" x14ac:dyDescent="0.25">
      <c r="E92" s="261">
        <v>2</v>
      </c>
      <c r="F92" s="192">
        <v>3</v>
      </c>
      <c r="G92" s="621">
        <v>5</v>
      </c>
      <c r="H92" s="51">
        <v>2</v>
      </c>
      <c r="I92" s="622">
        <v>3</v>
      </c>
      <c r="J92" s="201">
        <v>5</v>
      </c>
      <c r="K92" s="318">
        <v>2</v>
      </c>
      <c r="L92" s="202">
        <v>3</v>
      </c>
    </row>
    <row r="93" spans="5:12" x14ac:dyDescent="0.25">
      <c r="E93" s="261">
        <v>2</v>
      </c>
      <c r="F93" s="192">
        <v>5</v>
      </c>
      <c r="G93" s="621">
        <v>5</v>
      </c>
      <c r="H93" s="51">
        <v>4</v>
      </c>
      <c r="I93" s="622">
        <v>3</v>
      </c>
      <c r="J93" s="201">
        <v>5</v>
      </c>
      <c r="K93" s="318">
        <v>2</v>
      </c>
      <c r="L93" s="202">
        <v>3</v>
      </c>
    </row>
    <row r="94" spans="5:12" x14ac:dyDescent="0.25">
      <c r="E94" s="261">
        <v>3</v>
      </c>
      <c r="F94" s="192">
        <v>3</v>
      </c>
      <c r="G94" s="621">
        <v>5</v>
      </c>
      <c r="H94" s="51">
        <v>2</v>
      </c>
      <c r="I94" s="622">
        <v>3</v>
      </c>
      <c r="J94" s="201">
        <v>5</v>
      </c>
      <c r="K94" s="318">
        <v>2</v>
      </c>
      <c r="L94" s="202">
        <v>3</v>
      </c>
    </row>
    <row r="95" spans="5:12" x14ac:dyDescent="0.25">
      <c r="E95" s="261">
        <v>2</v>
      </c>
      <c r="F95" s="192">
        <v>4</v>
      </c>
      <c r="G95" s="621">
        <v>5</v>
      </c>
      <c r="H95" s="51">
        <v>3</v>
      </c>
      <c r="I95" s="622">
        <v>3</v>
      </c>
      <c r="K95" s="318">
        <v>3</v>
      </c>
      <c r="L95" s="202">
        <v>3</v>
      </c>
    </row>
    <row r="96" spans="5:12" x14ac:dyDescent="0.25">
      <c r="E96" s="261">
        <v>2</v>
      </c>
      <c r="F96" s="192">
        <v>3</v>
      </c>
      <c r="G96" s="621">
        <v>5</v>
      </c>
      <c r="H96" s="51">
        <v>4</v>
      </c>
      <c r="I96" s="622">
        <v>4</v>
      </c>
      <c r="K96" s="318">
        <v>3</v>
      </c>
      <c r="L96" s="202">
        <v>3</v>
      </c>
    </row>
    <row r="97" spans="5:12" x14ac:dyDescent="0.25">
      <c r="E97" s="261">
        <v>2</v>
      </c>
      <c r="F97" s="192">
        <v>4</v>
      </c>
      <c r="G97" s="621">
        <v>5</v>
      </c>
      <c r="H97" s="51">
        <v>2</v>
      </c>
      <c r="I97" s="622">
        <v>3</v>
      </c>
      <c r="K97" s="318">
        <v>3</v>
      </c>
      <c r="L97" s="202">
        <v>3</v>
      </c>
    </row>
    <row r="98" spans="5:12" x14ac:dyDescent="0.25">
      <c r="E98" s="261">
        <v>2</v>
      </c>
      <c r="F98" s="192">
        <v>4</v>
      </c>
      <c r="G98" s="621">
        <v>7</v>
      </c>
      <c r="H98" s="51">
        <v>2</v>
      </c>
      <c r="I98" s="622">
        <v>3</v>
      </c>
      <c r="K98" s="318">
        <v>2</v>
      </c>
      <c r="L98" s="202">
        <v>4</v>
      </c>
    </row>
    <row r="99" spans="5:12" x14ac:dyDescent="0.25">
      <c r="E99" s="261">
        <v>2</v>
      </c>
      <c r="F99" s="192">
        <v>3</v>
      </c>
      <c r="G99" s="621">
        <v>5</v>
      </c>
      <c r="H99" s="51">
        <v>2</v>
      </c>
      <c r="I99" s="622">
        <v>4</v>
      </c>
      <c r="K99" s="318">
        <v>2</v>
      </c>
      <c r="L99" s="202">
        <v>4</v>
      </c>
    </row>
    <row r="100" spans="5:12" x14ac:dyDescent="0.25">
      <c r="E100" s="261">
        <v>2</v>
      </c>
      <c r="F100" s="192">
        <v>3</v>
      </c>
      <c r="G100" s="621">
        <v>5</v>
      </c>
      <c r="H100" s="51">
        <v>3</v>
      </c>
      <c r="I100" s="622">
        <v>3</v>
      </c>
      <c r="K100" s="318">
        <v>2</v>
      </c>
      <c r="L100" s="202">
        <v>3</v>
      </c>
    </row>
    <row r="101" spans="5:12" x14ac:dyDescent="0.25">
      <c r="E101" s="261">
        <v>2</v>
      </c>
      <c r="F101" s="192">
        <v>3</v>
      </c>
      <c r="G101" s="621">
        <v>5</v>
      </c>
      <c r="H101" s="51">
        <v>4</v>
      </c>
      <c r="I101" s="622">
        <v>3</v>
      </c>
      <c r="K101" s="318">
        <v>2</v>
      </c>
      <c r="L101" s="202">
        <v>3</v>
      </c>
    </row>
    <row r="102" spans="5:12" x14ac:dyDescent="0.25">
      <c r="E102" s="261">
        <v>2</v>
      </c>
      <c r="F102" s="192">
        <v>4</v>
      </c>
      <c r="G102" s="621">
        <v>5</v>
      </c>
      <c r="H102" s="51">
        <v>4</v>
      </c>
      <c r="I102" s="622">
        <v>3</v>
      </c>
      <c r="K102" s="318">
        <v>4</v>
      </c>
      <c r="L102" s="202">
        <v>3</v>
      </c>
    </row>
    <row r="103" spans="5:12" x14ac:dyDescent="0.25">
      <c r="E103" s="261">
        <v>3</v>
      </c>
      <c r="F103" s="192">
        <v>3</v>
      </c>
      <c r="G103" s="621">
        <v>5</v>
      </c>
      <c r="H103" s="51">
        <v>3</v>
      </c>
      <c r="I103" s="622">
        <v>4</v>
      </c>
      <c r="K103" s="318">
        <v>3</v>
      </c>
      <c r="L103" s="202">
        <v>4</v>
      </c>
    </row>
    <row r="104" spans="5:12" x14ac:dyDescent="0.25">
      <c r="E104" s="261">
        <v>3</v>
      </c>
      <c r="F104" s="192">
        <v>4</v>
      </c>
      <c r="G104" s="621">
        <v>5</v>
      </c>
      <c r="H104" s="51">
        <v>4</v>
      </c>
      <c r="I104" s="622">
        <v>3</v>
      </c>
      <c r="K104" s="318">
        <v>2</v>
      </c>
      <c r="L104" s="202">
        <v>3</v>
      </c>
    </row>
    <row r="105" spans="5:12" x14ac:dyDescent="0.25">
      <c r="E105" s="261">
        <v>3</v>
      </c>
      <c r="F105" s="192">
        <v>4</v>
      </c>
      <c r="G105" s="621">
        <v>7</v>
      </c>
      <c r="H105" s="51">
        <v>3</v>
      </c>
      <c r="I105" s="622">
        <v>5</v>
      </c>
      <c r="K105" s="318">
        <v>2</v>
      </c>
      <c r="L105" s="202">
        <v>4</v>
      </c>
    </row>
    <row r="106" spans="5:12" x14ac:dyDescent="0.25">
      <c r="E106" s="261">
        <v>3</v>
      </c>
      <c r="F106" s="192">
        <v>3</v>
      </c>
      <c r="G106" s="621">
        <v>5</v>
      </c>
      <c r="H106" s="51">
        <v>3</v>
      </c>
      <c r="I106" s="622">
        <v>4</v>
      </c>
      <c r="K106" s="318">
        <v>2</v>
      </c>
      <c r="L106" s="202">
        <v>4</v>
      </c>
    </row>
    <row r="107" spans="5:12" x14ac:dyDescent="0.25">
      <c r="E107" s="261">
        <v>2</v>
      </c>
      <c r="F107" s="192">
        <v>3</v>
      </c>
      <c r="G107" s="621">
        <v>7</v>
      </c>
      <c r="H107" s="51">
        <v>3</v>
      </c>
      <c r="I107" s="622">
        <v>3</v>
      </c>
      <c r="K107" s="318">
        <v>2</v>
      </c>
      <c r="L107" s="202">
        <v>4</v>
      </c>
    </row>
    <row r="108" spans="5:12" x14ac:dyDescent="0.25">
      <c r="E108" s="261">
        <v>3</v>
      </c>
      <c r="F108" s="192">
        <v>4</v>
      </c>
      <c r="G108" s="621">
        <v>7</v>
      </c>
      <c r="H108" s="51">
        <v>2</v>
      </c>
      <c r="I108" s="622">
        <v>3</v>
      </c>
      <c r="K108" s="318">
        <v>2</v>
      </c>
      <c r="L108" s="202">
        <v>4</v>
      </c>
    </row>
    <row r="109" spans="5:12" x14ac:dyDescent="0.25">
      <c r="E109" s="261">
        <v>2</v>
      </c>
      <c r="F109" s="192">
        <v>3</v>
      </c>
      <c r="G109" s="621">
        <v>5</v>
      </c>
      <c r="H109" s="51">
        <v>3</v>
      </c>
      <c r="I109" s="622">
        <v>3</v>
      </c>
      <c r="K109" s="318">
        <v>3</v>
      </c>
      <c r="L109" s="202">
        <v>3</v>
      </c>
    </row>
    <row r="110" spans="5:12" x14ac:dyDescent="0.25">
      <c r="E110" s="261">
        <v>4</v>
      </c>
      <c r="F110" s="192">
        <v>3</v>
      </c>
      <c r="G110" s="621">
        <v>5</v>
      </c>
      <c r="H110" s="51">
        <v>2</v>
      </c>
      <c r="I110" s="622">
        <v>3</v>
      </c>
      <c r="K110" s="318">
        <v>2</v>
      </c>
      <c r="L110" s="202">
        <v>3</v>
      </c>
    </row>
    <row r="111" spans="5:12" x14ac:dyDescent="0.25">
      <c r="E111" s="261">
        <v>2</v>
      </c>
      <c r="F111" s="192">
        <v>5</v>
      </c>
      <c r="G111" s="621">
        <v>5</v>
      </c>
      <c r="H111" s="51">
        <v>2</v>
      </c>
      <c r="I111" s="622">
        <v>3</v>
      </c>
      <c r="K111" s="318">
        <v>3</v>
      </c>
      <c r="L111" s="202">
        <v>3</v>
      </c>
    </row>
    <row r="112" spans="5:12" x14ac:dyDescent="0.25">
      <c r="E112" s="261">
        <v>2</v>
      </c>
      <c r="F112" s="192">
        <v>4</v>
      </c>
      <c r="G112" s="621">
        <v>5</v>
      </c>
      <c r="H112" s="51">
        <v>3</v>
      </c>
      <c r="I112" s="622">
        <v>3</v>
      </c>
      <c r="K112" s="318">
        <v>2</v>
      </c>
      <c r="L112" s="202">
        <v>4</v>
      </c>
    </row>
    <row r="113" spans="5:12" x14ac:dyDescent="0.25">
      <c r="E113" s="261">
        <v>2</v>
      </c>
      <c r="F113" s="192">
        <v>3</v>
      </c>
      <c r="G113" s="621">
        <v>5</v>
      </c>
      <c r="H113" s="51">
        <v>2</v>
      </c>
      <c r="I113" s="622">
        <v>4</v>
      </c>
      <c r="K113" s="318">
        <v>3</v>
      </c>
      <c r="L113" s="202">
        <v>3</v>
      </c>
    </row>
    <row r="114" spans="5:12" x14ac:dyDescent="0.25">
      <c r="E114" s="261">
        <v>2</v>
      </c>
      <c r="F114" s="192">
        <v>3</v>
      </c>
      <c r="G114" s="621">
        <v>5</v>
      </c>
      <c r="H114" s="51">
        <v>3</v>
      </c>
      <c r="I114" s="622">
        <v>3</v>
      </c>
      <c r="K114" s="318">
        <v>2</v>
      </c>
      <c r="L114" s="202">
        <v>3</v>
      </c>
    </row>
    <row r="115" spans="5:12" x14ac:dyDescent="0.25">
      <c r="E115" s="261">
        <v>2</v>
      </c>
      <c r="F115" s="192">
        <v>4</v>
      </c>
      <c r="G115" s="621">
        <v>6</v>
      </c>
      <c r="H115" s="51">
        <v>2</v>
      </c>
      <c r="I115" s="622">
        <v>3</v>
      </c>
      <c r="K115" s="318">
        <v>2</v>
      </c>
      <c r="L115" s="202">
        <v>3</v>
      </c>
    </row>
    <row r="116" spans="5:12" x14ac:dyDescent="0.25">
      <c r="E116" s="261">
        <v>2</v>
      </c>
      <c r="F116" s="192">
        <v>3</v>
      </c>
      <c r="G116" s="621">
        <v>5</v>
      </c>
      <c r="H116" s="51">
        <v>4</v>
      </c>
      <c r="I116" s="622">
        <v>3</v>
      </c>
      <c r="K116" s="318">
        <v>3</v>
      </c>
      <c r="L116" s="202">
        <v>3</v>
      </c>
    </row>
    <row r="117" spans="5:12" x14ac:dyDescent="0.25">
      <c r="E117" s="261">
        <v>2</v>
      </c>
      <c r="F117" s="192">
        <v>3</v>
      </c>
      <c r="G117" s="621">
        <v>5</v>
      </c>
      <c r="H117" s="51">
        <v>2</v>
      </c>
      <c r="I117" s="622">
        <v>5</v>
      </c>
      <c r="K117" s="318">
        <v>2</v>
      </c>
      <c r="L117" s="202">
        <v>4</v>
      </c>
    </row>
    <row r="118" spans="5:12" x14ac:dyDescent="0.25">
      <c r="E118" s="261">
        <v>2</v>
      </c>
      <c r="F118" s="192">
        <v>4</v>
      </c>
      <c r="G118" s="621">
        <v>5</v>
      </c>
      <c r="H118" s="51">
        <v>3</v>
      </c>
      <c r="I118" s="622">
        <v>4</v>
      </c>
      <c r="K118" s="318">
        <v>2</v>
      </c>
      <c r="L118" s="202">
        <v>3</v>
      </c>
    </row>
    <row r="119" spans="5:12" x14ac:dyDescent="0.25">
      <c r="E119" s="261">
        <v>3</v>
      </c>
      <c r="F119" s="192">
        <v>3</v>
      </c>
      <c r="G119" s="621">
        <v>6</v>
      </c>
      <c r="H119" s="51">
        <v>3</v>
      </c>
      <c r="I119" s="622">
        <v>3</v>
      </c>
      <c r="K119" s="318">
        <v>3</v>
      </c>
      <c r="L119" s="202">
        <v>3</v>
      </c>
    </row>
    <row r="120" spans="5:12" x14ac:dyDescent="0.25">
      <c r="E120" s="261">
        <v>2</v>
      </c>
      <c r="F120" s="192">
        <v>4</v>
      </c>
      <c r="G120" s="621">
        <v>5</v>
      </c>
      <c r="H120" s="51">
        <v>3</v>
      </c>
      <c r="I120" s="622">
        <v>5</v>
      </c>
      <c r="K120" s="318">
        <v>2</v>
      </c>
      <c r="L120" s="202">
        <v>4</v>
      </c>
    </row>
    <row r="121" spans="5:12" x14ac:dyDescent="0.25">
      <c r="E121" s="261">
        <v>3</v>
      </c>
      <c r="F121" s="192">
        <v>3</v>
      </c>
      <c r="G121" s="621">
        <v>5</v>
      </c>
      <c r="H121" s="51">
        <v>4</v>
      </c>
      <c r="I121" s="622">
        <v>3</v>
      </c>
      <c r="K121" s="318">
        <v>2</v>
      </c>
      <c r="L121" s="202">
        <v>3</v>
      </c>
    </row>
    <row r="122" spans="5:12" x14ac:dyDescent="0.25">
      <c r="E122" s="261">
        <v>3</v>
      </c>
      <c r="F122" s="192">
        <v>3</v>
      </c>
      <c r="G122" s="621">
        <v>5</v>
      </c>
      <c r="H122" s="51">
        <v>3</v>
      </c>
      <c r="I122" s="622">
        <v>3</v>
      </c>
      <c r="K122" s="318">
        <v>2</v>
      </c>
      <c r="L122" s="202">
        <v>3</v>
      </c>
    </row>
    <row r="123" spans="5:12" x14ac:dyDescent="0.25">
      <c r="E123" s="261">
        <v>2</v>
      </c>
      <c r="F123" s="192">
        <v>3</v>
      </c>
      <c r="G123" s="621">
        <v>5</v>
      </c>
      <c r="H123" s="51">
        <v>2</v>
      </c>
      <c r="I123" s="622">
        <v>3</v>
      </c>
      <c r="K123" s="318">
        <v>3</v>
      </c>
      <c r="L123" s="202">
        <v>4</v>
      </c>
    </row>
    <row r="124" spans="5:12" x14ac:dyDescent="0.25">
      <c r="E124" s="261">
        <v>2</v>
      </c>
      <c r="F124" s="192">
        <v>4</v>
      </c>
      <c r="G124" s="621">
        <v>5</v>
      </c>
      <c r="H124" s="51">
        <v>2</v>
      </c>
      <c r="I124" s="622">
        <v>3</v>
      </c>
      <c r="K124" s="318">
        <v>2</v>
      </c>
      <c r="L124" s="202">
        <v>3</v>
      </c>
    </row>
    <row r="125" spans="5:12" x14ac:dyDescent="0.25">
      <c r="E125" s="261">
        <v>4</v>
      </c>
      <c r="F125" s="192">
        <v>4</v>
      </c>
      <c r="G125" s="621">
        <v>5</v>
      </c>
      <c r="H125" s="51">
        <v>3</v>
      </c>
      <c r="I125" s="622">
        <v>4</v>
      </c>
      <c r="K125" s="318">
        <v>3</v>
      </c>
      <c r="L125" s="202">
        <v>3</v>
      </c>
    </row>
    <row r="126" spans="5:12" x14ac:dyDescent="0.25">
      <c r="E126" s="261">
        <v>2</v>
      </c>
      <c r="F126" s="192">
        <v>5</v>
      </c>
      <c r="G126" s="621">
        <v>5</v>
      </c>
      <c r="H126" s="51">
        <v>3</v>
      </c>
      <c r="I126" s="622">
        <v>4</v>
      </c>
      <c r="K126" s="318">
        <v>3</v>
      </c>
      <c r="L126" s="202">
        <v>5</v>
      </c>
    </row>
    <row r="127" spans="5:12" x14ac:dyDescent="0.25">
      <c r="E127" s="261">
        <v>2</v>
      </c>
      <c r="F127" s="192">
        <v>4</v>
      </c>
      <c r="G127" s="621">
        <v>6</v>
      </c>
      <c r="H127" s="51">
        <v>3</v>
      </c>
      <c r="I127" s="622">
        <v>4</v>
      </c>
      <c r="K127" s="318">
        <v>3</v>
      </c>
      <c r="L127" s="202">
        <v>4</v>
      </c>
    </row>
    <row r="128" spans="5:12" x14ac:dyDescent="0.25">
      <c r="E128" s="261">
        <v>3</v>
      </c>
      <c r="F128" s="192">
        <v>3</v>
      </c>
      <c r="G128" s="621">
        <v>5</v>
      </c>
      <c r="H128" s="51">
        <v>3</v>
      </c>
      <c r="I128" s="622">
        <v>5</v>
      </c>
      <c r="K128" s="318">
        <v>4</v>
      </c>
      <c r="L128" s="202">
        <v>4</v>
      </c>
    </row>
    <row r="129" spans="5:12" x14ac:dyDescent="0.25">
      <c r="E129" s="261">
        <v>2</v>
      </c>
      <c r="F129" s="192">
        <v>4</v>
      </c>
      <c r="G129" s="621">
        <v>5</v>
      </c>
      <c r="H129" s="51">
        <v>2</v>
      </c>
      <c r="I129" s="622">
        <v>3</v>
      </c>
      <c r="K129" s="318">
        <v>2</v>
      </c>
      <c r="L129" s="202">
        <v>3</v>
      </c>
    </row>
    <row r="130" spans="5:12" x14ac:dyDescent="0.25">
      <c r="E130" s="261">
        <v>3</v>
      </c>
      <c r="F130" s="192">
        <v>3</v>
      </c>
      <c r="G130" s="621">
        <v>5</v>
      </c>
      <c r="H130" s="51">
        <v>3</v>
      </c>
      <c r="I130" s="622">
        <v>3</v>
      </c>
      <c r="K130" s="318">
        <v>2</v>
      </c>
      <c r="L130" s="202">
        <v>5</v>
      </c>
    </row>
    <row r="131" spans="5:12" x14ac:dyDescent="0.25">
      <c r="E131" s="261">
        <v>3</v>
      </c>
      <c r="F131" s="192">
        <v>3</v>
      </c>
      <c r="G131" s="621">
        <v>5</v>
      </c>
      <c r="H131" s="51">
        <v>3</v>
      </c>
      <c r="I131" s="622">
        <v>3</v>
      </c>
      <c r="K131" s="318">
        <v>2</v>
      </c>
      <c r="L131" s="202">
        <v>3</v>
      </c>
    </row>
    <row r="132" spans="5:12" x14ac:dyDescent="0.25">
      <c r="E132" s="261">
        <v>3</v>
      </c>
      <c r="F132" s="192">
        <v>3</v>
      </c>
      <c r="G132" s="621">
        <v>6</v>
      </c>
      <c r="H132" s="51">
        <v>2</v>
      </c>
      <c r="I132" s="622">
        <v>3</v>
      </c>
      <c r="K132" s="318">
        <v>3</v>
      </c>
      <c r="L132" s="202">
        <v>4</v>
      </c>
    </row>
    <row r="133" spans="5:12" x14ac:dyDescent="0.25">
      <c r="E133" s="261">
        <v>2</v>
      </c>
      <c r="F133" s="192">
        <v>3</v>
      </c>
      <c r="G133" s="621">
        <v>5</v>
      </c>
      <c r="H133" s="51">
        <v>3</v>
      </c>
      <c r="I133" s="622">
        <v>3</v>
      </c>
      <c r="K133" s="318">
        <v>2</v>
      </c>
      <c r="L133" s="202">
        <v>3</v>
      </c>
    </row>
    <row r="134" spans="5:12" x14ac:dyDescent="0.25">
      <c r="E134" s="261">
        <v>2</v>
      </c>
      <c r="F134" s="192">
        <v>3</v>
      </c>
      <c r="G134" s="621">
        <v>5</v>
      </c>
      <c r="H134" s="51">
        <v>3</v>
      </c>
      <c r="I134" s="622">
        <v>4</v>
      </c>
      <c r="K134" s="318">
        <v>2</v>
      </c>
      <c r="L134" s="202">
        <v>3</v>
      </c>
    </row>
    <row r="135" spans="5:12" x14ac:dyDescent="0.25">
      <c r="E135" s="261">
        <v>2</v>
      </c>
      <c r="F135" s="192">
        <v>5</v>
      </c>
      <c r="G135" s="621">
        <v>5</v>
      </c>
      <c r="H135" s="51">
        <v>2</v>
      </c>
      <c r="I135" s="622">
        <v>3</v>
      </c>
      <c r="K135" s="318">
        <v>2</v>
      </c>
      <c r="L135" s="202">
        <v>3</v>
      </c>
    </row>
    <row r="136" spans="5:12" x14ac:dyDescent="0.25">
      <c r="E136" s="261">
        <v>2</v>
      </c>
      <c r="F136" s="192">
        <v>3</v>
      </c>
      <c r="G136" s="621">
        <v>5</v>
      </c>
      <c r="H136" s="51">
        <v>3</v>
      </c>
      <c r="I136" s="622">
        <v>3</v>
      </c>
      <c r="K136" s="318">
        <v>2</v>
      </c>
      <c r="L136" s="202">
        <v>3</v>
      </c>
    </row>
    <row r="137" spans="5:12" x14ac:dyDescent="0.25">
      <c r="E137" s="261">
        <v>4</v>
      </c>
      <c r="F137" s="192">
        <v>3</v>
      </c>
      <c r="G137" s="621">
        <v>7</v>
      </c>
      <c r="H137" s="51">
        <v>2</v>
      </c>
      <c r="I137" s="622">
        <v>3</v>
      </c>
      <c r="K137" s="318">
        <v>2</v>
      </c>
      <c r="L137" s="202">
        <v>4</v>
      </c>
    </row>
    <row r="138" spans="5:12" x14ac:dyDescent="0.25">
      <c r="E138" s="261">
        <v>2</v>
      </c>
      <c r="F138" s="192">
        <v>5</v>
      </c>
      <c r="G138" s="621">
        <v>5</v>
      </c>
      <c r="H138" s="51">
        <v>3</v>
      </c>
      <c r="I138" s="622">
        <v>3</v>
      </c>
      <c r="K138" s="318">
        <v>2</v>
      </c>
      <c r="L138" s="202">
        <v>3</v>
      </c>
    </row>
    <row r="139" spans="5:12" x14ac:dyDescent="0.25">
      <c r="E139" s="261">
        <v>2</v>
      </c>
      <c r="F139" s="192">
        <v>3</v>
      </c>
      <c r="G139" s="621">
        <v>5</v>
      </c>
      <c r="H139" s="51">
        <v>3</v>
      </c>
      <c r="I139" s="622">
        <v>3</v>
      </c>
      <c r="K139" s="318">
        <v>4</v>
      </c>
      <c r="L139" s="202">
        <v>4</v>
      </c>
    </row>
    <row r="140" spans="5:12" x14ac:dyDescent="0.25">
      <c r="E140" s="261">
        <v>3</v>
      </c>
      <c r="F140" s="192">
        <v>3</v>
      </c>
      <c r="G140" s="621">
        <v>5</v>
      </c>
      <c r="H140" s="51">
        <v>2</v>
      </c>
      <c r="I140" s="622">
        <v>5</v>
      </c>
      <c r="K140" s="318">
        <v>2</v>
      </c>
      <c r="L140" s="202">
        <v>3</v>
      </c>
    </row>
    <row r="141" spans="5:12" x14ac:dyDescent="0.25">
      <c r="E141" s="261">
        <v>2</v>
      </c>
      <c r="F141" s="192">
        <v>5</v>
      </c>
      <c r="G141" s="621">
        <v>6</v>
      </c>
      <c r="H141" s="51">
        <v>2</v>
      </c>
      <c r="I141" s="622">
        <v>3</v>
      </c>
      <c r="K141" s="318">
        <v>2</v>
      </c>
      <c r="L141" s="202">
        <v>3</v>
      </c>
    </row>
    <row r="142" spans="5:12" x14ac:dyDescent="0.25">
      <c r="E142" s="261">
        <v>2</v>
      </c>
      <c r="F142" s="192">
        <v>3</v>
      </c>
      <c r="G142" s="621">
        <v>5</v>
      </c>
      <c r="H142" s="51">
        <v>2</v>
      </c>
      <c r="I142" s="622">
        <v>4</v>
      </c>
      <c r="K142" s="318">
        <v>3</v>
      </c>
      <c r="L142" s="202">
        <v>5</v>
      </c>
    </row>
    <row r="143" spans="5:12" x14ac:dyDescent="0.25">
      <c r="E143" s="261">
        <v>4</v>
      </c>
      <c r="F143" s="192">
        <v>3</v>
      </c>
      <c r="G143" s="621">
        <v>5</v>
      </c>
      <c r="H143" s="51">
        <v>3</v>
      </c>
      <c r="I143" s="622">
        <v>3</v>
      </c>
      <c r="K143" s="318">
        <v>4</v>
      </c>
      <c r="L143" s="202">
        <v>4</v>
      </c>
    </row>
    <row r="144" spans="5:12" x14ac:dyDescent="0.25">
      <c r="E144" s="261">
        <v>4</v>
      </c>
      <c r="F144" s="192">
        <v>4</v>
      </c>
      <c r="G144" s="621">
        <v>5</v>
      </c>
      <c r="H144" s="51">
        <v>2</v>
      </c>
      <c r="I144" s="622">
        <v>5</v>
      </c>
      <c r="K144" s="318">
        <v>2</v>
      </c>
      <c r="L144" s="202">
        <v>3</v>
      </c>
    </row>
    <row r="145" spans="5:12" x14ac:dyDescent="0.25">
      <c r="E145" s="261">
        <v>3</v>
      </c>
      <c r="F145" s="192">
        <v>3</v>
      </c>
      <c r="G145" s="621">
        <v>5</v>
      </c>
      <c r="H145" s="51">
        <v>3</v>
      </c>
      <c r="I145" s="622">
        <v>4</v>
      </c>
      <c r="K145" s="318">
        <v>2</v>
      </c>
      <c r="L145" s="202">
        <v>4</v>
      </c>
    </row>
    <row r="146" spans="5:12" x14ac:dyDescent="0.25">
      <c r="E146" s="261">
        <v>2</v>
      </c>
      <c r="F146" s="192">
        <v>3</v>
      </c>
      <c r="G146" s="621">
        <v>5</v>
      </c>
      <c r="H146" s="51">
        <v>2</v>
      </c>
      <c r="I146" s="622">
        <v>3</v>
      </c>
      <c r="K146" s="318">
        <v>2</v>
      </c>
      <c r="L146" s="202">
        <v>3</v>
      </c>
    </row>
    <row r="147" spans="5:12" x14ac:dyDescent="0.25">
      <c r="E147" s="261">
        <v>3</v>
      </c>
      <c r="F147" s="192">
        <v>3</v>
      </c>
      <c r="G147" s="621">
        <v>5</v>
      </c>
      <c r="H147" s="51">
        <v>4</v>
      </c>
      <c r="I147" s="622">
        <v>4</v>
      </c>
      <c r="K147" s="318">
        <v>2</v>
      </c>
      <c r="L147" s="202">
        <v>3</v>
      </c>
    </row>
    <row r="148" spans="5:12" x14ac:dyDescent="0.25">
      <c r="E148" s="261">
        <v>2</v>
      </c>
      <c r="F148" s="192">
        <v>3</v>
      </c>
      <c r="G148" s="621">
        <v>7</v>
      </c>
      <c r="H148" s="51">
        <v>2</v>
      </c>
      <c r="I148" s="622">
        <v>5</v>
      </c>
      <c r="K148" s="318">
        <v>2</v>
      </c>
      <c r="L148" s="202">
        <v>4</v>
      </c>
    </row>
    <row r="149" spans="5:12" x14ac:dyDescent="0.25">
      <c r="E149" s="261">
        <v>3</v>
      </c>
      <c r="F149" s="192">
        <v>3</v>
      </c>
      <c r="G149" s="621">
        <v>5</v>
      </c>
      <c r="H149" s="51">
        <v>2</v>
      </c>
      <c r="I149" s="622">
        <v>3</v>
      </c>
      <c r="K149" s="318">
        <v>3</v>
      </c>
      <c r="L149" s="202">
        <v>3</v>
      </c>
    </row>
    <row r="150" spans="5:12" x14ac:dyDescent="0.25">
      <c r="E150" s="261">
        <v>2</v>
      </c>
      <c r="F150" s="192">
        <v>3</v>
      </c>
      <c r="G150" s="621">
        <v>5</v>
      </c>
      <c r="H150" s="51">
        <v>2</v>
      </c>
      <c r="I150" s="622">
        <v>3</v>
      </c>
      <c r="K150" s="318">
        <v>2</v>
      </c>
      <c r="L150" s="202">
        <v>3</v>
      </c>
    </row>
    <row r="151" spans="5:12" x14ac:dyDescent="0.25">
      <c r="E151" s="261">
        <v>2</v>
      </c>
      <c r="F151" s="192">
        <v>3</v>
      </c>
      <c r="G151" s="621">
        <v>5</v>
      </c>
      <c r="H151" s="51">
        <v>2</v>
      </c>
      <c r="I151" s="622">
        <v>3</v>
      </c>
      <c r="K151" s="318">
        <v>3</v>
      </c>
      <c r="L151" s="202">
        <v>3</v>
      </c>
    </row>
    <row r="152" spans="5:12" x14ac:dyDescent="0.25">
      <c r="E152" s="261">
        <v>3</v>
      </c>
      <c r="F152" s="192">
        <v>3</v>
      </c>
      <c r="G152" s="621">
        <v>5</v>
      </c>
      <c r="H152" s="51">
        <v>3</v>
      </c>
      <c r="I152" s="622">
        <v>3</v>
      </c>
      <c r="K152" s="318">
        <v>2</v>
      </c>
      <c r="L152" s="202">
        <v>4</v>
      </c>
    </row>
    <row r="153" spans="5:12" x14ac:dyDescent="0.25">
      <c r="E153" s="261">
        <v>2</v>
      </c>
      <c r="F153" s="192">
        <v>4</v>
      </c>
      <c r="G153" s="621">
        <v>5</v>
      </c>
      <c r="H153" s="51">
        <v>2</v>
      </c>
      <c r="I153" s="622">
        <v>3</v>
      </c>
      <c r="K153" s="318">
        <v>2</v>
      </c>
      <c r="L153" s="202">
        <v>5</v>
      </c>
    </row>
    <row r="154" spans="5:12" x14ac:dyDescent="0.25">
      <c r="E154" s="261">
        <v>3</v>
      </c>
      <c r="F154" s="192">
        <v>3</v>
      </c>
      <c r="G154" s="621">
        <v>5</v>
      </c>
      <c r="H154" s="51">
        <v>3</v>
      </c>
      <c r="I154" s="622">
        <v>5</v>
      </c>
      <c r="K154" s="318">
        <v>2</v>
      </c>
      <c r="L154" s="202">
        <v>3</v>
      </c>
    </row>
    <row r="155" spans="5:12" x14ac:dyDescent="0.25">
      <c r="E155" s="261">
        <v>2</v>
      </c>
      <c r="F155" s="192">
        <v>3</v>
      </c>
      <c r="G155" s="621">
        <v>5</v>
      </c>
      <c r="H155" s="51">
        <v>3</v>
      </c>
      <c r="I155" s="622">
        <v>3</v>
      </c>
      <c r="K155" s="318">
        <v>3</v>
      </c>
      <c r="L155" s="202">
        <v>3</v>
      </c>
    </row>
    <row r="156" spans="5:12" x14ac:dyDescent="0.25">
      <c r="E156" s="261">
        <v>3</v>
      </c>
      <c r="F156" s="192">
        <v>4</v>
      </c>
      <c r="G156" s="621">
        <v>5</v>
      </c>
      <c r="H156" s="51">
        <v>4</v>
      </c>
      <c r="I156" s="622">
        <v>3</v>
      </c>
      <c r="K156" s="318">
        <v>4</v>
      </c>
      <c r="L156" s="202">
        <v>3</v>
      </c>
    </row>
    <row r="157" spans="5:12" x14ac:dyDescent="0.25">
      <c r="E157" s="261">
        <v>4</v>
      </c>
      <c r="F157" s="192">
        <v>4</v>
      </c>
      <c r="G157" s="621">
        <v>5</v>
      </c>
      <c r="H157" s="51">
        <v>3</v>
      </c>
      <c r="I157" s="622">
        <v>4</v>
      </c>
      <c r="K157" s="318">
        <v>2</v>
      </c>
      <c r="L157" s="202">
        <v>4</v>
      </c>
    </row>
    <row r="158" spans="5:12" x14ac:dyDescent="0.25">
      <c r="E158" s="261">
        <v>2</v>
      </c>
      <c r="F158" s="192">
        <v>4</v>
      </c>
      <c r="G158" s="621">
        <v>5</v>
      </c>
      <c r="H158" s="51">
        <v>3</v>
      </c>
      <c r="I158" s="622">
        <v>4</v>
      </c>
      <c r="K158" s="318">
        <v>3</v>
      </c>
      <c r="L158" s="202">
        <v>3</v>
      </c>
    </row>
    <row r="159" spans="5:12" x14ac:dyDescent="0.25">
      <c r="E159" s="261">
        <v>3</v>
      </c>
      <c r="F159" s="192">
        <v>3</v>
      </c>
      <c r="G159" s="621">
        <v>6</v>
      </c>
      <c r="H159" s="51">
        <v>4</v>
      </c>
      <c r="I159" s="622">
        <v>4</v>
      </c>
      <c r="K159" s="318">
        <v>2</v>
      </c>
      <c r="L159" s="202">
        <v>3</v>
      </c>
    </row>
    <row r="160" spans="5:12" x14ac:dyDescent="0.25">
      <c r="E160" s="261">
        <v>3</v>
      </c>
      <c r="F160" s="192">
        <v>3</v>
      </c>
      <c r="G160" s="621">
        <v>6</v>
      </c>
      <c r="H160" s="51">
        <v>2</v>
      </c>
      <c r="I160" s="622">
        <v>4</v>
      </c>
      <c r="K160" s="318">
        <v>3</v>
      </c>
      <c r="L160" s="202">
        <v>3</v>
      </c>
    </row>
    <row r="161" spans="5:12" x14ac:dyDescent="0.25">
      <c r="E161" s="261">
        <v>3</v>
      </c>
      <c r="F161" s="192">
        <v>3</v>
      </c>
      <c r="G161" s="621">
        <v>5</v>
      </c>
      <c r="H161" s="51">
        <v>2</v>
      </c>
      <c r="I161" s="622">
        <v>4</v>
      </c>
      <c r="K161" s="318">
        <v>3</v>
      </c>
      <c r="L161" s="202">
        <v>5</v>
      </c>
    </row>
    <row r="162" spans="5:12" x14ac:dyDescent="0.25">
      <c r="E162" s="261">
        <v>3</v>
      </c>
      <c r="F162" s="192">
        <v>3</v>
      </c>
      <c r="G162" s="621">
        <v>5</v>
      </c>
      <c r="H162" s="51">
        <v>3</v>
      </c>
      <c r="I162" s="622">
        <v>3</v>
      </c>
      <c r="K162" s="318">
        <v>2</v>
      </c>
      <c r="L162" s="202">
        <v>3</v>
      </c>
    </row>
    <row r="163" spans="5:12" x14ac:dyDescent="0.25">
      <c r="E163" s="261">
        <v>3</v>
      </c>
      <c r="F163" s="192">
        <v>3</v>
      </c>
      <c r="G163" s="621">
        <v>5</v>
      </c>
      <c r="H163" s="51">
        <v>2</v>
      </c>
      <c r="I163" s="622">
        <v>4</v>
      </c>
      <c r="K163" s="318">
        <v>3</v>
      </c>
      <c r="L163" s="202">
        <v>3</v>
      </c>
    </row>
    <row r="164" spans="5:12" x14ac:dyDescent="0.25">
      <c r="E164" s="261">
        <v>2</v>
      </c>
      <c r="F164" s="192">
        <v>3</v>
      </c>
      <c r="G164" s="621">
        <v>5</v>
      </c>
      <c r="H164" s="51">
        <v>3</v>
      </c>
      <c r="I164" s="622">
        <v>3</v>
      </c>
      <c r="K164" s="318">
        <v>2</v>
      </c>
      <c r="L164" s="202">
        <v>3</v>
      </c>
    </row>
    <row r="165" spans="5:12" x14ac:dyDescent="0.25">
      <c r="E165" s="261">
        <v>2</v>
      </c>
      <c r="F165" s="192">
        <v>3</v>
      </c>
      <c r="G165" s="621">
        <v>5</v>
      </c>
      <c r="H165" s="51">
        <v>2</v>
      </c>
      <c r="I165" s="622">
        <v>3</v>
      </c>
      <c r="K165" s="318">
        <v>3</v>
      </c>
      <c r="L165" s="202">
        <v>3</v>
      </c>
    </row>
    <row r="166" spans="5:12" x14ac:dyDescent="0.25">
      <c r="E166" s="261">
        <v>4</v>
      </c>
      <c r="F166" s="192">
        <v>3</v>
      </c>
      <c r="G166" s="621">
        <v>7</v>
      </c>
      <c r="H166" s="51">
        <v>3</v>
      </c>
      <c r="I166" s="622">
        <v>4</v>
      </c>
      <c r="K166" s="318">
        <v>2</v>
      </c>
      <c r="L166" s="202">
        <v>3</v>
      </c>
    </row>
    <row r="167" spans="5:12" x14ac:dyDescent="0.25">
      <c r="E167" s="261">
        <v>3</v>
      </c>
      <c r="F167" s="192">
        <v>4</v>
      </c>
      <c r="G167" s="621">
        <v>6</v>
      </c>
      <c r="H167" s="51">
        <v>2</v>
      </c>
      <c r="I167" s="622">
        <v>3</v>
      </c>
      <c r="K167" s="318">
        <v>2</v>
      </c>
      <c r="L167" s="202">
        <v>3</v>
      </c>
    </row>
    <row r="168" spans="5:12" x14ac:dyDescent="0.25">
      <c r="E168" s="261">
        <v>3</v>
      </c>
      <c r="F168" s="192">
        <v>3</v>
      </c>
      <c r="G168" s="621">
        <v>5</v>
      </c>
      <c r="H168" s="51">
        <v>3</v>
      </c>
      <c r="I168" s="622">
        <v>3</v>
      </c>
      <c r="K168" s="318">
        <v>2</v>
      </c>
      <c r="L168" s="202">
        <v>3</v>
      </c>
    </row>
    <row r="169" spans="5:12" x14ac:dyDescent="0.25">
      <c r="E169" s="261">
        <v>2</v>
      </c>
      <c r="F169" s="192">
        <v>3</v>
      </c>
      <c r="G169" s="621">
        <v>6</v>
      </c>
      <c r="H169" s="51">
        <v>3</v>
      </c>
      <c r="I169" s="622">
        <v>3</v>
      </c>
      <c r="K169" s="318">
        <v>3</v>
      </c>
      <c r="L169" s="202">
        <v>3</v>
      </c>
    </row>
    <row r="170" spans="5:12" x14ac:dyDescent="0.25">
      <c r="E170" s="261">
        <v>3</v>
      </c>
      <c r="F170" s="192">
        <v>3</v>
      </c>
      <c r="G170" s="621">
        <v>5</v>
      </c>
      <c r="H170" s="51">
        <v>3</v>
      </c>
      <c r="I170" s="622">
        <v>3</v>
      </c>
      <c r="K170" s="318">
        <v>3</v>
      </c>
      <c r="L170" s="202">
        <v>3</v>
      </c>
    </row>
    <row r="171" spans="5:12" x14ac:dyDescent="0.25">
      <c r="E171" s="261">
        <v>3</v>
      </c>
      <c r="F171" s="192">
        <v>5</v>
      </c>
      <c r="G171" s="621">
        <v>5</v>
      </c>
      <c r="H171" s="51">
        <v>4</v>
      </c>
      <c r="I171" s="622">
        <v>4</v>
      </c>
      <c r="K171" s="318">
        <v>2</v>
      </c>
      <c r="L171" s="202">
        <v>4</v>
      </c>
    </row>
    <row r="172" spans="5:12" x14ac:dyDescent="0.25">
      <c r="E172" s="261">
        <v>3</v>
      </c>
      <c r="F172" s="192">
        <v>3</v>
      </c>
      <c r="G172" s="621">
        <v>6</v>
      </c>
      <c r="H172" s="51">
        <v>2</v>
      </c>
      <c r="I172" s="622">
        <v>3</v>
      </c>
      <c r="K172" s="318">
        <v>2</v>
      </c>
      <c r="L172" s="202">
        <v>4</v>
      </c>
    </row>
    <row r="173" spans="5:12" x14ac:dyDescent="0.25">
      <c r="E173" s="261">
        <v>2</v>
      </c>
      <c r="F173" s="192">
        <v>3</v>
      </c>
      <c r="G173" s="621">
        <v>5</v>
      </c>
      <c r="H173" s="51">
        <v>2</v>
      </c>
      <c r="I173" s="622">
        <v>3</v>
      </c>
      <c r="K173" s="318">
        <v>3</v>
      </c>
      <c r="L173" s="202">
        <v>4</v>
      </c>
    </row>
    <row r="174" spans="5:12" x14ac:dyDescent="0.25">
      <c r="E174" s="261">
        <v>2</v>
      </c>
      <c r="F174" s="192">
        <v>3</v>
      </c>
      <c r="G174" s="621">
        <v>5</v>
      </c>
      <c r="H174" s="51">
        <v>3</v>
      </c>
      <c r="I174" s="622">
        <v>3</v>
      </c>
      <c r="K174" s="318">
        <v>3</v>
      </c>
      <c r="L174" s="202">
        <v>3</v>
      </c>
    </row>
    <row r="175" spans="5:12" x14ac:dyDescent="0.25">
      <c r="E175" s="261">
        <v>2</v>
      </c>
      <c r="F175" s="192">
        <v>3</v>
      </c>
      <c r="G175" s="621">
        <v>5</v>
      </c>
      <c r="H175" s="51">
        <v>2</v>
      </c>
      <c r="I175" s="622">
        <v>4</v>
      </c>
      <c r="K175" s="318">
        <v>2</v>
      </c>
      <c r="L175" s="202">
        <v>5</v>
      </c>
    </row>
    <row r="176" spans="5:12" x14ac:dyDescent="0.25">
      <c r="E176" s="261">
        <v>4</v>
      </c>
      <c r="F176" s="192">
        <v>3</v>
      </c>
      <c r="G176" s="621">
        <v>5</v>
      </c>
      <c r="H176" s="51">
        <v>3</v>
      </c>
      <c r="I176" s="622">
        <v>3</v>
      </c>
      <c r="K176" s="318">
        <v>2</v>
      </c>
      <c r="L176" s="202">
        <v>3</v>
      </c>
    </row>
    <row r="177" spans="5:12" x14ac:dyDescent="0.25">
      <c r="E177" s="261">
        <v>2</v>
      </c>
      <c r="F177" s="192">
        <v>3</v>
      </c>
      <c r="G177" s="621">
        <v>5</v>
      </c>
      <c r="H177" s="51">
        <v>2</v>
      </c>
      <c r="I177" s="622">
        <v>3</v>
      </c>
      <c r="K177" s="318">
        <v>2</v>
      </c>
      <c r="L177" s="202">
        <v>5</v>
      </c>
    </row>
    <row r="178" spans="5:12" x14ac:dyDescent="0.25">
      <c r="E178" s="261">
        <v>3</v>
      </c>
      <c r="F178" s="192">
        <v>3</v>
      </c>
      <c r="G178" s="621">
        <v>5</v>
      </c>
      <c r="H178" s="51">
        <v>2</v>
      </c>
      <c r="I178" s="622">
        <v>3</v>
      </c>
      <c r="K178" s="318">
        <v>3</v>
      </c>
      <c r="L178" s="202">
        <v>4</v>
      </c>
    </row>
    <row r="179" spans="5:12" x14ac:dyDescent="0.25">
      <c r="E179" s="261">
        <v>3</v>
      </c>
      <c r="F179" s="192">
        <v>3</v>
      </c>
      <c r="G179" s="621">
        <v>5</v>
      </c>
      <c r="H179" s="51">
        <v>4</v>
      </c>
      <c r="I179" s="622">
        <v>3</v>
      </c>
      <c r="K179" s="318">
        <v>4</v>
      </c>
      <c r="L179" s="202">
        <v>3</v>
      </c>
    </row>
    <row r="180" spans="5:12" x14ac:dyDescent="0.25">
      <c r="E180" s="261">
        <v>2</v>
      </c>
      <c r="F180" s="192">
        <v>3</v>
      </c>
      <c r="G180" s="621">
        <v>5</v>
      </c>
      <c r="H180" s="51">
        <v>4</v>
      </c>
      <c r="I180" s="622">
        <v>3</v>
      </c>
      <c r="K180" s="318">
        <v>3</v>
      </c>
      <c r="L180" s="202">
        <v>4</v>
      </c>
    </row>
    <row r="181" spans="5:12" x14ac:dyDescent="0.25">
      <c r="E181" s="261">
        <v>3</v>
      </c>
      <c r="F181" s="192">
        <v>4</v>
      </c>
      <c r="G181" s="621">
        <v>5</v>
      </c>
      <c r="H181" s="51">
        <v>2</v>
      </c>
      <c r="I181" s="622">
        <v>3</v>
      </c>
      <c r="K181" s="318">
        <v>2</v>
      </c>
      <c r="L181" s="202">
        <v>3</v>
      </c>
    </row>
    <row r="182" spans="5:12" x14ac:dyDescent="0.25">
      <c r="E182" s="261">
        <v>2</v>
      </c>
      <c r="F182" s="192">
        <v>3</v>
      </c>
      <c r="G182" s="621">
        <v>5</v>
      </c>
      <c r="H182" s="51">
        <v>3</v>
      </c>
      <c r="I182" s="622">
        <v>3</v>
      </c>
      <c r="K182" s="318">
        <v>3</v>
      </c>
      <c r="L182" s="202">
        <v>4</v>
      </c>
    </row>
    <row r="183" spans="5:12" x14ac:dyDescent="0.25">
      <c r="E183" s="261">
        <v>3</v>
      </c>
      <c r="F183" s="192">
        <v>3</v>
      </c>
      <c r="G183" s="621">
        <v>5</v>
      </c>
      <c r="H183" s="51">
        <v>3</v>
      </c>
      <c r="I183" s="622">
        <v>5</v>
      </c>
      <c r="K183" s="318">
        <v>2</v>
      </c>
      <c r="L183" s="202">
        <v>3</v>
      </c>
    </row>
    <row r="184" spans="5:12" x14ac:dyDescent="0.25">
      <c r="E184" s="261">
        <v>3</v>
      </c>
      <c r="F184" s="192">
        <v>3</v>
      </c>
      <c r="G184" s="621">
        <v>7</v>
      </c>
      <c r="H184" s="51">
        <v>3</v>
      </c>
      <c r="I184" s="622">
        <v>3</v>
      </c>
      <c r="K184" s="318">
        <v>3</v>
      </c>
      <c r="L184" s="202">
        <v>4</v>
      </c>
    </row>
    <row r="185" spans="5:12" x14ac:dyDescent="0.25">
      <c r="E185" s="261">
        <v>2</v>
      </c>
      <c r="F185" s="192">
        <v>4</v>
      </c>
      <c r="G185" s="621">
        <v>5</v>
      </c>
      <c r="H185" s="51">
        <v>4</v>
      </c>
      <c r="I185" s="622">
        <v>3</v>
      </c>
      <c r="K185" s="318">
        <v>3</v>
      </c>
      <c r="L185" s="202">
        <v>4</v>
      </c>
    </row>
    <row r="186" spans="5:12" x14ac:dyDescent="0.25">
      <c r="E186" s="261">
        <v>3</v>
      </c>
      <c r="F186" s="192">
        <v>3</v>
      </c>
      <c r="G186" s="621">
        <v>5</v>
      </c>
      <c r="H186" s="51">
        <v>4</v>
      </c>
      <c r="I186" s="622">
        <v>4</v>
      </c>
      <c r="K186" s="318">
        <v>2</v>
      </c>
      <c r="L186" s="202">
        <v>5</v>
      </c>
    </row>
    <row r="187" spans="5:12" x14ac:dyDescent="0.25">
      <c r="E187" s="261">
        <v>2</v>
      </c>
      <c r="F187" s="192">
        <v>4</v>
      </c>
      <c r="G187" s="621">
        <v>5</v>
      </c>
      <c r="H187" s="51">
        <v>3</v>
      </c>
      <c r="I187" s="622">
        <v>3</v>
      </c>
      <c r="K187" s="318">
        <v>2</v>
      </c>
      <c r="L187" s="202">
        <v>3</v>
      </c>
    </row>
    <row r="188" spans="5:12" x14ac:dyDescent="0.25">
      <c r="E188" s="261">
        <v>2</v>
      </c>
      <c r="F188" s="192">
        <v>4</v>
      </c>
      <c r="G188" s="621">
        <v>7</v>
      </c>
      <c r="H188" s="51">
        <v>3</v>
      </c>
      <c r="I188" s="622">
        <v>4</v>
      </c>
      <c r="K188" s="318">
        <v>3</v>
      </c>
      <c r="L188" s="202">
        <v>4</v>
      </c>
    </row>
    <row r="189" spans="5:12" x14ac:dyDescent="0.25">
      <c r="E189" s="261">
        <v>3</v>
      </c>
      <c r="F189" s="192">
        <v>3</v>
      </c>
      <c r="G189" s="621">
        <v>5</v>
      </c>
      <c r="H189" s="51">
        <v>3</v>
      </c>
      <c r="I189" s="622">
        <v>3</v>
      </c>
      <c r="K189" s="318">
        <v>4</v>
      </c>
      <c r="L189" s="202">
        <v>4</v>
      </c>
    </row>
    <row r="190" spans="5:12" x14ac:dyDescent="0.25">
      <c r="E190" s="261">
        <v>4</v>
      </c>
      <c r="F190" s="192">
        <v>3</v>
      </c>
      <c r="G190" s="621">
        <v>5</v>
      </c>
      <c r="H190" s="51">
        <v>3</v>
      </c>
      <c r="I190" s="622">
        <v>5</v>
      </c>
      <c r="K190" s="318">
        <v>4</v>
      </c>
      <c r="L190" s="202">
        <v>3</v>
      </c>
    </row>
    <row r="191" spans="5:12" x14ac:dyDescent="0.25">
      <c r="E191" s="261">
        <v>3</v>
      </c>
      <c r="F191" s="192">
        <v>3</v>
      </c>
      <c r="G191" s="621">
        <v>5</v>
      </c>
      <c r="H191" s="51">
        <v>3</v>
      </c>
      <c r="I191" s="622">
        <v>4</v>
      </c>
      <c r="K191" s="318">
        <v>3</v>
      </c>
      <c r="L191" s="202">
        <v>3</v>
      </c>
    </row>
    <row r="192" spans="5:12" x14ac:dyDescent="0.25">
      <c r="E192" s="261">
        <v>2</v>
      </c>
      <c r="F192" s="192">
        <v>3</v>
      </c>
      <c r="G192" s="621">
        <v>5</v>
      </c>
      <c r="H192" s="51">
        <v>2</v>
      </c>
      <c r="I192" s="622">
        <v>4</v>
      </c>
      <c r="K192" s="318">
        <v>2</v>
      </c>
      <c r="L192" s="202">
        <v>3</v>
      </c>
    </row>
    <row r="193" spans="5:12" x14ac:dyDescent="0.25">
      <c r="E193" s="261">
        <v>3</v>
      </c>
      <c r="F193" s="192">
        <v>3</v>
      </c>
      <c r="G193" s="621">
        <v>6</v>
      </c>
      <c r="H193" s="51">
        <v>2</v>
      </c>
      <c r="I193" s="622">
        <v>3</v>
      </c>
      <c r="K193" s="318">
        <v>3</v>
      </c>
      <c r="L193" s="202">
        <v>4</v>
      </c>
    </row>
    <row r="194" spans="5:12" x14ac:dyDescent="0.25">
      <c r="E194" s="261">
        <v>3</v>
      </c>
      <c r="F194" s="192">
        <v>3</v>
      </c>
      <c r="G194" s="621">
        <v>7</v>
      </c>
      <c r="H194" s="51">
        <v>2</v>
      </c>
      <c r="I194" s="622">
        <v>5</v>
      </c>
      <c r="K194" s="318">
        <v>2</v>
      </c>
      <c r="L194" s="202">
        <v>3</v>
      </c>
    </row>
    <row r="195" spans="5:12" x14ac:dyDescent="0.25">
      <c r="E195" s="261">
        <v>2</v>
      </c>
      <c r="F195" s="192">
        <v>4</v>
      </c>
      <c r="G195" s="621">
        <v>6</v>
      </c>
      <c r="H195" s="51">
        <v>3</v>
      </c>
      <c r="I195" s="622">
        <v>3</v>
      </c>
      <c r="K195" s="318">
        <v>2</v>
      </c>
      <c r="L195" s="202">
        <v>5</v>
      </c>
    </row>
    <row r="196" spans="5:12" x14ac:dyDescent="0.25">
      <c r="E196" s="261">
        <v>3</v>
      </c>
      <c r="F196" s="192">
        <v>4</v>
      </c>
      <c r="G196" s="621">
        <v>5</v>
      </c>
      <c r="H196" s="51">
        <v>3</v>
      </c>
      <c r="I196" s="622">
        <v>3</v>
      </c>
      <c r="K196" s="318">
        <v>3</v>
      </c>
      <c r="L196" s="202">
        <v>5</v>
      </c>
    </row>
    <row r="197" spans="5:12" x14ac:dyDescent="0.25">
      <c r="E197" s="261">
        <v>3</v>
      </c>
      <c r="F197" s="192">
        <v>3</v>
      </c>
      <c r="G197" s="621">
        <v>5</v>
      </c>
      <c r="H197" s="51">
        <v>2</v>
      </c>
      <c r="I197" s="622">
        <v>4</v>
      </c>
      <c r="K197" s="318">
        <v>3</v>
      </c>
      <c r="L197" s="202">
        <v>4</v>
      </c>
    </row>
    <row r="198" spans="5:12" x14ac:dyDescent="0.25">
      <c r="E198" s="261">
        <v>3</v>
      </c>
      <c r="F198" s="192">
        <v>3</v>
      </c>
      <c r="G198" s="621">
        <v>5</v>
      </c>
      <c r="H198" s="51">
        <v>2</v>
      </c>
      <c r="I198" s="622">
        <v>3</v>
      </c>
      <c r="K198" s="318">
        <v>3</v>
      </c>
      <c r="L198" s="202">
        <v>3</v>
      </c>
    </row>
    <row r="199" spans="5:12" x14ac:dyDescent="0.25">
      <c r="E199" s="261">
        <v>3</v>
      </c>
      <c r="F199" s="192">
        <v>4</v>
      </c>
      <c r="G199" s="621">
        <v>7</v>
      </c>
      <c r="H199" s="51">
        <v>2</v>
      </c>
      <c r="I199" s="622">
        <v>5</v>
      </c>
      <c r="K199" s="318">
        <v>2</v>
      </c>
      <c r="L199" s="202">
        <v>3</v>
      </c>
    </row>
    <row r="200" spans="5:12" x14ac:dyDescent="0.25">
      <c r="E200" s="261">
        <v>2</v>
      </c>
      <c r="F200" s="192">
        <v>4</v>
      </c>
      <c r="G200" s="621">
        <v>5</v>
      </c>
      <c r="H200" s="51">
        <v>2</v>
      </c>
      <c r="I200" s="622">
        <v>4</v>
      </c>
      <c r="K200" s="318">
        <v>4</v>
      </c>
      <c r="L200" s="202">
        <v>4</v>
      </c>
    </row>
    <row r="201" spans="5:12" x14ac:dyDescent="0.25">
      <c r="E201" s="261">
        <v>2</v>
      </c>
      <c r="F201" s="192">
        <v>3</v>
      </c>
      <c r="G201" s="621">
        <v>6</v>
      </c>
      <c r="H201" s="51">
        <v>3</v>
      </c>
      <c r="I201" s="622">
        <v>4</v>
      </c>
      <c r="K201" s="318">
        <v>2</v>
      </c>
      <c r="L201" s="202">
        <v>3</v>
      </c>
    </row>
    <row r="202" spans="5:12" x14ac:dyDescent="0.25">
      <c r="E202" s="261">
        <v>2</v>
      </c>
      <c r="F202" s="192">
        <v>4</v>
      </c>
      <c r="G202" s="621">
        <v>5</v>
      </c>
      <c r="H202" s="51">
        <v>3</v>
      </c>
      <c r="I202" s="622">
        <v>3</v>
      </c>
      <c r="K202" s="318">
        <v>3</v>
      </c>
      <c r="L202" s="202">
        <v>3</v>
      </c>
    </row>
    <row r="203" spans="5:12" x14ac:dyDescent="0.25">
      <c r="E203" s="261">
        <v>3</v>
      </c>
      <c r="F203" s="192">
        <v>3</v>
      </c>
      <c r="G203" s="621">
        <v>5</v>
      </c>
      <c r="H203" s="51">
        <v>3</v>
      </c>
      <c r="I203" s="622">
        <v>3</v>
      </c>
      <c r="K203" s="318">
        <v>3</v>
      </c>
      <c r="L203" s="202">
        <v>4</v>
      </c>
    </row>
    <row r="204" spans="5:12" x14ac:dyDescent="0.25">
      <c r="E204" s="261">
        <v>2</v>
      </c>
      <c r="F204" s="192">
        <v>5</v>
      </c>
      <c r="G204" s="621">
        <v>5</v>
      </c>
      <c r="H204" s="51">
        <v>3</v>
      </c>
      <c r="I204" s="622">
        <v>3</v>
      </c>
      <c r="K204" s="318">
        <v>2</v>
      </c>
      <c r="L204" s="202">
        <v>3</v>
      </c>
    </row>
    <row r="205" spans="5:12" x14ac:dyDescent="0.25">
      <c r="E205" s="261">
        <v>2</v>
      </c>
      <c r="F205" s="192">
        <v>3</v>
      </c>
      <c r="G205" s="621">
        <v>5</v>
      </c>
      <c r="H205" s="51">
        <v>2</v>
      </c>
      <c r="I205" s="622">
        <v>3</v>
      </c>
      <c r="K205" s="318">
        <v>2</v>
      </c>
      <c r="L205" s="202">
        <v>3</v>
      </c>
    </row>
    <row r="206" spans="5:12" x14ac:dyDescent="0.25">
      <c r="G206" s="621">
        <v>6</v>
      </c>
      <c r="H206" s="51">
        <v>4</v>
      </c>
      <c r="I206" s="622">
        <v>4</v>
      </c>
      <c r="K206" s="318">
        <v>3</v>
      </c>
      <c r="L206" s="202">
        <v>3</v>
      </c>
    </row>
    <row r="207" spans="5:12" x14ac:dyDescent="0.25">
      <c r="G207" s="621">
        <v>5</v>
      </c>
      <c r="H207" s="51">
        <v>2</v>
      </c>
      <c r="I207" s="622">
        <v>4</v>
      </c>
      <c r="K207" s="318">
        <v>2</v>
      </c>
      <c r="L207" s="202">
        <v>3</v>
      </c>
    </row>
    <row r="208" spans="5:12" x14ac:dyDescent="0.25">
      <c r="G208" s="621">
        <v>6</v>
      </c>
      <c r="H208" s="51">
        <v>2</v>
      </c>
      <c r="I208" s="622">
        <v>3</v>
      </c>
      <c r="K208" s="318">
        <v>2</v>
      </c>
      <c r="L208" s="202">
        <v>3</v>
      </c>
    </row>
    <row r="209" spans="7:12" x14ac:dyDescent="0.25">
      <c r="G209" s="621">
        <v>5</v>
      </c>
      <c r="H209" s="51">
        <v>2</v>
      </c>
      <c r="I209" s="622">
        <v>3</v>
      </c>
      <c r="K209" s="318">
        <v>2</v>
      </c>
      <c r="L209" s="202">
        <v>4</v>
      </c>
    </row>
    <row r="210" spans="7:12" x14ac:dyDescent="0.25">
      <c r="G210" s="621">
        <v>5</v>
      </c>
      <c r="H210" s="51">
        <v>3</v>
      </c>
      <c r="I210" s="622">
        <v>3</v>
      </c>
      <c r="K210" s="318">
        <v>2</v>
      </c>
      <c r="L210" s="202">
        <v>4</v>
      </c>
    </row>
    <row r="211" spans="7:12" x14ac:dyDescent="0.25">
      <c r="G211" s="621">
        <v>5</v>
      </c>
      <c r="H211" s="51">
        <v>2</v>
      </c>
      <c r="I211" s="622">
        <v>4</v>
      </c>
      <c r="K211" s="318">
        <v>2</v>
      </c>
      <c r="L211" s="202">
        <v>3</v>
      </c>
    </row>
    <row r="212" spans="7:12" x14ac:dyDescent="0.25">
      <c r="G212" s="621">
        <v>5</v>
      </c>
      <c r="H212" s="51">
        <v>2</v>
      </c>
      <c r="I212" s="622">
        <v>5</v>
      </c>
      <c r="K212" s="318">
        <v>2</v>
      </c>
      <c r="L212" s="202">
        <v>3</v>
      </c>
    </row>
    <row r="213" spans="7:12" x14ac:dyDescent="0.25">
      <c r="G213" s="621">
        <v>7</v>
      </c>
      <c r="H213" s="51">
        <v>2</v>
      </c>
      <c r="I213" s="622">
        <v>4</v>
      </c>
      <c r="K213" s="318">
        <v>3</v>
      </c>
      <c r="L213" s="202">
        <v>5</v>
      </c>
    </row>
    <row r="214" spans="7:12" x14ac:dyDescent="0.25">
      <c r="G214" s="621">
        <v>5</v>
      </c>
      <c r="H214" s="51">
        <v>2</v>
      </c>
      <c r="I214" s="622">
        <v>5</v>
      </c>
      <c r="K214" s="318">
        <v>2</v>
      </c>
      <c r="L214" s="202">
        <v>3</v>
      </c>
    </row>
    <row r="215" spans="7:12" x14ac:dyDescent="0.25">
      <c r="G215" s="621">
        <v>5</v>
      </c>
      <c r="H215" s="51">
        <v>2</v>
      </c>
      <c r="I215" s="622">
        <v>4</v>
      </c>
      <c r="K215" s="318">
        <v>4</v>
      </c>
      <c r="L215" s="202">
        <v>3</v>
      </c>
    </row>
    <row r="216" spans="7:12" x14ac:dyDescent="0.25">
      <c r="G216" s="621">
        <v>5</v>
      </c>
      <c r="H216" s="51">
        <v>3</v>
      </c>
      <c r="I216" s="622">
        <v>3</v>
      </c>
      <c r="K216" s="318">
        <v>2</v>
      </c>
      <c r="L216" s="202">
        <v>3</v>
      </c>
    </row>
    <row r="217" spans="7:12" x14ac:dyDescent="0.25">
      <c r="G217" s="621">
        <v>5</v>
      </c>
      <c r="H217" s="51">
        <v>3</v>
      </c>
      <c r="I217" s="622">
        <v>3</v>
      </c>
      <c r="K217" s="318">
        <v>4</v>
      </c>
      <c r="L217" s="202">
        <v>5</v>
      </c>
    </row>
    <row r="218" spans="7:12" x14ac:dyDescent="0.25">
      <c r="G218" s="621">
        <v>5</v>
      </c>
      <c r="H218" s="51">
        <v>3</v>
      </c>
      <c r="I218" s="622">
        <v>3</v>
      </c>
      <c r="K218" s="318">
        <v>3</v>
      </c>
      <c r="L218" s="202">
        <v>3</v>
      </c>
    </row>
    <row r="219" spans="7:12" x14ac:dyDescent="0.25">
      <c r="G219" s="621">
        <v>6</v>
      </c>
      <c r="H219" s="51">
        <v>3</v>
      </c>
      <c r="I219" s="622">
        <v>3</v>
      </c>
      <c r="K219" s="318">
        <v>2</v>
      </c>
      <c r="L219" s="202">
        <v>3</v>
      </c>
    </row>
    <row r="220" spans="7:12" x14ac:dyDescent="0.25">
      <c r="G220" s="621">
        <v>5</v>
      </c>
      <c r="H220" s="51">
        <v>3</v>
      </c>
      <c r="I220" s="622">
        <v>3</v>
      </c>
      <c r="K220" s="318">
        <v>2</v>
      </c>
      <c r="L220" s="202">
        <v>5</v>
      </c>
    </row>
    <row r="221" spans="7:12" x14ac:dyDescent="0.25">
      <c r="G221" s="621">
        <v>5</v>
      </c>
      <c r="H221" s="51">
        <v>2</v>
      </c>
      <c r="I221" s="622">
        <v>3</v>
      </c>
      <c r="K221" s="318">
        <v>3</v>
      </c>
      <c r="L221" s="202">
        <v>3</v>
      </c>
    </row>
    <row r="222" spans="7:12" x14ac:dyDescent="0.25">
      <c r="G222" s="621">
        <v>5</v>
      </c>
      <c r="H222" s="51">
        <v>3</v>
      </c>
      <c r="I222" s="622">
        <v>3</v>
      </c>
      <c r="K222" s="318">
        <v>2</v>
      </c>
      <c r="L222" s="202">
        <v>3</v>
      </c>
    </row>
    <row r="223" spans="7:12" x14ac:dyDescent="0.25">
      <c r="G223" s="621">
        <v>5</v>
      </c>
      <c r="H223" s="51">
        <v>2</v>
      </c>
      <c r="I223" s="622">
        <v>4</v>
      </c>
      <c r="K223" s="318">
        <v>2</v>
      </c>
      <c r="L223" s="202">
        <v>3</v>
      </c>
    </row>
    <row r="224" spans="7:12" x14ac:dyDescent="0.25">
      <c r="G224" s="621">
        <v>5</v>
      </c>
      <c r="H224" s="51">
        <v>3</v>
      </c>
      <c r="I224" s="622">
        <v>5</v>
      </c>
      <c r="K224" s="318">
        <v>2</v>
      </c>
      <c r="L224" s="202">
        <v>3</v>
      </c>
    </row>
    <row r="225" spans="7:12" x14ac:dyDescent="0.25">
      <c r="G225" s="621">
        <v>7</v>
      </c>
      <c r="H225" s="51">
        <v>4</v>
      </c>
      <c r="I225" s="622">
        <v>3</v>
      </c>
      <c r="K225" s="318">
        <v>2</v>
      </c>
      <c r="L225" s="202">
        <v>4</v>
      </c>
    </row>
    <row r="226" spans="7:12" x14ac:dyDescent="0.25">
      <c r="G226" s="621">
        <v>5</v>
      </c>
      <c r="H226" s="51">
        <v>2</v>
      </c>
      <c r="I226" s="622">
        <v>4</v>
      </c>
      <c r="K226" s="318">
        <v>2</v>
      </c>
      <c r="L226" s="202">
        <v>3</v>
      </c>
    </row>
    <row r="227" spans="7:12" x14ac:dyDescent="0.25">
      <c r="G227" s="621">
        <v>5</v>
      </c>
      <c r="H227" s="51">
        <v>2</v>
      </c>
      <c r="I227" s="622">
        <v>3</v>
      </c>
      <c r="K227" s="318">
        <v>2</v>
      </c>
      <c r="L227" s="202">
        <v>4</v>
      </c>
    </row>
    <row r="228" spans="7:12" x14ac:dyDescent="0.25">
      <c r="G228" s="621">
        <v>5</v>
      </c>
      <c r="H228" s="51">
        <v>2</v>
      </c>
      <c r="I228" s="622">
        <v>3</v>
      </c>
      <c r="K228" s="318">
        <v>3</v>
      </c>
      <c r="L228" s="202">
        <v>3</v>
      </c>
    </row>
    <row r="229" spans="7:12" x14ac:dyDescent="0.25">
      <c r="G229" s="621">
        <v>5</v>
      </c>
      <c r="H229" s="51">
        <v>3</v>
      </c>
      <c r="I229" s="622">
        <v>3</v>
      </c>
      <c r="K229" s="318">
        <v>3</v>
      </c>
      <c r="L229" s="202">
        <v>4</v>
      </c>
    </row>
    <row r="230" spans="7:12" x14ac:dyDescent="0.25">
      <c r="G230" s="621">
        <v>5</v>
      </c>
      <c r="H230" s="51">
        <v>3</v>
      </c>
      <c r="I230" s="622">
        <v>3</v>
      </c>
      <c r="K230" s="318">
        <v>3</v>
      </c>
      <c r="L230" s="202">
        <v>3</v>
      </c>
    </row>
    <row r="231" spans="7:12" x14ac:dyDescent="0.25">
      <c r="G231" s="621">
        <v>5</v>
      </c>
      <c r="H231" s="51">
        <v>2</v>
      </c>
      <c r="I231" s="622">
        <v>3</v>
      </c>
      <c r="K231" s="318">
        <v>3</v>
      </c>
      <c r="L231" s="202">
        <v>3</v>
      </c>
    </row>
    <row r="232" spans="7:12" x14ac:dyDescent="0.25">
      <c r="G232" s="621">
        <v>5</v>
      </c>
      <c r="H232" s="51">
        <v>4</v>
      </c>
      <c r="I232" s="622">
        <v>5</v>
      </c>
      <c r="K232" s="318">
        <v>4</v>
      </c>
      <c r="L232" s="202">
        <v>3</v>
      </c>
    </row>
    <row r="233" spans="7:12" x14ac:dyDescent="0.25">
      <c r="G233" s="621">
        <v>5</v>
      </c>
      <c r="H233" s="51">
        <v>3</v>
      </c>
      <c r="I233" s="622">
        <v>4</v>
      </c>
      <c r="K233" s="318">
        <v>2</v>
      </c>
      <c r="L233" s="202">
        <v>3</v>
      </c>
    </row>
    <row r="234" spans="7:12" x14ac:dyDescent="0.25">
      <c r="G234" s="621">
        <v>5</v>
      </c>
      <c r="H234" s="51">
        <v>3</v>
      </c>
      <c r="I234" s="622">
        <v>3</v>
      </c>
      <c r="K234" s="318">
        <v>2</v>
      </c>
      <c r="L234" s="202">
        <v>3</v>
      </c>
    </row>
    <row r="235" spans="7:12" x14ac:dyDescent="0.25">
      <c r="G235" s="621">
        <v>7</v>
      </c>
      <c r="H235" s="51">
        <v>3</v>
      </c>
      <c r="I235" s="622">
        <v>3</v>
      </c>
      <c r="K235" s="318">
        <v>4</v>
      </c>
      <c r="L235" s="202">
        <v>3</v>
      </c>
    </row>
    <row r="236" spans="7:12" x14ac:dyDescent="0.25">
      <c r="G236" s="621">
        <v>7</v>
      </c>
      <c r="H236" s="51">
        <v>2</v>
      </c>
      <c r="I236" s="622">
        <v>3</v>
      </c>
      <c r="K236" s="318">
        <v>3</v>
      </c>
      <c r="L236" s="202">
        <v>3</v>
      </c>
    </row>
    <row r="237" spans="7:12" x14ac:dyDescent="0.25">
      <c r="G237" s="621">
        <v>5</v>
      </c>
      <c r="H237" s="51">
        <v>2</v>
      </c>
      <c r="I237" s="622">
        <v>3</v>
      </c>
      <c r="K237" s="318">
        <v>3</v>
      </c>
      <c r="L237" s="202">
        <v>3</v>
      </c>
    </row>
    <row r="238" spans="7:12" x14ac:dyDescent="0.25">
      <c r="G238" s="621">
        <v>5</v>
      </c>
      <c r="H238" s="51">
        <v>2</v>
      </c>
      <c r="I238" s="622">
        <v>3</v>
      </c>
      <c r="K238" s="318">
        <v>3</v>
      </c>
      <c r="L238" s="202">
        <v>3</v>
      </c>
    </row>
    <row r="239" spans="7:12" x14ac:dyDescent="0.25">
      <c r="G239" s="621">
        <v>5</v>
      </c>
      <c r="H239" s="51">
        <v>3</v>
      </c>
      <c r="I239" s="622">
        <v>4</v>
      </c>
      <c r="K239" s="318">
        <v>3</v>
      </c>
      <c r="L239" s="202">
        <v>3</v>
      </c>
    </row>
    <row r="240" spans="7:12" x14ac:dyDescent="0.25">
      <c r="G240" s="621">
        <v>5</v>
      </c>
      <c r="H240" s="51">
        <v>4</v>
      </c>
      <c r="I240" s="622">
        <v>4</v>
      </c>
      <c r="K240" s="318">
        <v>3</v>
      </c>
      <c r="L240" s="202">
        <v>3</v>
      </c>
    </row>
    <row r="241" spans="7:12" x14ac:dyDescent="0.25">
      <c r="G241" s="621">
        <v>5</v>
      </c>
      <c r="H241" s="51">
        <v>4</v>
      </c>
      <c r="I241" s="622">
        <v>3</v>
      </c>
      <c r="K241" s="318">
        <v>3</v>
      </c>
      <c r="L241" s="202">
        <v>3</v>
      </c>
    </row>
    <row r="242" spans="7:12" x14ac:dyDescent="0.25">
      <c r="G242" s="621">
        <v>5</v>
      </c>
      <c r="H242" s="51">
        <v>2</v>
      </c>
      <c r="I242" s="622">
        <v>4</v>
      </c>
      <c r="K242" s="318">
        <v>2</v>
      </c>
      <c r="L242" s="202">
        <v>3</v>
      </c>
    </row>
    <row r="243" spans="7:12" x14ac:dyDescent="0.25">
      <c r="G243" s="621">
        <v>5</v>
      </c>
      <c r="H243" s="51">
        <v>2</v>
      </c>
      <c r="I243" s="622">
        <v>5</v>
      </c>
      <c r="K243" s="318">
        <v>4</v>
      </c>
      <c r="L243" s="202">
        <v>3</v>
      </c>
    </row>
    <row r="244" spans="7:12" x14ac:dyDescent="0.25">
      <c r="G244" s="621">
        <v>5</v>
      </c>
      <c r="H244" s="51">
        <v>3</v>
      </c>
      <c r="I244" s="622">
        <v>3</v>
      </c>
      <c r="K244" s="318">
        <v>2</v>
      </c>
      <c r="L244" s="202">
        <v>3</v>
      </c>
    </row>
    <row r="245" spans="7:12" x14ac:dyDescent="0.25">
      <c r="G245" s="621">
        <v>5</v>
      </c>
      <c r="H245" s="51">
        <v>2</v>
      </c>
      <c r="I245" s="622">
        <v>5</v>
      </c>
      <c r="K245" s="318">
        <v>4</v>
      </c>
      <c r="L245" s="202">
        <v>3</v>
      </c>
    </row>
    <row r="246" spans="7:12" x14ac:dyDescent="0.25">
      <c r="G246" s="621">
        <v>5</v>
      </c>
      <c r="H246" s="51">
        <v>3</v>
      </c>
      <c r="I246" s="622">
        <v>3</v>
      </c>
      <c r="K246" s="318">
        <v>3</v>
      </c>
      <c r="L246" s="202">
        <v>3</v>
      </c>
    </row>
    <row r="247" spans="7:12" x14ac:dyDescent="0.25">
      <c r="G247" s="621">
        <v>5</v>
      </c>
      <c r="H247" s="51">
        <v>2</v>
      </c>
      <c r="I247" s="622">
        <v>3</v>
      </c>
      <c r="K247" s="318">
        <v>2</v>
      </c>
      <c r="L247" s="202">
        <v>3</v>
      </c>
    </row>
    <row r="248" spans="7:12" x14ac:dyDescent="0.25">
      <c r="G248" s="621">
        <v>5</v>
      </c>
      <c r="H248" s="51">
        <v>2</v>
      </c>
      <c r="I248" s="622">
        <v>3</v>
      </c>
      <c r="K248" s="318">
        <v>2</v>
      </c>
      <c r="L248" s="202">
        <v>4</v>
      </c>
    </row>
    <row r="249" spans="7:12" x14ac:dyDescent="0.25">
      <c r="G249" s="621">
        <v>5</v>
      </c>
      <c r="H249" s="51">
        <v>2</v>
      </c>
      <c r="I249" s="622">
        <v>3</v>
      </c>
      <c r="K249" s="318">
        <v>3</v>
      </c>
      <c r="L249" s="202">
        <v>3</v>
      </c>
    </row>
    <row r="250" spans="7:12" x14ac:dyDescent="0.25">
      <c r="G250" s="621">
        <v>5</v>
      </c>
      <c r="H250" s="51">
        <v>2</v>
      </c>
      <c r="I250" s="622">
        <v>4</v>
      </c>
      <c r="K250" s="318">
        <v>2</v>
      </c>
      <c r="L250" s="202">
        <v>3</v>
      </c>
    </row>
    <row r="251" spans="7:12" x14ac:dyDescent="0.25">
      <c r="G251" s="621">
        <v>5</v>
      </c>
      <c r="H251" s="51">
        <v>2</v>
      </c>
      <c r="I251" s="622">
        <v>4</v>
      </c>
      <c r="K251" s="318">
        <v>2</v>
      </c>
      <c r="L251" s="202">
        <v>3</v>
      </c>
    </row>
    <row r="252" spans="7:12" x14ac:dyDescent="0.25">
      <c r="G252" s="621">
        <v>5</v>
      </c>
      <c r="H252" s="51">
        <v>3</v>
      </c>
      <c r="I252" s="622">
        <v>3</v>
      </c>
      <c r="K252" s="318">
        <v>2</v>
      </c>
      <c r="L252" s="202">
        <v>4</v>
      </c>
    </row>
    <row r="253" spans="7:12" x14ac:dyDescent="0.25">
      <c r="G253" s="621">
        <v>5</v>
      </c>
      <c r="H253" s="51">
        <v>2</v>
      </c>
      <c r="I253" s="622">
        <v>5</v>
      </c>
      <c r="K253" s="318">
        <v>3</v>
      </c>
      <c r="L253" s="202">
        <v>3</v>
      </c>
    </row>
    <row r="254" spans="7:12" x14ac:dyDescent="0.25">
      <c r="G254" s="621">
        <v>5</v>
      </c>
      <c r="H254" s="51">
        <v>4</v>
      </c>
      <c r="I254" s="622">
        <v>5</v>
      </c>
      <c r="K254" s="318">
        <v>2</v>
      </c>
      <c r="L254" s="202">
        <v>4</v>
      </c>
    </row>
    <row r="255" spans="7:12" x14ac:dyDescent="0.25">
      <c r="G255" s="621">
        <v>5</v>
      </c>
      <c r="H255" s="51">
        <v>3</v>
      </c>
      <c r="I255" s="622">
        <v>3</v>
      </c>
      <c r="K255" s="318">
        <v>2</v>
      </c>
      <c r="L255" s="202">
        <v>5</v>
      </c>
    </row>
    <row r="256" spans="7:12" x14ac:dyDescent="0.25">
      <c r="G256" s="621">
        <v>5</v>
      </c>
      <c r="H256" s="51">
        <v>3</v>
      </c>
      <c r="I256" s="622">
        <v>3</v>
      </c>
      <c r="K256" s="318">
        <v>2</v>
      </c>
      <c r="L256" s="202">
        <v>3</v>
      </c>
    </row>
    <row r="257" spans="7:12" x14ac:dyDescent="0.25">
      <c r="G257" s="621">
        <v>5</v>
      </c>
      <c r="H257" s="51">
        <v>3</v>
      </c>
      <c r="I257" s="622">
        <v>4</v>
      </c>
      <c r="K257" s="318">
        <v>2</v>
      </c>
      <c r="L257" s="202">
        <v>4</v>
      </c>
    </row>
    <row r="258" spans="7:12" x14ac:dyDescent="0.25">
      <c r="G258" s="621">
        <v>5</v>
      </c>
      <c r="H258" s="51">
        <v>3</v>
      </c>
      <c r="I258" s="622">
        <v>4</v>
      </c>
      <c r="K258" s="318">
        <v>3</v>
      </c>
      <c r="L258" s="202">
        <v>5</v>
      </c>
    </row>
    <row r="259" spans="7:12" x14ac:dyDescent="0.25">
      <c r="G259" s="621">
        <v>6</v>
      </c>
      <c r="H259" s="51">
        <v>4</v>
      </c>
      <c r="I259" s="622">
        <v>3</v>
      </c>
      <c r="K259" s="318">
        <v>3</v>
      </c>
      <c r="L259" s="202">
        <v>3</v>
      </c>
    </row>
    <row r="260" spans="7:12" x14ac:dyDescent="0.25">
      <c r="G260" s="621">
        <v>5</v>
      </c>
      <c r="H260" s="51">
        <v>3</v>
      </c>
      <c r="I260" s="622">
        <v>3</v>
      </c>
      <c r="K260" s="318">
        <v>3</v>
      </c>
      <c r="L260" s="202">
        <v>3</v>
      </c>
    </row>
    <row r="261" spans="7:12" x14ac:dyDescent="0.25">
      <c r="G261" s="621">
        <v>5</v>
      </c>
      <c r="H261" s="51">
        <v>2</v>
      </c>
      <c r="I261" s="622">
        <v>3</v>
      </c>
      <c r="K261" s="318">
        <v>2</v>
      </c>
      <c r="L261" s="202">
        <v>4</v>
      </c>
    </row>
    <row r="262" spans="7:12" x14ac:dyDescent="0.25">
      <c r="G262" s="621">
        <v>5</v>
      </c>
      <c r="H262" s="51">
        <v>2</v>
      </c>
      <c r="I262" s="622">
        <v>3</v>
      </c>
      <c r="K262" s="318">
        <v>2</v>
      </c>
      <c r="L262" s="202">
        <v>5</v>
      </c>
    </row>
    <row r="263" spans="7:12" x14ac:dyDescent="0.25">
      <c r="G263" s="621">
        <v>5</v>
      </c>
      <c r="H263" s="51">
        <v>3</v>
      </c>
      <c r="I263" s="622">
        <v>4</v>
      </c>
      <c r="K263" s="318">
        <v>3</v>
      </c>
      <c r="L263" s="202">
        <v>3</v>
      </c>
    </row>
    <row r="264" spans="7:12" x14ac:dyDescent="0.25">
      <c r="G264" s="621">
        <v>5</v>
      </c>
      <c r="H264" s="51">
        <v>3</v>
      </c>
      <c r="I264" s="622">
        <v>3</v>
      </c>
      <c r="K264" s="318">
        <v>3</v>
      </c>
      <c r="L264" s="202">
        <v>3</v>
      </c>
    </row>
    <row r="265" spans="7:12" x14ac:dyDescent="0.25">
      <c r="G265" s="621">
        <v>5</v>
      </c>
      <c r="H265" s="51">
        <v>3</v>
      </c>
      <c r="I265" s="622">
        <v>3</v>
      </c>
      <c r="K265" s="318">
        <v>2</v>
      </c>
      <c r="L265" s="202">
        <v>4</v>
      </c>
    </row>
    <row r="266" spans="7:12" x14ac:dyDescent="0.25">
      <c r="G266" s="621">
        <v>5</v>
      </c>
      <c r="H266" s="51">
        <v>2</v>
      </c>
      <c r="I266" s="622">
        <v>3</v>
      </c>
      <c r="K266" s="318">
        <v>3</v>
      </c>
      <c r="L266" s="202">
        <v>3</v>
      </c>
    </row>
    <row r="267" spans="7:12" x14ac:dyDescent="0.25">
      <c r="G267" s="621">
        <v>5</v>
      </c>
      <c r="H267" s="51">
        <v>3</v>
      </c>
      <c r="I267" s="622">
        <v>3</v>
      </c>
      <c r="K267" s="318">
        <v>2</v>
      </c>
      <c r="L267" s="202">
        <v>4</v>
      </c>
    </row>
    <row r="268" spans="7:12" x14ac:dyDescent="0.25">
      <c r="G268" s="621">
        <v>6</v>
      </c>
      <c r="H268" s="51">
        <v>2</v>
      </c>
      <c r="I268" s="622">
        <v>3</v>
      </c>
      <c r="K268" s="318">
        <v>3</v>
      </c>
      <c r="L268" s="202">
        <v>3</v>
      </c>
    </row>
    <row r="269" spans="7:12" x14ac:dyDescent="0.25">
      <c r="G269" s="621">
        <v>5</v>
      </c>
      <c r="H269" s="51">
        <v>3</v>
      </c>
      <c r="I269" s="622">
        <v>3</v>
      </c>
      <c r="K269" s="318">
        <v>2</v>
      </c>
      <c r="L269" s="202">
        <v>4</v>
      </c>
    </row>
    <row r="270" spans="7:12" x14ac:dyDescent="0.25">
      <c r="G270" s="621">
        <v>5</v>
      </c>
      <c r="H270" s="51">
        <v>3</v>
      </c>
      <c r="I270" s="622">
        <v>3</v>
      </c>
      <c r="K270" s="318">
        <v>2</v>
      </c>
      <c r="L270" s="202">
        <v>4</v>
      </c>
    </row>
    <row r="271" spans="7:12" x14ac:dyDescent="0.25">
      <c r="G271" s="621">
        <v>5</v>
      </c>
      <c r="H271" s="51">
        <v>3</v>
      </c>
      <c r="I271" s="622">
        <v>3</v>
      </c>
      <c r="K271" s="318">
        <v>4</v>
      </c>
      <c r="L271" s="202">
        <v>3</v>
      </c>
    </row>
    <row r="272" spans="7:12" x14ac:dyDescent="0.25">
      <c r="G272" s="621">
        <v>5</v>
      </c>
      <c r="H272" s="51">
        <v>2</v>
      </c>
      <c r="I272" s="622">
        <v>3</v>
      </c>
      <c r="K272" s="318">
        <v>2</v>
      </c>
      <c r="L272" s="202">
        <v>3</v>
      </c>
    </row>
    <row r="273" spans="7:12" x14ac:dyDescent="0.25">
      <c r="G273" s="621">
        <v>5</v>
      </c>
      <c r="H273" s="51">
        <v>4</v>
      </c>
      <c r="I273" s="622">
        <v>5</v>
      </c>
      <c r="K273" s="318">
        <v>3</v>
      </c>
      <c r="L273" s="202">
        <v>4</v>
      </c>
    </row>
    <row r="274" spans="7:12" x14ac:dyDescent="0.25">
      <c r="G274" s="621">
        <v>5</v>
      </c>
      <c r="H274" s="51">
        <v>2</v>
      </c>
      <c r="I274" s="622">
        <v>4</v>
      </c>
      <c r="K274" s="318">
        <v>2</v>
      </c>
      <c r="L274" s="202">
        <v>3</v>
      </c>
    </row>
    <row r="275" spans="7:12" x14ac:dyDescent="0.25">
      <c r="G275" s="621">
        <v>5</v>
      </c>
      <c r="H275" s="51">
        <v>3</v>
      </c>
      <c r="I275" s="622">
        <v>4</v>
      </c>
      <c r="K275" s="318">
        <v>3</v>
      </c>
      <c r="L275" s="202">
        <v>4</v>
      </c>
    </row>
    <row r="276" spans="7:12" x14ac:dyDescent="0.25">
      <c r="G276" s="621">
        <v>5</v>
      </c>
      <c r="H276" s="51">
        <v>3</v>
      </c>
      <c r="I276" s="622">
        <v>4</v>
      </c>
      <c r="K276" s="318">
        <v>4</v>
      </c>
      <c r="L276" s="202">
        <v>3</v>
      </c>
    </row>
    <row r="277" spans="7:12" x14ac:dyDescent="0.25">
      <c r="G277" s="621">
        <v>5</v>
      </c>
      <c r="H277" s="51">
        <v>3</v>
      </c>
      <c r="I277" s="622">
        <v>3</v>
      </c>
      <c r="K277" s="318">
        <v>2</v>
      </c>
      <c r="L277" s="202">
        <v>5</v>
      </c>
    </row>
    <row r="278" spans="7:12" x14ac:dyDescent="0.25">
      <c r="G278" s="621">
        <v>5</v>
      </c>
      <c r="H278" s="51">
        <v>3</v>
      </c>
      <c r="I278" s="622">
        <v>4</v>
      </c>
      <c r="K278" s="318">
        <v>3</v>
      </c>
      <c r="L278" s="202">
        <v>5</v>
      </c>
    </row>
    <row r="279" spans="7:12" x14ac:dyDescent="0.25">
      <c r="G279" s="621">
        <v>5</v>
      </c>
      <c r="H279" s="51">
        <v>2</v>
      </c>
      <c r="I279" s="622">
        <v>3</v>
      </c>
      <c r="K279" s="318">
        <v>2</v>
      </c>
      <c r="L279" s="202">
        <v>5</v>
      </c>
    </row>
    <row r="280" spans="7:12" x14ac:dyDescent="0.25">
      <c r="G280" s="621">
        <v>5</v>
      </c>
      <c r="H280" s="51">
        <v>3</v>
      </c>
      <c r="I280" s="622">
        <v>4</v>
      </c>
      <c r="K280" s="318">
        <v>2</v>
      </c>
      <c r="L280" s="202">
        <v>4</v>
      </c>
    </row>
    <row r="281" spans="7:12" x14ac:dyDescent="0.25">
      <c r="G281" s="621">
        <v>5</v>
      </c>
      <c r="H281" s="51">
        <v>4</v>
      </c>
      <c r="I281" s="622">
        <v>3</v>
      </c>
      <c r="K281" s="318">
        <v>2</v>
      </c>
      <c r="L281" s="202">
        <v>4</v>
      </c>
    </row>
    <row r="282" spans="7:12" x14ac:dyDescent="0.25">
      <c r="G282" s="621">
        <v>5</v>
      </c>
      <c r="H282" s="51">
        <v>2</v>
      </c>
      <c r="I282" s="622">
        <v>3</v>
      </c>
      <c r="K282" s="318">
        <v>2</v>
      </c>
      <c r="L282" s="202">
        <v>4</v>
      </c>
    </row>
    <row r="283" spans="7:12" x14ac:dyDescent="0.25">
      <c r="G283" s="621">
        <v>5</v>
      </c>
      <c r="H283" s="51">
        <v>4</v>
      </c>
      <c r="I283" s="622">
        <v>3</v>
      </c>
      <c r="K283" s="318">
        <v>2</v>
      </c>
      <c r="L283" s="202">
        <v>3</v>
      </c>
    </row>
    <row r="284" spans="7:12" x14ac:dyDescent="0.25">
      <c r="G284" s="621">
        <v>5</v>
      </c>
      <c r="H284" s="51">
        <v>3</v>
      </c>
      <c r="I284" s="622">
        <v>4</v>
      </c>
      <c r="K284" s="318">
        <v>2</v>
      </c>
      <c r="L284" s="202">
        <v>3</v>
      </c>
    </row>
    <row r="285" spans="7:12" x14ac:dyDescent="0.25">
      <c r="G285" s="621">
        <v>5</v>
      </c>
      <c r="H285" s="51">
        <v>3</v>
      </c>
      <c r="I285" s="622">
        <v>3</v>
      </c>
      <c r="K285" s="318">
        <v>2</v>
      </c>
      <c r="L285" s="202">
        <v>3</v>
      </c>
    </row>
    <row r="286" spans="7:12" x14ac:dyDescent="0.25">
      <c r="G286" s="621">
        <v>5</v>
      </c>
      <c r="H286" s="51">
        <v>2</v>
      </c>
      <c r="I286" s="622">
        <v>3</v>
      </c>
      <c r="K286" s="318">
        <v>3</v>
      </c>
      <c r="L286" s="202">
        <v>3</v>
      </c>
    </row>
    <row r="287" spans="7:12" x14ac:dyDescent="0.25">
      <c r="G287" s="621">
        <v>5</v>
      </c>
      <c r="H287" s="51">
        <v>2</v>
      </c>
      <c r="I287" s="622">
        <v>3</v>
      </c>
      <c r="K287" s="318">
        <v>2</v>
      </c>
      <c r="L287" s="202">
        <v>4</v>
      </c>
    </row>
    <row r="288" spans="7:12" x14ac:dyDescent="0.25">
      <c r="G288" s="621">
        <v>5</v>
      </c>
      <c r="H288" s="51">
        <v>4</v>
      </c>
      <c r="I288" s="622">
        <v>3</v>
      </c>
      <c r="K288" s="318">
        <v>3</v>
      </c>
      <c r="L288" s="202">
        <v>3</v>
      </c>
    </row>
    <row r="289" spans="7:12" x14ac:dyDescent="0.25">
      <c r="G289" s="621">
        <v>5</v>
      </c>
      <c r="H289" s="51">
        <v>3</v>
      </c>
      <c r="I289" s="622">
        <v>3</v>
      </c>
      <c r="K289" s="318">
        <v>3</v>
      </c>
      <c r="L289" s="202">
        <v>3</v>
      </c>
    </row>
    <row r="290" spans="7:12" x14ac:dyDescent="0.25">
      <c r="G290" s="621">
        <v>5</v>
      </c>
      <c r="H290" s="51">
        <v>4</v>
      </c>
      <c r="I290" s="622">
        <v>4</v>
      </c>
      <c r="K290" s="318">
        <v>2</v>
      </c>
      <c r="L290" s="202">
        <v>3</v>
      </c>
    </row>
    <row r="291" spans="7:12" x14ac:dyDescent="0.25">
      <c r="G291" s="621">
        <v>5</v>
      </c>
      <c r="H291" s="51">
        <v>3</v>
      </c>
      <c r="I291" s="622">
        <v>3</v>
      </c>
      <c r="K291" s="318">
        <v>2</v>
      </c>
      <c r="L291" s="202">
        <v>3</v>
      </c>
    </row>
    <row r="292" spans="7:12" x14ac:dyDescent="0.25">
      <c r="G292" s="621">
        <v>5</v>
      </c>
      <c r="H292" s="51">
        <v>3</v>
      </c>
      <c r="I292" s="622">
        <v>4</v>
      </c>
      <c r="K292" s="318">
        <v>2</v>
      </c>
      <c r="L292" s="202">
        <v>4</v>
      </c>
    </row>
    <row r="293" spans="7:12" x14ac:dyDescent="0.25">
      <c r="G293" s="621">
        <v>6</v>
      </c>
      <c r="H293" s="51">
        <v>3</v>
      </c>
      <c r="I293" s="622">
        <v>3</v>
      </c>
      <c r="K293" s="318">
        <v>3</v>
      </c>
      <c r="L293" s="202">
        <v>4</v>
      </c>
    </row>
    <row r="294" spans="7:12" x14ac:dyDescent="0.25">
      <c r="G294" s="621">
        <v>5</v>
      </c>
      <c r="H294" s="51">
        <v>2</v>
      </c>
      <c r="I294" s="622">
        <v>4</v>
      </c>
      <c r="K294" s="318">
        <v>3</v>
      </c>
      <c r="L294" s="202">
        <v>3</v>
      </c>
    </row>
    <row r="295" spans="7:12" x14ac:dyDescent="0.25">
      <c r="G295" s="621">
        <v>5</v>
      </c>
      <c r="H295" s="51">
        <v>3</v>
      </c>
      <c r="I295" s="622">
        <v>3</v>
      </c>
      <c r="K295" s="318">
        <v>2</v>
      </c>
      <c r="L295" s="202">
        <v>3</v>
      </c>
    </row>
    <row r="296" spans="7:12" x14ac:dyDescent="0.25">
      <c r="G296" s="621">
        <v>5</v>
      </c>
      <c r="H296" s="51">
        <v>2</v>
      </c>
      <c r="I296" s="622">
        <v>3</v>
      </c>
      <c r="K296" s="318">
        <v>2</v>
      </c>
      <c r="L296" s="202">
        <v>3</v>
      </c>
    </row>
    <row r="297" spans="7:12" x14ac:dyDescent="0.25">
      <c r="G297" s="621">
        <v>5</v>
      </c>
      <c r="H297" s="51">
        <v>3</v>
      </c>
      <c r="I297" s="622">
        <v>3</v>
      </c>
      <c r="K297" s="318">
        <v>3</v>
      </c>
      <c r="L297" s="202">
        <v>5</v>
      </c>
    </row>
    <row r="298" spans="7:12" x14ac:dyDescent="0.25">
      <c r="G298" s="621">
        <v>5</v>
      </c>
      <c r="H298" s="51">
        <v>3</v>
      </c>
      <c r="I298" s="622">
        <v>4</v>
      </c>
      <c r="K298" s="318">
        <v>2</v>
      </c>
      <c r="L298" s="202">
        <v>4</v>
      </c>
    </row>
    <row r="299" spans="7:12" x14ac:dyDescent="0.25">
      <c r="G299" s="621">
        <v>5</v>
      </c>
      <c r="H299" s="51">
        <v>3</v>
      </c>
      <c r="I299" s="622">
        <v>3</v>
      </c>
      <c r="K299" s="318">
        <v>2</v>
      </c>
      <c r="L299" s="202">
        <v>3</v>
      </c>
    </row>
    <row r="300" spans="7:12" x14ac:dyDescent="0.25">
      <c r="G300" s="621">
        <v>5</v>
      </c>
      <c r="H300" s="51">
        <v>2</v>
      </c>
      <c r="I300" s="622">
        <v>5</v>
      </c>
      <c r="K300" s="318">
        <v>3</v>
      </c>
      <c r="L300" s="202">
        <v>3</v>
      </c>
    </row>
    <row r="301" spans="7:12" x14ac:dyDescent="0.25">
      <c r="G301" s="621">
        <v>7</v>
      </c>
      <c r="H301" s="51">
        <v>2</v>
      </c>
      <c r="I301" s="622">
        <v>3</v>
      </c>
      <c r="K301" s="318">
        <v>3</v>
      </c>
      <c r="L301" s="202">
        <v>3</v>
      </c>
    </row>
    <row r="302" spans="7:12" x14ac:dyDescent="0.25">
      <c r="G302" s="621">
        <v>5</v>
      </c>
      <c r="H302" s="51">
        <v>2</v>
      </c>
      <c r="I302" s="622">
        <v>4</v>
      </c>
      <c r="K302" s="318">
        <v>3</v>
      </c>
      <c r="L302" s="202">
        <v>3</v>
      </c>
    </row>
    <row r="303" spans="7:12" x14ac:dyDescent="0.25">
      <c r="G303" s="621">
        <v>5</v>
      </c>
      <c r="H303" s="51">
        <v>3</v>
      </c>
      <c r="I303" s="622">
        <v>3</v>
      </c>
      <c r="K303" s="318">
        <v>2</v>
      </c>
      <c r="L303" s="202">
        <v>4</v>
      </c>
    </row>
    <row r="304" spans="7:12" x14ac:dyDescent="0.25">
      <c r="G304" s="621">
        <v>5</v>
      </c>
      <c r="H304" s="51">
        <v>2</v>
      </c>
      <c r="I304" s="622">
        <v>3</v>
      </c>
      <c r="K304" s="318">
        <v>2</v>
      </c>
      <c r="L304" s="202">
        <v>3</v>
      </c>
    </row>
    <row r="305" spans="7:12" x14ac:dyDescent="0.25">
      <c r="G305" s="621">
        <v>5</v>
      </c>
      <c r="H305" s="51">
        <v>3</v>
      </c>
      <c r="I305" s="622">
        <v>3</v>
      </c>
      <c r="K305" s="318">
        <v>3</v>
      </c>
      <c r="L305" s="202">
        <v>4</v>
      </c>
    </row>
    <row r="306" spans="7:12" x14ac:dyDescent="0.25">
      <c r="G306" s="621">
        <v>5</v>
      </c>
      <c r="H306" s="51">
        <v>3</v>
      </c>
      <c r="I306" s="622">
        <v>4</v>
      </c>
      <c r="K306" s="318">
        <v>3</v>
      </c>
      <c r="L306" s="202">
        <v>4</v>
      </c>
    </row>
    <row r="307" spans="7:12" x14ac:dyDescent="0.25">
      <c r="G307" s="621">
        <v>5</v>
      </c>
      <c r="H307" s="51">
        <v>3</v>
      </c>
      <c r="I307" s="622">
        <v>3</v>
      </c>
      <c r="K307" s="318">
        <v>2</v>
      </c>
      <c r="L307" s="202">
        <v>3</v>
      </c>
    </row>
    <row r="308" spans="7:12" x14ac:dyDescent="0.25">
      <c r="G308" s="621">
        <v>5</v>
      </c>
      <c r="H308" s="51">
        <v>3</v>
      </c>
      <c r="I308" s="622">
        <v>4</v>
      </c>
      <c r="K308" s="318">
        <v>3</v>
      </c>
      <c r="L308" s="202">
        <v>4</v>
      </c>
    </row>
    <row r="309" spans="7:12" x14ac:dyDescent="0.25">
      <c r="G309" s="621">
        <v>5</v>
      </c>
      <c r="H309" s="51">
        <v>2</v>
      </c>
      <c r="I309" s="622">
        <v>5</v>
      </c>
      <c r="K309" s="318">
        <v>4</v>
      </c>
      <c r="L309" s="202">
        <v>4</v>
      </c>
    </row>
    <row r="310" spans="7:12" x14ac:dyDescent="0.25">
      <c r="G310" s="621">
        <v>5</v>
      </c>
      <c r="H310" s="51">
        <v>3</v>
      </c>
      <c r="I310" s="622">
        <v>4</v>
      </c>
      <c r="K310" s="318">
        <v>2</v>
      </c>
      <c r="L310" s="202">
        <v>3</v>
      </c>
    </row>
    <row r="311" spans="7:12" x14ac:dyDescent="0.25">
      <c r="G311" s="621">
        <v>5</v>
      </c>
      <c r="H311" s="51">
        <v>3</v>
      </c>
      <c r="I311" s="622">
        <v>3</v>
      </c>
      <c r="K311" s="318">
        <v>3</v>
      </c>
      <c r="L311" s="202">
        <v>3</v>
      </c>
    </row>
    <row r="312" spans="7:12" x14ac:dyDescent="0.25">
      <c r="G312" s="621">
        <v>5</v>
      </c>
      <c r="H312" s="51">
        <v>2</v>
      </c>
      <c r="I312" s="622">
        <v>3</v>
      </c>
      <c r="K312" s="318">
        <v>3</v>
      </c>
      <c r="L312" s="202">
        <v>4</v>
      </c>
    </row>
    <row r="313" spans="7:12" x14ac:dyDescent="0.25">
      <c r="G313" s="621">
        <v>5</v>
      </c>
      <c r="H313" s="51">
        <v>3</v>
      </c>
      <c r="I313" s="622">
        <v>4</v>
      </c>
      <c r="K313" s="318">
        <v>2</v>
      </c>
      <c r="L313" s="202">
        <v>4</v>
      </c>
    </row>
    <row r="314" spans="7:12" x14ac:dyDescent="0.25">
      <c r="G314" s="621">
        <v>5</v>
      </c>
      <c r="H314" s="51">
        <v>2</v>
      </c>
      <c r="I314" s="622">
        <v>3</v>
      </c>
      <c r="K314" s="318">
        <v>2</v>
      </c>
      <c r="L314" s="202">
        <v>3</v>
      </c>
    </row>
    <row r="315" spans="7:12" x14ac:dyDescent="0.25">
      <c r="G315" s="621">
        <v>5</v>
      </c>
      <c r="H315" s="51">
        <v>4</v>
      </c>
      <c r="I315" s="622">
        <v>4</v>
      </c>
      <c r="K315" s="318">
        <v>2</v>
      </c>
      <c r="L315" s="202">
        <v>3</v>
      </c>
    </row>
    <row r="316" spans="7:12" x14ac:dyDescent="0.25">
      <c r="G316" s="621">
        <v>5</v>
      </c>
      <c r="H316" s="51">
        <v>4</v>
      </c>
      <c r="I316" s="622">
        <v>3</v>
      </c>
      <c r="K316" s="318">
        <v>2</v>
      </c>
      <c r="L316" s="202">
        <v>3</v>
      </c>
    </row>
    <row r="317" spans="7:12" x14ac:dyDescent="0.25">
      <c r="G317" s="621">
        <v>5</v>
      </c>
      <c r="H317" s="51">
        <v>4</v>
      </c>
      <c r="I317" s="622">
        <v>3</v>
      </c>
      <c r="K317" s="318">
        <v>2</v>
      </c>
      <c r="L317" s="202">
        <v>3</v>
      </c>
    </row>
    <row r="318" spans="7:12" x14ac:dyDescent="0.25">
      <c r="G318" s="621">
        <v>5</v>
      </c>
      <c r="H318" s="51">
        <v>2</v>
      </c>
      <c r="I318" s="622">
        <v>3</v>
      </c>
      <c r="K318" s="318">
        <v>3</v>
      </c>
      <c r="L318" s="202">
        <v>4</v>
      </c>
    </row>
    <row r="319" spans="7:12" x14ac:dyDescent="0.25">
      <c r="G319" s="621">
        <v>5</v>
      </c>
      <c r="H319" s="51">
        <v>2</v>
      </c>
      <c r="I319" s="622">
        <v>3</v>
      </c>
      <c r="K319" s="318">
        <v>3</v>
      </c>
      <c r="L319" s="202">
        <v>3</v>
      </c>
    </row>
    <row r="320" spans="7:12" x14ac:dyDescent="0.25">
      <c r="G320" s="621">
        <v>5</v>
      </c>
      <c r="H320" s="51">
        <v>2</v>
      </c>
      <c r="I320" s="622">
        <v>3</v>
      </c>
      <c r="K320" s="318">
        <v>2</v>
      </c>
      <c r="L320" s="202">
        <v>5</v>
      </c>
    </row>
    <row r="321" spans="7:12" x14ac:dyDescent="0.25">
      <c r="G321" s="621">
        <v>6</v>
      </c>
      <c r="H321" s="51">
        <v>3</v>
      </c>
      <c r="I321" s="622">
        <v>3</v>
      </c>
      <c r="K321" s="318">
        <v>3</v>
      </c>
      <c r="L321" s="202">
        <v>3</v>
      </c>
    </row>
    <row r="322" spans="7:12" x14ac:dyDescent="0.25">
      <c r="G322" s="621">
        <v>5</v>
      </c>
      <c r="H322" s="51">
        <v>3</v>
      </c>
      <c r="I322" s="622">
        <v>3</v>
      </c>
      <c r="K322" s="318">
        <v>2</v>
      </c>
      <c r="L322" s="202">
        <v>4</v>
      </c>
    </row>
    <row r="323" spans="7:12" x14ac:dyDescent="0.25">
      <c r="G323" s="621">
        <v>5</v>
      </c>
      <c r="H323" s="51">
        <v>2</v>
      </c>
      <c r="I323" s="622">
        <v>5</v>
      </c>
      <c r="K323" s="318">
        <v>3</v>
      </c>
      <c r="L323" s="202">
        <v>3</v>
      </c>
    </row>
    <row r="324" spans="7:12" x14ac:dyDescent="0.25">
      <c r="G324" s="621">
        <v>5</v>
      </c>
      <c r="H324" s="51">
        <v>3</v>
      </c>
      <c r="I324" s="622">
        <v>3</v>
      </c>
      <c r="K324" s="318">
        <v>4</v>
      </c>
      <c r="L324" s="202">
        <v>3</v>
      </c>
    </row>
    <row r="325" spans="7:12" x14ac:dyDescent="0.25">
      <c r="G325" s="621">
        <v>5</v>
      </c>
      <c r="H325" s="51">
        <v>3</v>
      </c>
      <c r="I325" s="622">
        <v>4</v>
      </c>
      <c r="K325" s="318">
        <v>3</v>
      </c>
      <c r="L325" s="202">
        <v>3</v>
      </c>
    </row>
    <row r="326" spans="7:12" x14ac:dyDescent="0.25">
      <c r="G326" s="621">
        <v>5</v>
      </c>
      <c r="H326" s="51">
        <v>2</v>
      </c>
      <c r="I326" s="622">
        <v>3</v>
      </c>
      <c r="K326" s="318">
        <v>2</v>
      </c>
      <c r="L326" s="202">
        <v>3</v>
      </c>
    </row>
    <row r="327" spans="7:12" x14ac:dyDescent="0.25">
      <c r="G327" s="621">
        <v>5</v>
      </c>
      <c r="H327" s="51">
        <v>2</v>
      </c>
      <c r="I327" s="622">
        <v>3</v>
      </c>
      <c r="K327" s="318">
        <v>4</v>
      </c>
      <c r="L327" s="202">
        <v>4</v>
      </c>
    </row>
    <row r="328" spans="7:12" x14ac:dyDescent="0.25">
      <c r="G328" s="621">
        <v>5</v>
      </c>
      <c r="H328" s="51">
        <v>3</v>
      </c>
      <c r="I328" s="622">
        <v>4</v>
      </c>
      <c r="K328" s="318">
        <v>3</v>
      </c>
      <c r="L328" s="202">
        <v>3</v>
      </c>
    </row>
    <row r="329" spans="7:12" x14ac:dyDescent="0.25">
      <c r="G329" s="621">
        <v>5</v>
      </c>
      <c r="H329" s="51">
        <v>3</v>
      </c>
      <c r="I329" s="622">
        <v>3</v>
      </c>
      <c r="K329" s="318">
        <v>4</v>
      </c>
      <c r="L329" s="202">
        <v>3</v>
      </c>
    </row>
    <row r="330" spans="7:12" x14ac:dyDescent="0.25">
      <c r="G330" s="621">
        <v>5</v>
      </c>
      <c r="H330" s="51">
        <v>2</v>
      </c>
      <c r="I330" s="622">
        <v>3</v>
      </c>
      <c r="K330" s="318">
        <v>2</v>
      </c>
      <c r="L330" s="202">
        <v>4</v>
      </c>
    </row>
    <row r="331" spans="7:12" x14ac:dyDescent="0.25">
      <c r="G331" s="621">
        <v>5</v>
      </c>
      <c r="H331" s="51">
        <v>2</v>
      </c>
      <c r="I331" s="622">
        <v>3</v>
      </c>
      <c r="K331" s="318">
        <v>4</v>
      </c>
      <c r="L331" s="202">
        <v>3</v>
      </c>
    </row>
    <row r="332" spans="7:12" x14ac:dyDescent="0.25">
      <c r="G332" s="621">
        <v>5</v>
      </c>
      <c r="H332" s="51">
        <v>2</v>
      </c>
      <c r="I332" s="622">
        <v>3</v>
      </c>
      <c r="K332" s="318">
        <v>2</v>
      </c>
      <c r="L332" s="202">
        <v>3</v>
      </c>
    </row>
    <row r="333" spans="7:12" x14ac:dyDescent="0.25">
      <c r="G333" s="621">
        <v>5</v>
      </c>
      <c r="H333" s="51">
        <v>2</v>
      </c>
      <c r="I333" s="622">
        <v>3</v>
      </c>
      <c r="K333" s="318">
        <v>4</v>
      </c>
      <c r="L333" s="202">
        <v>3</v>
      </c>
    </row>
    <row r="334" spans="7:12" x14ac:dyDescent="0.25">
      <c r="G334" s="621">
        <v>5</v>
      </c>
      <c r="H334" s="51">
        <v>2</v>
      </c>
      <c r="I334" s="622">
        <v>3</v>
      </c>
      <c r="K334" s="318">
        <v>2</v>
      </c>
      <c r="L334" s="202">
        <v>3</v>
      </c>
    </row>
    <row r="335" spans="7:12" x14ac:dyDescent="0.25">
      <c r="G335" s="621">
        <v>5</v>
      </c>
      <c r="H335" s="51">
        <v>2</v>
      </c>
      <c r="I335" s="622">
        <v>3</v>
      </c>
      <c r="K335" s="318">
        <v>2</v>
      </c>
      <c r="L335" s="202">
        <v>3</v>
      </c>
    </row>
    <row r="336" spans="7:12" x14ac:dyDescent="0.25">
      <c r="G336" s="621">
        <v>5</v>
      </c>
      <c r="H336" s="51">
        <v>3</v>
      </c>
      <c r="I336" s="622">
        <v>3</v>
      </c>
      <c r="K336" s="318">
        <v>3</v>
      </c>
      <c r="L336" s="202">
        <v>5</v>
      </c>
    </row>
    <row r="337" spans="7:12" x14ac:dyDescent="0.25">
      <c r="G337" s="621">
        <v>5</v>
      </c>
      <c r="H337" s="51">
        <v>3</v>
      </c>
      <c r="I337" s="622">
        <v>3</v>
      </c>
      <c r="K337" s="318">
        <v>3</v>
      </c>
      <c r="L337" s="202">
        <v>4</v>
      </c>
    </row>
    <row r="338" spans="7:12" x14ac:dyDescent="0.25">
      <c r="G338" s="621">
        <v>5</v>
      </c>
      <c r="H338" s="51">
        <v>4</v>
      </c>
      <c r="I338" s="622">
        <v>3</v>
      </c>
      <c r="K338" s="318">
        <v>2</v>
      </c>
      <c r="L338" s="202">
        <v>5</v>
      </c>
    </row>
    <row r="339" spans="7:12" x14ac:dyDescent="0.25">
      <c r="G339" s="621">
        <v>5</v>
      </c>
      <c r="H339" s="51">
        <v>3</v>
      </c>
      <c r="I339" s="622">
        <v>4</v>
      </c>
      <c r="K339" s="318">
        <v>3</v>
      </c>
      <c r="L339" s="202">
        <v>5</v>
      </c>
    </row>
    <row r="340" spans="7:12" x14ac:dyDescent="0.25">
      <c r="G340" s="621">
        <v>5</v>
      </c>
      <c r="H340" s="51">
        <v>2</v>
      </c>
      <c r="I340" s="622">
        <v>4</v>
      </c>
      <c r="K340" s="318">
        <v>2</v>
      </c>
      <c r="L340" s="202">
        <v>4</v>
      </c>
    </row>
    <row r="341" spans="7:12" x14ac:dyDescent="0.25">
      <c r="G341" s="621">
        <v>5</v>
      </c>
      <c r="H341" s="51">
        <v>2</v>
      </c>
      <c r="I341" s="622">
        <v>3</v>
      </c>
      <c r="K341" s="318">
        <v>3</v>
      </c>
      <c r="L341" s="202">
        <v>3</v>
      </c>
    </row>
    <row r="342" spans="7:12" x14ac:dyDescent="0.25">
      <c r="G342" s="621">
        <v>5</v>
      </c>
      <c r="H342" s="51">
        <v>2</v>
      </c>
      <c r="I342" s="622">
        <v>3</v>
      </c>
      <c r="K342" s="318">
        <v>3</v>
      </c>
      <c r="L342" s="202">
        <v>4</v>
      </c>
    </row>
    <row r="343" spans="7:12" x14ac:dyDescent="0.25">
      <c r="G343" s="621">
        <v>5</v>
      </c>
      <c r="H343" s="51">
        <v>3</v>
      </c>
      <c r="I343" s="622">
        <v>3</v>
      </c>
      <c r="K343" s="318">
        <v>2</v>
      </c>
      <c r="L343" s="202">
        <v>4</v>
      </c>
    </row>
    <row r="344" spans="7:12" x14ac:dyDescent="0.25">
      <c r="G344" s="621">
        <v>5</v>
      </c>
      <c r="H344" s="51">
        <v>2</v>
      </c>
      <c r="I344" s="622">
        <v>3</v>
      </c>
      <c r="K344" s="318">
        <v>3</v>
      </c>
      <c r="L344" s="202">
        <v>4</v>
      </c>
    </row>
    <row r="345" spans="7:12" x14ac:dyDescent="0.25">
      <c r="G345" s="621">
        <v>5</v>
      </c>
      <c r="H345" s="51">
        <v>3</v>
      </c>
      <c r="I345" s="622">
        <v>3</v>
      </c>
      <c r="K345" s="318">
        <v>3</v>
      </c>
      <c r="L345" s="202">
        <v>3</v>
      </c>
    </row>
    <row r="346" spans="7:12" x14ac:dyDescent="0.25">
      <c r="G346" s="621">
        <v>6</v>
      </c>
      <c r="H346" s="51">
        <v>2</v>
      </c>
      <c r="I346" s="622">
        <v>4</v>
      </c>
      <c r="K346" s="318">
        <v>2</v>
      </c>
      <c r="L346" s="202">
        <v>5</v>
      </c>
    </row>
    <row r="347" spans="7:12" x14ac:dyDescent="0.25">
      <c r="G347" s="621">
        <v>5</v>
      </c>
      <c r="H347" s="51">
        <v>2</v>
      </c>
      <c r="I347" s="622">
        <v>3</v>
      </c>
      <c r="K347" s="318">
        <v>2</v>
      </c>
      <c r="L347" s="202">
        <v>3</v>
      </c>
    </row>
    <row r="348" spans="7:12" x14ac:dyDescent="0.25">
      <c r="G348" s="621">
        <v>5</v>
      </c>
      <c r="H348" s="51">
        <v>3</v>
      </c>
      <c r="I348" s="622">
        <v>3</v>
      </c>
      <c r="K348" s="318">
        <v>3</v>
      </c>
      <c r="L348" s="202">
        <v>3</v>
      </c>
    </row>
    <row r="349" spans="7:12" x14ac:dyDescent="0.25">
      <c r="G349" s="621">
        <v>5</v>
      </c>
      <c r="H349" s="51">
        <v>3</v>
      </c>
      <c r="I349" s="622">
        <v>3</v>
      </c>
      <c r="K349" s="318">
        <v>3</v>
      </c>
      <c r="L349" s="202">
        <v>4</v>
      </c>
    </row>
    <row r="350" spans="7:12" x14ac:dyDescent="0.25">
      <c r="G350" s="621">
        <v>5</v>
      </c>
      <c r="H350" s="51">
        <v>3</v>
      </c>
      <c r="I350" s="622">
        <v>3</v>
      </c>
      <c r="K350" s="318">
        <v>3</v>
      </c>
      <c r="L350" s="202">
        <v>5</v>
      </c>
    </row>
    <row r="351" spans="7:12" x14ac:dyDescent="0.25">
      <c r="G351" s="621">
        <v>5</v>
      </c>
      <c r="H351" s="51">
        <v>2</v>
      </c>
      <c r="I351" s="622">
        <v>3</v>
      </c>
      <c r="K351" s="318">
        <v>2</v>
      </c>
      <c r="L351" s="202">
        <v>3</v>
      </c>
    </row>
    <row r="352" spans="7:12" x14ac:dyDescent="0.25">
      <c r="G352" s="621">
        <v>5</v>
      </c>
      <c r="H352" s="51">
        <v>3</v>
      </c>
      <c r="I352" s="622">
        <v>3</v>
      </c>
      <c r="K352" s="318">
        <v>3</v>
      </c>
      <c r="L352" s="202">
        <v>5</v>
      </c>
    </row>
    <row r="353" spans="7:12" x14ac:dyDescent="0.25">
      <c r="G353" s="621">
        <v>5</v>
      </c>
      <c r="H353" s="51">
        <v>3</v>
      </c>
      <c r="I353" s="622">
        <v>3</v>
      </c>
      <c r="K353" s="318">
        <v>2</v>
      </c>
      <c r="L353" s="202">
        <v>3</v>
      </c>
    </row>
    <row r="354" spans="7:12" x14ac:dyDescent="0.25">
      <c r="G354" s="621">
        <v>5</v>
      </c>
      <c r="H354" s="51">
        <v>2</v>
      </c>
      <c r="I354" s="622">
        <v>4</v>
      </c>
      <c r="K354" s="318">
        <v>2</v>
      </c>
      <c r="L354" s="202">
        <v>3</v>
      </c>
    </row>
    <row r="355" spans="7:12" x14ac:dyDescent="0.25">
      <c r="G355" s="621">
        <v>5</v>
      </c>
      <c r="H355" s="51">
        <v>2</v>
      </c>
      <c r="I355" s="622">
        <v>3</v>
      </c>
      <c r="K355" s="318">
        <v>3</v>
      </c>
      <c r="L355" s="202">
        <v>3</v>
      </c>
    </row>
    <row r="356" spans="7:12" x14ac:dyDescent="0.25">
      <c r="G356" s="621">
        <v>5</v>
      </c>
      <c r="H356" s="51">
        <v>3</v>
      </c>
      <c r="I356" s="622">
        <v>3</v>
      </c>
      <c r="K356" s="318">
        <v>3</v>
      </c>
      <c r="L356" s="202">
        <v>3</v>
      </c>
    </row>
    <row r="357" spans="7:12" x14ac:dyDescent="0.25">
      <c r="G357" s="621">
        <v>5</v>
      </c>
      <c r="H357" s="51">
        <v>2</v>
      </c>
      <c r="I357" s="622">
        <v>3</v>
      </c>
      <c r="K357" s="318">
        <v>2</v>
      </c>
      <c r="L357" s="202">
        <v>3</v>
      </c>
    </row>
    <row r="358" spans="7:12" x14ac:dyDescent="0.25">
      <c r="G358" s="621">
        <v>5</v>
      </c>
      <c r="H358" s="51">
        <v>3</v>
      </c>
      <c r="I358" s="622">
        <v>3</v>
      </c>
      <c r="K358" s="318">
        <v>2</v>
      </c>
      <c r="L358" s="202">
        <v>3</v>
      </c>
    </row>
    <row r="359" spans="7:12" x14ac:dyDescent="0.25">
      <c r="G359" s="621">
        <v>5</v>
      </c>
      <c r="H359" s="51">
        <v>2</v>
      </c>
      <c r="I359" s="622">
        <v>4</v>
      </c>
      <c r="K359" s="318">
        <v>3</v>
      </c>
      <c r="L359" s="202">
        <v>3</v>
      </c>
    </row>
    <row r="360" spans="7:12" x14ac:dyDescent="0.25">
      <c r="G360" s="621">
        <v>5</v>
      </c>
      <c r="H360" s="51">
        <v>3</v>
      </c>
      <c r="I360" s="622">
        <v>3</v>
      </c>
      <c r="K360" s="318">
        <v>4</v>
      </c>
      <c r="L360" s="202">
        <v>3</v>
      </c>
    </row>
    <row r="361" spans="7:12" x14ac:dyDescent="0.25">
      <c r="G361" s="621">
        <v>5</v>
      </c>
      <c r="H361" s="51">
        <v>2</v>
      </c>
      <c r="I361" s="622">
        <v>4</v>
      </c>
      <c r="K361" s="318">
        <v>3</v>
      </c>
      <c r="L361" s="202">
        <v>3</v>
      </c>
    </row>
    <row r="362" spans="7:12" x14ac:dyDescent="0.25">
      <c r="G362" s="621">
        <v>5</v>
      </c>
      <c r="H362" s="51">
        <v>2</v>
      </c>
      <c r="I362" s="622">
        <v>3</v>
      </c>
      <c r="K362" s="318">
        <v>3</v>
      </c>
      <c r="L362" s="202">
        <v>3</v>
      </c>
    </row>
    <row r="363" spans="7:12" x14ac:dyDescent="0.25">
      <c r="G363" s="621">
        <v>5</v>
      </c>
      <c r="H363" s="51">
        <v>2</v>
      </c>
      <c r="I363" s="622">
        <v>3</v>
      </c>
      <c r="K363" s="318">
        <v>2</v>
      </c>
      <c r="L363" s="202">
        <v>3</v>
      </c>
    </row>
    <row r="364" spans="7:12" x14ac:dyDescent="0.25">
      <c r="G364" s="621">
        <v>5</v>
      </c>
      <c r="H364" s="51">
        <v>3</v>
      </c>
      <c r="I364" s="622">
        <v>3</v>
      </c>
      <c r="K364" s="318">
        <v>2</v>
      </c>
      <c r="L364" s="202">
        <v>4</v>
      </c>
    </row>
    <row r="365" spans="7:12" x14ac:dyDescent="0.25">
      <c r="G365" s="621">
        <v>7</v>
      </c>
      <c r="H365" s="51">
        <v>4</v>
      </c>
      <c r="I365" s="622">
        <v>3</v>
      </c>
      <c r="K365" s="318">
        <v>3</v>
      </c>
      <c r="L365" s="202">
        <v>3</v>
      </c>
    </row>
    <row r="366" spans="7:12" x14ac:dyDescent="0.25">
      <c r="G366" s="621">
        <v>5</v>
      </c>
      <c r="H366" s="51">
        <v>4</v>
      </c>
      <c r="I366" s="622">
        <v>4</v>
      </c>
      <c r="K366" s="318">
        <v>3</v>
      </c>
      <c r="L366" s="202">
        <v>3</v>
      </c>
    </row>
    <row r="367" spans="7:12" x14ac:dyDescent="0.25">
      <c r="G367" s="621">
        <v>5</v>
      </c>
      <c r="H367" s="51">
        <v>3</v>
      </c>
      <c r="I367" s="622">
        <v>4</v>
      </c>
      <c r="K367" s="318">
        <v>2</v>
      </c>
      <c r="L367" s="202">
        <v>3</v>
      </c>
    </row>
    <row r="368" spans="7:12" x14ac:dyDescent="0.25">
      <c r="G368" s="621">
        <v>7</v>
      </c>
      <c r="H368" s="51">
        <v>4</v>
      </c>
      <c r="I368" s="622">
        <v>3</v>
      </c>
      <c r="K368" s="318">
        <v>2</v>
      </c>
      <c r="L368" s="202">
        <v>3</v>
      </c>
    </row>
    <row r="369" spans="8:12" x14ac:dyDescent="0.25">
      <c r="H369" s="51">
        <v>3</v>
      </c>
      <c r="I369" s="622">
        <v>3</v>
      </c>
      <c r="K369" s="318">
        <v>3</v>
      </c>
      <c r="L369" s="202">
        <v>3</v>
      </c>
    </row>
    <row r="370" spans="8:12" x14ac:dyDescent="0.25">
      <c r="H370" s="51">
        <v>3</v>
      </c>
      <c r="I370" s="622">
        <v>3</v>
      </c>
      <c r="K370" s="318">
        <v>3</v>
      </c>
      <c r="L370" s="202">
        <v>4</v>
      </c>
    </row>
    <row r="371" spans="8:12" x14ac:dyDescent="0.25">
      <c r="H371" s="51">
        <v>2</v>
      </c>
      <c r="I371" s="622">
        <v>3</v>
      </c>
      <c r="K371" s="318">
        <v>2</v>
      </c>
      <c r="L371" s="202">
        <v>4</v>
      </c>
    </row>
    <row r="372" spans="8:12" x14ac:dyDescent="0.25">
      <c r="H372" s="51">
        <v>3</v>
      </c>
      <c r="I372" s="622">
        <v>4</v>
      </c>
      <c r="K372" s="318">
        <v>2</v>
      </c>
      <c r="L372" s="202">
        <v>3</v>
      </c>
    </row>
    <row r="373" spans="8:12" x14ac:dyDescent="0.25">
      <c r="H373" s="51">
        <v>2</v>
      </c>
      <c r="I373" s="622">
        <v>3</v>
      </c>
      <c r="K373" s="318">
        <v>2</v>
      </c>
      <c r="L373" s="202">
        <v>3</v>
      </c>
    </row>
    <row r="374" spans="8:12" x14ac:dyDescent="0.25">
      <c r="H374" s="51">
        <v>4</v>
      </c>
      <c r="I374" s="622">
        <v>3</v>
      </c>
      <c r="K374" s="318">
        <v>2</v>
      </c>
      <c r="L374" s="202">
        <v>3</v>
      </c>
    </row>
    <row r="375" spans="8:12" x14ac:dyDescent="0.25">
      <c r="H375" s="51">
        <v>3</v>
      </c>
      <c r="I375" s="622">
        <v>5</v>
      </c>
      <c r="K375" s="318">
        <v>4</v>
      </c>
      <c r="L375" s="202">
        <v>4</v>
      </c>
    </row>
    <row r="376" spans="8:12" x14ac:dyDescent="0.25">
      <c r="H376" s="51">
        <v>2</v>
      </c>
      <c r="I376" s="622">
        <v>4</v>
      </c>
      <c r="K376" s="318">
        <v>2</v>
      </c>
      <c r="L376" s="202">
        <v>3</v>
      </c>
    </row>
    <row r="377" spans="8:12" x14ac:dyDescent="0.25">
      <c r="H377" s="51">
        <v>2</v>
      </c>
      <c r="I377" s="622">
        <v>3</v>
      </c>
      <c r="K377" s="318">
        <v>4</v>
      </c>
      <c r="L377" s="202">
        <v>4</v>
      </c>
    </row>
    <row r="378" spans="8:12" x14ac:dyDescent="0.25">
      <c r="H378" s="51">
        <v>3</v>
      </c>
      <c r="I378" s="622">
        <v>4</v>
      </c>
      <c r="K378" s="318">
        <v>2</v>
      </c>
      <c r="L378" s="202">
        <v>4</v>
      </c>
    </row>
    <row r="379" spans="8:12" x14ac:dyDescent="0.25">
      <c r="H379" s="51">
        <v>4</v>
      </c>
      <c r="I379" s="622">
        <v>3</v>
      </c>
      <c r="K379" s="318">
        <v>3</v>
      </c>
      <c r="L379" s="202">
        <v>3</v>
      </c>
    </row>
    <row r="380" spans="8:12" x14ac:dyDescent="0.25">
      <c r="H380" s="51">
        <v>3</v>
      </c>
      <c r="I380" s="622">
        <v>4</v>
      </c>
      <c r="K380" s="318">
        <v>3</v>
      </c>
      <c r="L380" s="202">
        <v>3</v>
      </c>
    </row>
    <row r="381" spans="8:12" x14ac:dyDescent="0.25">
      <c r="H381" s="51">
        <v>3</v>
      </c>
      <c r="I381" s="622">
        <v>3</v>
      </c>
      <c r="K381" s="318">
        <v>3</v>
      </c>
      <c r="L381" s="202">
        <v>5</v>
      </c>
    </row>
    <row r="382" spans="8:12" x14ac:dyDescent="0.25">
      <c r="H382" s="51">
        <v>2</v>
      </c>
      <c r="I382" s="622">
        <v>3</v>
      </c>
      <c r="K382" s="318">
        <v>2</v>
      </c>
      <c r="L382" s="202">
        <v>3</v>
      </c>
    </row>
    <row r="383" spans="8:12" x14ac:dyDescent="0.25">
      <c r="H383" s="51">
        <v>3</v>
      </c>
      <c r="I383" s="622">
        <v>3</v>
      </c>
      <c r="K383" s="318">
        <v>2</v>
      </c>
      <c r="L383" s="202">
        <v>4</v>
      </c>
    </row>
    <row r="384" spans="8:12" x14ac:dyDescent="0.25">
      <c r="H384" s="51">
        <v>2</v>
      </c>
      <c r="I384" s="622">
        <v>4</v>
      </c>
      <c r="K384" s="318">
        <v>2</v>
      </c>
      <c r="L384" s="202">
        <v>3</v>
      </c>
    </row>
    <row r="385" spans="8:12" x14ac:dyDescent="0.25">
      <c r="H385" s="51">
        <v>2</v>
      </c>
      <c r="I385" s="622">
        <v>3</v>
      </c>
      <c r="K385" s="318">
        <v>3</v>
      </c>
      <c r="L385" s="202">
        <v>3</v>
      </c>
    </row>
    <row r="386" spans="8:12" x14ac:dyDescent="0.25">
      <c r="H386" s="51">
        <v>2</v>
      </c>
      <c r="I386" s="622">
        <v>3</v>
      </c>
      <c r="K386" s="318">
        <v>2</v>
      </c>
      <c r="L386" s="202">
        <v>3</v>
      </c>
    </row>
    <row r="387" spans="8:12" x14ac:dyDescent="0.25">
      <c r="H387" s="51">
        <v>3</v>
      </c>
      <c r="I387" s="622">
        <v>5</v>
      </c>
      <c r="K387" s="318">
        <v>3</v>
      </c>
      <c r="L387" s="202">
        <v>3</v>
      </c>
    </row>
    <row r="388" spans="8:12" x14ac:dyDescent="0.25">
      <c r="H388" s="51">
        <v>4</v>
      </c>
      <c r="I388" s="622">
        <v>3</v>
      </c>
      <c r="K388" s="318">
        <v>2</v>
      </c>
      <c r="L388" s="202">
        <v>3</v>
      </c>
    </row>
    <row r="389" spans="8:12" x14ac:dyDescent="0.25">
      <c r="H389" s="51">
        <v>4</v>
      </c>
      <c r="I389" s="622">
        <v>5</v>
      </c>
      <c r="K389" s="318">
        <v>3</v>
      </c>
      <c r="L389" s="202">
        <v>3</v>
      </c>
    </row>
    <row r="390" spans="8:12" x14ac:dyDescent="0.25">
      <c r="H390" s="51">
        <v>2</v>
      </c>
      <c r="I390" s="622">
        <v>3</v>
      </c>
      <c r="K390" s="318">
        <v>2</v>
      </c>
      <c r="L390" s="202">
        <v>5</v>
      </c>
    </row>
    <row r="391" spans="8:12" x14ac:dyDescent="0.25">
      <c r="H391" s="51">
        <v>2</v>
      </c>
      <c r="I391" s="622">
        <v>3</v>
      </c>
      <c r="K391" s="318">
        <v>3</v>
      </c>
      <c r="L391" s="202">
        <v>4</v>
      </c>
    </row>
    <row r="392" spans="8:12" x14ac:dyDescent="0.25">
      <c r="H392" s="51">
        <v>2</v>
      </c>
      <c r="I392" s="622">
        <v>4</v>
      </c>
      <c r="K392" s="318">
        <v>3</v>
      </c>
      <c r="L392" s="202">
        <v>5</v>
      </c>
    </row>
    <row r="393" spans="8:12" x14ac:dyDescent="0.25">
      <c r="H393" s="51">
        <v>2</v>
      </c>
      <c r="I393" s="622">
        <v>5</v>
      </c>
      <c r="K393" s="318">
        <v>3</v>
      </c>
      <c r="L393" s="202">
        <v>4</v>
      </c>
    </row>
    <row r="394" spans="8:12" x14ac:dyDescent="0.25">
      <c r="H394" s="51">
        <v>3</v>
      </c>
      <c r="I394" s="622">
        <v>4</v>
      </c>
      <c r="K394" s="318">
        <v>2</v>
      </c>
      <c r="L394" s="202">
        <v>3</v>
      </c>
    </row>
    <row r="395" spans="8:12" x14ac:dyDescent="0.25">
      <c r="H395" s="51">
        <v>3</v>
      </c>
      <c r="I395" s="622">
        <v>4</v>
      </c>
      <c r="K395" s="318">
        <v>3</v>
      </c>
      <c r="L395" s="202">
        <v>3</v>
      </c>
    </row>
    <row r="396" spans="8:12" x14ac:dyDescent="0.25">
      <c r="H396" s="51">
        <v>4</v>
      </c>
      <c r="I396" s="622">
        <v>5</v>
      </c>
      <c r="K396" s="318">
        <v>3</v>
      </c>
      <c r="L396" s="202">
        <v>3</v>
      </c>
    </row>
    <row r="397" spans="8:12" x14ac:dyDescent="0.25">
      <c r="H397" s="51">
        <v>2</v>
      </c>
      <c r="I397" s="622">
        <v>5</v>
      </c>
      <c r="K397" s="318">
        <v>2</v>
      </c>
      <c r="L397" s="202">
        <v>3</v>
      </c>
    </row>
    <row r="398" spans="8:12" x14ac:dyDescent="0.25">
      <c r="H398" s="51">
        <v>3</v>
      </c>
      <c r="I398" s="622">
        <v>3</v>
      </c>
      <c r="K398" s="318">
        <v>3</v>
      </c>
      <c r="L398" s="202">
        <v>4</v>
      </c>
    </row>
    <row r="399" spans="8:12" x14ac:dyDescent="0.25">
      <c r="H399" s="51">
        <v>2</v>
      </c>
      <c r="I399" s="622">
        <v>3</v>
      </c>
      <c r="K399" s="318">
        <v>4</v>
      </c>
      <c r="L399" s="202">
        <v>3</v>
      </c>
    </row>
    <row r="400" spans="8:12" x14ac:dyDescent="0.25">
      <c r="H400" s="51">
        <v>3</v>
      </c>
      <c r="I400" s="622">
        <v>3</v>
      </c>
      <c r="K400" s="318">
        <v>2</v>
      </c>
      <c r="L400" s="202">
        <v>3</v>
      </c>
    </row>
    <row r="401" spans="8:12" x14ac:dyDescent="0.25">
      <c r="H401" s="51">
        <v>3</v>
      </c>
      <c r="I401" s="622">
        <v>3</v>
      </c>
      <c r="K401" s="318">
        <v>3</v>
      </c>
      <c r="L401" s="202">
        <v>3</v>
      </c>
    </row>
    <row r="402" spans="8:12" x14ac:dyDescent="0.25">
      <c r="H402" s="51">
        <v>2</v>
      </c>
      <c r="I402" s="622">
        <v>4</v>
      </c>
      <c r="K402" s="318">
        <v>2</v>
      </c>
      <c r="L402" s="202">
        <v>5</v>
      </c>
    </row>
    <row r="403" spans="8:12" x14ac:dyDescent="0.25">
      <c r="H403" s="51">
        <v>2</v>
      </c>
      <c r="I403" s="622">
        <v>3</v>
      </c>
      <c r="K403" s="318">
        <v>3</v>
      </c>
      <c r="L403" s="202">
        <v>2</v>
      </c>
    </row>
    <row r="404" spans="8:12" x14ac:dyDescent="0.25">
      <c r="H404" s="51">
        <v>4</v>
      </c>
      <c r="I404" s="622">
        <v>3</v>
      </c>
      <c r="K404" s="318">
        <v>3</v>
      </c>
      <c r="L404" s="202">
        <v>4</v>
      </c>
    </row>
    <row r="405" spans="8:12" x14ac:dyDescent="0.25">
      <c r="H405" s="51">
        <v>4</v>
      </c>
      <c r="I405" s="622">
        <v>3</v>
      </c>
      <c r="K405" s="318">
        <v>2</v>
      </c>
      <c r="L405" s="202">
        <v>3</v>
      </c>
    </row>
    <row r="406" spans="8:12" x14ac:dyDescent="0.25">
      <c r="H406" s="51">
        <v>2</v>
      </c>
      <c r="I406" s="622">
        <v>5</v>
      </c>
      <c r="K406" s="318">
        <v>3</v>
      </c>
      <c r="L406" s="202">
        <v>3</v>
      </c>
    </row>
    <row r="407" spans="8:12" x14ac:dyDescent="0.25">
      <c r="H407" s="51">
        <v>2</v>
      </c>
      <c r="I407" s="622">
        <v>3</v>
      </c>
      <c r="K407" s="318">
        <v>3</v>
      </c>
      <c r="L407" s="202">
        <v>3</v>
      </c>
    </row>
    <row r="408" spans="8:12" x14ac:dyDescent="0.25">
      <c r="H408" s="51">
        <v>2</v>
      </c>
      <c r="I408" s="622">
        <v>3</v>
      </c>
      <c r="K408" s="318">
        <v>2</v>
      </c>
      <c r="L408" s="202">
        <v>3</v>
      </c>
    </row>
    <row r="409" spans="8:12" x14ac:dyDescent="0.25">
      <c r="H409" s="51">
        <v>3</v>
      </c>
      <c r="I409" s="622">
        <v>5</v>
      </c>
      <c r="K409" s="318">
        <v>4</v>
      </c>
      <c r="L409" s="202">
        <v>3</v>
      </c>
    </row>
    <row r="410" spans="8:12" x14ac:dyDescent="0.25">
      <c r="H410" s="51">
        <v>2</v>
      </c>
      <c r="I410" s="622">
        <v>3</v>
      </c>
      <c r="K410" s="318">
        <v>3</v>
      </c>
      <c r="L410" s="202">
        <v>5</v>
      </c>
    </row>
    <row r="411" spans="8:12" x14ac:dyDescent="0.25">
      <c r="H411" s="51">
        <v>2</v>
      </c>
      <c r="I411" s="622">
        <v>3</v>
      </c>
      <c r="K411" s="318">
        <v>3</v>
      </c>
      <c r="L411" s="202">
        <v>3</v>
      </c>
    </row>
    <row r="412" spans="8:12" x14ac:dyDescent="0.25">
      <c r="H412" s="51">
        <v>2</v>
      </c>
      <c r="I412" s="622">
        <v>3</v>
      </c>
      <c r="K412" s="318">
        <v>2</v>
      </c>
      <c r="L412" s="202">
        <v>3</v>
      </c>
    </row>
    <row r="413" spans="8:12" x14ac:dyDescent="0.25">
      <c r="H413" s="51">
        <v>2</v>
      </c>
      <c r="I413" s="622">
        <v>5</v>
      </c>
      <c r="K413" s="318">
        <v>3</v>
      </c>
      <c r="L413" s="202">
        <v>3</v>
      </c>
    </row>
    <row r="414" spans="8:12" x14ac:dyDescent="0.25">
      <c r="H414" s="51">
        <v>2</v>
      </c>
      <c r="I414" s="622">
        <v>3</v>
      </c>
      <c r="K414" s="318">
        <v>3</v>
      </c>
      <c r="L414" s="202">
        <v>4</v>
      </c>
    </row>
    <row r="415" spans="8:12" x14ac:dyDescent="0.25">
      <c r="H415" s="51">
        <v>3</v>
      </c>
      <c r="I415" s="622">
        <v>3</v>
      </c>
      <c r="K415" s="318">
        <v>2</v>
      </c>
      <c r="L415" s="202">
        <v>4</v>
      </c>
    </row>
    <row r="416" spans="8:12" x14ac:dyDescent="0.25">
      <c r="H416" s="51">
        <v>3</v>
      </c>
      <c r="I416" s="622">
        <v>3</v>
      </c>
      <c r="K416" s="318">
        <v>2</v>
      </c>
      <c r="L416" s="202">
        <v>3</v>
      </c>
    </row>
    <row r="417" spans="8:12" x14ac:dyDescent="0.25">
      <c r="H417" s="51">
        <v>3</v>
      </c>
      <c r="I417" s="622">
        <v>3</v>
      </c>
      <c r="K417" s="318">
        <v>2</v>
      </c>
      <c r="L417" s="202">
        <v>3</v>
      </c>
    </row>
    <row r="418" spans="8:12" x14ac:dyDescent="0.25">
      <c r="H418" s="51">
        <v>2</v>
      </c>
      <c r="I418" s="622">
        <v>3</v>
      </c>
      <c r="K418" s="318">
        <v>3</v>
      </c>
      <c r="L418" s="202">
        <v>5</v>
      </c>
    </row>
    <row r="419" spans="8:12" x14ac:dyDescent="0.25">
      <c r="H419" s="51">
        <v>3</v>
      </c>
      <c r="I419" s="622">
        <v>3</v>
      </c>
      <c r="K419" s="318">
        <v>2</v>
      </c>
      <c r="L419" s="202">
        <v>3</v>
      </c>
    </row>
    <row r="420" spans="8:12" x14ac:dyDescent="0.25">
      <c r="H420" s="51">
        <v>2</v>
      </c>
      <c r="I420" s="622">
        <v>3</v>
      </c>
      <c r="K420" s="318">
        <v>2</v>
      </c>
      <c r="L420" s="202">
        <v>4</v>
      </c>
    </row>
    <row r="421" spans="8:12" x14ac:dyDescent="0.25">
      <c r="H421" s="51">
        <v>3</v>
      </c>
      <c r="I421" s="622">
        <v>5</v>
      </c>
      <c r="K421" s="318">
        <v>2</v>
      </c>
      <c r="L421" s="202">
        <v>3</v>
      </c>
    </row>
    <row r="422" spans="8:12" x14ac:dyDescent="0.25">
      <c r="H422" s="51">
        <v>4</v>
      </c>
      <c r="I422" s="622">
        <v>4</v>
      </c>
      <c r="K422" s="318">
        <v>2</v>
      </c>
      <c r="L422" s="202">
        <v>3</v>
      </c>
    </row>
    <row r="423" spans="8:12" x14ac:dyDescent="0.25">
      <c r="H423" s="51">
        <v>3</v>
      </c>
      <c r="I423" s="622">
        <v>4</v>
      </c>
      <c r="K423" s="318">
        <v>3</v>
      </c>
      <c r="L423" s="202">
        <v>3</v>
      </c>
    </row>
    <row r="424" spans="8:12" x14ac:dyDescent="0.25">
      <c r="H424" s="51">
        <v>3</v>
      </c>
      <c r="I424" s="622">
        <v>3</v>
      </c>
      <c r="K424" s="318">
        <v>2</v>
      </c>
      <c r="L424" s="202">
        <v>3</v>
      </c>
    </row>
    <row r="425" spans="8:12" x14ac:dyDescent="0.25">
      <c r="H425" s="51">
        <v>3</v>
      </c>
      <c r="I425" s="622">
        <v>3</v>
      </c>
      <c r="K425" s="318">
        <v>2</v>
      </c>
      <c r="L425" s="202">
        <v>4</v>
      </c>
    </row>
    <row r="426" spans="8:12" x14ac:dyDescent="0.25">
      <c r="H426" s="51">
        <v>2</v>
      </c>
      <c r="I426" s="622">
        <v>4</v>
      </c>
      <c r="K426" s="318">
        <v>3</v>
      </c>
      <c r="L426" s="202">
        <v>3</v>
      </c>
    </row>
    <row r="427" spans="8:12" x14ac:dyDescent="0.25">
      <c r="H427" s="51">
        <v>2</v>
      </c>
      <c r="I427" s="622">
        <v>3</v>
      </c>
      <c r="K427" s="318">
        <v>3</v>
      </c>
      <c r="L427" s="202">
        <v>4</v>
      </c>
    </row>
    <row r="428" spans="8:12" x14ac:dyDescent="0.25">
      <c r="H428" s="51">
        <v>3</v>
      </c>
      <c r="I428" s="622">
        <v>3</v>
      </c>
      <c r="K428" s="318">
        <v>2</v>
      </c>
      <c r="L428" s="202">
        <v>3</v>
      </c>
    </row>
    <row r="429" spans="8:12" x14ac:dyDescent="0.25">
      <c r="H429" s="51">
        <v>2</v>
      </c>
      <c r="I429" s="622">
        <v>3</v>
      </c>
      <c r="K429" s="318">
        <v>3</v>
      </c>
      <c r="L429" s="202">
        <v>4</v>
      </c>
    </row>
    <row r="430" spans="8:12" x14ac:dyDescent="0.25">
      <c r="H430" s="51">
        <v>2</v>
      </c>
      <c r="I430" s="622">
        <v>3</v>
      </c>
      <c r="K430" s="318">
        <v>3</v>
      </c>
      <c r="L430" s="202">
        <v>3</v>
      </c>
    </row>
    <row r="431" spans="8:12" x14ac:dyDescent="0.25">
      <c r="H431" s="51">
        <v>3</v>
      </c>
      <c r="I431" s="622">
        <v>4</v>
      </c>
      <c r="K431" s="318">
        <v>4</v>
      </c>
      <c r="L431" s="202">
        <v>3</v>
      </c>
    </row>
    <row r="432" spans="8:12" x14ac:dyDescent="0.25">
      <c r="H432" s="51">
        <v>2</v>
      </c>
      <c r="I432" s="622">
        <v>3</v>
      </c>
      <c r="K432" s="318">
        <v>3</v>
      </c>
      <c r="L432" s="202">
        <v>5</v>
      </c>
    </row>
    <row r="433" spans="8:12" x14ac:dyDescent="0.25">
      <c r="H433" s="51">
        <v>4</v>
      </c>
      <c r="I433" s="622">
        <v>3</v>
      </c>
      <c r="K433" s="318">
        <v>2</v>
      </c>
      <c r="L433" s="202">
        <v>5</v>
      </c>
    </row>
    <row r="434" spans="8:12" x14ac:dyDescent="0.25">
      <c r="H434" s="51">
        <v>2</v>
      </c>
      <c r="I434" s="622">
        <v>4</v>
      </c>
      <c r="K434" s="318">
        <v>2</v>
      </c>
      <c r="L434" s="202">
        <v>4</v>
      </c>
    </row>
    <row r="435" spans="8:12" x14ac:dyDescent="0.25">
      <c r="H435" s="51">
        <v>3</v>
      </c>
      <c r="I435" s="622">
        <v>3</v>
      </c>
      <c r="K435" s="318">
        <v>4</v>
      </c>
      <c r="L435" s="202">
        <v>3</v>
      </c>
    </row>
    <row r="436" spans="8:12" x14ac:dyDescent="0.25">
      <c r="H436" s="51">
        <v>4</v>
      </c>
      <c r="I436" s="622">
        <v>5</v>
      </c>
      <c r="K436" s="318">
        <v>2</v>
      </c>
      <c r="L436" s="202">
        <v>4</v>
      </c>
    </row>
    <row r="437" spans="8:12" x14ac:dyDescent="0.25">
      <c r="H437" s="51">
        <v>2</v>
      </c>
      <c r="I437" s="622">
        <v>4</v>
      </c>
      <c r="K437" s="318">
        <v>3</v>
      </c>
      <c r="L437" s="202">
        <v>3</v>
      </c>
    </row>
    <row r="438" spans="8:12" x14ac:dyDescent="0.25">
      <c r="H438" s="51">
        <v>3</v>
      </c>
      <c r="I438" s="622">
        <v>3</v>
      </c>
      <c r="K438" s="318">
        <v>3</v>
      </c>
      <c r="L438" s="202">
        <v>3</v>
      </c>
    </row>
    <row r="439" spans="8:12" x14ac:dyDescent="0.25">
      <c r="H439" s="51">
        <v>3</v>
      </c>
      <c r="I439" s="622">
        <v>4</v>
      </c>
      <c r="K439" s="318">
        <v>3</v>
      </c>
      <c r="L439" s="202">
        <v>3</v>
      </c>
    </row>
    <row r="440" spans="8:12" x14ac:dyDescent="0.25">
      <c r="H440" s="51">
        <v>2</v>
      </c>
      <c r="I440" s="622">
        <v>3</v>
      </c>
      <c r="K440" s="318">
        <v>2</v>
      </c>
      <c r="L440" s="202">
        <v>3</v>
      </c>
    </row>
    <row r="441" spans="8:12" x14ac:dyDescent="0.25">
      <c r="H441" s="51">
        <v>3</v>
      </c>
      <c r="I441" s="622">
        <v>4</v>
      </c>
      <c r="K441" s="318">
        <v>2</v>
      </c>
      <c r="L441" s="202">
        <v>4</v>
      </c>
    </row>
    <row r="442" spans="8:12" x14ac:dyDescent="0.25">
      <c r="H442" s="51">
        <v>2</v>
      </c>
      <c r="I442" s="622">
        <v>3</v>
      </c>
      <c r="K442" s="318">
        <v>3</v>
      </c>
      <c r="L442" s="202">
        <v>4</v>
      </c>
    </row>
    <row r="443" spans="8:12" x14ac:dyDescent="0.25">
      <c r="H443" s="51">
        <v>3</v>
      </c>
      <c r="I443" s="622">
        <v>3</v>
      </c>
      <c r="K443" s="318">
        <v>3</v>
      </c>
      <c r="L443" s="202">
        <v>3</v>
      </c>
    </row>
    <row r="444" spans="8:12" x14ac:dyDescent="0.25">
      <c r="H444" s="51">
        <v>4</v>
      </c>
      <c r="I444" s="622">
        <v>4</v>
      </c>
      <c r="K444" s="318">
        <v>4</v>
      </c>
      <c r="L444" s="202">
        <v>4</v>
      </c>
    </row>
    <row r="445" spans="8:12" x14ac:dyDescent="0.25">
      <c r="H445" s="51">
        <v>3</v>
      </c>
      <c r="I445" s="622">
        <v>3</v>
      </c>
      <c r="K445" s="318">
        <v>3</v>
      </c>
      <c r="L445" s="202">
        <v>5</v>
      </c>
    </row>
    <row r="446" spans="8:12" x14ac:dyDescent="0.25">
      <c r="H446" s="51">
        <v>2</v>
      </c>
      <c r="I446" s="622">
        <v>3</v>
      </c>
      <c r="K446" s="318">
        <v>2</v>
      </c>
      <c r="L446" s="202">
        <v>3</v>
      </c>
    </row>
    <row r="447" spans="8:12" x14ac:dyDescent="0.25">
      <c r="H447" s="51">
        <v>3</v>
      </c>
      <c r="I447" s="622">
        <v>4</v>
      </c>
      <c r="K447" s="318">
        <v>3</v>
      </c>
      <c r="L447" s="202">
        <v>3</v>
      </c>
    </row>
    <row r="448" spans="8:12" x14ac:dyDescent="0.25">
      <c r="H448" s="51">
        <v>2</v>
      </c>
      <c r="I448" s="622">
        <v>3</v>
      </c>
      <c r="K448" s="318">
        <v>2</v>
      </c>
      <c r="L448" s="202">
        <v>4</v>
      </c>
    </row>
    <row r="449" spans="8:12" x14ac:dyDescent="0.25">
      <c r="H449" s="51">
        <v>2</v>
      </c>
      <c r="I449" s="622">
        <v>4</v>
      </c>
      <c r="K449" s="318">
        <v>2</v>
      </c>
      <c r="L449" s="202">
        <v>4</v>
      </c>
    </row>
    <row r="450" spans="8:12" x14ac:dyDescent="0.25">
      <c r="H450" s="51">
        <v>2</v>
      </c>
      <c r="I450" s="622">
        <v>3</v>
      </c>
      <c r="K450" s="318">
        <v>2</v>
      </c>
      <c r="L450" s="202">
        <v>5</v>
      </c>
    </row>
    <row r="451" spans="8:12" x14ac:dyDescent="0.25">
      <c r="H451" s="51">
        <v>2</v>
      </c>
      <c r="I451" s="622">
        <v>4</v>
      </c>
      <c r="K451" s="318">
        <v>3</v>
      </c>
      <c r="L451" s="202">
        <v>4</v>
      </c>
    </row>
    <row r="452" spans="8:12" x14ac:dyDescent="0.25">
      <c r="H452" s="51">
        <v>2</v>
      </c>
      <c r="I452" s="622">
        <v>3</v>
      </c>
      <c r="K452" s="318">
        <v>3</v>
      </c>
      <c r="L452" s="202">
        <v>4</v>
      </c>
    </row>
    <row r="453" spans="8:12" x14ac:dyDescent="0.25">
      <c r="H453" s="51">
        <v>2</v>
      </c>
      <c r="I453" s="622">
        <v>3</v>
      </c>
      <c r="K453" s="318">
        <v>2</v>
      </c>
      <c r="L453" s="202">
        <v>4</v>
      </c>
    </row>
    <row r="454" spans="8:12" x14ac:dyDescent="0.25">
      <c r="H454" s="51">
        <v>3</v>
      </c>
      <c r="I454" s="622">
        <v>4</v>
      </c>
      <c r="K454" s="318">
        <v>3</v>
      </c>
      <c r="L454" s="202">
        <v>4</v>
      </c>
    </row>
    <row r="455" spans="8:12" x14ac:dyDescent="0.25">
      <c r="H455" s="51">
        <v>4</v>
      </c>
      <c r="I455" s="622">
        <v>3</v>
      </c>
      <c r="K455" s="318">
        <v>3</v>
      </c>
      <c r="L455" s="202">
        <v>3</v>
      </c>
    </row>
    <row r="456" spans="8:12" x14ac:dyDescent="0.25">
      <c r="H456" s="51">
        <v>3</v>
      </c>
      <c r="I456" s="622">
        <v>3</v>
      </c>
      <c r="K456" s="318">
        <v>3</v>
      </c>
      <c r="L456" s="202">
        <v>3</v>
      </c>
    </row>
    <row r="457" spans="8:12" x14ac:dyDescent="0.25">
      <c r="H457" s="51">
        <v>3</v>
      </c>
      <c r="I457" s="622">
        <v>3</v>
      </c>
      <c r="K457" s="318">
        <v>3</v>
      </c>
      <c r="L457" s="202">
        <v>3</v>
      </c>
    </row>
    <row r="458" spans="8:12" x14ac:dyDescent="0.25">
      <c r="H458" s="51">
        <v>2</v>
      </c>
      <c r="I458" s="622">
        <v>4</v>
      </c>
      <c r="K458" s="318">
        <v>3</v>
      </c>
      <c r="L458" s="202">
        <v>3</v>
      </c>
    </row>
    <row r="459" spans="8:12" x14ac:dyDescent="0.25">
      <c r="H459" s="51">
        <v>3</v>
      </c>
      <c r="I459" s="622">
        <v>3</v>
      </c>
      <c r="K459" s="318">
        <v>4</v>
      </c>
      <c r="L459" s="202">
        <v>3</v>
      </c>
    </row>
    <row r="460" spans="8:12" x14ac:dyDescent="0.25">
      <c r="H460" s="51">
        <v>3</v>
      </c>
      <c r="I460" s="622">
        <v>3</v>
      </c>
      <c r="K460" s="318">
        <v>2</v>
      </c>
      <c r="L460" s="202">
        <v>5</v>
      </c>
    </row>
    <row r="461" spans="8:12" x14ac:dyDescent="0.25">
      <c r="H461" s="51">
        <v>3</v>
      </c>
      <c r="I461" s="622">
        <v>3</v>
      </c>
      <c r="K461" s="318">
        <v>3</v>
      </c>
      <c r="L461" s="202">
        <v>3</v>
      </c>
    </row>
    <row r="462" spans="8:12" x14ac:dyDescent="0.25">
      <c r="H462" s="51">
        <v>3</v>
      </c>
      <c r="I462" s="622">
        <v>3</v>
      </c>
      <c r="K462" s="318">
        <v>3</v>
      </c>
      <c r="L462" s="202">
        <v>3</v>
      </c>
    </row>
    <row r="463" spans="8:12" x14ac:dyDescent="0.25">
      <c r="H463" s="51">
        <v>3</v>
      </c>
      <c r="I463" s="622">
        <v>3</v>
      </c>
      <c r="K463" s="318">
        <v>2</v>
      </c>
      <c r="L463" s="202">
        <v>4</v>
      </c>
    </row>
    <row r="464" spans="8:12" x14ac:dyDescent="0.25">
      <c r="H464" s="51">
        <v>3</v>
      </c>
      <c r="I464" s="622">
        <v>4</v>
      </c>
      <c r="K464" s="318">
        <v>2</v>
      </c>
      <c r="L464" s="202">
        <v>3</v>
      </c>
    </row>
    <row r="465" spans="8:12" x14ac:dyDescent="0.25">
      <c r="H465" s="51">
        <v>3</v>
      </c>
      <c r="I465" s="622">
        <v>3</v>
      </c>
      <c r="K465" s="318">
        <v>2</v>
      </c>
      <c r="L465" s="202">
        <v>5</v>
      </c>
    </row>
    <row r="466" spans="8:12" x14ac:dyDescent="0.25">
      <c r="H466" s="51">
        <v>2</v>
      </c>
      <c r="I466" s="622">
        <v>3</v>
      </c>
      <c r="K466" s="318">
        <v>2</v>
      </c>
      <c r="L466" s="202">
        <v>3</v>
      </c>
    </row>
    <row r="467" spans="8:12" x14ac:dyDescent="0.25">
      <c r="H467" s="51">
        <v>4</v>
      </c>
      <c r="I467" s="622">
        <v>3</v>
      </c>
      <c r="K467" s="318">
        <v>2</v>
      </c>
      <c r="L467" s="202">
        <v>3</v>
      </c>
    </row>
    <row r="468" spans="8:12" x14ac:dyDescent="0.25">
      <c r="H468" s="51">
        <v>2</v>
      </c>
      <c r="I468" s="622">
        <v>3</v>
      </c>
      <c r="K468" s="318">
        <v>2</v>
      </c>
      <c r="L468" s="202">
        <v>3</v>
      </c>
    </row>
    <row r="469" spans="8:12" x14ac:dyDescent="0.25">
      <c r="H469" s="51">
        <v>4</v>
      </c>
      <c r="I469" s="622">
        <v>4</v>
      </c>
      <c r="K469" s="318">
        <v>2</v>
      </c>
      <c r="L469" s="202">
        <v>5</v>
      </c>
    </row>
    <row r="470" spans="8:12" x14ac:dyDescent="0.25">
      <c r="H470" s="51">
        <v>3</v>
      </c>
      <c r="I470" s="622">
        <v>3</v>
      </c>
      <c r="K470" s="318">
        <v>3</v>
      </c>
      <c r="L470" s="202">
        <v>3</v>
      </c>
    </row>
    <row r="471" spans="8:12" x14ac:dyDescent="0.25">
      <c r="H471" s="51">
        <v>3</v>
      </c>
      <c r="I471" s="622">
        <v>4</v>
      </c>
      <c r="K471" s="318">
        <v>2</v>
      </c>
      <c r="L471" s="202">
        <v>4</v>
      </c>
    </row>
    <row r="472" spans="8:12" x14ac:dyDescent="0.25">
      <c r="H472" s="51">
        <v>3</v>
      </c>
      <c r="I472" s="622">
        <v>4</v>
      </c>
      <c r="K472" s="318">
        <v>2</v>
      </c>
      <c r="L472" s="202">
        <v>4</v>
      </c>
    </row>
    <row r="473" spans="8:12" x14ac:dyDescent="0.25">
      <c r="H473" s="51">
        <v>3</v>
      </c>
      <c r="I473" s="622">
        <v>4</v>
      </c>
      <c r="K473" s="318">
        <v>2</v>
      </c>
      <c r="L473" s="202">
        <v>3</v>
      </c>
    </row>
    <row r="474" spans="8:12" x14ac:dyDescent="0.25">
      <c r="H474" s="51">
        <v>3</v>
      </c>
      <c r="I474" s="622">
        <v>3</v>
      </c>
      <c r="K474" s="318">
        <v>3</v>
      </c>
      <c r="L474" s="202">
        <v>5</v>
      </c>
    </row>
    <row r="475" spans="8:12" x14ac:dyDescent="0.25">
      <c r="H475" s="51">
        <v>2</v>
      </c>
      <c r="I475" s="622">
        <v>4</v>
      </c>
      <c r="K475" s="318">
        <v>3</v>
      </c>
      <c r="L475" s="202">
        <v>3</v>
      </c>
    </row>
    <row r="476" spans="8:12" x14ac:dyDescent="0.25">
      <c r="H476" s="51">
        <v>2</v>
      </c>
      <c r="I476" s="622">
        <v>3</v>
      </c>
      <c r="K476" s="318">
        <v>2</v>
      </c>
      <c r="L476" s="202">
        <v>3</v>
      </c>
    </row>
    <row r="477" spans="8:12" x14ac:dyDescent="0.25">
      <c r="H477" s="51">
        <v>2</v>
      </c>
      <c r="I477" s="622">
        <v>3</v>
      </c>
      <c r="K477" s="318">
        <v>2</v>
      </c>
      <c r="L477" s="202">
        <v>5</v>
      </c>
    </row>
    <row r="478" spans="8:12" x14ac:dyDescent="0.25">
      <c r="H478" s="51">
        <v>2</v>
      </c>
      <c r="I478" s="622">
        <v>3</v>
      </c>
      <c r="K478" s="318">
        <v>2</v>
      </c>
      <c r="L478" s="202">
        <v>3</v>
      </c>
    </row>
    <row r="479" spans="8:12" x14ac:dyDescent="0.25">
      <c r="H479" s="51">
        <v>2</v>
      </c>
      <c r="I479" s="622">
        <v>4</v>
      </c>
      <c r="K479" s="318">
        <v>2</v>
      </c>
      <c r="L479" s="202">
        <v>4</v>
      </c>
    </row>
    <row r="480" spans="8:12" x14ac:dyDescent="0.25">
      <c r="H480" s="51">
        <v>2</v>
      </c>
      <c r="I480" s="622">
        <v>3</v>
      </c>
      <c r="K480" s="318">
        <v>2</v>
      </c>
      <c r="L480" s="202">
        <v>3</v>
      </c>
    </row>
    <row r="481" spans="8:12" x14ac:dyDescent="0.25">
      <c r="H481" s="51">
        <v>2</v>
      </c>
      <c r="I481" s="622">
        <v>3</v>
      </c>
      <c r="K481" s="318">
        <v>2</v>
      </c>
      <c r="L481" s="202">
        <v>3</v>
      </c>
    </row>
    <row r="482" spans="8:12" x14ac:dyDescent="0.25">
      <c r="H482" s="51">
        <v>2</v>
      </c>
      <c r="I482" s="622">
        <v>4</v>
      </c>
      <c r="K482" s="318">
        <v>3</v>
      </c>
      <c r="L482" s="202">
        <v>3</v>
      </c>
    </row>
    <row r="483" spans="8:12" x14ac:dyDescent="0.25">
      <c r="H483" s="51">
        <v>2</v>
      </c>
      <c r="I483" s="622">
        <v>4</v>
      </c>
      <c r="K483" s="318">
        <v>2</v>
      </c>
      <c r="L483" s="202">
        <v>4</v>
      </c>
    </row>
    <row r="484" spans="8:12" x14ac:dyDescent="0.25">
      <c r="H484" s="51">
        <v>3</v>
      </c>
      <c r="I484" s="622">
        <v>4</v>
      </c>
      <c r="K484" s="318">
        <v>3</v>
      </c>
      <c r="L484" s="202">
        <v>3</v>
      </c>
    </row>
    <row r="485" spans="8:12" x14ac:dyDescent="0.25">
      <c r="H485" s="51">
        <v>3</v>
      </c>
      <c r="I485" s="622">
        <v>3</v>
      </c>
      <c r="K485" s="318">
        <v>2</v>
      </c>
      <c r="L485" s="202">
        <v>4</v>
      </c>
    </row>
    <row r="486" spans="8:12" x14ac:dyDescent="0.25">
      <c r="H486" s="51">
        <v>2</v>
      </c>
      <c r="I486" s="622">
        <v>3</v>
      </c>
      <c r="K486" s="318">
        <v>2</v>
      </c>
      <c r="L486" s="202">
        <v>4</v>
      </c>
    </row>
    <row r="487" spans="8:12" x14ac:dyDescent="0.25">
      <c r="H487" s="51">
        <v>4</v>
      </c>
      <c r="I487" s="622">
        <v>3</v>
      </c>
      <c r="K487" s="318">
        <v>4</v>
      </c>
      <c r="L487" s="202">
        <v>5</v>
      </c>
    </row>
    <row r="488" spans="8:12" x14ac:dyDescent="0.25">
      <c r="H488" s="51">
        <v>4</v>
      </c>
      <c r="I488" s="622">
        <v>3</v>
      </c>
      <c r="K488" s="318">
        <v>3</v>
      </c>
      <c r="L488" s="202">
        <v>3</v>
      </c>
    </row>
    <row r="489" spans="8:12" x14ac:dyDescent="0.25">
      <c r="H489" s="51">
        <v>2</v>
      </c>
      <c r="I489" s="622">
        <v>4</v>
      </c>
      <c r="K489" s="318">
        <v>2</v>
      </c>
      <c r="L489" s="202">
        <v>3</v>
      </c>
    </row>
    <row r="490" spans="8:12" x14ac:dyDescent="0.25">
      <c r="H490" s="51">
        <v>2</v>
      </c>
      <c r="I490" s="622">
        <v>3</v>
      </c>
      <c r="K490" s="318">
        <v>2</v>
      </c>
      <c r="L490" s="202">
        <v>3</v>
      </c>
    </row>
    <row r="491" spans="8:12" x14ac:dyDescent="0.25">
      <c r="H491" s="51">
        <v>2</v>
      </c>
      <c r="I491" s="622">
        <v>3</v>
      </c>
      <c r="K491" s="318">
        <v>2</v>
      </c>
      <c r="L491" s="202">
        <v>3</v>
      </c>
    </row>
    <row r="492" spans="8:12" x14ac:dyDescent="0.25">
      <c r="H492" s="51">
        <v>3</v>
      </c>
      <c r="I492" s="622">
        <v>4</v>
      </c>
      <c r="K492" s="318">
        <v>2</v>
      </c>
      <c r="L492" s="202">
        <v>3</v>
      </c>
    </row>
    <row r="493" spans="8:12" x14ac:dyDescent="0.25">
      <c r="H493" s="51">
        <v>2</v>
      </c>
      <c r="I493" s="622">
        <v>4</v>
      </c>
      <c r="K493" s="318">
        <v>2</v>
      </c>
      <c r="L493" s="202">
        <v>3</v>
      </c>
    </row>
    <row r="494" spans="8:12" x14ac:dyDescent="0.25">
      <c r="H494" s="51">
        <v>3</v>
      </c>
      <c r="I494" s="622">
        <v>3</v>
      </c>
      <c r="K494" s="318">
        <v>3</v>
      </c>
      <c r="L494" s="202">
        <v>3</v>
      </c>
    </row>
    <row r="495" spans="8:12" x14ac:dyDescent="0.25">
      <c r="H495" s="51">
        <v>2</v>
      </c>
      <c r="I495" s="622">
        <v>3</v>
      </c>
      <c r="K495" s="318">
        <v>3</v>
      </c>
      <c r="L495" s="202">
        <v>3</v>
      </c>
    </row>
    <row r="496" spans="8:12" x14ac:dyDescent="0.25">
      <c r="H496" s="51">
        <v>3</v>
      </c>
      <c r="I496" s="622">
        <v>3</v>
      </c>
      <c r="K496" s="318">
        <v>3</v>
      </c>
      <c r="L496" s="202">
        <v>5</v>
      </c>
    </row>
    <row r="497" spans="8:12" x14ac:dyDescent="0.25">
      <c r="H497" s="51">
        <v>2</v>
      </c>
      <c r="I497" s="622">
        <v>4</v>
      </c>
      <c r="K497" s="318">
        <v>3</v>
      </c>
      <c r="L497" s="202">
        <v>4</v>
      </c>
    </row>
    <row r="498" spans="8:12" x14ac:dyDescent="0.25">
      <c r="H498" s="51">
        <v>2</v>
      </c>
      <c r="I498" s="622">
        <v>3</v>
      </c>
      <c r="K498" s="318">
        <v>3</v>
      </c>
      <c r="L498" s="202">
        <v>4</v>
      </c>
    </row>
    <row r="499" spans="8:12" x14ac:dyDescent="0.25">
      <c r="H499" s="51">
        <v>2</v>
      </c>
      <c r="I499" s="622">
        <v>4</v>
      </c>
      <c r="K499" s="318">
        <v>2</v>
      </c>
      <c r="L499" s="202">
        <v>3</v>
      </c>
    </row>
    <row r="500" spans="8:12" x14ac:dyDescent="0.25">
      <c r="H500" s="51">
        <v>3</v>
      </c>
      <c r="I500" s="622">
        <v>3</v>
      </c>
      <c r="K500" s="318">
        <v>3</v>
      </c>
      <c r="L500" s="202">
        <v>3</v>
      </c>
    </row>
    <row r="501" spans="8:12" x14ac:dyDescent="0.25">
      <c r="H501" s="51">
        <v>3</v>
      </c>
      <c r="I501" s="622">
        <v>5</v>
      </c>
      <c r="K501" s="318">
        <v>2</v>
      </c>
      <c r="L501" s="202">
        <v>3</v>
      </c>
    </row>
    <row r="502" spans="8:12" x14ac:dyDescent="0.25">
      <c r="H502" s="51">
        <v>4</v>
      </c>
      <c r="I502" s="622">
        <v>3</v>
      </c>
      <c r="K502" s="318">
        <v>3</v>
      </c>
      <c r="L502" s="202">
        <v>3</v>
      </c>
    </row>
    <row r="503" spans="8:12" x14ac:dyDescent="0.25">
      <c r="H503" s="51">
        <v>2</v>
      </c>
      <c r="I503" s="622">
        <v>3</v>
      </c>
      <c r="K503" s="318">
        <v>2</v>
      </c>
      <c r="L503" s="202">
        <v>3</v>
      </c>
    </row>
    <row r="504" spans="8:12" x14ac:dyDescent="0.25">
      <c r="H504" s="51">
        <v>2</v>
      </c>
      <c r="I504" s="622">
        <v>4</v>
      </c>
      <c r="K504" s="318">
        <v>3</v>
      </c>
      <c r="L504" s="202">
        <v>3</v>
      </c>
    </row>
    <row r="505" spans="8:12" x14ac:dyDescent="0.25">
      <c r="H505" s="51">
        <v>2</v>
      </c>
      <c r="I505" s="622">
        <v>3</v>
      </c>
      <c r="K505" s="318">
        <v>4</v>
      </c>
      <c r="L505" s="202">
        <v>3</v>
      </c>
    </row>
    <row r="506" spans="8:12" x14ac:dyDescent="0.25">
      <c r="H506" s="51">
        <v>2</v>
      </c>
      <c r="I506" s="622">
        <v>3</v>
      </c>
      <c r="K506" s="318">
        <v>3</v>
      </c>
      <c r="L506" s="202">
        <v>4</v>
      </c>
    </row>
    <row r="507" spans="8:12" x14ac:dyDescent="0.25">
      <c r="H507" s="51">
        <v>4</v>
      </c>
      <c r="I507" s="622">
        <v>3</v>
      </c>
      <c r="K507" s="318">
        <v>3</v>
      </c>
      <c r="L507" s="202">
        <v>4</v>
      </c>
    </row>
    <row r="508" spans="8:12" x14ac:dyDescent="0.25">
      <c r="H508" s="51">
        <v>2</v>
      </c>
      <c r="I508" s="622">
        <v>3</v>
      </c>
      <c r="K508" s="318">
        <v>2</v>
      </c>
      <c r="L508" s="202">
        <v>4</v>
      </c>
    </row>
    <row r="509" spans="8:12" x14ac:dyDescent="0.25">
      <c r="H509" s="51">
        <v>2</v>
      </c>
      <c r="I509" s="622">
        <v>3</v>
      </c>
      <c r="K509" s="318">
        <v>2</v>
      </c>
      <c r="L509" s="202">
        <v>3</v>
      </c>
    </row>
    <row r="510" spans="8:12" x14ac:dyDescent="0.25">
      <c r="H510" s="51">
        <v>3</v>
      </c>
      <c r="I510" s="622">
        <v>3</v>
      </c>
      <c r="K510" s="318">
        <v>2</v>
      </c>
      <c r="L510" s="202">
        <v>3</v>
      </c>
    </row>
    <row r="511" spans="8:12" x14ac:dyDescent="0.25">
      <c r="H511" s="51">
        <v>3</v>
      </c>
      <c r="I511" s="622">
        <v>3</v>
      </c>
      <c r="K511" s="318">
        <v>3</v>
      </c>
      <c r="L511" s="202">
        <v>4</v>
      </c>
    </row>
    <row r="512" spans="8:12" x14ac:dyDescent="0.25">
      <c r="H512" s="51">
        <v>3</v>
      </c>
      <c r="I512" s="622">
        <v>4</v>
      </c>
      <c r="K512" s="318">
        <v>3</v>
      </c>
      <c r="L512" s="202">
        <v>4</v>
      </c>
    </row>
    <row r="513" spans="8:12" x14ac:dyDescent="0.25">
      <c r="H513" s="51">
        <v>3</v>
      </c>
      <c r="I513" s="622">
        <v>3</v>
      </c>
      <c r="K513" s="318">
        <v>2</v>
      </c>
      <c r="L513" s="202">
        <v>3</v>
      </c>
    </row>
    <row r="514" spans="8:12" x14ac:dyDescent="0.25">
      <c r="H514" s="51">
        <v>2</v>
      </c>
      <c r="I514" s="622">
        <v>4</v>
      </c>
      <c r="K514" s="318">
        <v>4</v>
      </c>
      <c r="L514" s="202">
        <v>5</v>
      </c>
    </row>
    <row r="515" spans="8:12" x14ac:dyDescent="0.25">
      <c r="H515" s="51">
        <v>2</v>
      </c>
      <c r="I515" s="622">
        <v>4</v>
      </c>
      <c r="K515" s="318">
        <v>3</v>
      </c>
      <c r="L515" s="202">
        <v>5</v>
      </c>
    </row>
    <row r="516" spans="8:12" x14ac:dyDescent="0.25">
      <c r="H516" s="51">
        <v>3</v>
      </c>
      <c r="I516" s="622">
        <v>3</v>
      </c>
      <c r="K516" s="318">
        <v>3</v>
      </c>
      <c r="L516" s="202">
        <v>3</v>
      </c>
    </row>
    <row r="517" spans="8:12" x14ac:dyDescent="0.25">
      <c r="H517" s="51">
        <v>3</v>
      </c>
      <c r="I517" s="622">
        <v>4</v>
      </c>
      <c r="K517" s="318">
        <v>4</v>
      </c>
      <c r="L517" s="202">
        <v>3</v>
      </c>
    </row>
    <row r="518" spans="8:12" x14ac:dyDescent="0.25">
      <c r="H518" s="51">
        <v>2</v>
      </c>
      <c r="I518" s="622">
        <v>5</v>
      </c>
      <c r="K518" s="318">
        <v>3</v>
      </c>
      <c r="L518" s="202">
        <v>3</v>
      </c>
    </row>
    <row r="519" spans="8:12" x14ac:dyDescent="0.25">
      <c r="H519" s="51">
        <v>2</v>
      </c>
      <c r="I519" s="622">
        <v>4</v>
      </c>
      <c r="K519" s="318">
        <v>4</v>
      </c>
      <c r="L519" s="202">
        <v>3</v>
      </c>
    </row>
    <row r="520" spans="8:12" x14ac:dyDescent="0.25">
      <c r="H520" s="51">
        <v>3</v>
      </c>
      <c r="I520" s="622">
        <v>5</v>
      </c>
      <c r="K520" s="318">
        <v>2</v>
      </c>
      <c r="L520" s="202">
        <v>3</v>
      </c>
    </row>
    <row r="521" spans="8:12" x14ac:dyDescent="0.25">
      <c r="H521" s="51">
        <v>3</v>
      </c>
      <c r="I521" s="622">
        <v>3</v>
      </c>
      <c r="K521" s="318">
        <v>2</v>
      </c>
      <c r="L521" s="202">
        <v>3</v>
      </c>
    </row>
    <row r="522" spans="8:12" x14ac:dyDescent="0.25">
      <c r="H522" s="51">
        <v>3</v>
      </c>
      <c r="I522" s="622">
        <v>4</v>
      </c>
      <c r="K522" s="318">
        <v>2</v>
      </c>
      <c r="L522" s="202">
        <v>3</v>
      </c>
    </row>
    <row r="523" spans="8:12" x14ac:dyDescent="0.25">
      <c r="H523" s="51">
        <v>3</v>
      </c>
      <c r="I523" s="622">
        <v>3</v>
      </c>
      <c r="K523" s="318">
        <v>3</v>
      </c>
      <c r="L523" s="202">
        <v>4</v>
      </c>
    </row>
    <row r="524" spans="8:12" x14ac:dyDescent="0.25">
      <c r="H524" s="51">
        <v>4</v>
      </c>
      <c r="I524" s="622">
        <v>3</v>
      </c>
      <c r="K524" s="318">
        <v>3</v>
      </c>
      <c r="L524" s="202">
        <v>3</v>
      </c>
    </row>
    <row r="525" spans="8:12" x14ac:dyDescent="0.25">
      <c r="H525" s="51">
        <v>2</v>
      </c>
      <c r="I525" s="622">
        <v>3</v>
      </c>
      <c r="K525" s="318">
        <v>2</v>
      </c>
      <c r="L525" s="202">
        <v>4</v>
      </c>
    </row>
    <row r="526" spans="8:12" x14ac:dyDescent="0.25">
      <c r="H526" s="51">
        <v>2</v>
      </c>
      <c r="I526" s="622">
        <v>4</v>
      </c>
      <c r="K526" s="318">
        <v>4</v>
      </c>
      <c r="L526" s="202">
        <v>3</v>
      </c>
    </row>
    <row r="527" spans="8:12" x14ac:dyDescent="0.25">
      <c r="H527" s="51">
        <v>2</v>
      </c>
      <c r="I527" s="622">
        <v>4</v>
      </c>
      <c r="K527" s="318">
        <v>3</v>
      </c>
      <c r="L527" s="202">
        <v>4</v>
      </c>
    </row>
    <row r="528" spans="8:12" x14ac:dyDescent="0.25">
      <c r="H528" s="51">
        <v>3</v>
      </c>
      <c r="I528" s="622">
        <v>3</v>
      </c>
      <c r="K528" s="318">
        <v>2</v>
      </c>
      <c r="L528" s="202">
        <v>3</v>
      </c>
    </row>
    <row r="529" spans="8:12" x14ac:dyDescent="0.25">
      <c r="H529" s="51">
        <v>2</v>
      </c>
      <c r="I529" s="622">
        <v>3</v>
      </c>
      <c r="K529" s="318">
        <v>3</v>
      </c>
      <c r="L529" s="202">
        <v>3</v>
      </c>
    </row>
    <row r="530" spans="8:12" x14ac:dyDescent="0.25">
      <c r="H530" s="51">
        <v>2</v>
      </c>
      <c r="I530" s="622">
        <v>3</v>
      </c>
      <c r="K530" s="318">
        <v>3</v>
      </c>
      <c r="L530" s="202">
        <v>4</v>
      </c>
    </row>
    <row r="531" spans="8:12" x14ac:dyDescent="0.25">
      <c r="H531" s="51">
        <v>2</v>
      </c>
      <c r="I531" s="622">
        <v>3</v>
      </c>
      <c r="K531" s="318">
        <v>3</v>
      </c>
      <c r="L531" s="202">
        <v>3</v>
      </c>
    </row>
    <row r="532" spans="8:12" x14ac:dyDescent="0.25">
      <c r="H532" s="51">
        <v>2</v>
      </c>
      <c r="I532" s="622">
        <v>3</v>
      </c>
      <c r="K532" s="318">
        <v>2</v>
      </c>
      <c r="L532" s="202">
        <v>4</v>
      </c>
    </row>
    <row r="533" spans="8:12" x14ac:dyDescent="0.25">
      <c r="H533" s="51">
        <v>2</v>
      </c>
      <c r="I533" s="622">
        <v>3</v>
      </c>
      <c r="K533" s="318">
        <v>2</v>
      </c>
      <c r="L533" s="202">
        <v>3</v>
      </c>
    </row>
    <row r="534" spans="8:12" x14ac:dyDescent="0.25">
      <c r="H534" s="51">
        <v>3</v>
      </c>
      <c r="I534" s="622">
        <v>4</v>
      </c>
      <c r="K534" s="318">
        <v>2</v>
      </c>
      <c r="L534" s="202">
        <v>4</v>
      </c>
    </row>
    <row r="535" spans="8:12" x14ac:dyDescent="0.25">
      <c r="H535" s="51">
        <v>3</v>
      </c>
      <c r="I535" s="622">
        <v>3</v>
      </c>
      <c r="K535" s="318">
        <v>2</v>
      </c>
      <c r="L535" s="202">
        <v>5</v>
      </c>
    </row>
    <row r="536" spans="8:12" x14ac:dyDescent="0.25">
      <c r="H536" s="51">
        <v>2</v>
      </c>
      <c r="I536" s="622">
        <v>3</v>
      </c>
      <c r="K536" s="318">
        <v>2</v>
      </c>
      <c r="L536" s="202">
        <v>3</v>
      </c>
    </row>
    <row r="537" spans="8:12" x14ac:dyDescent="0.25">
      <c r="H537" s="51">
        <v>4</v>
      </c>
      <c r="I537" s="622">
        <v>3</v>
      </c>
      <c r="K537" s="318">
        <v>2</v>
      </c>
      <c r="L537" s="202">
        <v>4</v>
      </c>
    </row>
    <row r="538" spans="8:12" x14ac:dyDescent="0.25">
      <c r="H538" s="51">
        <v>2</v>
      </c>
      <c r="I538" s="622">
        <v>3</v>
      </c>
      <c r="K538" s="318">
        <v>2</v>
      </c>
      <c r="L538" s="202">
        <v>3</v>
      </c>
    </row>
    <row r="539" spans="8:12" x14ac:dyDescent="0.25">
      <c r="H539" s="51">
        <v>2</v>
      </c>
      <c r="I539" s="622">
        <v>5</v>
      </c>
      <c r="K539" s="318">
        <v>2</v>
      </c>
      <c r="L539" s="202">
        <v>3</v>
      </c>
    </row>
    <row r="540" spans="8:12" x14ac:dyDescent="0.25">
      <c r="H540" s="51">
        <v>2</v>
      </c>
      <c r="I540" s="622">
        <v>4</v>
      </c>
      <c r="K540" s="318">
        <v>2</v>
      </c>
      <c r="L540" s="202">
        <v>3</v>
      </c>
    </row>
    <row r="541" spans="8:12" x14ac:dyDescent="0.25">
      <c r="H541" s="51">
        <v>3</v>
      </c>
      <c r="I541" s="622">
        <v>4</v>
      </c>
      <c r="K541" s="318">
        <v>2</v>
      </c>
      <c r="L541" s="202">
        <v>3</v>
      </c>
    </row>
    <row r="542" spans="8:12" x14ac:dyDescent="0.25">
      <c r="H542" s="51">
        <v>4</v>
      </c>
      <c r="I542" s="622">
        <v>3</v>
      </c>
      <c r="K542" s="318">
        <v>3</v>
      </c>
      <c r="L542" s="202">
        <v>5</v>
      </c>
    </row>
    <row r="543" spans="8:12" x14ac:dyDescent="0.25">
      <c r="H543" s="51">
        <v>4</v>
      </c>
      <c r="I543" s="622">
        <v>4</v>
      </c>
      <c r="K543" s="318">
        <v>2</v>
      </c>
      <c r="L543" s="202">
        <v>3</v>
      </c>
    </row>
    <row r="544" spans="8:12" x14ac:dyDescent="0.25">
      <c r="H544" s="51">
        <v>2</v>
      </c>
      <c r="I544" s="622">
        <v>3</v>
      </c>
      <c r="K544" s="318">
        <v>2</v>
      </c>
      <c r="L544" s="202">
        <v>4</v>
      </c>
    </row>
    <row r="545" spans="8:12" x14ac:dyDescent="0.25">
      <c r="H545" s="51">
        <v>4</v>
      </c>
      <c r="I545" s="622">
        <v>4</v>
      </c>
      <c r="K545" s="318">
        <v>2</v>
      </c>
      <c r="L545" s="202">
        <v>3</v>
      </c>
    </row>
    <row r="546" spans="8:12" x14ac:dyDescent="0.25">
      <c r="H546" s="51">
        <v>3</v>
      </c>
      <c r="I546" s="622">
        <v>3</v>
      </c>
      <c r="K546" s="318">
        <v>3</v>
      </c>
      <c r="L546" s="202">
        <v>3</v>
      </c>
    </row>
    <row r="547" spans="8:12" x14ac:dyDescent="0.25">
      <c r="H547" s="51">
        <v>2</v>
      </c>
      <c r="I547" s="622">
        <v>3</v>
      </c>
      <c r="K547" s="318">
        <v>3</v>
      </c>
      <c r="L547" s="202">
        <v>5</v>
      </c>
    </row>
    <row r="548" spans="8:12" x14ac:dyDescent="0.25">
      <c r="H548" s="51">
        <v>2</v>
      </c>
      <c r="I548" s="622">
        <v>5</v>
      </c>
      <c r="K548" s="318">
        <v>2</v>
      </c>
      <c r="L548" s="202">
        <v>4</v>
      </c>
    </row>
    <row r="549" spans="8:12" x14ac:dyDescent="0.25">
      <c r="H549" s="51">
        <v>3</v>
      </c>
      <c r="I549" s="622">
        <v>4</v>
      </c>
      <c r="K549" s="318">
        <v>2</v>
      </c>
      <c r="L549" s="202">
        <v>3</v>
      </c>
    </row>
    <row r="550" spans="8:12" x14ac:dyDescent="0.25">
      <c r="H550" s="51">
        <v>3</v>
      </c>
      <c r="I550" s="622">
        <v>3</v>
      </c>
      <c r="K550" s="318">
        <v>3</v>
      </c>
      <c r="L550" s="202">
        <v>3</v>
      </c>
    </row>
    <row r="551" spans="8:12" x14ac:dyDescent="0.25">
      <c r="H551" s="51">
        <v>3</v>
      </c>
      <c r="I551" s="622">
        <v>3</v>
      </c>
      <c r="K551" s="318">
        <v>2</v>
      </c>
      <c r="L551" s="202">
        <v>4</v>
      </c>
    </row>
    <row r="552" spans="8:12" x14ac:dyDescent="0.25">
      <c r="H552" s="51">
        <v>3</v>
      </c>
      <c r="I552" s="622">
        <v>3</v>
      </c>
      <c r="K552" s="318">
        <v>2</v>
      </c>
      <c r="L552" s="202">
        <v>3</v>
      </c>
    </row>
    <row r="553" spans="8:12" x14ac:dyDescent="0.25">
      <c r="H553" s="51">
        <v>2</v>
      </c>
      <c r="I553" s="622">
        <v>4</v>
      </c>
      <c r="K553" s="318">
        <v>2</v>
      </c>
      <c r="L553" s="202">
        <v>3</v>
      </c>
    </row>
    <row r="554" spans="8:12" x14ac:dyDescent="0.25">
      <c r="H554" s="51">
        <v>3</v>
      </c>
      <c r="I554" s="622">
        <v>5</v>
      </c>
      <c r="K554" s="318">
        <v>3</v>
      </c>
      <c r="L554" s="202">
        <v>4</v>
      </c>
    </row>
    <row r="555" spans="8:12" x14ac:dyDescent="0.25">
      <c r="H555" s="51">
        <v>3</v>
      </c>
      <c r="I555" s="622">
        <v>4</v>
      </c>
      <c r="K555" s="318">
        <v>3</v>
      </c>
      <c r="L555" s="202">
        <v>5</v>
      </c>
    </row>
    <row r="556" spans="8:12" x14ac:dyDescent="0.25">
      <c r="H556" s="51">
        <v>2</v>
      </c>
      <c r="I556" s="622">
        <v>3</v>
      </c>
      <c r="K556" s="318">
        <v>3</v>
      </c>
      <c r="L556" s="202">
        <v>5</v>
      </c>
    </row>
    <row r="557" spans="8:12" x14ac:dyDescent="0.25">
      <c r="H557" s="51">
        <v>3</v>
      </c>
      <c r="I557" s="622">
        <v>3</v>
      </c>
      <c r="K557" s="318">
        <v>3</v>
      </c>
      <c r="L557" s="202">
        <v>3</v>
      </c>
    </row>
    <row r="558" spans="8:12" x14ac:dyDescent="0.25">
      <c r="H558" s="51">
        <v>3</v>
      </c>
      <c r="I558" s="622">
        <v>4</v>
      </c>
      <c r="K558" s="318">
        <v>3</v>
      </c>
      <c r="L558" s="202">
        <v>3</v>
      </c>
    </row>
    <row r="559" spans="8:12" x14ac:dyDescent="0.25">
      <c r="H559" s="51">
        <v>4</v>
      </c>
      <c r="I559" s="622">
        <v>3</v>
      </c>
      <c r="K559" s="318">
        <v>2</v>
      </c>
      <c r="L559" s="202">
        <v>4</v>
      </c>
    </row>
    <row r="560" spans="8:12" x14ac:dyDescent="0.25">
      <c r="H560" s="51">
        <v>3</v>
      </c>
      <c r="I560" s="622">
        <v>3</v>
      </c>
      <c r="K560" s="318">
        <v>3</v>
      </c>
      <c r="L560" s="202">
        <v>3</v>
      </c>
    </row>
    <row r="561" spans="8:12" x14ac:dyDescent="0.25">
      <c r="H561" s="51">
        <v>2</v>
      </c>
      <c r="I561" s="622">
        <v>3</v>
      </c>
      <c r="K561" s="318">
        <v>3</v>
      </c>
      <c r="L561" s="202">
        <v>3</v>
      </c>
    </row>
    <row r="562" spans="8:12" x14ac:dyDescent="0.25">
      <c r="H562" s="51">
        <v>2</v>
      </c>
      <c r="I562" s="622">
        <v>3</v>
      </c>
      <c r="K562" s="318">
        <v>2</v>
      </c>
      <c r="L562" s="202">
        <v>3</v>
      </c>
    </row>
    <row r="563" spans="8:12" x14ac:dyDescent="0.25">
      <c r="H563" s="51">
        <v>2</v>
      </c>
      <c r="I563" s="622">
        <v>4</v>
      </c>
      <c r="K563" s="318">
        <v>2</v>
      </c>
      <c r="L563" s="202">
        <v>3</v>
      </c>
    </row>
    <row r="564" spans="8:12" x14ac:dyDescent="0.25">
      <c r="H564" s="51">
        <v>2</v>
      </c>
      <c r="I564" s="622">
        <v>3</v>
      </c>
      <c r="K564" s="318">
        <v>2</v>
      </c>
      <c r="L564" s="202">
        <v>3</v>
      </c>
    </row>
    <row r="565" spans="8:12" x14ac:dyDescent="0.25">
      <c r="H565" s="51">
        <v>3</v>
      </c>
      <c r="I565" s="622">
        <v>5</v>
      </c>
      <c r="K565" s="318">
        <v>2</v>
      </c>
      <c r="L565" s="202">
        <v>4</v>
      </c>
    </row>
    <row r="566" spans="8:12" x14ac:dyDescent="0.25">
      <c r="H566" s="51">
        <v>3</v>
      </c>
      <c r="I566" s="622">
        <v>3</v>
      </c>
      <c r="K566" s="318">
        <v>2</v>
      </c>
      <c r="L566" s="202">
        <v>5</v>
      </c>
    </row>
    <row r="567" spans="8:12" x14ac:dyDescent="0.25">
      <c r="H567" s="51">
        <v>2</v>
      </c>
      <c r="I567" s="622">
        <v>4</v>
      </c>
      <c r="K567" s="318">
        <v>2</v>
      </c>
      <c r="L567" s="202">
        <v>5</v>
      </c>
    </row>
    <row r="568" spans="8:12" x14ac:dyDescent="0.25">
      <c r="H568" s="51">
        <v>2</v>
      </c>
      <c r="I568" s="622">
        <v>4</v>
      </c>
      <c r="K568" s="318">
        <v>2</v>
      </c>
      <c r="L568" s="202">
        <v>3</v>
      </c>
    </row>
    <row r="569" spans="8:12" x14ac:dyDescent="0.25">
      <c r="H569" s="51">
        <v>2</v>
      </c>
      <c r="I569" s="622">
        <v>3</v>
      </c>
      <c r="K569" s="318">
        <v>2</v>
      </c>
      <c r="L569" s="202">
        <v>4</v>
      </c>
    </row>
    <row r="570" spans="8:12" x14ac:dyDescent="0.25">
      <c r="H570" s="51">
        <v>4</v>
      </c>
      <c r="I570" s="622">
        <v>3</v>
      </c>
      <c r="K570" s="318">
        <v>3</v>
      </c>
      <c r="L570" s="202">
        <v>3</v>
      </c>
    </row>
    <row r="571" spans="8:12" x14ac:dyDescent="0.25">
      <c r="H571" s="51">
        <v>4</v>
      </c>
      <c r="I571" s="622">
        <v>3</v>
      </c>
      <c r="K571" s="318">
        <v>2</v>
      </c>
      <c r="L571" s="202">
        <v>3</v>
      </c>
    </row>
    <row r="572" spans="8:12" x14ac:dyDescent="0.25">
      <c r="H572" s="51">
        <v>2</v>
      </c>
      <c r="I572" s="622">
        <v>3</v>
      </c>
      <c r="K572" s="318">
        <v>2</v>
      </c>
      <c r="L572" s="202">
        <v>3</v>
      </c>
    </row>
    <row r="573" spans="8:12" x14ac:dyDescent="0.25">
      <c r="H573" s="51">
        <v>2</v>
      </c>
      <c r="I573" s="622">
        <v>5</v>
      </c>
      <c r="K573" s="318">
        <v>2</v>
      </c>
      <c r="L573" s="202">
        <v>3</v>
      </c>
    </row>
    <row r="574" spans="8:12" x14ac:dyDescent="0.25">
      <c r="H574" s="51">
        <v>2</v>
      </c>
      <c r="I574" s="622">
        <v>4</v>
      </c>
      <c r="K574" s="318">
        <v>2</v>
      </c>
      <c r="L574" s="202">
        <v>3</v>
      </c>
    </row>
    <row r="575" spans="8:12" x14ac:dyDescent="0.25">
      <c r="H575" s="51">
        <v>4</v>
      </c>
      <c r="I575" s="622">
        <v>3</v>
      </c>
      <c r="K575" s="318">
        <v>4</v>
      </c>
      <c r="L575" s="202">
        <v>4</v>
      </c>
    </row>
    <row r="576" spans="8:12" x14ac:dyDescent="0.25">
      <c r="H576" s="51">
        <v>3</v>
      </c>
      <c r="I576" s="622">
        <v>4</v>
      </c>
      <c r="K576" s="318">
        <v>3</v>
      </c>
      <c r="L576" s="202">
        <v>3</v>
      </c>
    </row>
    <row r="577" spans="8:12" x14ac:dyDescent="0.25">
      <c r="H577" s="51">
        <v>2</v>
      </c>
      <c r="I577" s="622">
        <v>3</v>
      </c>
      <c r="K577" s="318">
        <v>2</v>
      </c>
      <c r="L577" s="202">
        <v>5</v>
      </c>
    </row>
    <row r="578" spans="8:12" x14ac:dyDescent="0.25">
      <c r="H578" s="51">
        <v>2</v>
      </c>
      <c r="I578" s="622">
        <v>3</v>
      </c>
      <c r="K578" s="318">
        <v>3</v>
      </c>
      <c r="L578" s="202">
        <v>3</v>
      </c>
    </row>
    <row r="579" spans="8:12" x14ac:dyDescent="0.25">
      <c r="H579" s="51">
        <v>3</v>
      </c>
      <c r="I579" s="622">
        <v>5</v>
      </c>
      <c r="K579" s="318">
        <v>2</v>
      </c>
      <c r="L579" s="202">
        <v>3</v>
      </c>
    </row>
    <row r="580" spans="8:12" x14ac:dyDescent="0.25">
      <c r="H580" s="51">
        <v>3</v>
      </c>
      <c r="I580" s="622">
        <v>4</v>
      </c>
      <c r="K580" s="318">
        <v>2</v>
      </c>
      <c r="L580" s="202">
        <v>3</v>
      </c>
    </row>
    <row r="581" spans="8:12" x14ac:dyDescent="0.25">
      <c r="H581" s="51">
        <v>2</v>
      </c>
      <c r="I581" s="622">
        <v>3</v>
      </c>
      <c r="K581" s="318">
        <v>4</v>
      </c>
      <c r="L581" s="202">
        <v>3</v>
      </c>
    </row>
    <row r="582" spans="8:12" x14ac:dyDescent="0.25">
      <c r="H582" s="51">
        <v>3</v>
      </c>
      <c r="I582" s="622">
        <v>4</v>
      </c>
      <c r="K582" s="318">
        <v>3</v>
      </c>
      <c r="L582" s="202">
        <v>3</v>
      </c>
    </row>
    <row r="583" spans="8:12" x14ac:dyDescent="0.25">
      <c r="H583" s="51">
        <v>2</v>
      </c>
      <c r="I583" s="622">
        <v>3</v>
      </c>
      <c r="K583" s="318">
        <v>4</v>
      </c>
      <c r="L583" s="202">
        <v>5</v>
      </c>
    </row>
    <row r="584" spans="8:12" x14ac:dyDescent="0.25">
      <c r="H584" s="51">
        <v>3</v>
      </c>
      <c r="I584" s="622">
        <v>3</v>
      </c>
      <c r="K584" s="318">
        <v>3</v>
      </c>
      <c r="L584" s="202">
        <v>4</v>
      </c>
    </row>
    <row r="585" spans="8:12" x14ac:dyDescent="0.25">
      <c r="H585" s="51">
        <v>3</v>
      </c>
      <c r="I585" s="622">
        <v>3</v>
      </c>
      <c r="K585" s="318">
        <v>3</v>
      </c>
      <c r="L585" s="202">
        <v>4</v>
      </c>
    </row>
    <row r="586" spans="8:12" x14ac:dyDescent="0.25">
      <c r="H586" s="51">
        <v>3</v>
      </c>
      <c r="I586" s="622">
        <v>4</v>
      </c>
      <c r="K586" s="318">
        <v>2</v>
      </c>
      <c r="L586" s="202">
        <v>3</v>
      </c>
    </row>
    <row r="587" spans="8:12" x14ac:dyDescent="0.25">
      <c r="H587" s="51">
        <v>2</v>
      </c>
      <c r="I587" s="622">
        <v>3</v>
      </c>
      <c r="K587" s="318">
        <v>3</v>
      </c>
      <c r="L587" s="202">
        <v>4</v>
      </c>
    </row>
    <row r="588" spans="8:12" x14ac:dyDescent="0.25">
      <c r="H588" s="51">
        <v>3</v>
      </c>
      <c r="I588" s="622">
        <v>5</v>
      </c>
      <c r="K588" s="318">
        <v>3</v>
      </c>
      <c r="L588" s="202">
        <v>3</v>
      </c>
    </row>
    <row r="589" spans="8:12" x14ac:dyDescent="0.25">
      <c r="H589" s="51">
        <v>3</v>
      </c>
      <c r="I589" s="622">
        <v>3</v>
      </c>
      <c r="K589" s="318">
        <v>3</v>
      </c>
      <c r="L589" s="202">
        <v>3</v>
      </c>
    </row>
    <row r="590" spans="8:12" x14ac:dyDescent="0.25">
      <c r="H590" s="51">
        <v>4</v>
      </c>
      <c r="I590" s="622">
        <v>3</v>
      </c>
      <c r="K590" s="318">
        <v>2</v>
      </c>
      <c r="L590" s="202">
        <v>3</v>
      </c>
    </row>
    <row r="591" spans="8:12" x14ac:dyDescent="0.25">
      <c r="H591" s="51">
        <v>3</v>
      </c>
      <c r="I591" s="622">
        <v>3</v>
      </c>
      <c r="K591" s="318">
        <v>2</v>
      </c>
      <c r="L591" s="202">
        <v>3</v>
      </c>
    </row>
    <row r="592" spans="8:12" x14ac:dyDescent="0.25">
      <c r="H592" s="51">
        <v>2</v>
      </c>
      <c r="I592" s="622">
        <v>5</v>
      </c>
      <c r="K592" s="318">
        <v>2</v>
      </c>
      <c r="L592" s="202">
        <v>3</v>
      </c>
    </row>
    <row r="593" spans="8:12" x14ac:dyDescent="0.25">
      <c r="H593" s="51">
        <v>2</v>
      </c>
      <c r="I593" s="622">
        <v>3</v>
      </c>
      <c r="K593" s="318">
        <v>2</v>
      </c>
      <c r="L593" s="202">
        <v>4</v>
      </c>
    </row>
    <row r="594" spans="8:12" x14ac:dyDescent="0.25">
      <c r="H594" s="51">
        <v>3</v>
      </c>
      <c r="I594" s="622">
        <v>3</v>
      </c>
      <c r="K594" s="318">
        <v>3</v>
      </c>
      <c r="L594" s="202">
        <v>4</v>
      </c>
    </row>
    <row r="595" spans="8:12" x14ac:dyDescent="0.25">
      <c r="H595" s="51">
        <v>2</v>
      </c>
      <c r="I595" s="622">
        <v>3</v>
      </c>
      <c r="K595" s="318">
        <v>3</v>
      </c>
      <c r="L595" s="202">
        <v>4</v>
      </c>
    </row>
    <row r="596" spans="8:12" x14ac:dyDescent="0.25">
      <c r="H596" s="51">
        <v>3</v>
      </c>
      <c r="I596" s="622">
        <v>3</v>
      </c>
      <c r="K596" s="318">
        <v>2</v>
      </c>
      <c r="L596" s="202">
        <v>3</v>
      </c>
    </row>
    <row r="597" spans="8:12" x14ac:dyDescent="0.25">
      <c r="H597" s="51">
        <v>2</v>
      </c>
      <c r="I597" s="622">
        <v>3</v>
      </c>
      <c r="K597" s="318">
        <v>2</v>
      </c>
      <c r="L597" s="202">
        <v>5</v>
      </c>
    </row>
    <row r="598" spans="8:12" x14ac:dyDescent="0.25">
      <c r="H598" s="51">
        <v>3</v>
      </c>
      <c r="I598" s="622">
        <v>3</v>
      </c>
      <c r="K598" s="318">
        <v>3</v>
      </c>
      <c r="L598" s="202">
        <v>3</v>
      </c>
    </row>
    <row r="599" spans="8:12" x14ac:dyDescent="0.25">
      <c r="H599" s="51">
        <v>4</v>
      </c>
      <c r="I599" s="622">
        <v>3</v>
      </c>
      <c r="K599" s="318">
        <v>3</v>
      </c>
      <c r="L599" s="202">
        <v>3</v>
      </c>
    </row>
    <row r="600" spans="8:12" x14ac:dyDescent="0.25">
      <c r="H600" s="51">
        <v>3</v>
      </c>
      <c r="I600" s="622">
        <v>3</v>
      </c>
      <c r="K600" s="318">
        <v>4</v>
      </c>
      <c r="L600" s="202">
        <v>3</v>
      </c>
    </row>
    <row r="601" spans="8:12" x14ac:dyDescent="0.25">
      <c r="H601" s="51">
        <v>2</v>
      </c>
      <c r="I601" s="622">
        <v>4</v>
      </c>
      <c r="K601" s="318">
        <v>3</v>
      </c>
      <c r="L601" s="202">
        <v>5</v>
      </c>
    </row>
    <row r="602" spans="8:12" x14ac:dyDescent="0.25">
      <c r="H602" s="51">
        <v>2</v>
      </c>
      <c r="I602" s="622">
        <v>3</v>
      </c>
      <c r="K602" s="318">
        <v>3</v>
      </c>
      <c r="L602" s="202">
        <v>3</v>
      </c>
    </row>
    <row r="603" spans="8:12" x14ac:dyDescent="0.25">
      <c r="H603" s="51">
        <v>2</v>
      </c>
      <c r="I603" s="622">
        <v>5</v>
      </c>
      <c r="K603" s="318">
        <v>2</v>
      </c>
      <c r="L603" s="202">
        <v>3</v>
      </c>
    </row>
    <row r="604" spans="8:12" x14ac:dyDescent="0.25">
      <c r="H604" s="51">
        <v>2</v>
      </c>
      <c r="I604" s="622">
        <v>3</v>
      </c>
      <c r="K604" s="318">
        <v>3</v>
      </c>
      <c r="L604" s="202">
        <v>3</v>
      </c>
    </row>
    <row r="605" spans="8:12" x14ac:dyDescent="0.25">
      <c r="H605" s="51">
        <v>3</v>
      </c>
      <c r="I605" s="622">
        <v>3</v>
      </c>
      <c r="K605" s="318">
        <v>3</v>
      </c>
      <c r="L605" s="202">
        <v>3</v>
      </c>
    </row>
    <row r="606" spans="8:12" x14ac:dyDescent="0.25">
      <c r="H606" s="51">
        <v>4</v>
      </c>
      <c r="I606" s="622">
        <v>4</v>
      </c>
      <c r="K606" s="318">
        <v>3</v>
      </c>
      <c r="L606" s="202">
        <v>3</v>
      </c>
    </row>
    <row r="607" spans="8:12" x14ac:dyDescent="0.25">
      <c r="H607" s="51">
        <v>2</v>
      </c>
      <c r="I607" s="622">
        <v>4</v>
      </c>
      <c r="K607" s="318">
        <v>2</v>
      </c>
      <c r="L607" s="202">
        <v>4</v>
      </c>
    </row>
    <row r="608" spans="8:12" x14ac:dyDescent="0.25">
      <c r="H608" s="51">
        <v>4</v>
      </c>
      <c r="I608" s="622">
        <v>4</v>
      </c>
      <c r="K608" s="318">
        <v>3</v>
      </c>
      <c r="L608" s="202">
        <v>3</v>
      </c>
    </row>
    <row r="609" spans="8:12" x14ac:dyDescent="0.25">
      <c r="H609" s="51">
        <v>2</v>
      </c>
      <c r="I609" s="622">
        <v>3</v>
      </c>
      <c r="K609" s="318">
        <v>2</v>
      </c>
      <c r="L609" s="202">
        <v>3</v>
      </c>
    </row>
    <row r="610" spans="8:12" x14ac:dyDescent="0.25">
      <c r="H610" s="51">
        <v>2</v>
      </c>
      <c r="I610" s="622">
        <v>4</v>
      </c>
      <c r="K610" s="318">
        <v>3</v>
      </c>
      <c r="L610" s="202">
        <v>4</v>
      </c>
    </row>
    <row r="611" spans="8:12" x14ac:dyDescent="0.25">
      <c r="H611" s="51">
        <v>2</v>
      </c>
      <c r="I611" s="622">
        <v>4</v>
      </c>
      <c r="K611" s="318">
        <v>2</v>
      </c>
      <c r="L611" s="202">
        <v>3</v>
      </c>
    </row>
    <row r="612" spans="8:12" x14ac:dyDescent="0.25">
      <c r="H612" s="51">
        <v>3</v>
      </c>
      <c r="I612" s="622">
        <v>4</v>
      </c>
      <c r="K612" s="318">
        <v>2</v>
      </c>
      <c r="L612" s="202">
        <v>4</v>
      </c>
    </row>
    <row r="613" spans="8:12" x14ac:dyDescent="0.25">
      <c r="H613" s="51">
        <v>3</v>
      </c>
      <c r="I613" s="622">
        <v>3</v>
      </c>
      <c r="K613" s="318">
        <v>2</v>
      </c>
      <c r="L613" s="202">
        <v>3</v>
      </c>
    </row>
    <row r="614" spans="8:12" x14ac:dyDescent="0.25">
      <c r="H614" s="51">
        <v>3</v>
      </c>
      <c r="I614" s="622">
        <v>4</v>
      </c>
      <c r="K614" s="318">
        <v>2</v>
      </c>
      <c r="L614" s="202">
        <v>3</v>
      </c>
    </row>
    <row r="615" spans="8:12" x14ac:dyDescent="0.25">
      <c r="H615" s="51">
        <v>2</v>
      </c>
      <c r="I615" s="622">
        <v>3</v>
      </c>
      <c r="K615" s="318">
        <v>3</v>
      </c>
      <c r="L615" s="202">
        <v>4</v>
      </c>
    </row>
    <row r="616" spans="8:12" x14ac:dyDescent="0.25">
      <c r="H616" s="51">
        <v>4</v>
      </c>
      <c r="I616" s="622">
        <v>3</v>
      </c>
      <c r="K616" s="318">
        <v>2</v>
      </c>
      <c r="L616" s="202">
        <v>4</v>
      </c>
    </row>
    <row r="617" spans="8:12" x14ac:dyDescent="0.25">
      <c r="H617" s="51">
        <v>2</v>
      </c>
      <c r="I617" s="622">
        <v>3</v>
      </c>
      <c r="K617" s="318">
        <v>2</v>
      </c>
      <c r="L617" s="202">
        <v>3</v>
      </c>
    </row>
    <row r="618" spans="8:12" x14ac:dyDescent="0.25">
      <c r="H618" s="51">
        <v>2</v>
      </c>
      <c r="I618" s="622">
        <v>4</v>
      </c>
      <c r="K618" s="318">
        <v>4</v>
      </c>
      <c r="L618" s="202">
        <v>4</v>
      </c>
    </row>
    <row r="619" spans="8:12" x14ac:dyDescent="0.25">
      <c r="H619" s="51">
        <v>2</v>
      </c>
      <c r="I619" s="622">
        <v>3</v>
      </c>
      <c r="K619" s="318">
        <v>3</v>
      </c>
      <c r="L619" s="202">
        <v>4</v>
      </c>
    </row>
    <row r="620" spans="8:12" x14ac:dyDescent="0.25">
      <c r="H620" s="51">
        <v>2</v>
      </c>
      <c r="I620" s="622">
        <v>4</v>
      </c>
      <c r="K620" s="318">
        <v>2</v>
      </c>
      <c r="L620" s="202">
        <v>3</v>
      </c>
    </row>
    <row r="621" spans="8:12" x14ac:dyDescent="0.25">
      <c r="H621" s="51">
        <v>2</v>
      </c>
      <c r="I621" s="622">
        <v>3</v>
      </c>
      <c r="K621" s="318">
        <v>2</v>
      </c>
      <c r="L621" s="202">
        <v>4</v>
      </c>
    </row>
    <row r="622" spans="8:12" x14ac:dyDescent="0.25">
      <c r="H622" s="51">
        <v>2</v>
      </c>
      <c r="I622" s="622">
        <v>3</v>
      </c>
      <c r="K622" s="318">
        <v>2</v>
      </c>
      <c r="L622" s="202">
        <v>3</v>
      </c>
    </row>
    <row r="623" spans="8:12" x14ac:dyDescent="0.25">
      <c r="H623" s="51">
        <v>3</v>
      </c>
      <c r="I623" s="622">
        <v>3</v>
      </c>
      <c r="K623" s="318">
        <v>2</v>
      </c>
      <c r="L623" s="202">
        <v>4</v>
      </c>
    </row>
    <row r="624" spans="8:12" x14ac:dyDescent="0.25">
      <c r="H624" s="51">
        <v>2</v>
      </c>
      <c r="I624" s="622">
        <v>3</v>
      </c>
      <c r="K624" s="318">
        <v>3</v>
      </c>
      <c r="L624" s="202">
        <v>3</v>
      </c>
    </row>
    <row r="625" spans="8:12" x14ac:dyDescent="0.25">
      <c r="H625" s="51">
        <v>3</v>
      </c>
      <c r="I625" s="622">
        <v>3</v>
      </c>
      <c r="K625" s="318">
        <v>3</v>
      </c>
      <c r="L625" s="202">
        <v>3</v>
      </c>
    </row>
    <row r="626" spans="8:12" x14ac:dyDescent="0.25">
      <c r="H626" s="51">
        <v>3</v>
      </c>
      <c r="I626" s="622">
        <v>3</v>
      </c>
      <c r="K626" s="318">
        <v>2</v>
      </c>
      <c r="L626" s="202">
        <v>3</v>
      </c>
    </row>
    <row r="627" spans="8:12" x14ac:dyDescent="0.25">
      <c r="H627" s="51">
        <v>2</v>
      </c>
      <c r="I627" s="622">
        <v>3</v>
      </c>
      <c r="K627" s="318">
        <v>4</v>
      </c>
      <c r="L627" s="202">
        <v>3</v>
      </c>
    </row>
    <row r="628" spans="8:12" x14ac:dyDescent="0.25">
      <c r="H628" s="51">
        <v>4</v>
      </c>
      <c r="I628" s="622">
        <v>3</v>
      </c>
      <c r="K628" s="318">
        <v>3</v>
      </c>
      <c r="L628" s="202">
        <v>3</v>
      </c>
    </row>
    <row r="629" spans="8:12" x14ac:dyDescent="0.25">
      <c r="H629" s="51">
        <v>3</v>
      </c>
      <c r="I629" s="622">
        <v>4</v>
      </c>
      <c r="K629" s="318">
        <v>3</v>
      </c>
      <c r="L629" s="202">
        <v>4</v>
      </c>
    </row>
    <row r="630" spans="8:12" x14ac:dyDescent="0.25">
      <c r="H630" s="51">
        <v>3</v>
      </c>
      <c r="I630" s="622">
        <v>3</v>
      </c>
      <c r="K630" s="318">
        <v>3</v>
      </c>
      <c r="L630" s="202">
        <v>3</v>
      </c>
    </row>
    <row r="631" spans="8:12" x14ac:dyDescent="0.25">
      <c r="H631" s="51">
        <v>2</v>
      </c>
      <c r="I631" s="622">
        <v>3</v>
      </c>
      <c r="K631" s="318">
        <v>3</v>
      </c>
      <c r="L631" s="202">
        <v>4</v>
      </c>
    </row>
    <row r="632" spans="8:12" x14ac:dyDescent="0.25">
      <c r="H632" s="51">
        <v>4</v>
      </c>
      <c r="I632" s="622">
        <v>3</v>
      </c>
      <c r="K632" s="318">
        <v>4</v>
      </c>
      <c r="L632" s="202">
        <v>4</v>
      </c>
    </row>
    <row r="633" spans="8:12" x14ac:dyDescent="0.25">
      <c r="H633" s="51">
        <v>2</v>
      </c>
      <c r="I633" s="622">
        <v>4</v>
      </c>
      <c r="K633" s="318">
        <v>3</v>
      </c>
      <c r="L633" s="202">
        <v>3</v>
      </c>
    </row>
    <row r="634" spans="8:12" x14ac:dyDescent="0.25">
      <c r="H634" s="51">
        <v>3</v>
      </c>
      <c r="I634" s="622">
        <v>3</v>
      </c>
      <c r="K634" s="318">
        <v>2</v>
      </c>
      <c r="L634" s="202">
        <v>3</v>
      </c>
    </row>
    <row r="635" spans="8:12" x14ac:dyDescent="0.25">
      <c r="H635" s="51">
        <v>3</v>
      </c>
      <c r="I635" s="622">
        <v>4</v>
      </c>
      <c r="K635" s="318">
        <v>3</v>
      </c>
      <c r="L635" s="202">
        <v>3</v>
      </c>
    </row>
    <row r="636" spans="8:12" x14ac:dyDescent="0.25">
      <c r="H636" s="51">
        <v>2</v>
      </c>
      <c r="I636" s="622">
        <v>4</v>
      </c>
      <c r="K636" s="318">
        <v>3</v>
      </c>
      <c r="L636" s="202">
        <v>3</v>
      </c>
    </row>
    <row r="637" spans="8:12" x14ac:dyDescent="0.25">
      <c r="H637" s="51">
        <v>3</v>
      </c>
      <c r="I637" s="622">
        <v>4</v>
      </c>
      <c r="K637" s="318">
        <v>2</v>
      </c>
      <c r="L637" s="202">
        <v>4</v>
      </c>
    </row>
    <row r="638" spans="8:12" x14ac:dyDescent="0.25">
      <c r="H638" s="51">
        <v>3</v>
      </c>
      <c r="I638" s="622">
        <v>3</v>
      </c>
      <c r="K638" s="318">
        <v>3</v>
      </c>
      <c r="L638" s="202">
        <v>4</v>
      </c>
    </row>
    <row r="639" spans="8:12" x14ac:dyDescent="0.25">
      <c r="H639" s="51">
        <v>3</v>
      </c>
      <c r="I639" s="622">
        <v>5</v>
      </c>
      <c r="K639" s="318">
        <v>4</v>
      </c>
      <c r="L639" s="202">
        <v>4</v>
      </c>
    </row>
    <row r="640" spans="8:12" x14ac:dyDescent="0.25">
      <c r="H640" s="51">
        <v>3</v>
      </c>
      <c r="I640" s="622">
        <v>3</v>
      </c>
      <c r="K640" s="318">
        <v>3</v>
      </c>
      <c r="L640" s="202">
        <v>3</v>
      </c>
    </row>
    <row r="641" spans="8:12" x14ac:dyDescent="0.25">
      <c r="H641" s="51">
        <v>2</v>
      </c>
      <c r="I641" s="622">
        <v>4</v>
      </c>
      <c r="K641" s="318">
        <v>2</v>
      </c>
      <c r="L641" s="202">
        <v>4</v>
      </c>
    </row>
    <row r="642" spans="8:12" x14ac:dyDescent="0.25">
      <c r="H642" s="51">
        <v>1</v>
      </c>
      <c r="I642" s="622">
        <v>3</v>
      </c>
      <c r="K642" s="318">
        <v>3</v>
      </c>
      <c r="L642" s="202">
        <v>5</v>
      </c>
    </row>
    <row r="643" spans="8:12" x14ac:dyDescent="0.25">
      <c r="H643" s="51">
        <v>2</v>
      </c>
      <c r="I643" s="622">
        <v>3</v>
      </c>
      <c r="K643" s="318">
        <v>3</v>
      </c>
      <c r="L643" s="202">
        <v>3</v>
      </c>
    </row>
    <row r="644" spans="8:12" x14ac:dyDescent="0.25">
      <c r="H644" s="51">
        <v>3</v>
      </c>
      <c r="I644" s="622">
        <v>3</v>
      </c>
      <c r="K644" s="318">
        <v>2</v>
      </c>
      <c r="L644" s="202">
        <v>4</v>
      </c>
    </row>
    <row r="645" spans="8:12" x14ac:dyDescent="0.25">
      <c r="H645" s="51">
        <v>2</v>
      </c>
      <c r="I645" s="622">
        <v>3</v>
      </c>
      <c r="K645" s="318">
        <v>3</v>
      </c>
      <c r="L645" s="202">
        <v>3</v>
      </c>
    </row>
    <row r="646" spans="8:12" x14ac:dyDescent="0.25">
      <c r="H646" s="51">
        <v>3</v>
      </c>
      <c r="I646" s="622">
        <v>3</v>
      </c>
      <c r="K646" s="318">
        <v>2</v>
      </c>
      <c r="L646" s="202">
        <v>3</v>
      </c>
    </row>
    <row r="647" spans="8:12" x14ac:dyDescent="0.25">
      <c r="H647" s="51">
        <v>2</v>
      </c>
      <c r="I647" s="622">
        <v>5</v>
      </c>
      <c r="K647" s="318">
        <v>3</v>
      </c>
      <c r="L647" s="202">
        <v>3</v>
      </c>
    </row>
    <row r="648" spans="8:12" x14ac:dyDescent="0.25">
      <c r="H648" s="51">
        <v>2</v>
      </c>
      <c r="I648" s="622">
        <v>3</v>
      </c>
      <c r="K648" s="318">
        <v>3</v>
      </c>
      <c r="L648" s="202">
        <v>4</v>
      </c>
    </row>
    <row r="649" spans="8:12" x14ac:dyDescent="0.25">
      <c r="H649" s="51">
        <v>3</v>
      </c>
      <c r="I649" s="622">
        <v>3</v>
      </c>
      <c r="K649" s="318">
        <v>3</v>
      </c>
      <c r="L649" s="202">
        <v>4</v>
      </c>
    </row>
    <row r="650" spans="8:12" x14ac:dyDescent="0.25">
      <c r="H650" s="51">
        <v>4</v>
      </c>
      <c r="I650" s="622">
        <v>4</v>
      </c>
      <c r="K650" s="318">
        <v>4</v>
      </c>
      <c r="L650" s="202">
        <v>3</v>
      </c>
    </row>
    <row r="651" spans="8:12" x14ac:dyDescent="0.25">
      <c r="H651" s="51">
        <v>2</v>
      </c>
      <c r="I651" s="622">
        <v>3</v>
      </c>
      <c r="K651" s="318">
        <v>2</v>
      </c>
      <c r="L651" s="202">
        <v>3</v>
      </c>
    </row>
    <row r="652" spans="8:12" x14ac:dyDescent="0.25">
      <c r="H652" s="51">
        <v>3</v>
      </c>
      <c r="I652" s="622">
        <v>3</v>
      </c>
      <c r="K652" s="318">
        <v>2</v>
      </c>
      <c r="L652" s="202">
        <v>3</v>
      </c>
    </row>
    <row r="653" spans="8:12" x14ac:dyDescent="0.25">
      <c r="H653" s="51">
        <v>3</v>
      </c>
      <c r="I653" s="622">
        <v>3</v>
      </c>
      <c r="K653" s="318">
        <v>4</v>
      </c>
      <c r="L653" s="202">
        <v>3</v>
      </c>
    </row>
    <row r="654" spans="8:12" x14ac:dyDescent="0.25">
      <c r="H654" s="51">
        <v>2</v>
      </c>
      <c r="I654" s="622">
        <v>4</v>
      </c>
      <c r="K654" s="318">
        <v>3</v>
      </c>
      <c r="L654" s="202">
        <v>3</v>
      </c>
    </row>
    <row r="655" spans="8:12" x14ac:dyDescent="0.25">
      <c r="H655" s="51">
        <v>4</v>
      </c>
      <c r="I655" s="622">
        <v>3</v>
      </c>
      <c r="K655" s="318">
        <v>3</v>
      </c>
      <c r="L655" s="202">
        <v>3</v>
      </c>
    </row>
    <row r="656" spans="8:12" x14ac:dyDescent="0.25">
      <c r="H656" s="51">
        <v>3</v>
      </c>
      <c r="I656" s="622">
        <v>3</v>
      </c>
      <c r="K656" s="318">
        <v>2</v>
      </c>
      <c r="L656" s="202">
        <v>3</v>
      </c>
    </row>
    <row r="657" spans="8:12" x14ac:dyDescent="0.25">
      <c r="H657" s="51">
        <v>3</v>
      </c>
      <c r="I657" s="622">
        <v>3</v>
      </c>
      <c r="K657" s="318">
        <v>2</v>
      </c>
      <c r="L657" s="202">
        <v>3</v>
      </c>
    </row>
    <row r="658" spans="8:12" x14ac:dyDescent="0.25">
      <c r="H658" s="51">
        <v>2</v>
      </c>
      <c r="I658" s="622">
        <v>3</v>
      </c>
      <c r="K658" s="318">
        <v>2</v>
      </c>
      <c r="L658" s="202">
        <v>3</v>
      </c>
    </row>
    <row r="659" spans="8:12" x14ac:dyDescent="0.25">
      <c r="H659" s="51">
        <v>3</v>
      </c>
      <c r="I659" s="622">
        <v>3</v>
      </c>
      <c r="K659" s="318">
        <v>2</v>
      </c>
      <c r="L659" s="202">
        <v>5</v>
      </c>
    </row>
    <row r="660" spans="8:12" x14ac:dyDescent="0.25">
      <c r="H660" s="51">
        <v>4</v>
      </c>
      <c r="I660" s="622">
        <v>4</v>
      </c>
      <c r="K660" s="318">
        <v>3</v>
      </c>
      <c r="L660" s="202">
        <v>3</v>
      </c>
    </row>
    <row r="661" spans="8:12" x14ac:dyDescent="0.25">
      <c r="H661" s="51">
        <v>2</v>
      </c>
      <c r="I661" s="622">
        <v>3</v>
      </c>
      <c r="K661" s="318">
        <v>3</v>
      </c>
      <c r="L661" s="202">
        <v>4</v>
      </c>
    </row>
    <row r="662" spans="8:12" x14ac:dyDescent="0.25">
      <c r="H662" s="51">
        <v>2</v>
      </c>
      <c r="I662" s="622">
        <v>3</v>
      </c>
      <c r="K662" s="318">
        <v>2</v>
      </c>
      <c r="L662" s="202">
        <v>3</v>
      </c>
    </row>
    <row r="663" spans="8:12" x14ac:dyDescent="0.25">
      <c r="H663" s="51">
        <v>3</v>
      </c>
      <c r="I663" s="622">
        <v>3</v>
      </c>
      <c r="K663" s="318">
        <v>4</v>
      </c>
      <c r="L663" s="202">
        <v>3</v>
      </c>
    </row>
    <row r="664" spans="8:12" x14ac:dyDescent="0.25">
      <c r="H664" s="51">
        <v>3</v>
      </c>
      <c r="I664" s="622">
        <v>5</v>
      </c>
      <c r="K664" s="318">
        <v>2</v>
      </c>
      <c r="L664" s="202">
        <v>5</v>
      </c>
    </row>
    <row r="665" spans="8:12" x14ac:dyDescent="0.25">
      <c r="H665" s="51">
        <v>4</v>
      </c>
      <c r="I665" s="622">
        <v>3</v>
      </c>
      <c r="K665" s="318">
        <v>3</v>
      </c>
      <c r="L665" s="202">
        <v>3</v>
      </c>
    </row>
    <row r="666" spans="8:12" x14ac:dyDescent="0.25">
      <c r="H666" s="51">
        <v>2</v>
      </c>
      <c r="I666" s="622">
        <v>4</v>
      </c>
      <c r="K666" s="318">
        <v>2</v>
      </c>
      <c r="L666" s="202">
        <v>4</v>
      </c>
    </row>
    <row r="667" spans="8:12" x14ac:dyDescent="0.25">
      <c r="H667" s="51">
        <v>2</v>
      </c>
      <c r="I667" s="622">
        <v>5</v>
      </c>
      <c r="K667" s="318">
        <v>2</v>
      </c>
      <c r="L667" s="202">
        <v>4</v>
      </c>
    </row>
    <row r="668" spans="8:12" x14ac:dyDescent="0.25">
      <c r="H668" s="51">
        <v>2</v>
      </c>
      <c r="I668" s="622">
        <v>3</v>
      </c>
      <c r="K668" s="318">
        <v>3</v>
      </c>
      <c r="L668" s="202">
        <v>3</v>
      </c>
    </row>
    <row r="669" spans="8:12" x14ac:dyDescent="0.25">
      <c r="H669" s="51">
        <v>2</v>
      </c>
      <c r="I669" s="622">
        <v>4</v>
      </c>
      <c r="K669" s="318">
        <v>2</v>
      </c>
      <c r="L669" s="202">
        <v>3</v>
      </c>
    </row>
    <row r="670" spans="8:12" x14ac:dyDescent="0.25">
      <c r="H670" s="51">
        <v>2</v>
      </c>
      <c r="I670" s="622">
        <v>5</v>
      </c>
      <c r="K670" s="318">
        <v>3</v>
      </c>
      <c r="L670" s="202">
        <v>3</v>
      </c>
    </row>
    <row r="671" spans="8:12" x14ac:dyDescent="0.25">
      <c r="H671" s="51">
        <v>2</v>
      </c>
      <c r="I671" s="622">
        <v>4</v>
      </c>
      <c r="K671" s="318">
        <v>3</v>
      </c>
      <c r="L671" s="202">
        <v>4</v>
      </c>
    </row>
    <row r="672" spans="8:12" x14ac:dyDescent="0.25">
      <c r="H672" s="51">
        <v>2</v>
      </c>
      <c r="I672" s="622">
        <v>3</v>
      </c>
      <c r="K672" s="318">
        <v>2</v>
      </c>
      <c r="L672" s="202">
        <v>4</v>
      </c>
    </row>
    <row r="673" spans="8:12" x14ac:dyDescent="0.25">
      <c r="H673" s="51">
        <v>2</v>
      </c>
      <c r="I673" s="622">
        <v>3</v>
      </c>
      <c r="K673" s="318">
        <v>4</v>
      </c>
      <c r="L673" s="202">
        <v>3</v>
      </c>
    </row>
    <row r="674" spans="8:12" x14ac:dyDescent="0.25">
      <c r="H674" s="51">
        <v>3</v>
      </c>
      <c r="I674" s="622">
        <v>5</v>
      </c>
      <c r="K674" s="318">
        <v>2</v>
      </c>
      <c r="L674" s="202">
        <v>3</v>
      </c>
    </row>
    <row r="675" spans="8:12" x14ac:dyDescent="0.25">
      <c r="H675" s="51">
        <v>2</v>
      </c>
      <c r="I675" s="622">
        <v>4</v>
      </c>
      <c r="K675" s="318">
        <v>2</v>
      </c>
      <c r="L675" s="202">
        <v>3</v>
      </c>
    </row>
    <row r="676" spans="8:12" x14ac:dyDescent="0.25">
      <c r="H676" s="51">
        <v>4</v>
      </c>
      <c r="I676" s="622">
        <v>3</v>
      </c>
      <c r="K676" s="318">
        <v>2</v>
      </c>
      <c r="L676" s="202">
        <v>4</v>
      </c>
    </row>
    <row r="677" spans="8:12" x14ac:dyDescent="0.25">
      <c r="H677" s="51">
        <v>4</v>
      </c>
      <c r="I677" s="622">
        <v>3</v>
      </c>
      <c r="K677" s="318">
        <v>2</v>
      </c>
      <c r="L677" s="202">
        <v>4</v>
      </c>
    </row>
    <row r="678" spans="8:12" x14ac:dyDescent="0.25">
      <c r="H678" s="51">
        <v>2</v>
      </c>
      <c r="I678" s="622">
        <v>4</v>
      </c>
      <c r="K678" s="318">
        <v>3</v>
      </c>
      <c r="L678" s="202">
        <v>4</v>
      </c>
    </row>
    <row r="679" spans="8:12" x14ac:dyDescent="0.25">
      <c r="H679" s="51">
        <v>4</v>
      </c>
      <c r="I679" s="622">
        <v>3</v>
      </c>
      <c r="K679" s="318">
        <v>3</v>
      </c>
      <c r="L679" s="202">
        <v>3</v>
      </c>
    </row>
    <row r="680" spans="8:12" x14ac:dyDescent="0.25">
      <c r="H680" s="51">
        <v>2</v>
      </c>
      <c r="I680" s="622">
        <v>3</v>
      </c>
      <c r="K680" s="318">
        <v>4</v>
      </c>
      <c r="L680" s="202">
        <v>3</v>
      </c>
    </row>
    <row r="681" spans="8:12" x14ac:dyDescent="0.25">
      <c r="H681" s="51">
        <v>3</v>
      </c>
      <c r="I681" s="622">
        <v>3</v>
      </c>
      <c r="K681" s="318">
        <v>3</v>
      </c>
      <c r="L681" s="202">
        <v>4</v>
      </c>
    </row>
    <row r="682" spans="8:12" x14ac:dyDescent="0.25">
      <c r="H682" s="51">
        <v>2</v>
      </c>
      <c r="I682" s="622">
        <v>5</v>
      </c>
      <c r="K682" s="318">
        <v>2</v>
      </c>
      <c r="L682" s="202">
        <v>3</v>
      </c>
    </row>
    <row r="683" spans="8:12" x14ac:dyDescent="0.25">
      <c r="H683" s="51">
        <v>2</v>
      </c>
      <c r="I683" s="622">
        <v>3</v>
      </c>
      <c r="K683" s="318">
        <v>2</v>
      </c>
      <c r="L683" s="202">
        <v>3</v>
      </c>
    </row>
    <row r="684" spans="8:12" x14ac:dyDescent="0.25">
      <c r="H684" s="51">
        <v>2</v>
      </c>
      <c r="I684" s="622">
        <v>3</v>
      </c>
      <c r="K684" s="318">
        <v>3</v>
      </c>
      <c r="L684" s="202">
        <v>3</v>
      </c>
    </row>
    <row r="685" spans="8:12" x14ac:dyDescent="0.25">
      <c r="H685" s="51">
        <v>3</v>
      </c>
      <c r="I685" s="622">
        <v>5</v>
      </c>
      <c r="K685" s="318">
        <v>2</v>
      </c>
      <c r="L685" s="202">
        <v>3</v>
      </c>
    </row>
    <row r="686" spans="8:12" x14ac:dyDescent="0.25">
      <c r="H686" s="51">
        <v>2</v>
      </c>
      <c r="I686" s="622">
        <v>3</v>
      </c>
      <c r="K686" s="318">
        <v>3</v>
      </c>
      <c r="L686" s="202">
        <v>4</v>
      </c>
    </row>
    <row r="687" spans="8:12" x14ac:dyDescent="0.25">
      <c r="H687" s="51">
        <v>2</v>
      </c>
      <c r="I687" s="622">
        <v>3</v>
      </c>
      <c r="K687" s="318">
        <v>2</v>
      </c>
      <c r="L687" s="202">
        <v>4</v>
      </c>
    </row>
    <row r="688" spans="8:12" x14ac:dyDescent="0.25">
      <c r="H688" s="51">
        <v>2</v>
      </c>
      <c r="I688" s="622">
        <v>3</v>
      </c>
      <c r="K688" s="318">
        <v>2</v>
      </c>
      <c r="L688" s="202">
        <v>4</v>
      </c>
    </row>
    <row r="689" spans="8:12" x14ac:dyDescent="0.25">
      <c r="H689" s="51">
        <v>3</v>
      </c>
      <c r="I689" s="622">
        <v>3</v>
      </c>
      <c r="K689" s="318">
        <v>2</v>
      </c>
      <c r="L689" s="202">
        <v>4</v>
      </c>
    </row>
    <row r="690" spans="8:12" x14ac:dyDescent="0.25">
      <c r="H690" s="51">
        <v>3</v>
      </c>
      <c r="I690" s="622">
        <v>4</v>
      </c>
      <c r="K690" s="318">
        <v>3</v>
      </c>
      <c r="L690" s="202">
        <v>3</v>
      </c>
    </row>
    <row r="691" spans="8:12" x14ac:dyDescent="0.25">
      <c r="H691" s="51">
        <v>2</v>
      </c>
      <c r="I691" s="622">
        <v>3</v>
      </c>
      <c r="K691" s="318">
        <v>2</v>
      </c>
      <c r="L691" s="202">
        <v>4</v>
      </c>
    </row>
    <row r="692" spans="8:12" x14ac:dyDescent="0.25">
      <c r="H692" s="51">
        <v>2</v>
      </c>
      <c r="I692" s="622">
        <v>5</v>
      </c>
      <c r="K692" s="318">
        <v>4</v>
      </c>
      <c r="L692" s="202">
        <v>3</v>
      </c>
    </row>
    <row r="693" spans="8:12" x14ac:dyDescent="0.25">
      <c r="H693" s="51">
        <v>2</v>
      </c>
      <c r="I693" s="622">
        <v>3</v>
      </c>
      <c r="K693" s="318">
        <v>3</v>
      </c>
      <c r="L693" s="202">
        <v>3</v>
      </c>
    </row>
    <row r="694" spans="8:12" x14ac:dyDescent="0.25">
      <c r="H694" s="51">
        <v>2</v>
      </c>
      <c r="I694" s="622">
        <v>3</v>
      </c>
      <c r="K694" s="318">
        <v>2</v>
      </c>
      <c r="L694" s="202">
        <v>4</v>
      </c>
    </row>
    <row r="695" spans="8:12" x14ac:dyDescent="0.25">
      <c r="H695" s="51">
        <v>3</v>
      </c>
      <c r="I695" s="622">
        <v>3</v>
      </c>
      <c r="K695" s="318">
        <v>2</v>
      </c>
      <c r="L695" s="202">
        <v>3</v>
      </c>
    </row>
    <row r="696" spans="8:12" x14ac:dyDescent="0.25">
      <c r="H696" s="51">
        <v>2</v>
      </c>
      <c r="I696" s="622">
        <v>3</v>
      </c>
      <c r="K696" s="318">
        <v>3</v>
      </c>
      <c r="L696" s="202">
        <v>3</v>
      </c>
    </row>
    <row r="697" spans="8:12" x14ac:dyDescent="0.25">
      <c r="H697" s="51">
        <v>2</v>
      </c>
      <c r="I697" s="622">
        <v>3</v>
      </c>
      <c r="K697" s="318">
        <v>2</v>
      </c>
      <c r="L697" s="202">
        <v>5</v>
      </c>
    </row>
    <row r="698" spans="8:12" x14ac:dyDescent="0.25">
      <c r="H698" s="51">
        <v>3</v>
      </c>
      <c r="I698" s="622">
        <v>3</v>
      </c>
      <c r="K698" s="318">
        <v>3</v>
      </c>
      <c r="L698" s="202">
        <v>3</v>
      </c>
    </row>
    <row r="699" spans="8:12" x14ac:dyDescent="0.25">
      <c r="H699" s="51">
        <v>2</v>
      </c>
      <c r="I699" s="622">
        <v>4</v>
      </c>
      <c r="K699" s="318">
        <v>3</v>
      </c>
      <c r="L699" s="202">
        <v>3</v>
      </c>
    </row>
    <row r="700" spans="8:12" x14ac:dyDescent="0.25">
      <c r="H700" s="51">
        <v>2</v>
      </c>
      <c r="I700" s="622">
        <v>3</v>
      </c>
      <c r="K700" s="318">
        <v>4</v>
      </c>
      <c r="L700" s="202">
        <v>3</v>
      </c>
    </row>
    <row r="701" spans="8:12" x14ac:dyDescent="0.25">
      <c r="H701" s="51">
        <v>3</v>
      </c>
      <c r="I701" s="622">
        <v>3</v>
      </c>
      <c r="K701" s="318">
        <v>2</v>
      </c>
      <c r="L701" s="202">
        <v>3</v>
      </c>
    </row>
    <row r="702" spans="8:12" x14ac:dyDescent="0.25">
      <c r="H702" s="51">
        <v>2</v>
      </c>
      <c r="I702" s="622">
        <v>3</v>
      </c>
      <c r="K702" s="318">
        <v>3</v>
      </c>
      <c r="L702" s="202">
        <v>3</v>
      </c>
    </row>
    <row r="703" spans="8:12" x14ac:dyDescent="0.25">
      <c r="H703" s="51">
        <v>2</v>
      </c>
      <c r="I703" s="622">
        <v>3</v>
      </c>
      <c r="K703" s="318">
        <v>3</v>
      </c>
      <c r="L703" s="202">
        <v>5</v>
      </c>
    </row>
    <row r="704" spans="8:12" x14ac:dyDescent="0.25">
      <c r="H704" s="51">
        <v>3</v>
      </c>
      <c r="I704" s="622">
        <v>3</v>
      </c>
      <c r="K704" s="318">
        <v>3</v>
      </c>
      <c r="L704" s="202">
        <v>3</v>
      </c>
    </row>
    <row r="705" spans="8:12" x14ac:dyDescent="0.25">
      <c r="H705" s="51">
        <v>3</v>
      </c>
      <c r="I705" s="622">
        <v>4</v>
      </c>
      <c r="K705" s="318">
        <v>2</v>
      </c>
      <c r="L705" s="202">
        <v>4</v>
      </c>
    </row>
    <row r="706" spans="8:12" x14ac:dyDescent="0.25">
      <c r="H706" s="51">
        <v>3</v>
      </c>
      <c r="I706" s="622">
        <v>3</v>
      </c>
      <c r="K706" s="318">
        <v>2</v>
      </c>
      <c r="L706" s="202">
        <v>3</v>
      </c>
    </row>
    <row r="707" spans="8:12" x14ac:dyDescent="0.25">
      <c r="H707" s="51">
        <v>2</v>
      </c>
      <c r="I707" s="622">
        <v>3</v>
      </c>
      <c r="K707" s="318">
        <v>3</v>
      </c>
      <c r="L707" s="202">
        <v>3</v>
      </c>
    </row>
    <row r="708" spans="8:12" x14ac:dyDescent="0.25">
      <c r="H708" s="51">
        <v>2</v>
      </c>
      <c r="I708" s="622">
        <v>4</v>
      </c>
      <c r="K708" s="318">
        <v>2</v>
      </c>
      <c r="L708" s="202">
        <v>4</v>
      </c>
    </row>
    <row r="709" spans="8:12" x14ac:dyDescent="0.25">
      <c r="H709" s="51">
        <v>3</v>
      </c>
      <c r="I709" s="622">
        <v>3</v>
      </c>
      <c r="K709" s="318">
        <v>4</v>
      </c>
      <c r="L709" s="202">
        <v>4</v>
      </c>
    </row>
    <row r="710" spans="8:12" x14ac:dyDescent="0.25">
      <c r="H710" s="51">
        <v>3</v>
      </c>
      <c r="I710" s="622">
        <v>4</v>
      </c>
      <c r="K710" s="318">
        <v>2</v>
      </c>
      <c r="L710" s="202">
        <v>3</v>
      </c>
    </row>
    <row r="711" spans="8:12" x14ac:dyDescent="0.25">
      <c r="H711" s="51">
        <v>2</v>
      </c>
      <c r="I711" s="622">
        <v>3</v>
      </c>
      <c r="K711" s="318">
        <v>2</v>
      </c>
      <c r="L711" s="202">
        <v>3</v>
      </c>
    </row>
    <row r="712" spans="8:12" x14ac:dyDescent="0.25">
      <c r="H712" s="51">
        <v>2</v>
      </c>
      <c r="I712" s="622">
        <v>4</v>
      </c>
      <c r="K712" s="318">
        <v>3</v>
      </c>
      <c r="L712" s="202">
        <v>5</v>
      </c>
    </row>
    <row r="713" spans="8:12" x14ac:dyDescent="0.25">
      <c r="H713" s="51">
        <v>2</v>
      </c>
      <c r="I713" s="622">
        <v>3</v>
      </c>
      <c r="K713" s="318">
        <v>3</v>
      </c>
      <c r="L713" s="202">
        <v>3</v>
      </c>
    </row>
    <row r="714" spans="8:12" x14ac:dyDescent="0.25">
      <c r="H714" s="51">
        <v>4</v>
      </c>
      <c r="I714" s="622">
        <v>3</v>
      </c>
      <c r="K714" s="318">
        <v>4</v>
      </c>
      <c r="L714" s="202">
        <v>3</v>
      </c>
    </row>
    <row r="715" spans="8:12" x14ac:dyDescent="0.25">
      <c r="H715" s="51">
        <v>4</v>
      </c>
      <c r="I715" s="622">
        <v>3</v>
      </c>
      <c r="K715" s="318">
        <v>3</v>
      </c>
      <c r="L715" s="202">
        <v>3</v>
      </c>
    </row>
    <row r="716" spans="8:12" x14ac:dyDescent="0.25">
      <c r="H716" s="51">
        <v>4</v>
      </c>
      <c r="I716" s="622">
        <v>3</v>
      </c>
      <c r="K716" s="318">
        <v>2</v>
      </c>
      <c r="L716" s="202">
        <v>5</v>
      </c>
    </row>
    <row r="717" spans="8:12" x14ac:dyDescent="0.25">
      <c r="H717" s="51">
        <v>2</v>
      </c>
      <c r="I717" s="622">
        <v>4</v>
      </c>
      <c r="K717" s="318">
        <v>2</v>
      </c>
      <c r="L717" s="202">
        <v>3</v>
      </c>
    </row>
    <row r="718" spans="8:12" x14ac:dyDescent="0.25">
      <c r="H718" s="51">
        <v>2</v>
      </c>
      <c r="I718" s="622">
        <v>3</v>
      </c>
      <c r="K718" s="318">
        <v>3</v>
      </c>
      <c r="L718" s="202">
        <v>3</v>
      </c>
    </row>
    <row r="719" spans="8:12" x14ac:dyDescent="0.25">
      <c r="H719" s="51">
        <v>2</v>
      </c>
      <c r="I719" s="622">
        <v>3</v>
      </c>
      <c r="K719" s="318">
        <v>3</v>
      </c>
      <c r="L719" s="202">
        <v>3</v>
      </c>
    </row>
    <row r="720" spans="8:12" x14ac:dyDescent="0.25">
      <c r="H720" s="51">
        <v>3</v>
      </c>
      <c r="I720" s="622">
        <v>3</v>
      </c>
      <c r="K720" s="318">
        <v>2</v>
      </c>
      <c r="L720" s="202">
        <v>3</v>
      </c>
    </row>
    <row r="721" spans="8:12" x14ac:dyDescent="0.25">
      <c r="H721" s="51">
        <v>2</v>
      </c>
      <c r="I721" s="622">
        <v>4</v>
      </c>
      <c r="K721" s="318">
        <v>2</v>
      </c>
      <c r="L721" s="202">
        <v>3</v>
      </c>
    </row>
    <row r="722" spans="8:12" x14ac:dyDescent="0.25">
      <c r="H722" s="51">
        <v>3</v>
      </c>
      <c r="I722" s="622">
        <v>3</v>
      </c>
      <c r="K722" s="318">
        <v>2</v>
      </c>
      <c r="L722" s="202">
        <v>3</v>
      </c>
    </row>
    <row r="723" spans="8:12" x14ac:dyDescent="0.25">
      <c r="H723" s="51">
        <v>3</v>
      </c>
      <c r="I723" s="622">
        <v>3</v>
      </c>
      <c r="K723" s="318">
        <v>2</v>
      </c>
      <c r="L723" s="202">
        <v>5</v>
      </c>
    </row>
    <row r="724" spans="8:12" x14ac:dyDescent="0.25">
      <c r="H724" s="51">
        <v>3</v>
      </c>
      <c r="I724" s="622">
        <v>3</v>
      </c>
      <c r="K724" s="318">
        <v>2</v>
      </c>
      <c r="L724" s="202">
        <v>3</v>
      </c>
    </row>
    <row r="725" spans="8:12" x14ac:dyDescent="0.25">
      <c r="H725" s="51">
        <v>2</v>
      </c>
      <c r="I725" s="622">
        <v>3</v>
      </c>
      <c r="K725" s="318">
        <v>2</v>
      </c>
      <c r="L725" s="202">
        <v>3</v>
      </c>
    </row>
    <row r="726" spans="8:12" x14ac:dyDescent="0.25">
      <c r="H726" s="51">
        <v>3</v>
      </c>
      <c r="I726" s="622">
        <v>3</v>
      </c>
      <c r="K726" s="318">
        <v>3</v>
      </c>
      <c r="L726" s="202">
        <v>3</v>
      </c>
    </row>
    <row r="727" spans="8:12" x14ac:dyDescent="0.25">
      <c r="H727" s="51">
        <v>3</v>
      </c>
      <c r="I727" s="622">
        <v>3</v>
      </c>
      <c r="K727" s="318">
        <v>3</v>
      </c>
      <c r="L727" s="202">
        <v>3</v>
      </c>
    </row>
    <row r="728" spans="8:12" x14ac:dyDescent="0.25">
      <c r="H728" s="51">
        <v>2</v>
      </c>
      <c r="I728" s="622">
        <v>3</v>
      </c>
      <c r="K728" s="318">
        <v>2</v>
      </c>
      <c r="L728" s="202">
        <v>4</v>
      </c>
    </row>
    <row r="729" spans="8:12" x14ac:dyDescent="0.25">
      <c r="H729" s="51">
        <v>3</v>
      </c>
      <c r="I729" s="622">
        <v>3</v>
      </c>
      <c r="K729" s="318">
        <v>3</v>
      </c>
      <c r="L729" s="202">
        <v>3</v>
      </c>
    </row>
    <row r="730" spans="8:12" x14ac:dyDescent="0.25">
      <c r="H730" s="51">
        <v>2</v>
      </c>
      <c r="I730" s="622">
        <v>4</v>
      </c>
      <c r="K730" s="318">
        <v>2</v>
      </c>
      <c r="L730" s="202">
        <v>3</v>
      </c>
    </row>
    <row r="731" spans="8:12" x14ac:dyDescent="0.25">
      <c r="H731" s="51">
        <v>3</v>
      </c>
      <c r="I731" s="622">
        <v>3</v>
      </c>
      <c r="K731" s="318">
        <v>3</v>
      </c>
      <c r="L731" s="202">
        <v>3</v>
      </c>
    </row>
    <row r="732" spans="8:12" x14ac:dyDescent="0.25">
      <c r="H732" s="51">
        <v>2</v>
      </c>
      <c r="I732" s="622">
        <v>3</v>
      </c>
      <c r="K732" s="318">
        <v>2</v>
      </c>
      <c r="L732" s="202">
        <v>3</v>
      </c>
    </row>
    <row r="733" spans="8:12" x14ac:dyDescent="0.25">
      <c r="H733" s="51">
        <v>3</v>
      </c>
      <c r="I733" s="622">
        <v>3</v>
      </c>
      <c r="K733" s="318">
        <v>2</v>
      </c>
      <c r="L733" s="202">
        <v>4</v>
      </c>
    </row>
    <row r="734" spans="8:12" x14ac:dyDescent="0.25">
      <c r="H734" s="51">
        <v>3</v>
      </c>
      <c r="I734" s="622">
        <v>4</v>
      </c>
      <c r="K734" s="318">
        <v>4</v>
      </c>
      <c r="L734" s="202">
        <v>3</v>
      </c>
    </row>
    <row r="735" spans="8:12" x14ac:dyDescent="0.25">
      <c r="H735" s="51">
        <v>3</v>
      </c>
      <c r="I735" s="622">
        <v>3</v>
      </c>
      <c r="K735" s="318">
        <v>2</v>
      </c>
      <c r="L735" s="202">
        <v>4</v>
      </c>
    </row>
    <row r="736" spans="8:12" x14ac:dyDescent="0.25">
      <c r="H736" s="51">
        <v>2</v>
      </c>
      <c r="I736" s="622">
        <v>3</v>
      </c>
      <c r="K736" s="318">
        <v>2</v>
      </c>
      <c r="L736" s="202">
        <v>5</v>
      </c>
    </row>
    <row r="737" spans="8:12" x14ac:dyDescent="0.25">
      <c r="H737" s="51">
        <v>3</v>
      </c>
      <c r="I737" s="622">
        <v>5</v>
      </c>
      <c r="K737" s="318">
        <v>3</v>
      </c>
      <c r="L737" s="202">
        <v>3</v>
      </c>
    </row>
    <row r="738" spans="8:12" x14ac:dyDescent="0.25">
      <c r="H738" s="51">
        <v>2</v>
      </c>
      <c r="I738" s="622">
        <v>4</v>
      </c>
      <c r="K738" s="318">
        <v>2</v>
      </c>
      <c r="L738" s="202">
        <v>4</v>
      </c>
    </row>
    <row r="739" spans="8:12" x14ac:dyDescent="0.25">
      <c r="H739" s="51">
        <v>3</v>
      </c>
      <c r="I739" s="622">
        <v>3</v>
      </c>
      <c r="K739" s="318">
        <v>2</v>
      </c>
      <c r="L739" s="202">
        <v>5</v>
      </c>
    </row>
    <row r="740" spans="8:12" x14ac:dyDescent="0.25">
      <c r="H740" s="51">
        <v>2</v>
      </c>
      <c r="I740" s="622">
        <v>5</v>
      </c>
      <c r="K740" s="318">
        <v>3</v>
      </c>
      <c r="L740" s="202">
        <v>3</v>
      </c>
    </row>
    <row r="741" spans="8:12" x14ac:dyDescent="0.25">
      <c r="H741" s="51">
        <v>2</v>
      </c>
      <c r="I741" s="622">
        <v>3</v>
      </c>
      <c r="K741" s="318">
        <v>2</v>
      </c>
      <c r="L741" s="202">
        <v>5</v>
      </c>
    </row>
    <row r="742" spans="8:12" x14ac:dyDescent="0.25">
      <c r="H742" s="51">
        <v>3</v>
      </c>
      <c r="I742" s="622">
        <v>3</v>
      </c>
      <c r="K742" s="318">
        <v>3</v>
      </c>
      <c r="L742" s="202">
        <v>3</v>
      </c>
    </row>
    <row r="743" spans="8:12" x14ac:dyDescent="0.25">
      <c r="H743" s="51">
        <v>4</v>
      </c>
      <c r="I743" s="622">
        <v>4</v>
      </c>
      <c r="K743" s="318">
        <v>4</v>
      </c>
      <c r="L743" s="202">
        <v>3</v>
      </c>
    </row>
    <row r="744" spans="8:12" x14ac:dyDescent="0.25">
      <c r="H744" s="51">
        <v>2</v>
      </c>
      <c r="I744" s="622">
        <v>5</v>
      </c>
      <c r="K744" s="318">
        <v>3</v>
      </c>
      <c r="L744" s="202">
        <v>5</v>
      </c>
    </row>
    <row r="745" spans="8:12" x14ac:dyDescent="0.25">
      <c r="H745" s="51">
        <v>2</v>
      </c>
      <c r="I745" s="622">
        <v>3</v>
      </c>
      <c r="K745" s="318">
        <v>4</v>
      </c>
      <c r="L745" s="202">
        <v>3</v>
      </c>
    </row>
    <row r="746" spans="8:12" x14ac:dyDescent="0.25">
      <c r="H746" s="51">
        <v>4</v>
      </c>
      <c r="I746" s="622">
        <v>3</v>
      </c>
      <c r="K746" s="318">
        <v>3</v>
      </c>
      <c r="L746" s="202">
        <v>4</v>
      </c>
    </row>
    <row r="747" spans="8:12" x14ac:dyDescent="0.25">
      <c r="H747" s="51">
        <v>2</v>
      </c>
      <c r="I747" s="622">
        <v>3</v>
      </c>
      <c r="K747" s="318">
        <v>4</v>
      </c>
      <c r="L747" s="202">
        <v>3</v>
      </c>
    </row>
    <row r="748" spans="8:12" x14ac:dyDescent="0.25">
      <c r="H748" s="51">
        <v>2</v>
      </c>
      <c r="I748" s="622">
        <v>5</v>
      </c>
      <c r="K748" s="318">
        <v>2</v>
      </c>
      <c r="L748" s="202">
        <v>3</v>
      </c>
    </row>
    <row r="749" spans="8:12" x14ac:dyDescent="0.25">
      <c r="H749" s="51">
        <v>3</v>
      </c>
      <c r="I749" s="622">
        <v>3</v>
      </c>
      <c r="K749" s="318">
        <v>3</v>
      </c>
      <c r="L749" s="202">
        <v>4</v>
      </c>
    </row>
    <row r="750" spans="8:12" x14ac:dyDescent="0.25">
      <c r="H750" s="51">
        <v>3</v>
      </c>
      <c r="I750" s="622">
        <v>4</v>
      </c>
      <c r="K750" s="318">
        <v>3</v>
      </c>
      <c r="L750" s="202">
        <v>4</v>
      </c>
    </row>
    <row r="751" spans="8:12" x14ac:dyDescent="0.25">
      <c r="H751" s="51">
        <v>3</v>
      </c>
      <c r="I751" s="622">
        <v>3</v>
      </c>
      <c r="K751" s="318">
        <v>2</v>
      </c>
      <c r="L751" s="202">
        <v>5</v>
      </c>
    </row>
    <row r="752" spans="8:12" x14ac:dyDescent="0.25">
      <c r="H752" s="51">
        <v>2</v>
      </c>
      <c r="I752" s="622">
        <v>5</v>
      </c>
      <c r="K752" s="318">
        <v>2</v>
      </c>
      <c r="L752" s="202">
        <v>3</v>
      </c>
    </row>
    <row r="753" spans="8:12" x14ac:dyDescent="0.25">
      <c r="H753" s="51">
        <v>2</v>
      </c>
      <c r="I753" s="622">
        <v>3</v>
      </c>
      <c r="K753" s="318">
        <v>2</v>
      </c>
      <c r="L753" s="202">
        <v>4</v>
      </c>
    </row>
    <row r="754" spans="8:12" x14ac:dyDescent="0.25">
      <c r="H754" s="51">
        <v>3</v>
      </c>
      <c r="I754" s="622">
        <v>3</v>
      </c>
      <c r="K754" s="318">
        <v>3</v>
      </c>
      <c r="L754" s="202">
        <v>5</v>
      </c>
    </row>
    <row r="755" spans="8:12" x14ac:dyDescent="0.25">
      <c r="H755" s="51">
        <v>3</v>
      </c>
      <c r="I755" s="622">
        <v>3</v>
      </c>
      <c r="K755" s="318">
        <v>3</v>
      </c>
      <c r="L755" s="202">
        <v>3</v>
      </c>
    </row>
    <row r="756" spans="8:12" x14ac:dyDescent="0.25">
      <c r="H756" s="51">
        <v>3</v>
      </c>
      <c r="I756" s="622">
        <v>3</v>
      </c>
      <c r="K756" s="318">
        <v>2</v>
      </c>
      <c r="L756" s="202">
        <v>3</v>
      </c>
    </row>
    <row r="757" spans="8:12" x14ac:dyDescent="0.25">
      <c r="H757" s="51">
        <v>4</v>
      </c>
      <c r="I757" s="622">
        <v>3</v>
      </c>
      <c r="K757" s="318">
        <v>2</v>
      </c>
      <c r="L757" s="202">
        <v>5</v>
      </c>
    </row>
    <row r="758" spans="8:12" x14ac:dyDescent="0.25">
      <c r="H758" s="51">
        <v>2</v>
      </c>
      <c r="I758" s="622">
        <v>3</v>
      </c>
      <c r="K758" s="318">
        <v>4</v>
      </c>
      <c r="L758" s="202">
        <v>3</v>
      </c>
    </row>
    <row r="759" spans="8:12" x14ac:dyDescent="0.25">
      <c r="H759" s="51">
        <v>3</v>
      </c>
      <c r="I759" s="622">
        <v>3</v>
      </c>
      <c r="K759" s="318">
        <v>2</v>
      </c>
      <c r="L759" s="202">
        <v>3</v>
      </c>
    </row>
    <row r="760" spans="8:12" x14ac:dyDescent="0.25">
      <c r="H760" s="51">
        <v>3</v>
      </c>
      <c r="I760" s="622">
        <v>4</v>
      </c>
      <c r="K760" s="318">
        <v>2</v>
      </c>
      <c r="L760" s="202">
        <v>4</v>
      </c>
    </row>
    <row r="761" spans="8:12" x14ac:dyDescent="0.25">
      <c r="H761" s="51">
        <v>3</v>
      </c>
      <c r="I761" s="622">
        <v>4</v>
      </c>
      <c r="K761" s="318">
        <v>3</v>
      </c>
      <c r="L761" s="202">
        <v>3</v>
      </c>
    </row>
    <row r="762" spans="8:12" x14ac:dyDescent="0.25">
      <c r="H762" s="51">
        <v>2</v>
      </c>
      <c r="I762" s="622">
        <v>3</v>
      </c>
      <c r="K762" s="318">
        <v>2</v>
      </c>
      <c r="L762" s="202">
        <v>3</v>
      </c>
    </row>
    <row r="763" spans="8:12" x14ac:dyDescent="0.25">
      <c r="H763" s="51">
        <v>4</v>
      </c>
      <c r="I763" s="622">
        <v>4</v>
      </c>
      <c r="K763" s="318">
        <v>2</v>
      </c>
      <c r="L763" s="202">
        <v>3</v>
      </c>
    </row>
    <row r="764" spans="8:12" x14ac:dyDescent="0.25">
      <c r="H764" s="51">
        <v>2</v>
      </c>
      <c r="I764" s="622">
        <v>3</v>
      </c>
      <c r="K764" s="318">
        <v>2</v>
      </c>
      <c r="L764" s="202">
        <v>5</v>
      </c>
    </row>
    <row r="765" spans="8:12" x14ac:dyDescent="0.25">
      <c r="H765" s="51">
        <v>3</v>
      </c>
      <c r="I765" s="622">
        <v>4</v>
      </c>
      <c r="K765" s="318">
        <v>2</v>
      </c>
      <c r="L765" s="202">
        <v>5</v>
      </c>
    </row>
    <row r="766" spans="8:12" x14ac:dyDescent="0.25">
      <c r="H766" s="51">
        <v>2</v>
      </c>
      <c r="I766" s="622">
        <v>3</v>
      </c>
      <c r="K766" s="318">
        <v>4</v>
      </c>
      <c r="L766" s="202">
        <v>4</v>
      </c>
    </row>
    <row r="767" spans="8:12" x14ac:dyDescent="0.25">
      <c r="H767" s="51">
        <v>4</v>
      </c>
      <c r="I767" s="622">
        <v>4</v>
      </c>
      <c r="K767" s="318">
        <v>3</v>
      </c>
      <c r="L767" s="202">
        <v>4</v>
      </c>
    </row>
    <row r="768" spans="8:12" x14ac:dyDescent="0.25">
      <c r="H768" s="51">
        <v>2</v>
      </c>
      <c r="I768" s="622">
        <v>3</v>
      </c>
      <c r="K768" s="318">
        <v>2</v>
      </c>
      <c r="L768" s="202">
        <v>3</v>
      </c>
    </row>
    <row r="769" spans="8:12" x14ac:dyDescent="0.25">
      <c r="H769" s="51">
        <v>2</v>
      </c>
      <c r="I769" s="622">
        <v>3</v>
      </c>
      <c r="K769" s="318">
        <v>3</v>
      </c>
      <c r="L769" s="202">
        <v>3</v>
      </c>
    </row>
    <row r="770" spans="8:12" x14ac:dyDescent="0.25">
      <c r="H770" s="51">
        <v>2</v>
      </c>
      <c r="I770" s="622">
        <v>3</v>
      </c>
      <c r="K770" s="318">
        <v>2</v>
      </c>
      <c r="L770" s="202">
        <v>3</v>
      </c>
    </row>
    <row r="771" spans="8:12" x14ac:dyDescent="0.25">
      <c r="H771" s="51">
        <v>2</v>
      </c>
      <c r="I771" s="622">
        <v>5</v>
      </c>
      <c r="K771" s="318">
        <v>2</v>
      </c>
      <c r="L771" s="202">
        <v>5</v>
      </c>
    </row>
    <row r="772" spans="8:12" x14ac:dyDescent="0.25">
      <c r="H772" s="51">
        <v>2</v>
      </c>
      <c r="I772" s="622">
        <v>4</v>
      </c>
      <c r="K772" s="318">
        <v>2</v>
      </c>
      <c r="L772" s="202">
        <v>3</v>
      </c>
    </row>
    <row r="773" spans="8:12" x14ac:dyDescent="0.25">
      <c r="H773" s="51">
        <v>2</v>
      </c>
      <c r="I773" s="622">
        <v>3</v>
      </c>
      <c r="K773" s="318">
        <v>2</v>
      </c>
      <c r="L773" s="202">
        <v>4</v>
      </c>
    </row>
    <row r="774" spans="8:12" x14ac:dyDescent="0.25">
      <c r="H774" s="51">
        <v>4</v>
      </c>
      <c r="I774" s="622">
        <v>3</v>
      </c>
      <c r="K774" s="318">
        <v>3</v>
      </c>
      <c r="L774" s="202">
        <v>5</v>
      </c>
    </row>
    <row r="775" spans="8:12" x14ac:dyDescent="0.25">
      <c r="H775" s="51">
        <v>2</v>
      </c>
      <c r="I775" s="622">
        <v>3</v>
      </c>
      <c r="K775" s="318">
        <v>2</v>
      </c>
      <c r="L775" s="202">
        <v>3</v>
      </c>
    </row>
    <row r="776" spans="8:12" x14ac:dyDescent="0.25">
      <c r="H776" s="51">
        <v>4</v>
      </c>
      <c r="I776" s="622">
        <v>3</v>
      </c>
      <c r="K776" s="318">
        <v>3</v>
      </c>
      <c r="L776" s="202">
        <v>3</v>
      </c>
    </row>
    <row r="777" spans="8:12" x14ac:dyDescent="0.25">
      <c r="H777" s="51">
        <v>4</v>
      </c>
      <c r="I777" s="622">
        <v>4</v>
      </c>
      <c r="K777" s="318">
        <v>2</v>
      </c>
      <c r="L777" s="202">
        <v>3</v>
      </c>
    </row>
    <row r="778" spans="8:12" x14ac:dyDescent="0.25">
      <c r="H778" s="51">
        <v>3</v>
      </c>
      <c r="I778" s="622">
        <v>4</v>
      </c>
      <c r="K778" s="318">
        <v>2</v>
      </c>
      <c r="L778" s="202">
        <v>3</v>
      </c>
    </row>
    <row r="779" spans="8:12" x14ac:dyDescent="0.25">
      <c r="H779" s="51">
        <v>2</v>
      </c>
      <c r="I779" s="622">
        <v>3</v>
      </c>
      <c r="K779" s="318">
        <v>3</v>
      </c>
      <c r="L779" s="202">
        <v>3</v>
      </c>
    </row>
    <row r="780" spans="8:12" x14ac:dyDescent="0.25">
      <c r="H780" s="51">
        <v>3</v>
      </c>
      <c r="I780" s="622">
        <v>3</v>
      </c>
      <c r="K780" s="318">
        <v>2</v>
      </c>
      <c r="L780" s="202">
        <v>5</v>
      </c>
    </row>
    <row r="781" spans="8:12" x14ac:dyDescent="0.25">
      <c r="H781" s="51">
        <v>3</v>
      </c>
      <c r="I781" s="622">
        <v>4</v>
      </c>
      <c r="K781" s="318">
        <v>2</v>
      </c>
      <c r="L781" s="202">
        <v>4</v>
      </c>
    </row>
    <row r="782" spans="8:12" x14ac:dyDescent="0.25">
      <c r="H782" s="51">
        <v>2</v>
      </c>
      <c r="I782" s="622">
        <v>3</v>
      </c>
      <c r="K782" s="318">
        <v>3</v>
      </c>
      <c r="L782" s="202">
        <v>4</v>
      </c>
    </row>
    <row r="783" spans="8:12" x14ac:dyDescent="0.25">
      <c r="H783" s="51">
        <v>3</v>
      </c>
      <c r="I783" s="622">
        <v>3</v>
      </c>
      <c r="K783" s="318">
        <v>2</v>
      </c>
      <c r="L783" s="202">
        <v>4</v>
      </c>
    </row>
    <row r="784" spans="8:12" x14ac:dyDescent="0.25">
      <c r="H784" s="51">
        <v>2</v>
      </c>
      <c r="I784" s="622">
        <v>5</v>
      </c>
      <c r="K784" s="318">
        <v>3</v>
      </c>
      <c r="L784" s="202">
        <v>4</v>
      </c>
    </row>
    <row r="785" spans="8:12" x14ac:dyDescent="0.25">
      <c r="H785" s="51">
        <v>2</v>
      </c>
      <c r="I785" s="622">
        <v>3</v>
      </c>
      <c r="K785" s="318">
        <v>3</v>
      </c>
      <c r="L785" s="202">
        <v>4</v>
      </c>
    </row>
    <row r="786" spans="8:12" x14ac:dyDescent="0.25">
      <c r="H786" s="51">
        <v>2</v>
      </c>
      <c r="I786" s="622">
        <v>5</v>
      </c>
      <c r="K786" s="318">
        <v>2</v>
      </c>
      <c r="L786" s="202">
        <v>4</v>
      </c>
    </row>
    <row r="787" spans="8:12" x14ac:dyDescent="0.25">
      <c r="H787" s="51">
        <v>4</v>
      </c>
      <c r="I787" s="622">
        <v>5</v>
      </c>
      <c r="K787" s="318">
        <v>2</v>
      </c>
      <c r="L787" s="202">
        <v>3</v>
      </c>
    </row>
    <row r="788" spans="8:12" x14ac:dyDescent="0.25">
      <c r="H788" s="51">
        <v>2</v>
      </c>
      <c r="I788" s="622">
        <v>3</v>
      </c>
      <c r="K788" s="318">
        <v>2</v>
      </c>
      <c r="L788" s="202">
        <v>4</v>
      </c>
    </row>
    <row r="789" spans="8:12" x14ac:dyDescent="0.25">
      <c r="H789" s="51">
        <v>2</v>
      </c>
      <c r="I789" s="622">
        <v>3</v>
      </c>
      <c r="K789" s="318">
        <v>4</v>
      </c>
      <c r="L789" s="202">
        <v>5</v>
      </c>
    </row>
    <row r="790" spans="8:12" x14ac:dyDescent="0.25">
      <c r="H790" s="51">
        <v>4</v>
      </c>
      <c r="I790" s="622">
        <v>4</v>
      </c>
      <c r="K790" s="318">
        <v>3</v>
      </c>
      <c r="L790" s="202">
        <v>3</v>
      </c>
    </row>
    <row r="791" spans="8:12" x14ac:dyDescent="0.25">
      <c r="H791" s="51">
        <v>3</v>
      </c>
      <c r="I791" s="622">
        <v>3</v>
      </c>
      <c r="K791" s="318">
        <v>2</v>
      </c>
      <c r="L791" s="202">
        <v>3</v>
      </c>
    </row>
    <row r="792" spans="8:12" x14ac:dyDescent="0.25">
      <c r="H792" s="51">
        <v>3</v>
      </c>
      <c r="I792" s="622">
        <v>4</v>
      </c>
      <c r="K792" s="318">
        <v>4</v>
      </c>
      <c r="L792" s="202">
        <v>3</v>
      </c>
    </row>
    <row r="793" spans="8:12" x14ac:dyDescent="0.25">
      <c r="H793" s="51">
        <v>4</v>
      </c>
      <c r="I793" s="622">
        <v>3</v>
      </c>
      <c r="K793" s="318">
        <v>2</v>
      </c>
      <c r="L793" s="202">
        <v>3</v>
      </c>
    </row>
    <row r="794" spans="8:12" x14ac:dyDescent="0.25">
      <c r="H794" s="51">
        <v>3</v>
      </c>
      <c r="I794" s="622">
        <v>4</v>
      </c>
      <c r="K794" s="318">
        <v>3</v>
      </c>
      <c r="L794" s="202">
        <v>3</v>
      </c>
    </row>
    <row r="795" spans="8:12" x14ac:dyDescent="0.25">
      <c r="H795" s="51">
        <v>3</v>
      </c>
      <c r="I795" s="622">
        <v>4</v>
      </c>
      <c r="K795" s="318">
        <v>4</v>
      </c>
      <c r="L795" s="202">
        <v>3</v>
      </c>
    </row>
    <row r="796" spans="8:12" x14ac:dyDescent="0.25">
      <c r="H796" s="51">
        <v>3</v>
      </c>
      <c r="I796" s="622">
        <v>4</v>
      </c>
      <c r="K796" s="318">
        <v>4</v>
      </c>
      <c r="L796" s="202">
        <v>4</v>
      </c>
    </row>
    <row r="797" spans="8:12" x14ac:dyDescent="0.25">
      <c r="H797" s="51">
        <v>2</v>
      </c>
      <c r="I797" s="622">
        <v>3</v>
      </c>
      <c r="K797" s="318">
        <v>2</v>
      </c>
      <c r="L797" s="202">
        <v>4</v>
      </c>
    </row>
    <row r="798" spans="8:12" x14ac:dyDescent="0.25">
      <c r="H798" s="51">
        <v>2</v>
      </c>
      <c r="I798" s="622">
        <v>3</v>
      </c>
      <c r="K798" s="318">
        <v>4</v>
      </c>
      <c r="L798" s="202">
        <v>4</v>
      </c>
    </row>
    <row r="799" spans="8:12" x14ac:dyDescent="0.25">
      <c r="H799" s="51">
        <v>2</v>
      </c>
      <c r="I799" s="622">
        <v>3</v>
      </c>
      <c r="K799" s="318">
        <v>2</v>
      </c>
      <c r="L799" s="202">
        <v>4</v>
      </c>
    </row>
    <row r="800" spans="8:12" x14ac:dyDescent="0.25">
      <c r="H800" s="51">
        <v>4</v>
      </c>
      <c r="I800" s="622">
        <v>3</v>
      </c>
      <c r="K800" s="318">
        <v>2</v>
      </c>
      <c r="L800" s="202">
        <v>3</v>
      </c>
    </row>
    <row r="801" spans="8:12" x14ac:dyDescent="0.25">
      <c r="H801" s="51">
        <v>2</v>
      </c>
      <c r="I801" s="622">
        <v>3</v>
      </c>
      <c r="K801" s="318">
        <v>2</v>
      </c>
      <c r="L801" s="202">
        <v>3</v>
      </c>
    </row>
    <row r="802" spans="8:12" x14ac:dyDescent="0.25">
      <c r="H802" s="51">
        <v>3</v>
      </c>
      <c r="I802" s="622">
        <v>4</v>
      </c>
      <c r="K802" s="318">
        <v>2</v>
      </c>
      <c r="L802" s="202">
        <v>3</v>
      </c>
    </row>
    <row r="803" spans="8:12" x14ac:dyDescent="0.25">
      <c r="H803" s="51">
        <v>3</v>
      </c>
      <c r="I803" s="622">
        <v>5</v>
      </c>
      <c r="K803" s="318">
        <v>3</v>
      </c>
      <c r="L803" s="202">
        <v>3</v>
      </c>
    </row>
    <row r="804" spans="8:12" x14ac:dyDescent="0.25">
      <c r="H804" s="51">
        <v>4</v>
      </c>
      <c r="I804" s="622">
        <v>3</v>
      </c>
      <c r="K804" s="318">
        <v>3</v>
      </c>
      <c r="L804" s="202">
        <v>3</v>
      </c>
    </row>
    <row r="805" spans="8:12" x14ac:dyDescent="0.25">
      <c r="H805" s="51">
        <v>4</v>
      </c>
      <c r="I805" s="622">
        <v>3</v>
      </c>
      <c r="K805" s="318">
        <v>2</v>
      </c>
      <c r="L805" s="202">
        <v>3</v>
      </c>
    </row>
    <row r="806" spans="8:12" x14ac:dyDescent="0.25">
      <c r="H806" s="51">
        <v>3</v>
      </c>
      <c r="I806" s="622">
        <v>3</v>
      </c>
      <c r="K806" s="318">
        <v>2</v>
      </c>
      <c r="L806" s="202">
        <v>5</v>
      </c>
    </row>
    <row r="807" spans="8:12" x14ac:dyDescent="0.25">
      <c r="H807" s="51">
        <v>2</v>
      </c>
      <c r="I807" s="622">
        <v>3</v>
      </c>
      <c r="K807" s="318">
        <v>2</v>
      </c>
      <c r="L807" s="202">
        <v>3</v>
      </c>
    </row>
    <row r="808" spans="8:12" x14ac:dyDescent="0.25">
      <c r="H808" s="51">
        <v>3</v>
      </c>
      <c r="I808" s="622">
        <v>3</v>
      </c>
      <c r="K808" s="318">
        <v>2</v>
      </c>
      <c r="L808" s="202">
        <v>4</v>
      </c>
    </row>
    <row r="809" spans="8:12" x14ac:dyDescent="0.25">
      <c r="H809" s="51">
        <v>2</v>
      </c>
      <c r="I809" s="622">
        <v>3</v>
      </c>
      <c r="K809" s="318">
        <v>2</v>
      </c>
      <c r="L809" s="202">
        <v>5</v>
      </c>
    </row>
    <row r="810" spans="8:12" x14ac:dyDescent="0.25">
      <c r="H810" s="51">
        <v>3</v>
      </c>
      <c r="I810" s="622">
        <v>4</v>
      </c>
      <c r="K810" s="318">
        <v>2</v>
      </c>
      <c r="L810" s="202">
        <v>4</v>
      </c>
    </row>
    <row r="811" spans="8:12" x14ac:dyDescent="0.25">
      <c r="H811" s="51">
        <v>3</v>
      </c>
      <c r="I811" s="622">
        <v>3</v>
      </c>
      <c r="K811" s="318">
        <v>3</v>
      </c>
      <c r="L811" s="202">
        <v>5</v>
      </c>
    </row>
    <row r="812" spans="8:12" x14ac:dyDescent="0.25">
      <c r="H812" s="51">
        <v>2</v>
      </c>
      <c r="I812" s="622">
        <v>3</v>
      </c>
      <c r="K812" s="318">
        <v>3</v>
      </c>
      <c r="L812" s="202">
        <v>4</v>
      </c>
    </row>
    <row r="813" spans="8:12" x14ac:dyDescent="0.25">
      <c r="H813" s="51">
        <v>2</v>
      </c>
      <c r="I813" s="622">
        <v>4</v>
      </c>
      <c r="K813" s="318">
        <v>2</v>
      </c>
      <c r="L813" s="202">
        <v>4</v>
      </c>
    </row>
    <row r="814" spans="8:12" x14ac:dyDescent="0.25">
      <c r="H814" s="51">
        <v>4</v>
      </c>
      <c r="I814" s="622">
        <v>3</v>
      </c>
      <c r="K814" s="318">
        <v>3</v>
      </c>
      <c r="L814" s="202">
        <v>4</v>
      </c>
    </row>
    <row r="815" spans="8:12" x14ac:dyDescent="0.25">
      <c r="H815" s="51">
        <v>3</v>
      </c>
      <c r="I815" s="622">
        <v>3</v>
      </c>
      <c r="K815" s="318">
        <v>2</v>
      </c>
      <c r="L815" s="202">
        <v>3</v>
      </c>
    </row>
    <row r="816" spans="8:12" x14ac:dyDescent="0.25">
      <c r="H816" s="51">
        <v>3</v>
      </c>
      <c r="I816" s="622">
        <v>3</v>
      </c>
      <c r="K816" s="318">
        <v>2</v>
      </c>
      <c r="L816" s="202">
        <v>3</v>
      </c>
    </row>
    <row r="817" spans="8:12" x14ac:dyDescent="0.25">
      <c r="H817" s="51">
        <v>3</v>
      </c>
      <c r="I817" s="622">
        <v>3</v>
      </c>
      <c r="K817" s="318">
        <v>2</v>
      </c>
      <c r="L817" s="202">
        <v>3</v>
      </c>
    </row>
    <row r="818" spans="8:12" x14ac:dyDescent="0.25">
      <c r="H818" s="51">
        <v>4</v>
      </c>
      <c r="I818" s="622">
        <v>3</v>
      </c>
      <c r="K818" s="318">
        <v>3</v>
      </c>
      <c r="L818" s="202">
        <v>5</v>
      </c>
    </row>
    <row r="819" spans="8:12" x14ac:dyDescent="0.25">
      <c r="H819" s="51">
        <v>2</v>
      </c>
      <c r="I819" s="622">
        <v>4</v>
      </c>
      <c r="K819" s="318">
        <v>3</v>
      </c>
      <c r="L819" s="202">
        <v>4</v>
      </c>
    </row>
    <row r="820" spans="8:12" x14ac:dyDescent="0.25">
      <c r="H820" s="51">
        <v>2</v>
      </c>
      <c r="I820" s="622">
        <v>3</v>
      </c>
      <c r="K820" s="318">
        <v>4</v>
      </c>
      <c r="L820" s="202">
        <v>5</v>
      </c>
    </row>
    <row r="821" spans="8:12" x14ac:dyDescent="0.25">
      <c r="H821" s="51">
        <v>3</v>
      </c>
      <c r="I821" s="622">
        <v>3</v>
      </c>
      <c r="K821" s="318">
        <v>4</v>
      </c>
      <c r="L821" s="202">
        <v>3</v>
      </c>
    </row>
    <row r="822" spans="8:12" x14ac:dyDescent="0.25">
      <c r="H822" s="51">
        <v>4</v>
      </c>
      <c r="I822" s="622">
        <v>3</v>
      </c>
      <c r="K822" s="318">
        <v>2</v>
      </c>
      <c r="L822" s="202">
        <v>3</v>
      </c>
    </row>
    <row r="823" spans="8:12" x14ac:dyDescent="0.25">
      <c r="H823" s="51">
        <v>2</v>
      </c>
      <c r="I823" s="622">
        <v>4</v>
      </c>
      <c r="K823" s="318">
        <v>2</v>
      </c>
      <c r="L823" s="202">
        <v>3</v>
      </c>
    </row>
    <row r="824" spans="8:12" x14ac:dyDescent="0.25">
      <c r="H824" s="51">
        <v>3</v>
      </c>
      <c r="I824" s="622">
        <v>4</v>
      </c>
      <c r="K824" s="318">
        <v>2</v>
      </c>
      <c r="L824" s="202">
        <v>4</v>
      </c>
    </row>
    <row r="825" spans="8:12" x14ac:dyDescent="0.25">
      <c r="H825" s="51">
        <v>4</v>
      </c>
      <c r="I825" s="622">
        <v>3</v>
      </c>
      <c r="K825" s="318">
        <v>2</v>
      </c>
      <c r="L825" s="202">
        <v>3</v>
      </c>
    </row>
    <row r="826" spans="8:12" x14ac:dyDescent="0.25">
      <c r="H826" s="51">
        <v>3</v>
      </c>
      <c r="I826" s="622">
        <v>3</v>
      </c>
      <c r="K826" s="318">
        <v>2</v>
      </c>
      <c r="L826" s="202">
        <v>3</v>
      </c>
    </row>
    <row r="827" spans="8:12" x14ac:dyDescent="0.25">
      <c r="H827" s="51">
        <v>2</v>
      </c>
      <c r="I827" s="622">
        <v>3</v>
      </c>
      <c r="K827" s="318">
        <v>3</v>
      </c>
      <c r="L827" s="202">
        <v>4</v>
      </c>
    </row>
    <row r="828" spans="8:12" x14ac:dyDescent="0.25">
      <c r="H828" s="51">
        <v>4</v>
      </c>
      <c r="I828" s="622">
        <v>3</v>
      </c>
    </row>
    <row r="829" spans="8:12" x14ac:dyDescent="0.25">
      <c r="H829" s="51">
        <v>3</v>
      </c>
      <c r="I829" s="622">
        <v>3</v>
      </c>
    </row>
    <row r="830" spans="8:12" x14ac:dyDescent="0.25">
      <c r="H830" s="51">
        <v>3</v>
      </c>
      <c r="I830" s="622">
        <v>4</v>
      </c>
    </row>
    <row r="831" spans="8:12" x14ac:dyDescent="0.25">
      <c r="H831" s="51">
        <v>4</v>
      </c>
      <c r="I831" s="622">
        <v>3</v>
      </c>
    </row>
    <row r="832" spans="8:12" x14ac:dyDescent="0.25">
      <c r="H832" s="51">
        <v>3</v>
      </c>
      <c r="I832" s="622">
        <v>3</v>
      </c>
    </row>
    <row r="833" spans="8:9" x14ac:dyDescent="0.25">
      <c r="H833" s="51">
        <v>4</v>
      </c>
      <c r="I833" s="622">
        <v>3</v>
      </c>
    </row>
    <row r="834" spans="8:9" x14ac:dyDescent="0.25">
      <c r="H834" s="51">
        <v>3</v>
      </c>
      <c r="I834" s="622">
        <v>3</v>
      </c>
    </row>
    <row r="835" spans="8:9" x14ac:dyDescent="0.25">
      <c r="H835" s="51">
        <v>3</v>
      </c>
      <c r="I835" s="622">
        <v>4</v>
      </c>
    </row>
    <row r="836" spans="8:9" x14ac:dyDescent="0.25">
      <c r="H836" s="51">
        <v>2</v>
      </c>
      <c r="I836" s="622">
        <v>3</v>
      </c>
    </row>
    <row r="837" spans="8:9" x14ac:dyDescent="0.25">
      <c r="H837" s="51">
        <v>3</v>
      </c>
      <c r="I837" s="622">
        <v>3</v>
      </c>
    </row>
    <row r="838" spans="8:9" x14ac:dyDescent="0.25">
      <c r="H838" s="51">
        <v>3</v>
      </c>
      <c r="I838" s="622">
        <v>3</v>
      </c>
    </row>
    <row r="839" spans="8:9" x14ac:dyDescent="0.25">
      <c r="H839" s="51">
        <v>3</v>
      </c>
      <c r="I839" s="622">
        <v>4</v>
      </c>
    </row>
    <row r="840" spans="8:9" x14ac:dyDescent="0.25">
      <c r="H840" s="51">
        <v>3</v>
      </c>
      <c r="I840" s="622">
        <v>3</v>
      </c>
    </row>
    <row r="841" spans="8:9" x14ac:dyDescent="0.25">
      <c r="H841" s="51">
        <v>3</v>
      </c>
      <c r="I841" s="622">
        <v>3</v>
      </c>
    </row>
    <row r="842" spans="8:9" x14ac:dyDescent="0.25">
      <c r="H842" s="51">
        <v>3</v>
      </c>
      <c r="I842" s="622">
        <v>3</v>
      </c>
    </row>
    <row r="843" spans="8:9" x14ac:dyDescent="0.25">
      <c r="H843" s="51">
        <v>2</v>
      </c>
      <c r="I843" s="622">
        <v>4</v>
      </c>
    </row>
    <row r="844" spans="8:9" x14ac:dyDescent="0.25">
      <c r="H844" s="51">
        <v>3</v>
      </c>
      <c r="I844" s="622">
        <v>4</v>
      </c>
    </row>
    <row r="845" spans="8:9" x14ac:dyDescent="0.25">
      <c r="H845" s="51">
        <v>3</v>
      </c>
      <c r="I845" s="622">
        <v>5</v>
      </c>
    </row>
    <row r="846" spans="8:9" x14ac:dyDescent="0.25">
      <c r="H846" s="51">
        <v>2</v>
      </c>
      <c r="I846" s="622">
        <v>3</v>
      </c>
    </row>
    <row r="847" spans="8:9" x14ac:dyDescent="0.25">
      <c r="H847" s="51">
        <v>3</v>
      </c>
      <c r="I847" s="622">
        <v>4</v>
      </c>
    </row>
    <row r="848" spans="8:9" x14ac:dyDescent="0.25">
      <c r="H848" s="51">
        <v>3</v>
      </c>
      <c r="I848" s="622">
        <v>3</v>
      </c>
    </row>
    <row r="849" spans="8:9" x14ac:dyDescent="0.25">
      <c r="H849" s="51">
        <v>3</v>
      </c>
      <c r="I849" s="622">
        <v>5</v>
      </c>
    </row>
    <row r="850" spans="8:9" x14ac:dyDescent="0.25">
      <c r="H850" s="51">
        <v>3</v>
      </c>
      <c r="I850" s="622">
        <v>3</v>
      </c>
    </row>
    <row r="851" spans="8:9" x14ac:dyDescent="0.25">
      <c r="H851" s="51">
        <v>2</v>
      </c>
      <c r="I851" s="622">
        <v>3</v>
      </c>
    </row>
    <row r="852" spans="8:9" x14ac:dyDescent="0.25">
      <c r="H852" s="51">
        <v>2</v>
      </c>
      <c r="I852" s="622">
        <v>4</v>
      </c>
    </row>
    <row r="853" spans="8:9" x14ac:dyDescent="0.25">
      <c r="H853" s="51">
        <v>3</v>
      </c>
      <c r="I853" s="622">
        <v>3</v>
      </c>
    </row>
    <row r="854" spans="8:9" x14ac:dyDescent="0.25">
      <c r="H854" s="51">
        <v>3</v>
      </c>
      <c r="I854" s="622">
        <v>3</v>
      </c>
    </row>
    <row r="855" spans="8:9" x14ac:dyDescent="0.25">
      <c r="H855" s="51">
        <v>2</v>
      </c>
      <c r="I855" s="622">
        <v>3</v>
      </c>
    </row>
    <row r="856" spans="8:9" x14ac:dyDescent="0.25">
      <c r="H856" s="51">
        <v>3</v>
      </c>
      <c r="I856" s="622">
        <v>5</v>
      </c>
    </row>
    <row r="857" spans="8:9" x14ac:dyDescent="0.25">
      <c r="H857" s="51">
        <v>3</v>
      </c>
      <c r="I857" s="622">
        <v>4</v>
      </c>
    </row>
    <row r="858" spans="8:9" x14ac:dyDescent="0.25">
      <c r="H858" s="51">
        <v>4</v>
      </c>
      <c r="I858" s="622">
        <v>3</v>
      </c>
    </row>
    <row r="859" spans="8:9" x14ac:dyDescent="0.25">
      <c r="H859" s="51">
        <v>2</v>
      </c>
      <c r="I859" s="622">
        <v>3</v>
      </c>
    </row>
    <row r="860" spans="8:9" x14ac:dyDescent="0.25">
      <c r="H860" s="51">
        <v>2</v>
      </c>
      <c r="I860" s="622">
        <v>4</v>
      </c>
    </row>
    <row r="861" spans="8:9" x14ac:dyDescent="0.25">
      <c r="H861" s="51">
        <v>3</v>
      </c>
      <c r="I861" s="622">
        <v>3</v>
      </c>
    </row>
    <row r="862" spans="8:9" x14ac:dyDescent="0.25">
      <c r="H862" s="51">
        <v>3</v>
      </c>
      <c r="I862" s="622">
        <v>3</v>
      </c>
    </row>
    <row r="863" spans="8:9" x14ac:dyDescent="0.25">
      <c r="H863" s="51">
        <v>3</v>
      </c>
      <c r="I863" s="622">
        <v>5</v>
      </c>
    </row>
    <row r="864" spans="8:9" x14ac:dyDescent="0.25">
      <c r="H864" s="51">
        <v>4</v>
      </c>
      <c r="I864" s="622">
        <v>4</v>
      </c>
    </row>
    <row r="865" spans="8:9" x14ac:dyDescent="0.25">
      <c r="H865" s="51">
        <v>3</v>
      </c>
      <c r="I865" s="622">
        <v>3</v>
      </c>
    </row>
    <row r="866" spans="8:9" x14ac:dyDescent="0.25">
      <c r="H866" s="51">
        <v>2</v>
      </c>
      <c r="I866" s="622">
        <v>4</v>
      </c>
    </row>
    <row r="867" spans="8:9" x14ac:dyDescent="0.25">
      <c r="H867" s="51">
        <v>2</v>
      </c>
      <c r="I867" s="622">
        <v>3</v>
      </c>
    </row>
    <row r="868" spans="8:9" x14ac:dyDescent="0.25">
      <c r="H868" s="51">
        <v>3</v>
      </c>
      <c r="I868" s="622">
        <v>4</v>
      </c>
    </row>
    <row r="869" spans="8:9" x14ac:dyDescent="0.25">
      <c r="H869" s="51">
        <v>2</v>
      </c>
      <c r="I869" s="622">
        <v>5</v>
      </c>
    </row>
    <row r="870" spans="8:9" x14ac:dyDescent="0.25">
      <c r="H870" s="51">
        <v>4</v>
      </c>
      <c r="I870" s="622">
        <v>3</v>
      </c>
    </row>
    <row r="871" spans="8:9" x14ac:dyDescent="0.25">
      <c r="H871" s="51">
        <v>2</v>
      </c>
      <c r="I871" s="622">
        <v>3</v>
      </c>
    </row>
    <row r="872" spans="8:9" x14ac:dyDescent="0.25">
      <c r="H872" s="51">
        <v>3</v>
      </c>
      <c r="I872" s="622">
        <v>5</v>
      </c>
    </row>
    <row r="873" spans="8:9" x14ac:dyDescent="0.25">
      <c r="H873" s="51">
        <v>2</v>
      </c>
      <c r="I873" s="622">
        <v>4</v>
      </c>
    </row>
    <row r="874" spans="8:9" x14ac:dyDescent="0.25">
      <c r="H874" s="51">
        <v>3</v>
      </c>
      <c r="I874" s="622">
        <v>4</v>
      </c>
    </row>
    <row r="875" spans="8:9" x14ac:dyDescent="0.25">
      <c r="H875" s="51">
        <v>2</v>
      </c>
      <c r="I875" s="622">
        <v>4</v>
      </c>
    </row>
    <row r="876" spans="8:9" x14ac:dyDescent="0.25">
      <c r="H876" s="51">
        <v>2</v>
      </c>
      <c r="I876" s="622">
        <v>4</v>
      </c>
    </row>
    <row r="877" spans="8:9" x14ac:dyDescent="0.25">
      <c r="H877" s="51">
        <v>3</v>
      </c>
      <c r="I877" s="622">
        <v>3</v>
      </c>
    </row>
    <row r="878" spans="8:9" x14ac:dyDescent="0.25">
      <c r="H878" s="51">
        <v>3</v>
      </c>
      <c r="I878" s="622">
        <v>4</v>
      </c>
    </row>
    <row r="879" spans="8:9" x14ac:dyDescent="0.25">
      <c r="H879" s="51">
        <v>3</v>
      </c>
      <c r="I879" s="622">
        <v>3</v>
      </c>
    </row>
    <row r="880" spans="8:9" x14ac:dyDescent="0.25">
      <c r="H880" s="51">
        <v>2</v>
      </c>
      <c r="I880" s="622">
        <v>3</v>
      </c>
    </row>
    <row r="881" spans="8:9" x14ac:dyDescent="0.25">
      <c r="H881" s="51">
        <v>2</v>
      </c>
      <c r="I881" s="622">
        <v>4</v>
      </c>
    </row>
    <row r="882" spans="8:9" x14ac:dyDescent="0.25">
      <c r="H882" s="51">
        <v>3</v>
      </c>
      <c r="I882" s="622">
        <v>4</v>
      </c>
    </row>
    <row r="883" spans="8:9" x14ac:dyDescent="0.25">
      <c r="H883" s="51">
        <v>3</v>
      </c>
      <c r="I883" s="622">
        <v>4</v>
      </c>
    </row>
    <row r="884" spans="8:9" x14ac:dyDescent="0.25">
      <c r="H884" s="51">
        <v>2</v>
      </c>
      <c r="I884" s="622">
        <v>3</v>
      </c>
    </row>
    <row r="885" spans="8:9" x14ac:dyDescent="0.25">
      <c r="H885" s="51">
        <v>2</v>
      </c>
      <c r="I885" s="622">
        <v>4</v>
      </c>
    </row>
    <row r="886" spans="8:9" x14ac:dyDescent="0.25">
      <c r="H886" s="51">
        <v>2</v>
      </c>
      <c r="I886" s="622">
        <v>4</v>
      </c>
    </row>
    <row r="887" spans="8:9" x14ac:dyDescent="0.25">
      <c r="H887" s="51">
        <v>2</v>
      </c>
      <c r="I887" s="622">
        <v>3</v>
      </c>
    </row>
    <row r="888" spans="8:9" x14ac:dyDescent="0.25">
      <c r="H888" s="51">
        <v>2</v>
      </c>
      <c r="I888" s="622">
        <v>3</v>
      </c>
    </row>
    <row r="889" spans="8:9" x14ac:dyDescent="0.25">
      <c r="H889" s="51">
        <v>3</v>
      </c>
      <c r="I889" s="622">
        <v>3</v>
      </c>
    </row>
    <row r="890" spans="8:9" x14ac:dyDescent="0.25">
      <c r="H890" s="51">
        <v>2</v>
      </c>
      <c r="I890" s="622">
        <v>4</v>
      </c>
    </row>
    <row r="891" spans="8:9" x14ac:dyDescent="0.25">
      <c r="H891" s="51">
        <v>2</v>
      </c>
      <c r="I891" s="622">
        <v>4</v>
      </c>
    </row>
    <row r="892" spans="8:9" x14ac:dyDescent="0.25">
      <c r="H892" s="51">
        <v>2</v>
      </c>
      <c r="I892" s="622">
        <v>3</v>
      </c>
    </row>
    <row r="893" spans="8:9" x14ac:dyDescent="0.25">
      <c r="H893" s="51">
        <v>3</v>
      </c>
      <c r="I893" s="622">
        <v>4</v>
      </c>
    </row>
    <row r="894" spans="8:9" x14ac:dyDescent="0.25">
      <c r="H894" s="51">
        <v>3</v>
      </c>
      <c r="I894" s="622">
        <v>4</v>
      </c>
    </row>
    <row r="895" spans="8:9" x14ac:dyDescent="0.25">
      <c r="H895" s="51">
        <v>3</v>
      </c>
      <c r="I895" s="622">
        <v>3</v>
      </c>
    </row>
    <row r="896" spans="8:9" x14ac:dyDescent="0.25">
      <c r="H896" s="51">
        <v>2</v>
      </c>
      <c r="I896" s="622">
        <v>4</v>
      </c>
    </row>
    <row r="897" spans="8:9" x14ac:dyDescent="0.25">
      <c r="H897" s="51">
        <v>2</v>
      </c>
      <c r="I897" s="622">
        <v>4</v>
      </c>
    </row>
    <row r="898" spans="8:9" x14ac:dyDescent="0.25">
      <c r="H898" s="51">
        <v>3</v>
      </c>
      <c r="I898" s="622">
        <v>4</v>
      </c>
    </row>
    <row r="899" spans="8:9" x14ac:dyDescent="0.25">
      <c r="H899" s="51">
        <v>3</v>
      </c>
      <c r="I899" s="622">
        <v>3</v>
      </c>
    </row>
    <row r="900" spans="8:9" x14ac:dyDescent="0.25">
      <c r="H900" s="51">
        <v>2</v>
      </c>
      <c r="I900" s="622">
        <v>4</v>
      </c>
    </row>
    <row r="901" spans="8:9" x14ac:dyDescent="0.25">
      <c r="H901" s="51">
        <v>2</v>
      </c>
      <c r="I901" s="622">
        <v>3</v>
      </c>
    </row>
    <row r="902" spans="8:9" x14ac:dyDescent="0.25">
      <c r="H902" s="51">
        <v>2</v>
      </c>
      <c r="I902" s="622">
        <v>3</v>
      </c>
    </row>
    <row r="903" spans="8:9" x14ac:dyDescent="0.25">
      <c r="H903" s="51">
        <v>2</v>
      </c>
      <c r="I903" s="622">
        <v>3</v>
      </c>
    </row>
    <row r="904" spans="8:9" x14ac:dyDescent="0.25">
      <c r="H904" s="51">
        <v>4</v>
      </c>
      <c r="I904" s="622">
        <v>3</v>
      </c>
    </row>
    <row r="905" spans="8:9" x14ac:dyDescent="0.25">
      <c r="H905" s="51">
        <v>2</v>
      </c>
      <c r="I905" s="622">
        <v>3</v>
      </c>
    </row>
    <row r="906" spans="8:9" x14ac:dyDescent="0.25">
      <c r="H906" s="51">
        <v>4</v>
      </c>
      <c r="I906" s="622">
        <v>3</v>
      </c>
    </row>
    <row r="907" spans="8:9" x14ac:dyDescent="0.25">
      <c r="H907" s="51">
        <v>2</v>
      </c>
      <c r="I907" s="622">
        <v>4</v>
      </c>
    </row>
    <row r="908" spans="8:9" x14ac:dyDescent="0.25">
      <c r="H908" s="51">
        <v>3</v>
      </c>
      <c r="I908" s="622">
        <v>3</v>
      </c>
    </row>
    <row r="909" spans="8:9" x14ac:dyDescent="0.25">
      <c r="H909" s="51">
        <v>2</v>
      </c>
      <c r="I909" s="622">
        <v>4</v>
      </c>
    </row>
    <row r="910" spans="8:9" x14ac:dyDescent="0.25">
      <c r="H910" s="51">
        <v>2</v>
      </c>
      <c r="I910" s="622">
        <v>4</v>
      </c>
    </row>
    <row r="911" spans="8:9" x14ac:dyDescent="0.25">
      <c r="H911" s="51">
        <v>3</v>
      </c>
      <c r="I911" s="622">
        <v>4</v>
      </c>
    </row>
    <row r="912" spans="8:9" x14ac:dyDescent="0.25">
      <c r="H912" s="51">
        <v>2</v>
      </c>
      <c r="I912" s="622">
        <v>3</v>
      </c>
    </row>
    <row r="913" spans="8:9" x14ac:dyDescent="0.25">
      <c r="H913" s="51">
        <v>2</v>
      </c>
      <c r="I913" s="622">
        <v>3</v>
      </c>
    </row>
    <row r="914" spans="8:9" x14ac:dyDescent="0.25">
      <c r="H914" s="51">
        <v>2</v>
      </c>
      <c r="I914" s="622">
        <v>3</v>
      </c>
    </row>
    <row r="915" spans="8:9" x14ac:dyDescent="0.25">
      <c r="H915" s="51">
        <v>3</v>
      </c>
      <c r="I915" s="622">
        <v>4</v>
      </c>
    </row>
    <row r="916" spans="8:9" x14ac:dyDescent="0.25">
      <c r="H916" s="51">
        <v>2</v>
      </c>
      <c r="I916" s="622">
        <v>4</v>
      </c>
    </row>
    <row r="917" spans="8:9" x14ac:dyDescent="0.25">
      <c r="H917" s="51">
        <v>2</v>
      </c>
      <c r="I917" s="622">
        <v>3</v>
      </c>
    </row>
    <row r="918" spans="8:9" x14ac:dyDescent="0.25">
      <c r="H918" s="51">
        <v>3</v>
      </c>
      <c r="I918" s="622">
        <v>4</v>
      </c>
    </row>
  </sheetData>
  <mergeCells count="5">
    <mergeCell ref="B1:C1"/>
    <mergeCell ref="E1:F1"/>
    <mergeCell ref="H1:I1"/>
    <mergeCell ref="K1:L1"/>
    <mergeCell ref="N1:O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N56"/>
  <sheetViews>
    <sheetView topLeftCell="A33" workbookViewId="0">
      <selection activeCell="B59" sqref="B59"/>
    </sheetView>
  </sheetViews>
  <sheetFormatPr defaultColWidth="9.140625" defaultRowHeight="15" x14ac:dyDescent="0.25"/>
  <cols>
    <col min="1" max="1" width="16.5703125" style="792" customWidth="1"/>
    <col min="2" max="2" width="27.140625" style="796" customWidth="1"/>
    <col min="3" max="5" width="9.140625" style="789"/>
    <col min="6" max="6" width="9.140625" style="791" customWidth="1"/>
    <col min="7" max="8" width="9.140625" style="791"/>
    <col min="9" max="9" width="9.140625" style="808"/>
    <col min="10" max="16384" width="9.140625" style="789"/>
  </cols>
  <sheetData>
    <row r="1" spans="1:14" s="795" customFormat="1" ht="15" customHeight="1" x14ac:dyDescent="0.25">
      <c r="A1" s="794"/>
      <c r="C1" s="1133" t="s">
        <v>92</v>
      </c>
      <c r="D1" s="1133"/>
      <c r="E1" s="1133"/>
      <c r="F1" s="1138" t="s">
        <v>438</v>
      </c>
      <c r="G1" s="1138"/>
      <c r="H1" s="1138"/>
      <c r="I1" s="1138"/>
      <c r="K1" s="1133" t="s">
        <v>440</v>
      </c>
      <c r="L1" s="1133"/>
      <c r="M1" s="1133"/>
      <c r="N1" s="1133"/>
    </row>
    <row r="2" spans="1:14" s="795" customFormat="1" ht="15" customHeight="1" x14ac:dyDescent="0.25">
      <c r="A2" s="1136" t="s">
        <v>437</v>
      </c>
      <c r="B2" s="1134">
        <v>43951</v>
      </c>
      <c r="C2" s="795" t="s">
        <v>424</v>
      </c>
      <c r="D2" s="795" t="s">
        <v>425</v>
      </c>
      <c r="E2" s="795" t="s">
        <v>427</v>
      </c>
      <c r="F2" s="795" t="s">
        <v>424</v>
      </c>
      <c r="G2" s="795" t="s">
        <v>425</v>
      </c>
      <c r="H2" s="795" t="s">
        <v>427</v>
      </c>
      <c r="I2" s="243" t="s">
        <v>442</v>
      </c>
      <c r="K2" s="795" t="s">
        <v>424</v>
      </c>
      <c r="L2" s="795" t="s">
        <v>425</v>
      </c>
      <c r="M2" s="801" t="s">
        <v>427</v>
      </c>
      <c r="N2" s="795" t="s">
        <v>442</v>
      </c>
    </row>
    <row r="3" spans="1:14" s="793" customFormat="1" ht="15" customHeight="1" x14ac:dyDescent="0.25">
      <c r="A3" s="1137"/>
      <c r="B3" s="1135"/>
      <c r="C3" s="799">
        <f>IF(ISBLANK($B$2),"",_xlfn.FORECAST.LINEAR($B$2,C6:C10000,$A6:$A10000))</f>
        <v>37277.289012461901</v>
      </c>
      <c r="D3" s="799">
        <f>IF(ISBLANK($B$2),"",_xlfn.FORECAST.LINEAR($B$2,D6:D10000,$A6:$A10000))</f>
        <v>26635.262115675956</v>
      </c>
      <c r="E3" s="799">
        <f>IF(ISBLANK($B$2),"",_xlfn.FORECAST.LINEAR($B$2,E6:E10000,$A6:$A10000))</f>
        <v>63912.551128149033</v>
      </c>
      <c r="F3" s="800" cm="1">
        <f t="array" ref="F3">IF(ISBLANK($B$2),"",C3-LOOKUP(2,1/(C6:C10000&lt;&gt;""),C6:C10000))</f>
        <v>-1447.7109875380993</v>
      </c>
      <c r="G3" s="800" cm="1">
        <f t="array" ref="G3">IF(ISBLANK($B$2),"",D3-LOOKUP(2,1/(D6:D10000&lt;&gt;""),D6:D10000))</f>
        <v>-2113.737884324044</v>
      </c>
      <c r="H3" s="800" cm="1">
        <f t="array" ref="H3">IF(ISBLANK($B$2),"",E3-LOOKUP(2,1/(E6:E10000&lt;&gt;""),E6:E10000))</f>
        <v>-3561.4488718509674</v>
      </c>
      <c r="I3" s="807">
        <f>IF(ISBLANK($B$2),"",H3/4200*80)</f>
        <v>-67.837121368589862</v>
      </c>
      <c r="K3" s="802" cm="1">
        <f t="array" ref="K3">(LOOKUP(2,1/(C6:C15000&lt;&gt;""),C6:C15000)-C$6)/(LOOKUP(2,1/($A6:$A15000&lt;&gt;""),$A6:$A15000)-$A$6)</f>
        <v>-1902.9534811115273</v>
      </c>
      <c r="L3" s="802" cm="1">
        <f t="array" ref="L3">(LOOKUP(2,1/(D6:D15000&lt;&gt;""),D6:D15000)-D$6)/(LOOKUP(2,1/($A6:$A15000&lt;&gt;""),$A6:$A15000)-$A$6)</f>
        <v>581.75460505777949</v>
      </c>
      <c r="M3" s="802">
        <f>K3+L3</f>
        <v>-1321.1988760537479</v>
      </c>
      <c r="N3" s="807">
        <f>M3/4200*80</f>
        <v>-25.165692877214244</v>
      </c>
    </row>
    <row r="4" spans="1:14" s="798" customFormat="1" ht="15" customHeight="1" x14ac:dyDescent="0.25">
      <c r="A4" s="1131" t="s">
        <v>423</v>
      </c>
      <c r="B4" s="1100" t="s">
        <v>430</v>
      </c>
      <c r="C4" s="1100" t="s">
        <v>92</v>
      </c>
      <c r="D4" s="1100"/>
      <c r="E4" s="1100"/>
      <c r="F4" s="1100" t="s">
        <v>104</v>
      </c>
      <c r="G4" s="1100"/>
      <c r="H4" s="1100"/>
      <c r="I4" s="1100"/>
      <c r="J4" s="1100" t="s">
        <v>443</v>
      </c>
      <c r="K4" s="1100"/>
    </row>
    <row r="5" spans="1:14" s="788" customFormat="1" ht="15" customHeight="1" x14ac:dyDescent="0.25">
      <c r="A5" s="1132"/>
      <c r="B5" s="916"/>
      <c r="C5" s="788" t="s">
        <v>424</v>
      </c>
      <c r="D5" s="788" t="s">
        <v>425</v>
      </c>
      <c r="E5" s="788" t="s">
        <v>427</v>
      </c>
      <c r="F5" s="790" t="s">
        <v>424</v>
      </c>
      <c r="G5" s="790" t="s">
        <v>425</v>
      </c>
      <c r="H5" s="790" t="s">
        <v>427</v>
      </c>
      <c r="I5" s="243" t="s">
        <v>442</v>
      </c>
      <c r="J5" s="788" t="s">
        <v>441</v>
      </c>
      <c r="K5" s="788" t="s">
        <v>442</v>
      </c>
    </row>
    <row r="6" spans="1:14" x14ac:dyDescent="0.25">
      <c r="A6" s="792">
        <v>43906.670138888891</v>
      </c>
      <c r="B6" s="796" t="s">
        <v>426</v>
      </c>
      <c r="C6" s="789">
        <v>123380</v>
      </c>
      <c r="D6" s="789">
        <v>2869</v>
      </c>
      <c r="E6" s="789">
        <f t="shared" ref="E6:E39" si="0">SUM(C6:D6)</f>
        <v>126249</v>
      </c>
      <c r="F6" s="791">
        <v>0</v>
      </c>
      <c r="G6" s="791">
        <v>0</v>
      </c>
      <c r="H6" s="791">
        <f t="shared" ref="H6:H18" si="1">SUM(F6:G6)</f>
        <v>0</v>
      </c>
      <c r="I6" s="807">
        <f>H6/4200*80</f>
        <v>0</v>
      </c>
    </row>
    <row r="7" spans="1:14" x14ac:dyDescent="0.25">
      <c r="A7" s="792">
        <v>43908.03125</v>
      </c>
      <c r="B7" s="796" t="s">
        <v>433</v>
      </c>
      <c r="C7" s="789">
        <v>123455</v>
      </c>
      <c r="D7" s="789">
        <v>2799</v>
      </c>
      <c r="E7" s="789">
        <f t="shared" si="0"/>
        <v>126254</v>
      </c>
      <c r="F7" s="791">
        <f t="shared" ref="F7:G9" si="2">C7-C6</f>
        <v>75</v>
      </c>
      <c r="G7" s="791">
        <f t="shared" si="2"/>
        <v>-70</v>
      </c>
      <c r="H7" s="791">
        <f t="shared" si="1"/>
        <v>5</v>
      </c>
      <c r="I7" s="807">
        <f>H7/4200*80</f>
        <v>9.5238095238095247E-2</v>
      </c>
    </row>
    <row r="8" spans="1:14" x14ac:dyDescent="0.25">
      <c r="A8" s="792">
        <v>43908.07916666667</v>
      </c>
      <c r="B8" s="796" t="s">
        <v>432</v>
      </c>
      <c r="C8" s="789">
        <v>123605</v>
      </c>
      <c r="D8" s="789">
        <v>2609</v>
      </c>
      <c r="E8" s="789">
        <f t="shared" si="0"/>
        <v>126214</v>
      </c>
      <c r="F8" s="791">
        <f t="shared" si="2"/>
        <v>150</v>
      </c>
      <c r="G8" s="791">
        <f t="shared" si="2"/>
        <v>-190</v>
      </c>
      <c r="H8" s="791">
        <f t="shared" si="1"/>
        <v>-40</v>
      </c>
      <c r="I8" s="807">
        <f t="shared" ref="I8:I42" si="3">H8/4200*80</f>
        <v>-0.76190476190476197</v>
      </c>
    </row>
    <row r="9" spans="1:14" x14ac:dyDescent="0.25">
      <c r="A9" s="792">
        <v>43908.806944444441</v>
      </c>
      <c r="B9" s="796" t="s">
        <v>433</v>
      </c>
      <c r="C9" s="789">
        <v>123605</v>
      </c>
      <c r="D9" s="789">
        <v>2369</v>
      </c>
      <c r="E9" s="789">
        <f t="shared" si="0"/>
        <v>125974</v>
      </c>
      <c r="F9" s="791">
        <f t="shared" si="2"/>
        <v>0</v>
      </c>
      <c r="G9" s="791">
        <f t="shared" si="2"/>
        <v>-240</v>
      </c>
      <c r="H9" s="791">
        <f t="shared" si="1"/>
        <v>-240</v>
      </c>
      <c r="I9" s="807">
        <f t="shared" si="3"/>
        <v>-4.5714285714285712</v>
      </c>
    </row>
    <row r="10" spans="1:14" x14ac:dyDescent="0.25">
      <c r="A10" s="792">
        <v>43909.091666666667</v>
      </c>
      <c r="B10" s="796" t="s">
        <v>433</v>
      </c>
      <c r="C10" s="789">
        <v>123605</v>
      </c>
      <c r="D10" s="789">
        <v>2239</v>
      </c>
      <c r="E10" s="789">
        <f t="shared" si="0"/>
        <v>125844</v>
      </c>
      <c r="F10" s="791">
        <f t="shared" ref="F10" si="4">C10-C9</f>
        <v>0</v>
      </c>
      <c r="G10" s="791">
        <f t="shared" ref="G10" si="5">D10-D9</f>
        <v>-130</v>
      </c>
      <c r="H10" s="791">
        <f t="shared" si="1"/>
        <v>-130</v>
      </c>
      <c r="I10" s="807">
        <f t="shared" si="3"/>
        <v>-2.4761904761904763</v>
      </c>
    </row>
    <row r="11" spans="1:14" x14ac:dyDescent="0.25">
      <c r="A11" s="792">
        <v>43909.416666666664</v>
      </c>
      <c r="B11" s="796" t="s">
        <v>432</v>
      </c>
      <c r="C11" s="789">
        <v>123605</v>
      </c>
      <c r="D11" s="789">
        <v>1869</v>
      </c>
      <c r="E11" s="789">
        <f t="shared" si="0"/>
        <v>125474</v>
      </c>
      <c r="F11" s="791">
        <f t="shared" ref="F11" si="6">C11-C10</f>
        <v>0</v>
      </c>
      <c r="G11" s="791">
        <f t="shared" ref="G11" si="7">D11-D10</f>
        <v>-370</v>
      </c>
      <c r="H11" s="791">
        <f t="shared" si="1"/>
        <v>-370</v>
      </c>
      <c r="I11" s="807">
        <f t="shared" si="3"/>
        <v>-7.0476190476190483</v>
      </c>
    </row>
    <row r="12" spans="1:14" x14ac:dyDescent="0.25">
      <c r="A12" s="792">
        <v>43910.165972222225</v>
      </c>
      <c r="B12" s="796" t="s">
        <v>431</v>
      </c>
      <c r="C12" s="789">
        <v>124105</v>
      </c>
      <c r="D12" s="789">
        <v>1869</v>
      </c>
      <c r="E12" s="789">
        <f t="shared" si="0"/>
        <v>125974</v>
      </c>
      <c r="F12" s="791">
        <f t="shared" ref="F12" si="8">C12-C11</f>
        <v>500</v>
      </c>
      <c r="G12" s="791">
        <f t="shared" ref="G12" si="9">D12-D11</f>
        <v>0</v>
      </c>
      <c r="H12" s="791">
        <f t="shared" si="1"/>
        <v>500</v>
      </c>
      <c r="I12" s="807">
        <f t="shared" si="3"/>
        <v>9.5238095238095237</v>
      </c>
    </row>
    <row r="13" spans="1:14" x14ac:dyDescent="0.25">
      <c r="A13" s="792">
        <v>43911.053472222222</v>
      </c>
      <c r="B13" s="796" t="s">
        <v>433</v>
      </c>
      <c r="C13" s="789">
        <v>124755</v>
      </c>
      <c r="D13" s="789">
        <v>1259</v>
      </c>
      <c r="E13" s="789">
        <f t="shared" si="0"/>
        <v>126014</v>
      </c>
      <c r="F13" s="791">
        <f t="shared" ref="F13" si="10">C13-C12</f>
        <v>650</v>
      </c>
      <c r="G13" s="791">
        <f t="shared" ref="G13" si="11">D13-D12</f>
        <v>-610</v>
      </c>
      <c r="H13" s="791">
        <f t="shared" si="1"/>
        <v>40</v>
      </c>
      <c r="I13" s="807">
        <f t="shared" si="3"/>
        <v>0.76190476190476197</v>
      </c>
    </row>
    <row r="14" spans="1:14" x14ac:dyDescent="0.25">
      <c r="A14" s="792">
        <v>43912.175694444442</v>
      </c>
      <c r="B14" s="796" t="s">
        <v>434</v>
      </c>
      <c r="C14" s="789">
        <v>124755</v>
      </c>
      <c r="D14" s="789">
        <v>4819</v>
      </c>
      <c r="E14" s="789">
        <f t="shared" si="0"/>
        <v>129574</v>
      </c>
      <c r="F14" s="791">
        <f t="shared" ref="F14:G18" si="12">C14-C13</f>
        <v>0</v>
      </c>
      <c r="G14" s="791">
        <f t="shared" si="12"/>
        <v>3560</v>
      </c>
      <c r="H14" s="791">
        <f t="shared" si="1"/>
        <v>3560</v>
      </c>
      <c r="I14" s="807">
        <f t="shared" si="3"/>
        <v>67.80952380952381</v>
      </c>
      <c r="J14" s="789">
        <v>4200</v>
      </c>
      <c r="K14" s="789">
        <v>80</v>
      </c>
    </row>
    <row r="15" spans="1:14" x14ac:dyDescent="0.25">
      <c r="A15" s="792">
        <v>43913.067361111112</v>
      </c>
      <c r="B15" s="796" t="s">
        <v>433</v>
      </c>
      <c r="C15" s="789">
        <v>125905</v>
      </c>
      <c r="D15" s="789">
        <v>4609</v>
      </c>
      <c r="E15" s="789">
        <f t="shared" si="0"/>
        <v>130514</v>
      </c>
      <c r="F15" s="791">
        <f t="shared" si="12"/>
        <v>1150</v>
      </c>
      <c r="G15" s="791">
        <f t="shared" si="12"/>
        <v>-210</v>
      </c>
      <c r="H15" s="791">
        <f t="shared" si="1"/>
        <v>940</v>
      </c>
      <c r="I15" s="807">
        <f t="shared" si="3"/>
        <v>17.904761904761905</v>
      </c>
    </row>
    <row r="16" spans="1:14" x14ac:dyDescent="0.25">
      <c r="A16" s="792">
        <v>43913.322916666664</v>
      </c>
      <c r="B16" s="797" t="s">
        <v>435</v>
      </c>
      <c r="C16" s="789">
        <v>127105</v>
      </c>
      <c r="D16" s="789">
        <v>4429</v>
      </c>
      <c r="E16" s="789">
        <f t="shared" si="0"/>
        <v>131534</v>
      </c>
      <c r="F16" s="791">
        <f t="shared" si="12"/>
        <v>1200</v>
      </c>
      <c r="G16" s="791">
        <f t="shared" si="12"/>
        <v>-180</v>
      </c>
      <c r="H16" s="791">
        <f t="shared" si="1"/>
        <v>1020</v>
      </c>
      <c r="I16" s="807">
        <f t="shared" si="3"/>
        <v>19.428571428571427</v>
      </c>
      <c r="J16" s="789">
        <v>525</v>
      </c>
      <c r="K16" s="789">
        <v>8</v>
      </c>
    </row>
    <row r="17" spans="1:11" x14ac:dyDescent="0.25">
      <c r="A17" s="792">
        <v>43913.785416666666</v>
      </c>
      <c r="B17" s="796" t="s">
        <v>436</v>
      </c>
      <c r="C17" s="789">
        <v>127430</v>
      </c>
      <c r="D17" s="789">
        <v>4684</v>
      </c>
      <c r="E17" s="789">
        <f t="shared" si="0"/>
        <v>132114</v>
      </c>
      <c r="F17" s="791">
        <f t="shared" si="12"/>
        <v>325</v>
      </c>
      <c r="G17" s="791">
        <f t="shared" si="12"/>
        <v>255</v>
      </c>
      <c r="H17" s="791">
        <f t="shared" si="1"/>
        <v>580</v>
      </c>
      <c r="I17" s="807">
        <f t="shared" si="3"/>
        <v>11.047619047619047</v>
      </c>
      <c r="J17" s="789">
        <v>480</v>
      </c>
      <c r="K17" s="789">
        <v>8</v>
      </c>
    </row>
    <row r="18" spans="1:11" x14ac:dyDescent="0.25">
      <c r="A18" s="792">
        <v>43914.361805555556</v>
      </c>
      <c r="C18" s="789">
        <v>127505</v>
      </c>
      <c r="D18" s="789">
        <v>4674</v>
      </c>
      <c r="E18" s="789">
        <f t="shared" si="0"/>
        <v>132179</v>
      </c>
      <c r="F18" s="791">
        <f t="shared" si="12"/>
        <v>75</v>
      </c>
      <c r="G18" s="791">
        <f t="shared" si="12"/>
        <v>-10</v>
      </c>
      <c r="H18" s="791">
        <f t="shared" si="1"/>
        <v>65</v>
      </c>
      <c r="I18" s="807">
        <f t="shared" si="3"/>
        <v>1.2380952380952381</v>
      </c>
    </row>
    <row r="19" spans="1:11" x14ac:dyDescent="0.25">
      <c r="A19" s="792">
        <v>43916.006249999999</v>
      </c>
      <c r="B19" s="797"/>
      <c r="C19" s="789">
        <v>127580</v>
      </c>
      <c r="D19" s="789">
        <v>4544</v>
      </c>
      <c r="E19" s="789">
        <f t="shared" si="0"/>
        <v>132124</v>
      </c>
      <c r="F19" s="791">
        <f t="shared" ref="F19:F20" si="13">C19-C18</f>
        <v>75</v>
      </c>
      <c r="G19" s="791">
        <f t="shared" ref="G19:G20" si="14">D19-D18</f>
        <v>-130</v>
      </c>
      <c r="H19" s="791">
        <f t="shared" ref="H19:H20" si="15">SUM(F19:G19)</f>
        <v>-55</v>
      </c>
      <c r="I19" s="807">
        <f t="shared" si="3"/>
        <v>-1.0476190476190477</v>
      </c>
    </row>
    <row r="20" spans="1:11" x14ac:dyDescent="0.25">
      <c r="A20" s="792">
        <v>43917.041666666664</v>
      </c>
      <c r="C20" s="789">
        <v>127655</v>
      </c>
      <c r="D20" s="789">
        <v>4394</v>
      </c>
      <c r="E20" s="789">
        <f t="shared" si="0"/>
        <v>132049</v>
      </c>
      <c r="F20" s="791">
        <f t="shared" si="13"/>
        <v>75</v>
      </c>
      <c r="G20" s="791">
        <f t="shared" si="14"/>
        <v>-150</v>
      </c>
      <c r="H20" s="791">
        <f t="shared" si="15"/>
        <v>-75</v>
      </c>
      <c r="I20" s="807">
        <f t="shared" si="3"/>
        <v>-1.4285714285714284</v>
      </c>
    </row>
    <row r="21" spans="1:11" x14ac:dyDescent="0.25">
      <c r="A21" s="792">
        <v>43917.057638888888</v>
      </c>
      <c r="B21" s="796" t="s">
        <v>439</v>
      </c>
      <c r="C21" s="789">
        <v>98855</v>
      </c>
      <c r="D21" s="789">
        <v>29264</v>
      </c>
      <c r="E21" s="789">
        <f t="shared" si="0"/>
        <v>128119</v>
      </c>
      <c r="F21" s="791">
        <f t="shared" ref="F21" si="16">C21-C20</f>
        <v>-28800</v>
      </c>
      <c r="G21" s="791">
        <f t="shared" ref="G21" si="17">D21-D20</f>
        <v>24870</v>
      </c>
      <c r="H21" s="791">
        <f t="shared" ref="H21" si="18">SUM(F21:G21)</f>
        <v>-3930</v>
      </c>
      <c r="I21" s="807">
        <f t="shared" si="3"/>
        <v>-74.857142857142861</v>
      </c>
      <c r="J21" s="789">
        <v>27300</v>
      </c>
      <c r="K21" s="789">
        <v>450</v>
      </c>
    </row>
    <row r="22" spans="1:11" x14ac:dyDescent="0.25">
      <c r="A22" s="792">
        <v>43917.583333333336</v>
      </c>
      <c r="B22" s="796" t="s">
        <v>444</v>
      </c>
      <c r="C22" s="789">
        <v>101385</v>
      </c>
      <c r="D22" s="789">
        <v>29274</v>
      </c>
      <c r="E22" s="789">
        <f t="shared" si="0"/>
        <v>130659</v>
      </c>
      <c r="F22" s="791">
        <f t="shared" ref="F22" si="19">C22-C21</f>
        <v>2530</v>
      </c>
      <c r="G22" s="791">
        <f t="shared" ref="G22" si="20">D22-D21</f>
        <v>10</v>
      </c>
      <c r="H22" s="791">
        <f t="shared" ref="H22" si="21">SUM(F22:G22)</f>
        <v>2540</v>
      </c>
      <c r="I22" s="807">
        <f t="shared" si="3"/>
        <v>48.38095238095238</v>
      </c>
    </row>
    <row r="23" spans="1:11" x14ac:dyDescent="0.25">
      <c r="A23" s="792">
        <v>43918.371527777781</v>
      </c>
      <c r="B23" s="796" t="s">
        <v>444</v>
      </c>
      <c r="C23" s="789">
        <v>105880</v>
      </c>
      <c r="D23" s="789">
        <v>29824</v>
      </c>
      <c r="E23" s="789">
        <f t="shared" si="0"/>
        <v>135704</v>
      </c>
      <c r="F23" s="791">
        <f t="shared" ref="F23" si="22">C23-C22</f>
        <v>4495</v>
      </c>
      <c r="G23" s="791">
        <f t="shared" ref="G23" si="23">D23-D22</f>
        <v>550</v>
      </c>
      <c r="H23" s="791">
        <f t="shared" ref="H23" si="24">SUM(F23:G23)</f>
        <v>5045</v>
      </c>
      <c r="I23" s="807">
        <f t="shared" si="3"/>
        <v>96.095238095238088</v>
      </c>
      <c r="J23" s="789">
        <v>830</v>
      </c>
      <c r="K23" s="789">
        <v>10</v>
      </c>
    </row>
    <row r="24" spans="1:11" x14ac:dyDescent="0.25">
      <c r="A24" s="792">
        <v>43918.573611111111</v>
      </c>
      <c r="C24" s="789">
        <v>106030</v>
      </c>
      <c r="D24" s="789">
        <v>28364</v>
      </c>
      <c r="E24" s="789">
        <f t="shared" si="0"/>
        <v>134394</v>
      </c>
      <c r="F24" s="791">
        <f t="shared" ref="F24" si="25">C24-C23</f>
        <v>150</v>
      </c>
      <c r="G24" s="791">
        <f t="shared" ref="G24" si="26">D24-D23</f>
        <v>-1460</v>
      </c>
      <c r="H24" s="791">
        <f t="shared" ref="H24" si="27">SUM(F24:G24)</f>
        <v>-1310</v>
      </c>
      <c r="I24" s="807">
        <f t="shared" si="3"/>
        <v>-24.952380952380953</v>
      </c>
    </row>
    <row r="25" spans="1:11" x14ac:dyDescent="0.25">
      <c r="A25" s="792">
        <v>43918.981249999997</v>
      </c>
      <c r="C25" s="789">
        <v>106190</v>
      </c>
      <c r="D25" s="789">
        <v>28334</v>
      </c>
      <c r="E25" s="789">
        <f t="shared" si="0"/>
        <v>134524</v>
      </c>
      <c r="F25" s="791">
        <f t="shared" ref="F25" si="28">C25-C24</f>
        <v>160</v>
      </c>
      <c r="G25" s="791">
        <f t="shared" ref="G25" si="29">D25-D24</f>
        <v>-30</v>
      </c>
      <c r="H25" s="791">
        <f t="shared" ref="H25" si="30">SUM(F25:G25)</f>
        <v>130</v>
      </c>
      <c r="I25" s="807">
        <f t="shared" si="3"/>
        <v>2.4761904761904763</v>
      </c>
    </row>
    <row r="26" spans="1:11" x14ac:dyDescent="0.25">
      <c r="A26" s="792">
        <v>43920.088194444441</v>
      </c>
      <c r="C26" s="789">
        <v>107155</v>
      </c>
      <c r="D26" s="789">
        <v>28519</v>
      </c>
      <c r="E26" s="789">
        <f t="shared" si="0"/>
        <v>135674</v>
      </c>
      <c r="F26" s="791">
        <f t="shared" ref="F26" si="31">C26-C25</f>
        <v>965</v>
      </c>
      <c r="G26" s="791">
        <f t="shared" ref="G26" si="32">D26-D25</f>
        <v>185</v>
      </c>
      <c r="H26" s="791">
        <f t="shared" ref="H26" si="33">SUM(F26:G26)</f>
        <v>1150</v>
      </c>
      <c r="I26" s="807">
        <f t="shared" si="3"/>
        <v>21.904761904761905</v>
      </c>
      <c r="J26" s="789">
        <v>525</v>
      </c>
      <c r="K26" s="789">
        <v>8</v>
      </c>
    </row>
    <row r="27" spans="1:11" x14ac:dyDescent="0.25">
      <c r="A27" s="792">
        <v>43921.71597222222</v>
      </c>
      <c r="C27" s="789">
        <v>109405</v>
      </c>
      <c r="D27" s="789">
        <v>28439</v>
      </c>
      <c r="E27" s="789">
        <f t="shared" si="0"/>
        <v>137844</v>
      </c>
      <c r="F27" s="791">
        <f t="shared" ref="F27" si="34">C27-C26</f>
        <v>2250</v>
      </c>
      <c r="G27" s="791">
        <f t="shared" ref="G27" si="35">D27-D26</f>
        <v>-80</v>
      </c>
      <c r="H27" s="791">
        <f t="shared" ref="H27" si="36">SUM(F27:G27)</f>
        <v>2170</v>
      </c>
      <c r="I27" s="807">
        <f t="shared" si="3"/>
        <v>41.333333333333336</v>
      </c>
    </row>
    <row r="28" spans="1:11" x14ac:dyDescent="0.25">
      <c r="A28" s="792">
        <v>43921.895138888889</v>
      </c>
      <c r="B28" s="796" t="s">
        <v>453</v>
      </c>
      <c r="C28" s="789">
        <v>109405</v>
      </c>
      <c r="D28" s="789">
        <v>28079</v>
      </c>
      <c r="E28" s="789">
        <f t="shared" si="0"/>
        <v>137484</v>
      </c>
      <c r="F28" s="791">
        <f t="shared" ref="F28" si="37">C28-C27</f>
        <v>0</v>
      </c>
      <c r="G28" s="791">
        <f t="shared" ref="G28" si="38">D28-D27</f>
        <v>-360</v>
      </c>
      <c r="H28" s="791">
        <f t="shared" ref="H28" si="39">SUM(F28:G28)</f>
        <v>-360</v>
      </c>
      <c r="I28" s="807">
        <f t="shared" si="3"/>
        <v>-6.8571428571428577</v>
      </c>
    </row>
    <row r="29" spans="1:11" x14ac:dyDescent="0.25">
      <c r="A29" s="792">
        <v>43922.277083333334</v>
      </c>
      <c r="B29" s="796" t="s">
        <v>454</v>
      </c>
      <c r="C29" s="789">
        <v>109630</v>
      </c>
      <c r="D29" s="789">
        <v>27599</v>
      </c>
      <c r="E29" s="789">
        <f t="shared" si="0"/>
        <v>137229</v>
      </c>
      <c r="F29" s="791">
        <f t="shared" ref="F29" si="40">C29-C28</f>
        <v>225</v>
      </c>
      <c r="G29" s="791">
        <f t="shared" ref="G29" si="41">D29-D28</f>
        <v>-480</v>
      </c>
      <c r="H29" s="791">
        <f t="shared" ref="H29" si="42">SUM(F29:G29)</f>
        <v>-255</v>
      </c>
      <c r="I29" s="807">
        <f t="shared" si="3"/>
        <v>-4.8571428571428568</v>
      </c>
    </row>
    <row r="30" spans="1:11" x14ac:dyDescent="0.25">
      <c r="A30" s="792">
        <v>43923.402777777781</v>
      </c>
      <c r="B30" s="796" t="s">
        <v>456</v>
      </c>
      <c r="C30" s="789">
        <v>82775</v>
      </c>
      <c r="D30" s="789">
        <v>22639</v>
      </c>
      <c r="E30" s="789">
        <f t="shared" si="0"/>
        <v>105414</v>
      </c>
      <c r="F30" s="791">
        <f t="shared" ref="F30" si="43">C30-C29</f>
        <v>-26855</v>
      </c>
      <c r="G30" s="791">
        <f t="shared" ref="G30" si="44">D30-D29</f>
        <v>-4960</v>
      </c>
      <c r="H30" s="791">
        <f t="shared" ref="H30" si="45">SUM(F30:G30)</f>
        <v>-31815</v>
      </c>
      <c r="I30" s="807">
        <f t="shared" si="3"/>
        <v>-606</v>
      </c>
    </row>
    <row r="31" spans="1:11" x14ac:dyDescent="0.25">
      <c r="A31" s="792">
        <v>43924.678472222222</v>
      </c>
      <c r="C31" s="789">
        <v>83165</v>
      </c>
      <c r="D31" s="789">
        <v>23189</v>
      </c>
      <c r="E31" s="789">
        <f t="shared" si="0"/>
        <v>106354</v>
      </c>
      <c r="F31" s="791">
        <f t="shared" ref="F31" si="46">C31-C30</f>
        <v>390</v>
      </c>
      <c r="G31" s="791">
        <f t="shared" ref="G31" si="47">D31-D30</f>
        <v>550</v>
      </c>
      <c r="H31" s="791">
        <f t="shared" ref="H31" si="48">SUM(F31:G31)</f>
        <v>940</v>
      </c>
      <c r="I31" s="807">
        <f t="shared" si="3"/>
        <v>17.904761904761905</v>
      </c>
      <c r="J31" s="789">
        <v>480</v>
      </c>
      <c r="K31" s="789">
        <v>8</v>
      </c>
    </row>
    <row r="32" spans="1:11" x14ac:dyDescent="0.25">
      <c r="A32" s="792">
        <v>43925.526388888888</v>
      </c>
      <c r="C32" s="789">
        <v>83265</v>
      </c>
      <c r="D32" s="789">
        <v>22979</v>
      </c>
      <c r="E32" s="789">
        <f t="shared" si="0"/>
        <v>106244</v>
      </c>
      <c r="F32" s="791">
        <f t="shared" ref="F32" si="49">C32-C31</f>
        <v>100</v>
      </c>
      <c r="G32" s="791">
        <f t="shared" ref="G32" si="50">D32-D31</f>
        <v>-210</v>
      </c>
      <c r="H32" s="791">
        <f t="shared" ref="H32" si="51">SUM(F32:G32)</f>
        <v>-110</v>
      </c>
      <c r="I32" s="807">
        <f t="shared" si="3"/>
        <v>-2.0952380952380953</v>
      </c>
    </row>
    <row r="33" spans="1:11" x14ac:dyDescent="0.25">
      <c r="A33" s="792">
        <v>43927</v>
      </c>
      <c r="C33" s="789">
        <v>84715</v>
      </c>
      <c r="D33" s="789">
        <v>22959</v>
      </c>
      <c r="E33" s="789">
        <f t="shared" si="0"/>
        <v>107674</v>
      </c>
      <c r="F33" s="791">
        <f t="shared" ref="F33" si="52">C33-C32</f>
        <v>1450</v>
      </c>
      <c r="G33" s="791">
        <f t="shared" ref="G33" si="53">D33-D32</f>
        <v>-20</v>
      </c>
      <c r="H33" s="791">
        <f t="shared" ref="H33" si="54">SUM(F33:G33)</f>
        <v>1430</v>
      </c>
      <c r="I33" s="807">
        <f t="shared" si="3"/>
        <v>27.238095238095241</v>
      </c>
    </row>
    <row r="34" spans="1:11" x14ac:dyDescent="0.25">
      <c r="A34" s="792">
        <v>43927.095833333333</v>
      </c>
      <c r="B34" s="796" t="s">
        <v>457</v>
      </c>
      <c r="C34" s="789">
        <v>83515</v>
      </c>
      <c r="D34" s="789">
        <v>22899</v>
      </c>
      <c r="E34" s="789">
        <f t="shared" si="0"/>
        <v>106414</v>
      </c>
      <c r="F34" s="791">
        <f t="shared" ref="F34" si="55">C34-C33</f>
        <v>-1200</v>
      </c>
      <c r="G34" s="791">
        <f t="shared" ref="G34" si="56">D34-D33</f>
        <v>-60</v>
      </c>
      <c r="H34" s="791">
        <f t="shared" ref="H34" si="57">SUM(F34:G34)</f>
        <v>-1260</v>
      </c>
      <c r="I34" s="807">
        <f t="shared" si="3"/>
        <v>-24</v>
      </c>
    </row>
    <row r="35" spans="1:11" x14ac:dyDescent="0.25">
      <c r="A35" s="792">
        <v>43927.667361111111</v>
      </c>
      <c r="C35" s="789">
        <v>83930</v>
      </c>
      <c r="D35" s="789">
        <v>22919</v>
      </c>
      <c r="E35" s="789">
        <f t="shared" si="0"/>
        <v>106849</v>
      </c>
      <c r="F35" s="791">
        <f t="shared" ref="F35" si="58">C35-C34</f>
        <v>415</v>
      </c>
      <c r="G35" s="791">
        <f t="shared" ref="G35" si="59">D35-D34</f>
        <v>20</v>
      </c>
      <c r="H35" s="791">
        <f t="shared" ref="H35" si="60">SUM(F35:G35)</f>
        <v>435</v>
      </c>
      <c r="I35" s="807">
        <f t="shared" si="3"/>
        <v>8.2857142857142865</v>
      </c>
    </row>
    <row r="36" spans="1:11" x14ac:dyDescent="0.25">
      <c r="A36" s="792">
        <v>43929.050694444442</v>
      </c>
      <c r="C36" s="789">
        <v>84305</v>
      </c>
      <c r="D36" s="789">
        <v>23324</v>
      </c>
      <c r="E36" s="789">
        <f t="shared" si="0"/>
        <v>107629</v>
      </c>
      <c r="F36" s="791">
        <f t="shared" ref="F36" si="61">C36-C35</f>
        <v>375</v>
      </c>
      <c r="G36" s="791">
        <f t="shared" ref="G36" si="62">D36-D35</f>
        <v>405</v>
      </c>
      <c r="H36" s="791">
        <f t="shared" ref="H36" si="63">SUM(F36:G36)</f>
        <v>780</v>
      </c>
      <c r="I36" s="807">
        <f t="shared" si="3"/>
        <v>14.857142857142858</v>
      </c>
    </row>
    <row r="37" spans="1:11" x14ac:dyDescent="0.25">
      <c r="A37" s="792">
        <v>43929.833333333336</v>
      </c>
      <c r="C37" s="789">
        <v>87405</v>
      </c>
      <c r="D37" s="789">
        <v>22834</v>
      </c>
      <c r="E37" s="789">
        <f t="shared" si="0"/>
        <v>110239</v>
      </c>
      <c r="F37" s="791">
        <f t="shared" ref="F37" si="64">C37-C36</f>
        <v>3100</v>
      </c>
      <c r="G37" s="791">
        <f t="shared" ref="G37" si="65">D37-D36</f>
        <v>-490</v>
      </c>
      <c r="H37" s="791">
        <f t="shared" ref="H37" si="66">SUM(F37:G37)</f>
        <v>2610</v>
      </c>
      <c r="I37" s="807">
        <f t="shared" si="3"/>
        <v>49.714285714285715</v>
      </c>
    </row>
    <row r="38" spans="1:11" x14ac:dyDescent="0.25">
      <c r="A38" s="792">
        <v>43930.692361111112</v>
      </c>
      <c r="C38" s="789">
        <v>87855</v>
      </c>
      <c r="D38" s="789">
        <v>23254</v>
      </c>
      <c r="E38" s="789">
        <f t="shared" si="0"/>
        <v>111109</v>
      </c>
      <c r="F38" s="791">
        <f t="shared" ref="F38" si="67">C38-C37</f>
        <v>450</v>
      </c>
      <c r="G38" s="791">
        <f>D38-D37</f>
        <v>420</v>
      </c>
      <c r="H38" s="791">
        <f t="shared" ref="H38" si="68">SUM(F38:G38)</f>
        <v>870</v>
      </c>
      <c r="I38" s="807">
        <f t="shared" si="3"/>
        <v>16.571428571428573</v>
      </c>
    </row>
    <row r="39" spans="1:11" x14ac:dyDescent="0.25">
      <c r="A39" s="792">
        <v>43931.674305555556</v>
      </c>
      <c r="C39" s="789">
        <v>88580</v>
      </c>
      <c r="D39" s="789">
        <v>23284</v>
      </c>
      <c r="E39" s="789">
        <f t="shared" si="0"/>
        <v>111864</v>
      </c>
      <c r="F39" s="791">
        <f t="shared" ref="F39" si="69">C39-C38</f>
        <v>725</v>
      </c>
      <c r="G39" s="791">
        <f t="shared" ref="G39" si="70">D39-D38</f>
        <v>30</v>
      </c>
      <c r="H39" s="791">
        <f t="shared" ref="H39" si="71">SUM(F39:G39)</f>
        <v>755</v>
      </c>
      <c r="I39" s="807">
        <f t="shared" si="3"/>
        <v>14.380952380952381</v>
      </c>
      <c r="J39" s="789">
        <v>480</v>
      </c>
      <c r="K39" s="789">
        <v>8</v>
      </c>
    </row>
    <row r="40" spans="1:11" x14ac:dyDescent="0.25">
      <c r="A40" s="792">
        <v>43932.163194444445</v>
      </c>
      <c r="C40" s="789">
        <v>88680</v>
      </c>
      <c r="D40" s="789">
        <v>23224</v>
      </c>
      <c r="E40" s="789">
        <f t="shared" ref="E40:E41" si="72">SUM(C40:D40)</f>
        <v>111904</v>
      </c>
      <c r="F40" s="791">
        <f t="shared" ref="F40" si="73">C40-C39</f>
        <v>100</v>
      </c>
      <c r="G40" s="791">
        <f t="shared" ref="G40" si="74">D40-D39</f>
        <v>-60</v>
      </c>
      <c r="H40" s="791">
        <f t="shared" ref="H40" si="75">SUM(F40:G40)</f>
        <v>40</v>
      </c>
      <c r="I40" s="807">
        <f t="shared" si="3"/>
        <v>0.76190476190476197</v>
      </c>
    </row>
    <row r="41" spans="1:11" x14ac:dyDescent="0.25">
      <c r="A41" s="792">
        <v>43934.073611111111</v>
      </c>
      <c r="C41" s="789">
        <v>43445</v>
      </c>
      <c r="D41" s="789">
        <v>17324</v>
      </c>
      <c r="E41" s="789">
        <f t="shared" si="72"/>
        <v>60769</v>
      </c>
      <c r="F41" s="791">
        <f t="shared" ref="F41" si="76">C41-C40</f>
        <v>-45235</v>
      </c>
      <c r="G41" s="791">
        <f t="shared" ref="G41" si="77">D41-D40</f>
        <v>-5900</v>
      </c>
      <c r="H41" s="791">
        <f t="shared" ref="H41" si="78">SUM(F41:G41)</f>
        <v>-51135</v>
      </c>
      <c r="I41" s="807">
        <f t="shared" si="3"/>
        <v>-974</v>
      </c>
    </row>
    <row r="42" spans="1:11" x14ac:dyDescent="0.25">
      <c r="A42" s="792">
        <v>43935.863888888889</v>
      </c>
      <c r="C42" s="789">
        <v>46125</v>
      </c>
      <c r="D42" s="789">
        <v>16939</v>
      </c>
      <c r="E42" s="789">
        <f t="shared" ref="E42" si="79">SUM(C42:D42)</f>
        <v>63064</v>
      </c>
      <c r="F42" s="791">
        <f t="shared" ref="F42" si="80">C42-C41</f>
        <v>2680</v>
      </c>
      <c r="G42" s="791">
        <f t="shared" ref="G42" si="81">D42-D41</f>
        <v>-385</v>
      </c>
      <c r="H42" s="791">
        <f t="shared" ref="H42" si="82">SUM(F42:G42)</f>
        <v>2295</v>
      </c>
      <c r="I42" s="807">
        <f t="shared" si="3"/>
        <v>43.714285714285708</v>
      </c>
    </row>
    <row r="43" spans="1:11" x14ac:dyDescent="0.25">
      <c r="A43" s="792">
        <v>43936.243055555555</v>
      </c>
      <c r="C43" s="789">
        <v>46500</v>
      </c>
      <c r="D43" s="789">
        <v>17459</v>
      </c>
      <c r="E43" s="789">
        <f t="shared" ref="E43:E50" si="83">SUM(C43:D43)</f>
        <v>63959</v>
      </c>
      <c r="F43" s="791">
        <f t="shared" ref="F43" si="84">C43-C42</f>
        <v>375</v>
      </c>
      <c r="G43" s="791">
        <f t="shared" ref="G43" si="85">D43-D42</f>
        <v>520</v>
      </c>
      <c r="H43" s="791">
        <f t="shared" ref="H43" si="86">SUM(F43:G43)</f>
        <v>895</v>
      </c>
      <c r="I43" s="807">
        <f t="shared" ref="I43" si="87">H43/4200*80</f>
        <v>17.047619047619047</v>
      </c>
    </row>
    <row r="44" spans="1:11" x14ac:dyDescent="0.25">
      <c r="A44" s="792">
        <v>43938.306944444441</v>
      </c>
      <c r="C44" s="789">
        <v>46650</v>
      </c>
      <c r="D44" s="789">
        <v>17389</v>
      </c>
      <c r="E44" s="789">
        <f t="shared" si="83"/>
        <v>64039</v>
      </c>
      <c r="F44" s="791">
        <f t="shared" ref="F44" si="88">C44-C43</f>
        <v>150</v>
      </c>
      <c r="G44" s="791">
        <f t="shared" ref="G44" si="89">D44-D43</f>
        <v>-70</v>
      </c>
      <c r="H44" s="791">
        <f t="shared" ref="H44" si="90">SUM(F44:G44)</f>
        <v>80</v>
      </c>
      <c r="I44" s="807">
        <f t="shared" ref="I44" si="91">H44/4200*80</f>
        <v>1.5238095238095239</v>
      </c>
    </row>
    <row r="45" spans="1:11" x14ac:dyDescent="0.25">
      <c r="A45" s="792">
        <v>43939.205555555556</v>
      </c>
      <c r="C45" s="789">
        <v>47100</v>
      </c>
      <c r="D45" s="789">
        <v>17429</v>
      </c>
      <c r="E45" s="789">
        <f t="shared" si="83"/>
        <v>64529</v>
      </c>
      <c r="F45" s="791">
        <f t="shared" ref="F45" si="92">C45-C44</f>
        <v>450</v>
      </c>
      <c r="G45" s="791">
        <f t="shared" ref="G45" si="93">D45-D44</f>
        <v>40</v>
      </c>
      <c r="H45" s="791">
        <f t="shared" ref="H45" si="94">SUM(F45:G45)</f>
        <v>490</v>
      </c>
      <c r="I45" s="807">
        <f t="shared" ref="I45" si="95">H45/4200*80</f>
        <v>9.3333333333333339</v>
      </c>
    </row>
    <row r="46" spans="1:11" x14ac:dyDescent="0.25">
      <c r="A46" s="792">
        <v>43940.149305555555</v>
      </c>
      <c r="B46" s="796" t="s">
        <v>461</v>
      </c>
      <c r="C46" s="789">
        <v>47875</v>
      </c>
      <c r="D46" s="789">
        <v>20219</v>
      </c>
      <c r="E46" s="789">
        <f t="shared" si="83"/>
        <v>68094</v>
      </c>
      <c r="F46" s="791">
        <f t="shared" ref="F46" si="96">C46-C45</f>
        <v>775</v>
      </c>
      <c r="G46" s="791">
        <f t="shared" ref="G46" si="97">D46-D45</f>
        <v>2790</v>
      </c>
      <c r="H46" s="791">
        <f t="shared" ref="H46" si="98">SUM(F46:G46)</f>
        <v>3565</v>
      </c>
      <c r="I46" s="807">
        <f t="shared" ref="I46" si="99">H46/4200*80</f>
        <v>67.904761904761898</v>
      </c>
      <c r="J46" s="789">
        <v>4200</v>
      </c>
      <c r="K46" s="789">
        <v>80</v>
      </c>
    </row>
    <row r="47" spans="1:11" x14ac:dyDescent="0.25">
      <c r="A47" s="792">
        <v>43941.243055555555</v>
      </c>
      <c r="C47" s="789">
        <v>53675</v>
      </c>
      <c r="D47" s="789">
        <v>20119</v>
      </c>
      <c r="E47" s="789">
        <f t="shared" si="83"/>
        <v>73794</v>
      </c>
      <c r="F47" s="791">
        <f t="shared" ref="F47" si="100">C47-C46</f>
        <v>5800</v>
      </c>
      <c r="G47" s="791">
        <f t="shared" ref="G47" si="101">D47-D46</f>
        <v>-100</v>
      </c>
      <c r="H47" s="791">
        <f t="shared" ref="H47" si="102">SUM(F47:G47)</f>
        <v>5700</v>
      </c>
      <c r="I47" s="807">
        <f t="shared" ref="I47" si="103">H47/4200*80</f>
        <v>108.57142857142858</v>
      </c>
    </row>
    <row r="48" spans="1:11" x14ac:dyDescent="0.25">
      <c r="A48" s="792">
        <v>43942.540277777778</v>
      </c>
      <c r="C48" s="789">
        <v>55000</v>
      </c>
      <c r="D48" s="789">
        <v>20164</v>
      </c>
      <c r="E48" s="789">
        <f t="shared" si="83"/>
        <v>75164</v>
      </c>
      <c r="F48" s="791">
        <f t="shared" ref="F48" si="104">C48-C47</f>
        <v>1325</v>
      </c>
      <c r="G48" s="791">
        <f t="shared" ref="G48" si="105">D48-D47</f>
        <v>45</v>
      </c>
      <c r="H48" s="791">
        <f t="shared" ref="H48" si="106">SUM(F48:G48)</f>
        <v>1370</v>
      </c>
      <c r="I48" s="807">
        <f t="shared" ref="I48" si="107">H48/4200*80</f>
        <v>26.095238095238095</v>
      </c>
    </row>
    <row r="49" spans="1:11" x14ac:dyDescent="0.25">
      <c r="A49" s="792">
        <v>43943.21875</v>
      </c>
      <c r="C49" s="789">
        <v>55450</v>
      </c>
      <c r="D49" s="789">
        <v>20154</v>
      </c>
      <c r="E49" s="789">
        <f t="shared" si="83"/>
        <v>75604</v>
      </c>
      <c r="F49" s="791">
        <f t="shared" ref="F49" si="108">C49-C48</f>
        <v>450</v>
      </c>
      <c r="G49" s="791">
        <f t="shared" ref="G49" si="109">D49-D48</f>
        <v>-10</v>
      </c>
      <c r="H49" s="791">
        <f t="shared" ref="H49" si="110">SUM(F49:G49)</f>
        <v>440</v>
      </c>
      <c r="I49" s="807">
        <f t="shared" ref="I49" si="111">H49/4200*80</f>
        <v>8.3809523809523814</v>
      </c>
    </row>
    <row r="50" spans="1:11" x14ac:dyDescent="0.25">
      <c r="A50" s="792">
        <v>43944.036805555559</v>
      </c>
      <c r="C50" s="789">
        <v>55625</v>
      </c>
      <c r="D50" s="789">
        <v>20064</v>
      </c>
      <c r="E50" s="789">
        <f t="shared" si="83"/>
        <v>75689</v>
      </c>
      <c r="F50" s="791">
        <f t="shared" ref="F50" si="112">C50-C49</f>
        <v>175</v>
      </c>
      <c r="G50" s="791">
        <f t="shared" ref="G50" si="113">D50-D49</f>
        <v>-90</v>
      </c>
      <c r="H50" s="791">
        <f t="shared" ref="H50" si="114">SUM(F50:G50)</f>
        <v>85</v>
      </c>
      <c r="I50" s="807">
        <f t="shared" ref="I50" si="115">H50/4200*80</f>
        <v>1.6190476190476191</v>
      </c>
    </row>
    <row r="51" spans="1:11" x14ac:dyDescent="0.25">
      <c r="A51" s="792">
        <v>43945.34097222222</v>
      </c>
      <c r="B51" s="796" t="s">
        <v>463</v>
      </c>
      <c r="C51" s="789">
        <v>54575</v>
      </c>
      <c r="D51" s="789">
        <v>20014</v>
      </c>
      <c r="E51" s="789">
        <f t="shared" ref="E51:E52" si="116">SUM(C51:D51)</f>
        <v>74589</v>
      </c>
      <c r="F51" s="791">
        <f t="shared" ref="F51" si="117">C51-C50</f>
        <v>-1050</v>
      </c>
      <c r="G51" s="791">
        <f t="shared" ref="G51" si="118">D51-D50</f>
        <v>-50</v>
      </c>
      <c r="H51" s="791">
        <f t="shared" ref="H51" si="119">SUM(F51:G51)</f>
        <v>-1100</v>
      </c>
      <c r="I51" s="807">
        <f t="shared" ref="I51" si="120">H51/4200*80</f>
        <v>-20.952380952380953</v>
      </c>
    </row>
    <row r="52" spans="1:11" x14ac:dyDescent="0.25">
      <c r="A52" s="792">
        <v>43946.38958333333</v>
      </c>
      <c r="B52" s="796" t="s">
        <v>461</v>
      </c>
      <c r="C52" s="789">
        <v>54750</v>
      </c>
      <c r="D52" s="789">
        <v>18604</v>
      </c>
      <c r="E52" s="789">
        <f t="shared" si="116"/>
        <v>73354</v>
      </c>
      <c r="F52" s="791">
        <f t="shared" ref="F52" si="121">C52-C51</f>
        <v>175</v>
      </c>
      <c r="G52" s="791">
        <f t="shared" ref="G52" si="122">D52-D51</f>
        <v>-1410</v>
      </c>
      <c r="H52" s="791">
        <f t="shared" ref="H52" si="123">SUM(F52:G52)</f>
        <v>-1235</v>
      </c>
      <c r="I52" s="807">
        <f t="shared" ref="I52" si="124">H52/4200*80</f>
        <v>-23.523809523809526</v>
      </c>
    </row>
    <row r="53" spans="1:11" x14ac:dyDescent="0.25">
      <c r="A53" s="792">
        <v>43948.865277777775</v>
      </c>
      <c r="C53" s="789">
        <v>55025</v>
      </c>
      <c r="D53" s="789">
        <v>18979</v>
      </c>
      <c r="E53" s="789">
        <f t="shared" ref="E53:E56" si="125">SUM(C53:D53)</f>
        <v>74004</v>
      </c>
      <c r="F53" s="791">
        <f t="shared" ref="F53" si="126">C53-C52</f>
        <v>275</v>
      </c>
      <c r="G53" s="791">
        <f t="shared" ref="G53" si="127">D53-D52</f>
        <v>375</v>
      </c>
      <c r="H53" s="791">
        <f t="shared" ref="H53" si="128">SUM(F53:G53)</f>
        <v>650</v>
      </c>
      <c r="I53" s="807">
        <f t="shared" ref="I53" si="129">H53/4200*80</f>
        <v>12.380952380952381</v>
      </c>
      <c r="J53" s="789">
        <v>480</v>
      </c>
      <c r="K53" s="789">
        <v>8</v>
      </c>
    </row>
    <row r="54" spans="1:11" x14ac:dyDescent="0.25">
      <c r="A54" s="792">
        <v>43949.308333333334</v>
      </c>
      <c r="C54" s="789">
        <v>56850</v>
      </c>
      <c r="D54" s="789">
        <v>18829</v>
      </c>
      <c r="E54" s="789">
        <f t="shared" si="125"/>
        <v>75679</v>
      </c>
      <c r="F54" s="791">
        <f t="shared" ref="F54" si="130">C54-C53</f>
        <v>1825</v>
      </c>
      <c r="G54" s="791">
        <f t="shared" ref="G54" si="131">D54-D53</f>
        <v>-150</v>
      </c>
      <c r="H54" s="791">
        <f t="shared" ref="H54" si="132">SUM(F54:G54)</f>
        <v>1675</v>
      </c>
      <c r="I54" s="807">
        <f t="shared" ref="I54" si="133">H54/4200*80</f>
        <v>31.904761904761905</v>
      </c>
    </row>
    <row r="55" spans="1:11" x14ac:dyDescent="0.25">
      <c r="A55" s="792">
        <v>43950.438888888886</v>
      </c>
      <c r="C55" s="789">
        <v>57475</v>
      </c>
      <c r="D55" s="789">
        <v>23169</v>
      </c>
      <c r="E55" s="789">
        <f t="shared" si="125"/>
        <v>80644</v>
      </c>
      <c r="F55" s="791">
        <f t="shared" ref="F55" si="134">C55-C54</f>
        <v>625</v>
      </c>
      <c r="G55" s="791">
        <f t="shared" ref="G55" si="135">D55-D54</f>
        <v>4340</v>
      </c>
      <c r="H55" s="791">
        <f t="shared" ref="H55" si="136">SUM(F55:G55)</f>
        <v>4965</v>
      </c>
      <c r="I55" s="807">
        <f t="shared" ref="I55" si="137">H55/4200*80</f>
        <v>94.571428571428569</v>
      </c>
      <c r="J55" s="789">
        <v>4000</v>
      </c>
      <c r="K55" s="789">
        <v>80</v>
      </c>
    </row>
    <row r="56" spans="1:11" x14ac:dyDescent="0.25">
      <c r="A56" s="792">
        <v>43951.15625</v>
      </c>
      <c r="B56" s="796" t="s">
        <v>475</v>
      </c>
      <c r="C56" s="789">
        <v>38725</v>
      </c>
      <c r="D56" s="789">
        <v>28749</v>
      </c>
      <c r="E56" s="789">
        <f t="shared" si="125"/>
        <v>67474</v>
      </c>
      <c r="F56" s="791">
        <f t="shared" ref="F56" si="138">C56-C55</f>
        <v>-18750</v>
      </c>
      <c r="G56" s="791">
        <f t="shared" ref="G56" si="139">D56-D55</f>
        <v>5580</v>
      </c>
      <c r="H56" s="791">
        <f t="shared" ref="H56" si="140">SUM(F56:G56)</f>
        <v>-13170</v>
      </c>
      <c r="I56" s="807">
        <f t="shared" ref="I56" si="141">H56/4200*80</f>
        <v>-250.85714285714286</v>
      </c>
      <c r="J56" s="789">
        <v>8700</v>
      </c>
      <c r="K56" s="789">
        <v>139</v>
      </c>
    </row>
  </sheetData>
  <mergeCells count="10">
    <mergeCell ref="J4:K4"/>
    <mergeCell ref="A4:A5"/>
    <mergeCell ref="B4:B5"/>
    <mergeCell ref="C4:E4"/>
    <mergeCell ref="C1:E1"/>
    <mergeCell ref="B2:B3"/>
    <mergeCell ref="A2:A3"/>
    <mergeCell ref="F4:I4"/>
    <mergeCell ref="F1:I1"/>
    <mergeCell ref="K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39" t="str">
        <f>B1&amp; "日"</f>
        <v>1日</v>
      </c>
      <c r="G1" s="1140"/>
      <c r="H1" s="1140"/>
      <c r="I1" s="1139" t="str">
        <f>C1 &amp; "日"</f>
        <v>7日</v>
      </c>
      <c r="J1" s="1140"/>
      <c r="K1" s="1140"/>
      <c r="L1" s="1139" t="s">
        <v>174</v>
      </c>
      <c r="M1" s="1140"/>
      <c r="N1" s="1140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-202 D 03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-204 D 18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-213 D 13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-219 D 00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-205 D 14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000 D 00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-097 D 23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-150 D 16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-166 D 23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-186 D 12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-198 D 12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-223 D 03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-202 D 04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-207 D 21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-212 D 05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-219 D 01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-220 D 23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-215 D 17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-189 D 23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-178 D 23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-195 D 04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-194 D 06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-205 D 03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-196 D 20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-200 D 19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-201 D 04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-196 D 14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-197 D 22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-209 D 12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-197 D 04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-198 D 11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-208 D 20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-199 D 09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-198 D 15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-208 D 10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-199 D 12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-198 D 22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-188 D 21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-199 D 18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-199 D 12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-187 D 17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-200 D 13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-196 D 19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-194 D 14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-200 D 21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-199 D 08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-201 D 19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-201 D 04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-200 D 04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-208 D 08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-201 D 11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-200 D 13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-213 D 07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-201 D 23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-201 D 14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-204 D 04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-200 D 21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-198 D 16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-204 D 20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-199 D 18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-199 D 10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-190 D 15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-199 D 13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-200 D 16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-189 D 17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-198 D 19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-197 D 23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-186 D 19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-197 D 19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-198 D 03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-175 D 06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-197 D 17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-198 D 09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-178 D 15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-197 D 07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-198 D 14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-184 D 13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-197 D 11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-199 D 04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-190 D 17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-197 D 14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-199 D 17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-183 D 02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-199 D 00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-197 D 20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-199 D 15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-199 D 00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-198 D 17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-199 D 16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-199 D 03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-199 D 02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-184 D 08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-198 D 12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-197 D 19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-192 D 19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-199 D 00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-198 D 23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-210 D 06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-200 D 05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-201 D 02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-209 D 16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-200 D 10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-200 D 05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-213 D 18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-201 D 05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-201 D 02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-218 D 20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-201 D 21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-202 D 13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-221 D 11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-203 D 06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-203 D 12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-222 D 18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-204 D 05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-203 D 16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-229 D 23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-205 D 17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-204 D 05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-230 D 03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-206 D 18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-204 D 17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-230 D 09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-207 D 17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-205 D 00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-231 D 04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-208 D 13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-205 D 13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-231 D 13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-209 D 13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-205 D 20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-230 D 03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-210 D 02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-205 D 21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-230 D 06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-211 D 01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-206 D 05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-230 D 11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-211 D 13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-206 D 10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-225 D 10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-211 D 16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-205 D 17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-223 D 01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-211 D 23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-205 D 23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-222 D 09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-212 D 06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-206 D 06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-216 D 19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-213 D 04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-206 D 20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-219 D 15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-213 D 14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-207 D 09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-221 D 16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-214 D 06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-207 D 23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-224 D 16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-215 D 03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-208 D 10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-230 D 19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-216 D 18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-208 D 23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-234 D 08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-218 D 10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-210 D 06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-233 D 23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-219 D 12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-210 D 17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-232 D 15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-220 D 00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-210 D 22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-232 D 11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-220 D 12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-211 D 05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-232 D 09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-221 D 12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-211 D 07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-232 D 10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-221 D 20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-211 D 11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-229 D 02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-222 D 01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-211 D 14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-222 D 17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-224 D 02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-212 D 00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-222 D 12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-224 D 19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-212 D 05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-222 D 01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-224 D 22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-212 D 06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-222 D 12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-225 D 17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-212 D 10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-220 D 07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-227 D 04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-212 D 11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-220 D 09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-227 D 03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-213 D 01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-221 D 21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-227 D 00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-213 D 08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-223 D 00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-227 D 10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-213 D 17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-227 D 17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-227 D 11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-214 D 09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-227 D 21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-227 D 10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-214 D 11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-218 D 05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-226 D 21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-213 D 14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-216 D 04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-226 D 15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-213 D 19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-214 D 14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-226 D 14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-214 D 11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-226 D 12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-226 D 12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-215 D 13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-228 D 23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-226 D 12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-215 D 17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-232 D 08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-226 D 09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-216 D 06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-231 D 18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-226 D 10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-216 D 10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-231 D 12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-226 D 12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-216 D 13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-231 D 17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-226 D 14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-216 D 19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-231 D 19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-226 D 16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-216 D 21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-218 D 09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-225 D 18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-215 D 18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-195 D 02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-225 D 00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-215 D 20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-198 D 15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-224 D 19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-216 D 03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-203 D 13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-224 D 17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-216 D 06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-212 D 15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-224 D 11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-216 D 10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-226 D 16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-224 D 08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-216 D 16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-227 D 05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-224 D 08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-216 D 19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-227 D 14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-224 D 08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-216 D 21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-229 D 00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-224 D 10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-217 D 05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-229 D 13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-224 D 15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-217 D 10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-225 D 15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-224 D 07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-216 D 21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-219 D 03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-224 D 05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-216 D 23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-215 D 21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-224 D 02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-216 D 22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-215 D 23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-224 D 00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-217 D 00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-179 D 08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-222 D 17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-215 D 15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-200 D 21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-222 D 13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-216 D 13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-232 D 23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-222 D 13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-218 D 03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-164 D 20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-217 D 19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-216 D 03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-173 D 14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-215 D 22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-215 D 16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-179 D 01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-215 D 05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-215 D 18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-211 D 20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-214 D 18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-215 D 18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-221 D 15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-214 D 04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-216 D 07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-217 D 01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-213 D 02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-215 D 22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-215 D 05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-213 D 20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-216 D 07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-217 D 17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-214 D 12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-216 D 10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-220 D 08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-214 D 22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-216 D 06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-219 D 21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-216 D 01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-216 D 15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-220 D 09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-215 D 11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-216 D 11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-221 D 04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-216 D 03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-216 D 18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-217 D 07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-216 D 10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-216 D 15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-220 D 01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-216 D 23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-216 D 21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-221 D 04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-219 D 23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-217 D 10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-220 D 18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-220 D 00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-217 D 09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-219 D 21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-219 D 21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-217 D 07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-218 D 12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-219 D 14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-217 D 11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-217 D 16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-218 D 23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-217 D 08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-217 D 19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-218 D 22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-217 D 10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-218 D 13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-218 D 20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-217 D 14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-219 D 07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-218 D 21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-217 D 14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-212 D 18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-218 D 08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-217 D 05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-212 D 15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-217 D 21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-217 D 06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-212 D 18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-217 D 15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-217 D 05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-214 D 05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-217 D 14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-217 D 06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-217 D 22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-217 D 14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-217 D 08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-218 D 10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-217 D 16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-217 D 10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-219 D 04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-217 D 17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-217 D 11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-216 D 18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-217 D 10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-217 D 04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-221 D 18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-217 D 10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-217 D 13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-221 D 05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-217 D 12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-217 D 12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-219 D 06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-217 D 10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-217 D 09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-219 D 00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-217 D 12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-217 D 11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-217 D 14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-217 D 19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-217 D 16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-220 D 19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-218 D 02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-217 D 20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-221 D 13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-218 D 05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-217 D 20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-220 D 11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-218 D 04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-217 D 17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-221 D 03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-218 D 06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-217 D 18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-219 D 21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-218 D 08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-217 D 19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-218 D 23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-218 D 12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-217 D 22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-219 D 13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-218 D 19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-218 D 01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-221 D 06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-218 D 22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-218 D 01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-218 D 06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-218 D 22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-217 D 23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-218 D 10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-219 D 00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-218 D 00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-219 D 04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-219 D 08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-218 D 06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-219 D 11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-219 D 11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-218 D 04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-220 D 16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-219 D 13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-218 D 06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-220 D 01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-219 D 17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-218 D 06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-219 D 08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-219 D 19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-218 D 08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-217 D 23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-219 D 20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-218 D 07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-218 D 09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-219 D 20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-218 D 09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-218 D 15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-219 D 23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-218 D 09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-218 D 15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-219 D 21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-218 D 09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-218 D 23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-219 D 23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-218 D 11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-219 D 03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-219 D 23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-218 D 11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-219 D 04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-219 D 22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-218 D 11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-218 D 00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-219 D 18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-218 D 09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-219 D 05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-219 D 20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-218 D 14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-220 D 19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-220 D 00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-218 D 18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-220 D 13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-219 D 22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-218 D 16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-220 D 15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-219 D 23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-218 D 18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-221 D 16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-220 D 00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-218 D 21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-221 D 20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-220 D 01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-218 D 22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-221 D 22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-220 D 05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-219 D 02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-222 D 09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-220 D 08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-219 D 04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-219 D 07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-220 D 00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-218 D 19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-216 D 02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-220 D 00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-218 D 20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-215 D 23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-220 D 01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-218 D 22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-216 D 17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-220 D 01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-218 D 23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-217 D 09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-220 D 01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-218 D 23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-216 D 13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-219 D 19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-218 D 17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-217 D 23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-219 D 19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-218 D 19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-215 D 08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-219 D 14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-218 D 16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-216 D 02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-219 D 14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-218 D 17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-216 D 20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-219 D 13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-218 D 19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-217 D 12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-219 D 14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-218 D 20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-217 D 22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-219 D 14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-218 D 20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-218 D 16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-219 D 15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-218 D 22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-220 D 12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-219 D 16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-218 D 23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-219 D 05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-219 D 08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-218 D 17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-218 D 22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-219 D 09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-218 D 18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-219 D 18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-219 D 15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-219 D 03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-220 D 05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-219 D 13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-219 D 01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-220 D 10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-219 D 15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-219 D 03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-221 D 07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-219 D 17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-219 D 05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-221 D 08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-219 D 19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-219 D 07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-221 D 12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-219 D 21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-219 D 08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-221 D 18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-220 D 00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-219 D 12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-221 D 23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-220 D 03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-219 D 14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-222 D 11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-220 D 08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-219 D 19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-222 D 12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-220 D 10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-219 D 20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-222 D 13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-220 D 12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-219 D 21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-222 D 23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-220 D 19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-220 D 05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-222 D 21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-220 D 21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-220 D 05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-223 D 13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-221 D 15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-221 D 01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-223 D 17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-221 D 20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-221 D 06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-223 D 18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-222 D 00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-221 D 08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-223 D 18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-222 D 04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-221 D 11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-223 D 19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-222 D 09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-221 D 17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-223 D 19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-222 D 11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-221 D 18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-223 D 07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-222 D 17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-222 D 02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45">
        <v>43677.583333333336</v>
      </c>
      <c r="C1" s="1145"/>
      <c r="D1" s="255" t="s">
        <v>149</v>
      </c>
      <c r="E1" s="253" t="s">
        <v>82</v>
      </c>
      <c r="F1" s="253" t="s">
        <v>74</v>
      </c>
      <c r="G1" s="1133" t="s">
        <v>75</v>
      </c>
      <c r="H1" s="1133"/>
      <c r="I1" s="1133"/>
      <c r="J1" s="1133"/>
      <c r="K1" s="28"/>
      <c r="L1" s="252" t="s">
        <v>77</v>
      </c>
      <c r="M1" s="252"/>
      <c r="N1" s="831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45">
        <v>43688.583333333336</v>
      </c>
      <c r="C2" s="1145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44" t="str">
        <f ca="1">IF(NOW() &gt; $B$2,"",(NOW()-$B$1)/($B$2-$B$1))</f>
        <v/>
      </c>
      <c r="H2" s="1144"/>
      <c r="I2" s="1144"/>
      <c r="J2" s="1144"/>
      <c r="K2" s="28" t="s">
        <v>79</v>
      </c>
      <c r="L2" s="127">
        <v>100000</v>
      </c>
      <c r="N2" s="831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31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31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41" t="s">
        <v>76</v>
      </c>
      <c r="C5" s="1141"/>
      <c r="D5" s="1142" t="s">
        <v>153</v>
      </c>
      <c r="E5" s="1142"/>
      <c r="F5" s="1142" t="s">
        <v>78</v>
      </c>
      <c r="G5" s="1142"/>
      <c r="H5" s="1142" t="s">
        <v>81</v>
      </c>
      <c r="I5" s="1142"/>
      <c r="J5" s="1133" t="s">
        <v>151</v>
      </c>
      <c r="K5" s="1133"/>
      <c r="L5" s="1143" t="s">
        <v>152</v>
      </c>
      <c r="M5" s="1143"/>
      <c r="N5" s="1133" t="s">
        <v>150</v>
      </c>
      <c r="O5" s="1133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65" t="s">
        <v>231</v>
      </c>
      <c r="C2" s="1165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66" t="s">
        <v>17</v>
      </c>
      <c r="U3" s="1166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71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85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46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72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85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46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77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84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67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78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84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67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73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83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68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74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83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68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79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82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81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80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82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81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75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76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56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59">
        <f ca="1">SUM(MAX(L4,L5),MAX(L6,L7),MAX(L8,L9),MAX(L10,L11),MAX(L12,L13))</f>
        <v>0</v>
      </c>
      <c r="M14" s="1159">
        <f ca="1">SUM(MAX(M4,M5),MAX(M6,M7),MAX(M8,M9),MAX(M10,M11),MAX(M12,M13))</f>
        <v>0</v>
      </c>
      <c r="N14" s="1169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57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60"/>
      <c r="M15" s="1160"/>
      <c r="N15" s="1170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57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t="shared" ref="K16" ca="1" si="12">(F16+H16)/G16</f>
        <v>1.9432723799126637</v>
      </c>
      <c r="L16" s="1147">
        <f ca="1">IFERROR(ROUND(J16/(O16*INPUT_IO_DROP_RATE),0),NA())</f>
        <v>0</v>
      </c>
      <c r="M16" s="1147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58">
        <f>SUM(D迎擊!AK:AK)</f>
        <v>1045</v>
      </c>
      <c r="AD16" s="53"/>
    </row>
    <row r="17" spans="2:27" x14ac:dyDescent="0.25">
      <c r="B17" s="1157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47">
        <f ca="1">IFERROR(ROUND(J17/O17,0),NA())</f>
        <v>0</v>
      </c>
      <c r="M17" s="1147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58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57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t="shared" ref="K18" ca="1" si="13">(F18+H18)/G18</f>
        <v>4.4487500000000004</v>
      </c>
      <c r="L18" s="1147">
        <f ca="1">IFERROR(ROUND(J18/O18,0),NA())</f>
        <v>0</v>
      </c>
      <c r="M18" s="1147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58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61" t="s">
        <v>158</v>
      </c>
      <c r="C20" s="1162"/>
      <c r="D20" s="1162"/>
      <c r="E20" s="1162"/>
      <c r="F20" s="1162"/>
      <c r="G20" s="1162"/>
      <c r="H20" s="1162"/>
      <c r="I20" s="1148">
        <v>2</v>
      </c>
      <c r="J20" s="1152" t="s">
        <v>191</v>
      </c>
      <c r="K20" s="1153"/>
      <c r="L20" s="1148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48"/>
      <c r="N20" s="1148"/>
      <c r="O20" s="1148"/>
      <c r="P20" s="1149"/>
    </row>
    <row r="21" spans="2:27" ht="22.5" customHeight="1" thickBot="1" x14ac:dyDescent="0.3">
      <c r="B21" s="1163"/>
      <c r="C21" s="1164"/>
      <c r="D21" s="1164"/>
      <c r="E21" s="1164"/>
      <c r="F21" s="1164"/>
      <c r="G21" s="1164"/>
      <c r="H21" s="1164"/>
      <c r="I21" s="1150"/>
      <c r="J21" s="1154"/>
      <c r="K21" s="1155"/>
      <c r="L21" s="1150"/>
      <c r="M21" s="1150"/>
      <c r="N21" s="1150"/>
      <c r="O21" s="1150"/>
      <c r="P21" s="1151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93" t="s">
        <v>90</v>
      </c>
      <c r="B1" s="1193"/>
      <c r="C1" s="1188" t="s">
        <v>26</v>
      </c>
      <c r="D1" s="1188" t="s">
        <v>89</v>
      </c>
      <c r="E1" s="1188"/>
      <c r="F1" s="1188" t="s">
        <v>26</v>
      </c>
      <c r="G1" s="1200" t="s">
        <v>90</v>
      </c>
      <c r="H1" s="1200"/>
      <c r="I1" s="1187" t="s">
        <v>26</v>
      </c>
      <c r="J1" s="1187" t="s">
        <v>89</v>
      </c>
      <c r="K1" s="1187"/>
      <c r="L1" s="1187" t="s">
        <v>26</v>
      </c>
      <c r="M1" s="1199" t="s">
        <v>90</v>
      </c>
      <c r="N1" s="1199"/>
      <c r="O1" s="1198" t="s">
        <v>26</v>
      </c>
      <c r="P1" s="1198" t="s">
        <v>89</v>
      </c>
      <c r="Q1" s="1198"/>
      <c r="R1" s="1198" t="s">
        <v>26</v>
      </c>
      <c r="S1" s="1192" t="s">
        <v>90</v>
      </c>
      <c r="T1" s="1192"/>
      <c r="U1" s="1191" t="s">
        <v>26</v>
      </c>
      <c r="V1" s="1191" t="s">
        <v>89</v>
      </c>
      <c r="W1" s="1191"/>
      <c r="X1" s="1191" t="s">
        <v>26</v>
      </c>
      <c r="Y1" s="1190" t="s">
        <v>90</v>
      </c>
      <c r="Z1" s="1190"/>
      <c r="AA1" s="1189" t="s">
        <v>26</v>
      </c>
      <c r="AB1" s="1189" t="s">
        <v>89</v>
      </c>
      <c r="AC1" s="1189"/>
      <c r="AD1" s="1189" t="s">
        <v>26</v>
      </c>
      <c r="AE1" s="1196" t="s">
        <v>98</v>
      </c>
      <c r="AF1" s="1196"/>
      <c r="AG1" s="1197" t="s">
        <v>99</v>
      </c>
      <c r="AH1" s="1197"/>
      <c r="AI1" s="1194" t="s">
        <v>100</v>
      </c>
      <c r="AJ1" s="1194"/>
      <c r="AK1" s="1195" t="s">
        <v>26</v>
      </c>
      <c r="AM1" s="994" t="s">
        <v>155</v>
      </c>
      <c r="AN1" s="1186"/>
      <c r="AO1" s="1186"/>
      <c r="AP1" s="1186"/>
      <c r="AQ1" s="1186"/>
      <c r="AR1" s="1186"/>
      <c r="AS1" s="1186"/>
      <c r="AT1" s="1186"/>
      <c r="AU1" s="995"/>
      <c r="AV1" s="262"/>
      <c r="AW1" s="994" t="s">
        <v>58</v>
      </c>
      <c r="AX1" s="1186"/>
      <c r="AY1" s="1186"/>
      <c r="AZ1" s="1186"/>
      <c r="BA1" s="1186"/>
      <c r="BB1" s="1186"/>
      <c r="BC1" s="1186"/>
      <c r="BD1" s="1186"/>
      <c r="BE1" s="995"/>
    </row>
    <row r="2" spans="1:57" x14ac:dyDescent="0.25">
      <c r="A2" s="283" t="s">
        <v>28</v>
      </c>
      <c r="B2" s="110" t="s">
        <v>97</v>
      </c>
      <c r="C2" s="1188"/>
      <c r="D2" s="108" t="s">
        <v>28</v>
      </c>
      <c r="E2" s="110" t="s">
        <v>97</v>
      </c>
      <c r="F2" s="1188"/>
      <c r="G2" s="279" t="s">
        <v>28</v>
      </c>
      <c r="H2" s="111" t="s">
        <v>97</v>
      </c>
      <c r="I2" s="1187"/>
      <c r="J2" s="281" t="s">
        <v>28</v>
      </c>
      <c r="K2" s="106" t="s">
        <v>97</v>
      </c>
      <c r="L2" s="1187"/>
      <c r="M2" s="277" t="s">
        <v>28</v>
      </c>
      <c r="N2" s="104" t="s">
        <v>97</v>
      </c>
      <c r="O2" s="1198"/>
      <c r="P2" s="277" t="s">
        <v>28</v>
      </c>
      <c r="Q2" s="104" t="s">
        <v>97</v>
      </c>
      <c r="R2" s="1198"/>
      <c r="S2" s="272" t="s">
        <v>28</v>
      </c>
      <c r="T2" s="102" t="s">
        <v>97</v>
      </c>
      <c r="U2" s="1191"/>
      <c r="V2" s="272" t="s">
        <v>28</v>
      </c>
      <c r="W2" s="102" t="s">
        <v>97</v>
      </c>
      <c r="X2" s="1191"/>
      <c r="Y2" s="274" t="s">
        <v>28</v>
      </c>
      <c r="Z2" s="113" t="s">
        <v>97</v>
      </c>
      <c r="AA2" s="1189"/>
      <c r="AB2" s="274" t="s">
        <v>28</v>
      </c>
      <c r="AC2" s="113" t="s">
        <v>97</v>
      </c>
      <c r="AD2" s="1189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95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 t="shared" ref="A3" si="0">B3/C3</f>
        <v>10.379310344827585</v>
      </c>
      <c r="B3" s="107">
        <v>301</v>
      </c>
      <c r="C3" s="60">
        <v>29</v>
      </c>
      <c r="D3" s="284">
        <f t="shared" ref="D3" si="1">E3/F3</f>
        <v>4.4827586206896548</v>
      </c>
      <c r="E3" s="4">
        <v>130</v>
      </c>
      <c r="F3" s="60">
        <v>29</v>
      </c>
      <c r="G3" s="280">
        <f t="shared" ref="G3" si="2">H3/I3</f>
        <v>10.555555555555555</v>
      </c>
      <c r="H3" s="112">
        <v>190</v>
      </c>
      <c r="I3" s="61">
        <v>18</v>
      </c>
      <c r="J3" s="280">
        <f t="shared" ref="J3" si="3">K3/L3</f>
        <v>4.5555555555555554</v>
      </c>
      <c r="K3" s="3">
        <v>82</v>
      </c>
      <c r="L3" s="61">
        <v>18</v>
      </c>
      <c r="M3" s="278">
        <f t="shared" ref="M3:M7" si="4">N3/O3</f>
        <v>10.810810810810811</v>
      </c>
      <c r="N3" s="105">
        <v>2000</v>
      </c>
      <c r="O3" s="62">
        <v>185</v>
      </c>
      <c r="P3" s="278">
        <f t="shared" ref="P3:P7" si="5">Q3/R3</f>
        <v>4.9081081081081077</v>
      </c>
      <c r="Q3" s="105">
        <v>908</v>
      </c>
      <c r="R3" s="62">
        <v>185</v>
      </c>
      <c r="S3" s="273">
        <f t="shared" ref="S3:S6" si="6"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7">AF3/AK3</f>
        <v>3.5365853658536586</v>
      </c>
      <c r="AF3" s="116">
        <v>145</v>
      </c>
      <c r="AG3" s="98">
        <f t="shared" ref="AG3:AG13" si="8">AH3/AK3</f>
        <v>1.9512195121951219</v>
      </c>
      <c r="AH3" s="118">
        <v>80</v>
      </c>
      <c r="AI3" s="101">
        <f t="shared" ref="AI3:AI13" si="9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10">IF($AM3=INPUT_IO_GOAL_LV,0, IF($AM3&lt;INPUT_IO_GOAL_LV,SUM(INDIRECT("AX" &amp; ROW() + 1 &amp; ":AX" &amp; INPUT_IO_GOAL_LV + 2)),0))</f>
        <v>4580</v>
      </c>
      <c r="AO3" s="161">
        <f t="shared" ref="AO3:AO37" ca="1" si="11">IF($AM3=INPUT_IO_GOAL_LV,0, IF($AM3&lt;INPUT_IO_GOAL_LV,SUM(INDIRECT("AY" &amp; ROW() + 1 &amp; ":AY" &amp; INPUT_IO_GOAL_LV + 2)),0))</f>
        <v>1255</v>
      </c>
      <c r="AP3" s="161">
        <f t="shared" ref="AP3:AP37" ca="1" si="12">IF($AM3=INPUT_IO_GOAL_LV,0, IF($AM3&lt;INPUT_IO_GOAL_LV,SUM(INDIRECT("AZ" &amp; ROW() + 1 &amp; ":AZ" &amp; INPUT_IO_GOAL_LV + 2)),0))</f>
        <v>1350</v>
      </c>
      <c r="AQ3" s="153">
        <f t="shared" ref="AQ3:AQ37" ca="1" si="13">IF($AM3=INPUT_IO_GOAL_LV,0, IF($AM3&lt;INPUT_IO_GOAL_LV,SUM(INDIRECT("BA" &amp; ROW() + 1 &amp; ":BA" &amp; INPUT_IO_GOAL_LV + 2)),0))</f>
        <v>2510</v>
      </c>
      <c r="AR3" s="153">
        <f t="shared" ref="AR3:AR37" ca="1" si="14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15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16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 t="shared" si="4"/>
        <v>10.612121212121211</v>
      </c>
      <c r="N4" s="105">
        <v>3502</v>
      </c>
      <c r="O4" s="62">
        <v>330</v>
      </c>
      <c r="P4" s="278">
        <f t="shared" si="5"/>
        <v>4.5303030303030303</v>
      </c>
      <c r="Q4" s="105">
        <v>1495</v>
      </c>
      <c r="R4" s="62">
        <v>330</v>
      </c>
      <c r="S4" s="273">
        <f t="shared" si="6"/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7"/>
        <v>3.5227272727272729</v>
      </c>
      <c r="AF4" s="116">
        <v>155</v>
      </c>
      <c r="AG4" s="98">
        <f t="shared" si="8"/>
        <v>1.9090909090909092</v>
      </c>
      <c r="AH4" s="118">
        <v>84</v>
      </c>
      <c r="AI4" s="101">
        <f t="shared" si="9"/>
        <v>12.5</v>
      </c>
      <c r="AJ4" s="120">
        <v>550</v>
      </c>
      <c r="AK4" s="130">
        <v>44</v>
      </c>
      <c r="AM4" s="263">
        <v>2</v>
      </c>
      <c r="AN4" s="285">
        <f t="shared" ca="1" si="10"/>
        <v>4570</v>
      </c>
      <c r="AO4" s="285">
        <f t="shared" ca="1" si="11"/>
        <v>1255</v>
      </c>
      <c r="AP4" s="285">
        <f t="shared" ca="1" si="12"/>
        <v>1350</v>
      </c>
      <c r="AQ4" s="51">
        <f t="shared" ca="1" si="13"/>
        <v>2510</v>
      </c>
      <c r="AR4" s="51">
        <f t="shared" ca="1" si="14"/>
        <v>640</v>
      </c>
      <c r="AS4" s="288">
        <v>3.5</v>
      </c>
      <c r="AT4" s="288">
        <v>3</v>
      </c>
      <c r="AU4" s="291" t="str">
        <f t="shared" ca="1" si="15"/>
        <v>38 D 4 H</v>
      </c>
      <c r="AV4" s="267">
        <f t="shared" ca="1" si="16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 t="shared" si="4"/>
        <v>10.357894736842105</v>
      </c>
      <c r="N5" s="105">
        <v>984</v>
      </c>
      <c r="O5" s="62">
        <v>95</v>
      </c>
      <c r="P5" s="278">
        <f t="shared" si="5"/>
        <v>4.3789473684210529</v>
      </c>
      <c r="Q5" s="105">
        <v>416</v>
      </c>
      <c r="R5" s="62">
        <v>95</v>
      </c>
      <c r="S5" s="273">
        <f t="shared" si="6"/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7"/>
        <v>3.5151515151515151</v>
      </c>
      <c r="AF5" s="116">
        <v>348</v>
      </c>
      <c r="AG5" s="98">
        <f t="shared" si="8"/>
        <v>1.898989898989899</v>
      </c>
      <c r="AH5" s="118">
        <v>188</v>
      </c>
      <c r="AI5" s="101">
        <f t="shared" si="9"/>
        <v>12.464646464646465</v>
      </c>
      <c r="AJ5" s="120">
        <v>1234</v>
      </c>
      <c r="AK5" s="130">
        <v>99</v>
      </c>
      <c r="AM5" s="263">
        <v>3</v>
      </c>
      <c r="AN5" s="285">
        <f t="shared" ca="1" si="10"/>
        <v>4560</v>
      </c>
      <c r="AO5" s="285">
        <f t="shared" ca="1" si="11"/>
        <v>1255</v>
      </c>
      <c r="AP5" s="285">
        <f t="shared" ca="1" si="12"/>
        <v>1350</v>
      </c>
      <c r="AQ5" s="51">
        <f t="shared" ca="1" si="13"/>
        <v>2510</v>
      </c>
      <c r="AR5" s="51">
        <f t="shared" ca="1" si="14"/>
        <v>640</v>
      </c>
      <c r="AS5" s="288">
        <v>3.5</v>
      </c>
      <c r="AT5" s="288">
        <v>3.5</v>
      </c>
      <c r="AU5" s="291" t="str">
        <f t="shared" ca="1" si="15"/>
        <v>38 D 3 H</v>
      </c>
      <c r="AV5" s="267">
        <f t="shared" ca="1" si="16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 t="shared" si="4"/>
        <v>10.469230769230769</v>
      </c>
      <c r="N6" s="105">
        <v>1361</v>
      </c>
      <c r="O6" s="62">
        <v>130</v>
      </c>
      <c r="P6" s="278">
        <f t="shared" si="5"/>
        <v>4.3076923076923075</v>
      </c>
      <c r="Q6" s="105">
        <v>560</v>
      </c>
      <c r="R6" s="62">
        <v>130</v>
      </c>
      <c r="S6" s="273">
        <f t="shared" si="6"/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7"/>
        <v>3.5</v>
      </c>
      <c r="AF6" s="116">
        <v>70</v>
      </c>
      <c r="AG6" s="98">
        <f t="shared" si="8"/>
        <v>1.9</v>
      </c>
      <c r="AH6" s="118">
        <v>38</v>
      </c>
      <c r="AI6" s="101">
        <f t="shared" si="9"/>
        <v>12.65</v>
      </c>
      <c r="AJ6" s="120">
        <v>253</v>
      </c>
      <c r="AK6" s="130">
        <v>20</v>
      </c>
      <c r="AM6" s="263">
        <v>4</v>
      </c>
      <c r="AN6" s="285">
        <f t="shared" ca="1" si="10"/>
        <v>4550</v>
      </c>
      <c r="AO6" s="285">
        <f t="shared" ca="1" si="11"/>
        <v>1255</v>
      </c>
      <c r="AP6" s="285">
        <f t="shared" ca="1" si="12"/>
        <v>1350</v>
      </c>
      <c r="AQ6" s="51">
        <f t="shared" ca="1" si="13"/>
        <v>2510</v>
      </c>
      <c r="AR6" s="51">
        <f t="shared" ca="1" si="14"/>
        <v>640</v>
      </c>
      <c r="AS6" s="288">
        <v>4</v>
      </c>
      <c r="AT6" s="288">
        <v>3.5</v>
      </c>
      <c r="AU6" s="291" t="str">
        <f t="shared" ca="1" si="15"/>
        <v>38 D 1 H</v>
      </c>
      <c r="AV6" s="267">
        <f t="shared" ca="1" si="16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 t="shared" si="4"/>
        <v>10.481481481481481</v>
      </c>
      <c r="N7" s="105">
        <v>566</v>
      </c>
      <c r="O7" s="62">
        <v>54</v>
      </c>
      <c r="P7" s="278">
        <f t="shared" si="5"/>
        <v>4.5</v>
      </c>
      <c r="Q7" s="105">
        <v>243</v>
      </c>
      <c r="R7" s="62">
        <v>54</v>
      </c>
      <c r="AB7" s="276"/>
      <c r="AE7" s="109">
        <f t="shared" si="7"/>
        <v>3.8378378378378377</v>
      </c>
      <c r="AF7" s="116">
        <v>710</v>
      </c>
      <c r="AG7" s="98">
        <f t="shared" si="8"/>
        <v>1.9297297297297298</v>
      </c>
      <c r="AH7" s="118">
        <v>357</v>
      </c>
      <c r="AI7" s="101">
        <f t="shared" si="9"/>
        <v>12.891891891891891</v>
      </c>
      <c r="AJ7" s="120">
        <v>2385</v>
      </c>
      <c r="AK7" s="130">
        <v>185</v>
      </c>
      <c r="AM7" s="270">
        <v>5</v>
      </c>
      <c r="AN7" s="165">
        <f t="shared" ca="1" si="10"/>
        <v>4540</v>
      </c>
      <c r="AO7" s="165">
        <f t="shared" ca="1" si="11"/>
        <v>1255</v>
      </c>
      <c r="AP7" s="165">
        <f t="shared" ca="1" si="12"/>
        <v>1350</v>
      </c>
      <c r="AQ7" s="157">
        <f t="shared" ca="1" si="13"/>
        <v>2510</v>
      </c>
      <c r="AR7" s="157">
        <f t="shared" ca="1" si="14"/>
        <v>640</v>
      </c>
      <c r="AS7" s="286">
        <v>4</v>
      </c>
      <c r="AT7" s="286">
        <v>4</v>
      </c>
      <c r="AU7" s="292" t="str">
        <f t="shared" ca="1" si="15"/>
        <v>37 D 22 H</v>
      </c>
      <c r="AV7" s="271">
        <f t="shared" ca="1" si="16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7"/>
        <v>3.5333333333333332</v>
      </c>
      <c r="AF8" s="116">
        <v>1166</v>
      </c>
      <c r="AG8" s="98">
        <f t="shared" si="8"/>
        <v>1.8787878787878789</v>
      </c>
      <c r="AH8" s="118">
        <v>620</v>
      </c>
      <c r="AI8" s="101">
        <f t="shared" si="9"/>
        <v>12.609090909090909</v>
      </c>
      <c r="AJ8" s="120">
        <v>4161</v>
      </c>
      <c r="AK8" s="130">
        <v>330</v>
      </c>
      <c r="AM8" s="268">
        <v>6</v>
      </c>
      <c r="AN8" s="161">
        <f t="shared" ca="1" si="10"/>
        <v>4520</v>
      </c>
      <c r="AO8" s="161">
        <f t="shared" ca="1" si="11"/>
        <v>1255</v>
      </c>
      <c r="AP8" s="161">
        <f t="shared" ca="1" si="12"/>
        <v>1350</v>
      </c>
      <c r="AQ8" s="153">
        <f t="shared" ca="1" si="13"/>
        <v>2510</v>
      </c>
      <c r="AR8" s="153">
        <f t="shared" ca="1" si="14"/>
        <v>640</v>
      </c>
      <c r="AS8" s="287">
        <v>4.5</v>
      </c>
      <c r="AT8" s="287">
        <v>4</v>
      </c>
      <c r="AU8" s="290" t="str">
        <f t="shared" ca="1" si="15"/>
        <v>37 D 18 H</v>
      </c>
      <c r="AV8" s="269">
        <f t="shared" ca="1" si="16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7"/>
        <v>3.3333333333333335</v>
      </c>
      <c r="AF9" s="116">
        <v>60</v>
      </c>
      <c r="AG9" s="98">
        <f t="shared" si="8"/>
        <v>1.9444444444444444</v>
      </c>
      <c r="AH9" s="118">
        <v>35</v>
      </c>
      <c r="AI9" s="101">
        <f t="shared" si="9"/>
        <v>12.444444444444445</v>
      </c>
      <c r="AJ9" s="120">
        <v>224</v>
      </c>
      <c r="AK9" s="130">
        <v>18</v>
      </c>
      <c r="AM9" s="263">
        <v>7</v>
      </c>
      <c r="AN9" s="285">
        <f t="shared" ca="1" si="10"/>
        <v>4500</v>
      </c>
      <c r="AO9" s="285">
        <f t="shared" ca="1" si="11"/>
        <v>1255</v>
      </c>
      <c r="AP9" s="285">
        <f t="shared" ca="1" si="12"/>
        <v>1350</v>
      </c>
      <c r="AQ9" s="51">
        <f t="shared" ca="1" si="13"/>
        <v>2510</v>
      </c>
      <c r="AR9" s="51">
        <f t="shared" ca="1" si="14"/>
        <v>640</v>
      </c>
      <c r="AS9" s="288">
        <v>4.5</v>
      </c>
      <c r="AT9" s="288">
        <v>4.5</v>
      </c>
      <c r="AU9" s="291" t="str">
        <f t="shared" ca="1" si="15"/>
        <v>37 D 13 H</v>
      </c>
      <c r="AV9" s="267">
        <f t="shared" ca="1" si="16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7"/>
        <v>3.5172413793103448</v>
      </c>
      <c r="AF10" s="116">
        <v>102</v>
      </c>
      <c r="AG10" s="98">
        <f t="shared" si="8"/>
        <v>1.9310344827586208</v>
      </c>
      <c r="AH10" s="118">
        <v>56</v>
      </c>
      <c r="AI10" s="101">
        <f t="shared" si="9"/>
        <v>12.517241379310345</v>
      </c>
      <c r="AJ10" s="120">
        <v>363</v>
      </c>
      <c r="AK10" s="130">
        <v>29</v>
      </c>
      <c r="AM10" s="263">
        <v>8</v>
      </c>
      <c r="AN10" s="285">
        <f t="shared" ca="1" si="10"/>
        <v>4480</v>
      </c>
      <c r="AO10" s="285">
        <f t="shared" ca="1" si="11"/>
        <v>1255</v>
      </c>
      <c r="AP10" s="285">
        <f t="shared" ca="1" si="12"/>
        <v>1350</v>
      </c>
      <c r="AQ10" s="51">
        <f t="shared" ca="1" si="13"/>
        <v>2510</v>
      </c>
      <c r="AR10" s="51">
        <f t="shared" ca="1" si="14"/>
        <v>640</v>
      </c>
      <c r="AS10" s="288">
        <v>5</v>
      </c>
      <c r="AT10" s="288">
        <v>4.5</v>
      </c>
      <c r="AU10" s="291" t="str">
        <f t="shared" ca="1" si="15"/>
        <v>37 D 7 H</v>
      </c>
      <c r="AV10" s="267">
        <f t="shared" ca="1" si="16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7"/>
        <v>3.5157894736842104</v>
      </c>
      <c r="AF11" s="116">
        <v>334</v>
      </c>
      <c r="AG11" s="98">
        <f t="shared" si="8"/>
        <v>1.7789473684210526</v>
      </c>
      <c r="AH11" s="118">
        <v>169</v>
      </c>
      <c r="AI11" s="101">
        <f t="shared" si="9"/>
        <v>12.410526315789474</v>
      </c>
      <c r="AJ11" s="120">
        <v>1179</v>
      </c>
      <c r="AK11" s="130">
        <v>95</v>
      </c>
      <c r="AM11" s="263">
        <v>9</v>
      </c>
      <c r="AN11" s="285">
        <f t="shared" ca="1" si="10"/>
        <v>4460</v>
      </c>
      <c r="AO11" s="285">
        <f t="shared" ca="1" si="11"/>
        <v>1255</v>
      </c>
      <c r="AP11" s="285">
        <f t="shared" ca="1" si="12"/>
        <v>1350</v>
      </c>
      <c r="AQ11" s="51">
        <f t="shared" ca="1" si="13"/>
        <v>2510</v>
      </c>
      <c r="AR11" s="51">
        <f t="shared" ca="1" si="14"/>
        <v>640</v>
      </c>
      <c r="AS11" s="288">
        <v>5</v>
      </c>
      <c r="AT11" s="288">
        <v>5</v>
      </c>
      <c r="AU11" s="291" t="str">
        <f t="shared" ca="1" si="15"/>
        <v>37 D 0 H</v>
      </c>
      <c r="AV11" s="267">
        <f t="shared" ca="1" si="16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7"/>
        <v>3.3692307692307693</v>
      </c>
      <c r="AF12" s="116">
        <v>438</v>
      </c>
      <c r="AG12" s="98">
        <f t="shared" si="8"/>
        <v>1.9</v>
      </c>
      <c r="AH12" s="118">
        <v>247</v>
      </c>
      <c r="AI12" s="101">
        <f t="shared" si="9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10"/>
        <v>4440</v>
      </c>
      <c r="AO12" s="165">
        <f t="shared" ca="1" si="11"/>
        <v>1255</v>
      </c>
      <c r="AP12" s="165">
        <f t="shared" ca="1" si="12"/>
        <v>1350</v>
      </c>
      <c r="AQ12" s="157">
        <f t="shared" ca="1" si="13"/>
        <v>2510</v>
      </c>
      <c r="AR12" s="157">
        <f t="shared" ca="1" si="14"/>
        <v>640</v>
      </c>
      <c r="AS12" s="286">
        <v>5.5</v>
      </c>
      <c r="AT12" s="286">
        <v>5</v>
      </c>
      <c r="AU12" s="292" t="str">
        <f t="shared" ca="1" si="15"/>
        <v>36 D 16 H</v>
      </c>
      <c r="AV12" s="271">
        <f t="shared" ca="1" si="16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7"/>
        <v>3.5185185185185186</v>
      </c>
      <c r="AF13" s="116">
        <v>190</v>
      </c>
      <c r="AG13" s="98">
        <f t="shared" si="8"/>
        <v>1.8518518518518519</v>
      </c>
      <c r="AH13" s="118">
        <v>100</v>
      </c>
      <c r="AI13" s="101">
        <f t="shared" si="9"/>
        <v>12.518518518518519</v>
      </c>
      <c r="AJ13" s="120">
        <v>676</v>
      </c>
      <c r="AK13" s="130">
        <v>54</v>
      </c>
      <c r="AM13" s="268">
        <v>11</v>
      </c>
      <c r="AN13" s="161">
        <f t="shared" ca="1" si="10"/>
        <v>4410</v>
      </c>
      <c r="AO13" s="161">
        <f t="shared" ca="1" si="11"/>
        <v>1250</v>
      </c>
      <c r="AP13" s="161">
        <f t="shared" ca="1" si="12"/>
        <v>1350</v>
      </c>
      <c r="AQ13" s="153">
        <f t="shared" ca="1" si="13"/>
        <v>2500</v>
      </c>
      <c r="AR13" s="153">
        <f t="shared" ca="1" si="14"/>
        <v>640</v>
      </c>
      <c r="AS13" s="287">
        <v>5.5</v>
      </c>
      <c r="AT13" s="287">
        <v>5.5</v>
      </c>
      <c r="AU13" s="290" t="str">
        <f t="shared" ca="1" si="15"/>
        <v>36 D 6 H</v>
      </c>
      <c r="AV13" s="269">
        <f t="shared" ca="1" si="16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10"/>
        <v>4380</v>
      </c>
      <c r="AO14" s="285">
        <f t="shared" ca="1" si="11"/>
        <v>1245</v>
      </c>
      <c r="AP14" s="285">
        <f t="shared" ca="1" si="12"/>
        <v>1350</v>
      </c>
      <c r="AQ14" s="51">
        <f t="shared" ca="1" si="13"/>
        <v>2490</v>
      </c>
      <c r="AR14" s="51">
        <f t="shared" ca="1" si="14"/>
        <v>640</v>
      </c>
      <c r="AS14" s="288">
        <v>6</v>
      </c>
      <c r="AT14" s="288">
        <v>5.5</v>
      </c>
      <c r="AU14" s="291" t="str">
        <f t="shared" ca="1" si="15"/>
        <v>35 D 18 H</v>
      </c>
      <c r="AV14" s="267">
        <f t="shared" ca="1" si="16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10"/>
        <v>4350</v>
      </c>
      <c r="AO15" s="285">
        <f t="shared" ca="1" si="11"/>
        <v>1240</v>
      </c>
      <c r="AP15" s="285">
        <f t="shared" ca="1" si="12"/>
        <v>1350</v>
      </c>
      <c r="AQ15" s="51">
        <f t="shared" ca="1" si="13"/>
        <v>2480</v>
      </c>
      <c r="AR15" s="51">
        <f t="shared" ca="1" si="14"/>
        <v>640</v>
      </c>
      <c r="AS15" s="288">
        <v>6</v>
      </c>
      <c r="AT15" s="288">
        <v>6</v>
      </c>
      <c r="AU15" s="291" t="str">
        <f t="shared" ca="1" si="15"/>
        <v>35 D 4 H</v>
      </c>
      <c r="AV15" s="267">
        <f t="shared" ca="1" si="16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10"/>
        <v>4320</v>
      </c>
      <c r="AO16" s="285">
        <f t="shared" ca="1" si="11"/>
        <v>1230</v>
      </c>
      <c r="AP16" s="285">
        <f t="shared" ca="1" si="12"/>
        <v>1350</v>
      </c>
      <c r="AQ16" s="51">
        <f t="shared" ca="1" si="13"/>
        <v>2460</v>
      </c>
      <c r="AR16" s="51">
        <f t="shared" ca="1" si="14"/>
        <v>640</v>
      </c>
      <c r="AS16" s="288">
        <v>6.5</v>
      </c>
      <c r="AT16" s="288">
        <v>6</v>
      </c>
      <c r="AU16" s="291" t="str">
        <f t="shared" ca="1" si="15"/>
        <v>34 D 12 H</v>
      </c>
      <c r="AV16" s="267">
        <f t="shared" ca="1" si="16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10"/>
        <v>4290</v>
      </c>
      <c r="AO17" s="165">
        <f t="shared" ca="1" si="11"/>
        <v>1220</v>
      </c>
      <c r="AP17" s="165">
        <f t="shared" ca="1" si="12"/>
        <v>1350</v>
      </c>
      <c r="AQ17" s="157">
        <f t="shared" ca="1" si="13"/>
        <v>2440</v>
      </c>
      <c r="AR17" s="157">
        <f t="shared" ca="1" si="14"/>
        <v>640</v>
      </c>
      <c r="AS17" s="286">
        <v>6.5</v>
      </c>
      <c r="AT17" s="286">
        <v>6.5</v>
      </c>
      <c r="AU17" s="292" t="str">
        <f t="shared" ca="1" si="15"/>
        <v>33 D 18 H</v>
      </c>
      <c r="AV17" s="271">
        <f t="shared" ca="1" si="16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10"/>
        <v>4240</v>
      </c>
      <c r="AO18" s="297">
        <f t="shared" ca="1" si="11"/>
        <v>1200</v>
      </c>
      <c r="AP18" s="297">
        <f t="shared" ca="1" si="12"/>
        <v>1350</v>
      </c>
      <c r="AQ18" s="298">
        <f t="shared" ca="1" si="13"/>
        <v>2400</v>
      </c>
      <c r="AR18" s="298">
        <f t="shared" ca="1" si="14"/>
        <v>640</v>
      </c>
      <c r="AS18" s="299">
        <v>8</v>
      </c>
      <c r="AT18" s="299">
        <v>8</v>
      </c>
      <c r="AU18" s="300" t="str">
        <f t="shared" ca="1" si="15"/>
        <v>32 D 22 H</v>
      </c>
      <c r="AV18" s="269">
        <f t="shared" ca="1" si="16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10"/>
        <v>4190</v>
      </c>
      <c r="AO19" s="285">
        <f t="shared" ca="1" si="11"/>
        <v>1180</v>
      </c>
      <c r="AP19" s="285">
        <f t="shared" ca="1" si="12"/>
        <v>1350</v>
      </c>
      <c r="AQ19" s="51">
        <f t="shared" ca="1" si="13"/>
        <v>2360</v>
      </c>
      <c r="AR19" s="51">
        <f t="shared" ca="1" si="14"/>
        <v>640</v>
      </c>
      <c r="AS19" s="288">
        <v>8</v>
      </c>
      <c r="AT19" s="288">
        <v>8.5</v>
      </c>
      <c r="AU19" s="291" t="str">
        <f t="shared" ca="1" si="15"/>
        <v>32 D 0 H</v>
      </c>
      <c r="AV19" s="267">
        <f t="shared" ca="1" si="16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10"/>
        <v>4140</v>
      </c>
      <c r="AO20" s="285">
        <f t="shared" ca="1" si="11"/>
        <v>1160</v>
      </c>
      <c r="AP20" s="285">
        <f t="shared" ca="1" si="12"/>
        <v>1350</v>
      </c>
      <c r="AQ20" s="51">
        <f t="shared" ca="1" si="13"/>
        <v>2320</v>
      </c>
      <c r="AR20" s="51">
        <f t="shared" ca="1" si="14"/>
        <v>640</v>
      </c>
      <c r="AS20" s="288">
        <v>8.5</v>
      </c>
      <c r="AT20" s="288">
        <v>8.5</v>
      </c>
      <c r="AU20" s="291" t="str">
        <f t="shared" ca="1" si="15"/>
        <v>31 D 0 H</v>
      </c>
      <c r="AV20" s="267">
        <f t="shared" ca="1" si="16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10"/>
        <v>4070</v>
      </c>
      <c r="AO21" s="285">
        <f t="shared" ca="1" si="11"/>
        <v>1130</v>
      </c>
      <c r="AP21" s="285">
        <f t="shared" ca="1" si="12"/>
        <v>1350</v>
      </c>
      <c r="AQ21" s="51">
        <f t="shared" ca="1" si="13"/>
        <v>2260</v>
      </c>
      <c r="AR21" s="51">
        <f t="shared" ca="1" si="14"/>
        <v>640</v>
      </c>
      <c r="AS21" s="288">
        <v>8.5</v>
      </c>
      <c r="AT21" s="288">
        <v>9</v>
      </c>
      <c r="AU21" s="291" t="str">
        <f t="shared" ca="1" si="15"/>
        <v>29 D 22 H</v>
      </c>
      <c r="AV21" s="267">
        <f t="shared" ca="1" si="16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10"/>
        <v>4000</v>
      </c>
      <c r="AO22" s="165">
        <f t="shared" ca="1" si="11"/>
        <v>1100</v>
      </c>
      <c r="AP22" s="165">
        <f t="shared" ca="1" si="12"/>
        <v>1350</v>
      </c>
      <c r="AQ22" s="157">
        <f t="shared" ca="1" si="13"/>
        <v>2200</v>
      </c>
      <c r="AR22" s="157">
        <f t="shared" ca="1" si="14"/>
        <v>640</v>
      </c>
      <c r="AS22" s="286">
        <v>9</v>
      </c>
      <c r="AT22" s="286">
        <v>9</v>
      </c>
      <c r="AU22" s="292" t="str">
        <f t="shared" ca="1" si="15"/>
        <v>28 D 18 H</v>
      </c>
      <c r="AV22" s="271">
        <f t="shared" ca="1" si="16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10"/>
        <v>3900</v>
      </c>
      <c r="AO23" s="161">
        <f t="shared" ca="1" si="11"/>
        <v>1060</v>
      </c>
      <c r="AP23" s="161">
        <f t="shared" ca="1" si="12"/>
        <v>1330</v>
      </c>
      <c r="AQ23" s="153">
        <f t="shared" ca="1" si="13"/>
        <v>2120</v>
      </c>
      <c r="AR23" s="153">
        <f t="shared" ca="1" si="14"/>
        <v>640</v>
      </c>
      <c r="AS23" s="287">
        <v>9</v>
      </c>
      <c r="AT23" s="287">
        <v>9.5</v>
      </c>
      <c r="AU23" s="290" t="str">
        <f t="shared" ca="1" si="15"/>
        <v>27 D 12 H</v>
      </c>
      <c r="AV23" s="269">
        <f t="shared" ca="1" si="16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10"/>
        <v>3800</v>
      </c>
      <c r="AO24" s="285">
        <f t="shared" ca="1" si="11"/>
        <v>1020</v>
      </c>
      <c r="AP24" s="285">
        <f t="shared" ca="1" si="12"/>
        <v>1300</v>
      </c>
      <c r="AQ24" s="51">
        <f t="shared" ca="1" si="13"/>
        <v>2040</v>
      </c>
      <c r="AR24" s="51">
        <f t="shared" ca="1" si="14"/>
        <v>640</v>
      </c>
      <c r="AS24" s="288">
        <v>9.5</v>
      </c>
      <c r="AT24" s="288">
        <v>9.5</v>
      </c>
      <c r="AU24" s="291" t="str">
        <f t="shared" ca="1" si="15"/>
        <v>26 D 4 H</v>
      </c>
      <c r="AV24" s="267">
        <f t="shared" ca="1" si="16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10"/>
        <v>3700</v>
      </c>
      <c r="AO25" s="285">
        <f t="shared" ca="1" si="11"/>
        <v>980</v>
      </c>
      <c r="AP25" s="285">
        <f t="shared" ca="1" si="12"/>
        <v>1260</v>
      </c>
      <c r="AQ25" s="51">
        <f t="shared" ca="1" si="13"/>
        <v>1960</v>
      </c>
      <c r="AR25" s="51">
        <f t="shared" ca="1" si="14"/>
        <v>640</v>
      </c>
      <c r="AS25" s="288">
        <v>9.5</v>
      </c>
      <c r="AT25" s="288">
        <v>10</v>
      </c>
      <c r="AU25" s="291" t="str">
        <f t="shared" ca="1" si="15"/>
        <v>24 D 18 H</v>
      </c>
      <c r="AV25" s="267">
        <f t="shared" ca="1" si="16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10"/>
        <v>3550</v>
      </c>
      <c r="AO26" s="285">
        <f t="shared" ca="1" si="11"/>
        <v>930</v>
      </c>
      <c r="AP26" s="285">
        <f t="shared" ca="1" si="12"/>
        <v>1210</v>
      </c>
      <c r="AQ26" s="51">
        <f t="shared" ca="1" si="13"/>
        <v>1860</v>
      </c>
      <c r="AR26" s="51">
        <f t="shared" ca="1" si="14"/>
        <v>640</v>
      </c>
      <c r="AS26" s="288">
        <v>10</v>
      </c>
      <c r="AT26" s="288">
        <v>10</v>
      </c>
      <c r="AU26" s="291" t="str">
        <f t="shared" ca="1" si="15"/>
        <v>23 D 6 H</v>
      </c>
      <c r="AV26" s="267">
        <f t="shared" ca="1" si="16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10"/>
        <v>3400</v>
      </c>
      <c r="AO27" s="165">
        <f t="shared" ca="1" si="11"/>
        <v>880</v>
      </c>
      <c r="AP27" s="165">
        <f t="shared" ca="1" si="12"/>
        <v>1150</v>
      </c>
      <c r="AQ27" s="157">
        <f t="shared" ca="1" si="13"/>
        <v>1760</v>
      </c>
      <c r="AR27" s="157">
        <f t="shared" ca="1" si="14"/>
        <v>640</v>
      </c>
      <c r="AS27" s="286">
        <v>10</v>
      </c>
      <c r="AT27" s="286">
        <v>10.5</v>
      </c>
      <c r="AU27" s="292" t="str">
        <f t="shared" ca="1" si="15"/>
        <v>21 D 16 H</v>
      </c>
      <c r="AV27" s="271">
        <f t="shared" ca="1" si="16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10"/>
        <v>3200</v>
      </c>
      <c r="AO28" s="161">
        <f t="shared" ca="1" si="11"/>
        <v>820</v>
      </c>
      <c r="AP28" s="161">
        <f t="shared" ca="1" si="12"/>
        <v>1080</v>
      </c>
      <c r="AQ28" s="153">
        <f t="shared" ca="1" si="13"/>
        <v>1640</v>
      </c>
      <c r="AR28" s="153">
        <f t="shared" ca="1" si="14"/>
        <v>620</v>
      </c>
      <c r="AS28" s="287">
        <v>10.5</v>
      </c>
      <c r="AT28" s="287">
        <v>10.5</v>
      </c>
      <c r="AU28" s="290" t="str">
        <f t="shared" ca="1" si="15"/>
        <v>20 D 0 H</v>
      </c>
      <c r="AV28" s="269">
        <f t="shared" ca="1" si="16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10"/>
        <v>3000</v>
      </c>
      <c r="AO29" s="285">
        <f t="shared" ca="1" si="11"/>
        <v>760</v>
      </c>
      <c r="AP29" s="285">
        <f t="shared" ca="1" si="12"/>
        <v>1000</v>
      </c>
      <c r="AQ29" s="51">
        <f t="shared" ca="1" si="13"/>
        <v>1520</v>
      </c>
      <c r="AR29" s="51">
        <f t="shared" ca="1" si="14"/>
        <v>590</v>
      </c>
      <c r="AS29" s="288">
        <v>10.5</v>
      </c>
      <c r="AT29" s="288">
        <v>11</v>
      </c>
      <c r="AU29" s="291" t="str">
        <f t="shared" ca="1" si="15"/>
        <v>18 D 6 H</v>
      </c>
      <c r="AV29" s="267">
        <f t="shared" ca="1" si="16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10"/>
        <v>2800</v>
      </c>
      <c r="AO30" s="285">
        <f t="shared" ca="1" si="11"/>
        <v>700</v>
      </c>
      <c r="AP30" s="285">
        <f t="shared" ca="1" si="12"/>
        <v>910</v>
      </c>
      <c r="AQ30" s="51">
        <f t="shared" ca="1" si="13"/>
        <v>1400</v>
      </c>
      <c r="AR30" s="51">
        <f t="shared" ca="1" si="14"/>
        <v>550</v>
      </c>
      <c r="AS30" s="288">
        <v>11</v>
      </c>
      <c r="AT30" s="288">
        <v>11</v>
      </c>
      <c r="AU30" s="291" t="str">
        <f t="shared" ca="1" si="15"/>
        <v>16 D 10 H</v>
      </c>
      <c r="AV30" s="267">
        <f t="shared" ca="1" si="16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10"/>
        <v>2500</v>
      </c>
      <c r="AO31" s="285">
        <f t="shared" ca="1" si="11"/>
        <v>620</v>
      </c>
      <c r="AP31" s="285">
        <f t="shared" ca="1" si="12"/>
        <v>810</v>
      </c>
      <c r="AQ31" s="51">
        <f t="shared" ca="1" si="13"/>
        <v>1240</v>
      </c>
      <c r="AR31" s="51">
        <f t="shared" ca="1" si="14"/>
        <v>500</v>
      </c>
      <c r="AS31" s="288">
        <v>11</v>
      </c>
      <c r="AT31" s="288">
        <v>11.5</v>
      </c>
      <c r="AU31" s="291" t="str">
        <f t="shared" ca="1" si="15"/>
        <v>14 D 12 H</v>
      </c>
      <c r="AV31" s="267">
        <f t="shared" ca="1" si="16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10"/>
        <v>2200</v>
      </c>
      <c r="AO32" s="165">
        <f t="shared" ca="1" si="11"/>
        <v>540</v>
      </c>
      <c r="AP32" s="165">
        <f t="shared" ca="1" si="12"/>
        <v>700</v>
      </c>
      <c r="AQ32" s="157">
        <f t="shared" ca="1" si="13"/>
        <v>1080</v>
      </c>
      <c r="AR32" s="157">
        <f t="shared" ca="1" si="14"/>
        <v>440</v>
      </c>
      <c r="AS32" s="286">
        <v>11.5</v>
      </c>
      <c r="AT32" s="286">
        <v>11.5</v>
      </c>
      <c r="AU32" s="292" t="str">
        <f t="shared" ca="1" si="15"/>
        <v>12 D 12 H</v>
      </c>
      <c r="AV32" s="271">
        <f t="shared" ca="1" si="16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10"/>
        <v>1800</v>
      </c>
      <c r="AO33" s="297">
        <f t="shared" ca="1" si="11"/>
        <v>440</v>
      </c>
      <c r="AP33" s="297">
        <f t="shared" ca="1" si="12"/>
        <v>580</v>
      </c>
      <c r="AQ33" s="298">
        <f t="shared" ca="1" si="13"/>
        <v>880</v>
      </c>
      <c r="AR33" s="298">
        <f t="shared" ca="1" si="14"/>
        <v>360</v>
      </c>
      <c r="AS33" s="299">
        <v>14</v>
      </c>
      <c r="AT33" s="299">
        <v>14</v>
      </c>
      <c r="AU33" s="300" t="str">
        <f t="shared" ca="1" si="15"/>
        <v>10 D 8 H</v>
      </c>
      <c r="AV33" s="301">
        <f t="shared" ca="1" si="16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10"/>
        <v>1400</v>
      </c>
      <c r="AO34" s="285">
        <f t="shared" ca="1" si="11"/>
        <v>340</v>
      </c>
      <c r="AP34" s="285">
        <f t="shared" ca="1" si="12"/>
        <v>450</v>
      </c>
      <c r="AQ34" s="51">
        <f t="shared" ca="1" si="13"/>
        <v>680</v>
      </c>
      <c r="AR34" s="51">
        <f t="shared" ca="1" si="14"/>
        <v>280</v>
      </c>
      <c r="AS34" s="288">
        <v>14.5</v>
      </c>
      <c r="AT34" s="288">
        <v>14</v>
      </c>
      <c r="AU34" s="291" t="str">
        <f t="shared" ca="1" si="15"/>
        <v>8 D 0 H</v>
      </c>
      <c r="AV34" s="267">
        <f t="shared" ca="1" si="16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10"/>
        <v>1000</v>
      </c>
      <c r="AO35" s="285">
        <f t="shared" ca="1" si="11"/>
        <v>240</v>
      </c>
      <c r="AP35" s="285">
        <f t="shared" ca="1" si="12"/>
        <v>310</v>
      </c>
      <c r="AQ35" s="51">
        <f t="shared" ca="1" si="13"/>
        <v>480</v>
      </c>
      <c r="AR35" s="51">
        <f t="shared" ca="1" si="14"/>
        <v>200</v>
      </c>
      <c r="AS35" s="288">
        <v>14.5</v>
      </c>
      <c r="AT35" s="288">
        <v>14.5</v>
      </c>
      <c r="AU35" s="291" t="str">
        <f t="shared" ca="1" si="15"/>
        <v>5 D 12 H</v>
      </c>
      <c r="AV35" s="267">
        <f t="shared" ca="1" si="16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10"/>
        <v>500</v>
      </c>
      <c r="AO36" s="285">
        <f t="shared" ca="1" si="11"/>
        <v>120</v>
      </c>
      <c r="AP36" s="285">
        <f t="shared" ca="1" si="12"/>
        <v>160</v>
      </c>
      <c r="AQ36" s="51">
        <f t="shared" ca="1" si="13"/>
        <v>240</v>
      </c>
      <c r="AR36" s="51">
        <f t="shared" ca="1" si="14"/>
        <v>100</v>
      </c>
      <c r="AS36" s="288">
        <v>15</v>
      </c>
      <c r="AT36" s="288">
        <v>14.5</v>
      </c>
      <c r="AU36" s="291" t="str">
        <f t="shared" ca="1" si="15"/>
        <v>2 D 20 H</v>
      </c>
      <c r="AV36" s="267">
        <f t="shared" ca="1" si="16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10"/>
        <v>0</v>
      </c>
      <c r="AO37" s="165">
        <f t="shared" ca="1" si="11"/>
        <v>0</v>
      </c>
      <c r="AP37" s="165">
        <f t="shared" ca="1" si="12"/>
        <v>0</v>
      </c>
      <c r="AQ37" s="157">
        <f t="shared" ca="1" si="13"/>
        <v>0</v>
      </c>
      <c r="AR37" s="157">
        <f t="shared" ca="1" si="14"/>
        <v>0</v>
      </c>
      <c r="AS37" s="286">
        <v>15</v>
      </c>
      <c r="AT37" s="286">
        <v>15</v>
      </c>
      <c r="AU37" s="292">
        <f t="shared" ca="1" si="15"/>
        <v>0</v>
      </c>
      <c r="AV37" s="271">
        <f t="shared" ca="1" si="16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207" t="s">
        <v>185</v>
      </c>
      <c r="B1" s="1209" t="s">
        <v>188</v>
      </c>
      <c r="C1" s="1209"/>
      <c r="D1" s="1209"/>
      <c r="E1" s="1209"/>
      <c r="F1" s="1209"/>
      <c r="G1" s="1209"/>
      <c r="H1" s="1209"/>
      <c r="I1" s="351"/>
      <c r="J1" s="1209" t="s">
        <v>186</v>
      </c>
      <c r="K1" s="1209"/>
      <c r="L1" s="1209"/>
      <c r="M1" s="1209"/>
      <c r="N1" s="1209"/>
      <c r="O1" s="446" t="s">
        <v>227</v>
      </c>
      <c r="P1" s="351"/>
      <c r="Q1" s="1210" t="s">
        <v>187</v>
      </c>
      <c r="R1" s="1210"/>
      <c r="S1" s="1210"/>
      <c r="T1" s="1210"/>
      <c r="U1" s="1210"/>
      <c r="V1" s="1210"/>
      <c r="W1" s="1210"/>
    </row>
    <row r="2" spans="1:23" ht="25.5" customHeight="1" x14ac:dyDescent="0.25">
      <c r="A2" s="1207"/>
      <c r="B2" s="1202" t="s">
        <v>51</v>
      </c>
      <c r="C2" s="1202"/>
      <c r="D2" s="1203" t="s">
        <v>53</v>
      </c>
      <c r="E2" s="1203"/>
      <c r="F2" s="1213" t="s">
        <v>55</v>
      </c>
      <c r="G2" s="1213"/>
      <c r="H2" s="1213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207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201">
        <f>FLOOR(C7/MAX(DATA_DRAG_ACCU_EXP),1)</f>
        <v>60</v>
      </c>
      <c r="H3" s="1201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207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201">
        <f>MATCH(C10,DATA_DRAG_ACCU_EXP,0)</f>
        <v>97</v>
      </c>
      <c r="H4" s="1201"/>
      <c r="J4" s="213" t="s">
        <v>12</v>
      </c>
      <c r="K4" s="430">
        <v>417</v>
      </c>
      <c r="L4" s="430">
        <v>1208</v>
      </c>
      <c r="M4" s="350">
        <f t="shared" ref="M4:M7" si="0">K4+L4*DRAG_1L_TO_S</f>
        <v>2833</v>
      </c>
      <c r="N4" s="350">
        <f t="shared" ref="N4:N7" si="1"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207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201">
        <f>INDEX(DATA_DRAG_LV_EXP,G4)-(C9-C10)</f>
        <v>23760</v>
      </c>
      <c r="H5" s="1201"/>
      <c r="J5" s="214" t="s">
        <v>11</v>
      </c>
      <c r="K5" s="431">
        <v>463</v>
      </c>
      <c r="L5" s="431">
        <v>1215</v>
      </c>
      <c r="M5" s="350">
        <f t="shared" si="0"/>
        <v>2893</v>
      </c>
      <c r="N5" s="350">
        <f t="shared" si="1"/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207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 t="shared" si="0"/>
        <v>2367</v>
      </c>
      <c r="N6" s="350">
        <f t="shared" si="1"/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211" t="str">
        <f>IF(R7&gt;0,R6/R7,"")</f>
        <v/>
      </c>
      <c r="V6" s="1211"/>
      <c r="W6" s="1211"/>
    </row>
    <row r="7" spans="1:23" ht="25.5" customHeight="1" x14ac:dyDescent="0.25">
      <c r="A7" s="1207"/>
      <c r="B7" s="122" t="s">
        <v>95</v>
      </c>
      <c r="C7" s="123">
        <f>C6-C8</f>
        <v>75540600</v>
      </c>
      <c r="D7" s="86" t="s">
        <v>54</v>
      </c>
      <c r="E7" s="87"/>
      <c r="F7" s="1133" t="s">
        <v>66</v>
      </c>
      <c r="G7" s="1133"/>
      <c r="H7" s="1133"/>
      <c r="J7" s="216" t="s">
        <v>8</v>
      </c>
      <c r="K7" s="433">
        <v>5274</v>
      </c>
      <c r="L7" s="433">
        <v>1989</v>
      </c>
      <c r="M7" s="350">
        <f t="shared" si="0"/>
        <v>9252</v>
      </c>
      <c r="N7" s="350">
        <f t="shared" si="1"/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207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33" t="s">
        <v>50</v>
      </c>
      <c r="G8" s="1212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207"/>
      <c r="B9" s="94" t="s">
        <v>92</v>
      </c>
      <c r="C9" s="94">
        <f>MOD(C7,DRAG_EXP_100)</f>
        <v>1139400</v>
      </c>
      <c r="F9" s="1133"/>
      <c r="G9" s="1212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207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207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207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206" t="s">
        <v>189</v>
      </c>
      <c r="B13" s="1208" t="s">
        <v>190</v>
      </c>
      <c r="C13" s="1208"/>
      <c r="D13" s="1208"/>
      <c r="E13" s="1208"/>
      <c r="F13" s="1208"/>
      <c r="G13" s="1208"/>
      <c r="H13" s="1208"/>
      <c r="O13" s="445"/>
    </row>
    <row r="14" spans="1:23" s="262" customFormat="1" ht="25.5" customHeight="1" x14ac:dyDescent="0.25">
      <c r="A14" s="1207"/>
      <c r="B14" s="1202" t="s">
        <v>51</v>
      </c>
      <c r="C14" s="1202"/>
      <c r="D14" s="1203" t="s">
        <v>53</v>
      </c>
      <c r="E14" s="1203"/>
      <c r="F14" s="1204" t="s">
        <v>55</v>
      </c>
      <c r="G14" s="1204"/>
      <c r="H14" s="1204"/>
    </row>
    <row r="15" spans="1:23" ht="25.5" customHeight="1" x14ac:dyDescent="0.25">
      <c r="A15" s="1207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205">
        <f>FLOOR(C19/MAX(DATA_WYRM_ACCU_EXP),1)</f>
        <v>133</v>
      </c>
      <c r="H15" s="1205"/>
    </row>
    <row r="16" spans="1:23" ht="25.5" customHeight="1" x14ac:dyDescent="0.25">
      <c r="A16" s="1207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201">
        <f>MATCH(C22,DATA_WYRM_ACCU_EXP,0)</f>
        <v>48</v>
      </c>
      <c r="H16" s="1201"/>
    </row>
    <row r="17" spans="1:8" ht="25.5" customHeight="1" x14ac:dyDescent="0.25">
      <c r="A17" s="1207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201">
        <f>INDEX(DATA_WYRM_LV_EXP,G16)-(C21-C22)</f>
        <v>530</v>
      </c>
      <c r="H17" s="1201"/>
    </row>
    <row r="18" spans="1:8" ht="25.5" customHeight="1" x14ac:dyDescent="0.25">
      <c r="A18" s="1207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207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16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16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215" t="s">
        <v>83</v>
      </c>
      <c r="B1" s="1121"/>
      <c r="C1" s="1121"/>
      <c r="D1" s="1121"/>
      <c r="E1" s="1122"/>
      <c r="F1" s="1215" t="s">
        <v>105</v>
      </c>
      <c r="G1" s="1121"/>
      <c r="H1" s="1121"/>
      <c r="I1" s="1121"/>
      <c r="J1" s="1122"/>
      <c r="K1" s="1215" t="s">
        <v>107</v>
      </c>
      <c r="L1" s="1121"/>
      <c r="M1" s="1121"/>
      <c r="N1" s="1121"/>
      <c r="O1" s="1122"/>
      <c r="P1" s="1220" t="s">
        <v>106</v>
      </c>
      <c r="Q1" s="1123"/>
      <c r="R1" s="1123"/>
      <c r="S1" s="1123"/>
      <c r="T1" s="1124"/>
      <c r="U1" s="1220" t="s">
        <v>154</v>
      </c>
      <c r="V1" s="1123"/>
      <c r="W1" s="1123"/>
      <c r="X1" s="1123"/>
      <c r="Y1" s="1124"/>
      <c r="Z1" s="1217" t="s">
        <v>85</v>
      </c>
      <c r="AA1" s="1218"/>
      <c r="AB1" s="1218"/>
      <c r="AC1" s="1218"/>
      <c r="AD1" s="1219"/>
      <c r="AE1" s="1216" t="s">
        <v>84</v>
      </c>
      <c r="AF1" s="1127"/>
      <c r="AG1" s="1127"/>
      <c r="AH1" s="1127"/>
      <c r="AI1" s="1128"/>
      <c r="AJ1" s="1216" t="s">
        <v>173</v>
      </c>
      <c r="AK1" s="1127"/>
      <c r="AL1" s="1127"/>
      <c r="AM1" s="1127"/>
      <c r="AN1" s="1128"/>
      <c r="AO1" s="1214" t="s">
        <v>86</v>
      </c>
      <c r="AP1" s="1129"/>
      <c r="AQ1" s="1129"/>
      <c r="AR1" s="1129"/>
      <c r="AS1" s="1130"/>
      <c r="AT1" s="1214" t="s">
        <v>87</v>
      </c>
      <c r="AU1" s="1129"/>
      <c r="AV1" s="1129"/>
      <c r="AW1" s="1129"/>
      <c r="AX1" s="1130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98" t="s">
        <v>117</v>
      </c>
      <c r="B1" s="1198"/>
      <c r="C1" s="1198"/>
      <c r="D1" s="230"/>
      <c r="E1" s="1222" t="s">
        <v>118</v>
      </c>
      <c r="F1" s="1222"/>
      <c r="G1" s="1222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 t="shared" ref="J4" si="0"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221">
        <v>67</v>
      </c>
      <c r="C8" s="1221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224" t="s">
        <v>41</v>
      </c>
      <c r="J24" s="1224"/>
      <c r="K24" s="1223">
        <f>K14+K22</f>
        <v>0</v>
      </c>
      <c r="L24" s="1223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31" t="s">
        <v>117</v>
      </c>
      <c r="B1" s="831"/>
      <c r="C1" s="831"/>
      <c r="D1" s="831"/>
      <c r="E1" s="831"/>
      <c r="F1" s="831"/>
      <c r="G1" s="831" t="s">
        <v>118</v>
      </c>
      <c r="H1" s="831"/>
      <c r="I1" s="831"/>
      <c r="J1" s="831"/>
      <c r="K1" s="831"/>
      <c r="L1" s="831"/>
      <c r="N1" s="831" t="s">
        <v>125</v>
      </c>
      <c r="O1" s="831"/>
    </row>
    <row r="2" spans="1:15" x14ac:dyDescent="0.25">
      <c r="A2" s="1225" t="s">
        <v>123</v>
      </c>
      <c r="B2" s="1225"/>
      <c r="C2" s="1227" t="s">
        <v>116</v>
      </c>
      <c r="D2" s="1227"/>
      <c r="E2" s="1226" t="s">
        <v>124</v>
      </c>
      <c r="F2" s="1226"/>
      <c r="G2" s="1229" t="s">
        <v>120</v>
      </c>
      <c r="H2" s="1229"/>
      <c r="I2" s="1226" t="s">
        <v>121</v>
      </c>
      <c r="J2" s="1226"/>
      <c r="K2" s="1228" t="s">
        <v>122</v>
      </c>
      <c r="L2" s="1228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32" t="s">
        <v>182</v>
      </c>
      <c r="D1" s="1231">
        <f>INDEX(DATA_EVTBLD,B1,3)-B3</f>
        <v>2428</v>
      </c>
      <c r="E1" s="1230" t="s">
        <v>24</v>
      </c>
      <c r="F1" s="1233">
        <f>1-(INDEX(DATA_EVTBLD,B1,3)-B3)/DATA_EVTBLD_MAX</f>
        <v>0.68935516888433979</v>
      </c>
      <c r="G1" s="1233"/>
      <c r="H1" s="1233"/>
      <c r="I1" s="1233"/>
      <c r="J1" s="1233"/>
      <c r="K1" s="1233"/>
      <c r="L1" s="1233"/>
    </row>
    <row r="2" spans="1:12" ht="14.65" customHeight="1" x14ac:dyDescent="0.25">
      <c r="A2" s="335" t="s">
        <v>409</v>
      </c>
      <c r="B2" s="341">
        <v>30</v>
      </c>
      <c r="C2" s="1232"/>
      <c r="D2" s="1231"/>
      <c r="E2" s="1230"/>
      <c r="F2" s="1233"/>
      <c r="G2" s="1233"/>
      <c r="H2" s="1233"/>
      <c r="I2" s="1233"/>
      <c r="J2" s="1233"/>
      <c r="K2" s="1233"/>
      <c r="L2" s="1233"/>
    </row>
    <row r="3" spans="1:12" ht="14.65" customHeight="1" x14ac:dyDescent="0.25">
      <c r="A3" s="335" t="s">
        <v>181</v>
      </c>
      <c r="B3" s="341">
        <v>2122</v>
      </c>
      <c r="C3" s="1232"/>
      <c r="D3" s="1231"/>
      <c r="E3" s="1230"/>
      <c r="F3" s="1233"/>
      <c r="G3" s="1233"/>
      <c r="H3" s="1233"/>
      <c r="I3" s="1233"/>
      <c r="J3" s="1233"/>
      <c r="K3" s="1233"/>
      <c r="L3" s="1233"/>
    </row>
    <row r="5" spans="1:12" s="335" customFormat="1" ht="14.65" customHeight="1" x14ac:dyDescent="0.25">
      <c r="A5" s="335" t="s">
        <v>39</v>
      </c>
      <c r="B5" s="335" t="s">
        <v>408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26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125</vt:i4>
      </vt:variant>
    </vt:vector>
  </HeadingPairs>
  <TitlesOfParts>
    <vt:vector size="155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AGITO_FLAME_STD_SILVER</vt:lpstr>
      <vt:lpstr>AGITO_LIGHT_EXP_GOLD</vt:lpstr>
      <vt:lpstr>AGITO_LIGHT_EXP_SILVER</vt:lpstr>
      <vt:lpstr>AGITO_LIGHT_STD_SILVER</vt:lpstr>
      <vt:lpstr>AGITO_SHADOW_EXP_GOLD</vt:lpstr>
      <vt:lpstr>AGITO_SHADOW_EXP_SILVER</vt:lpstr>
      <vt:lpstr>AGITO_SHADOW_STD_SILVER</vt:lpstr>
      <vt:lpstr>AGITO_WATER_EXP_GOLD</vt:lpstr>
      <vt:lpstr>AGITO_WATER_EXP_SILVER</vt:lpstr>
      <vt:lpstr>AGITO_WATER_STD_SILVER</vt:lpstr>
      <vt:lpstr>AGITO_WIND_EXP_GOLD</vt:lpstr>
      <vt:lpstr>AGITO_WIND_EXP_SILVER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2020-04-30T13:27:55Z</dcterms:modified>
</cp:coreProperties>
</file>