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733" documentId="8_{5F5015E9-030B-4CE7-A0EC-3ABEB79D1BA9}" xr6:coauthVersionLast="45" xr6:coauthVersionMax="45" xr10:uidLastSave="{D1BA0933-0457-4463-B2EF-1309B7A222AC}"/>
  <bookViews>
    <workbookView xWindow="4590" yWindow="870" windowWidth="21600" windowHeight="13860" activeTab="15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50" l="1"/>
  <c r="G83" i="47" l="1"/>
  <c r="F83" i="47"/>
  <c r="H83" i="47" s="1"/>
  <c r="I83" i="47" s="1"/>
  <c r="E83" i="47"/>
  <c r="V6" i="44" l="1" a="1"/>
  <c r="V6" i="44" s="1"/>
  <c r="G82" i="47" l="1"/>
  <c r="F82" i="47"/>
  <c r="H82" i="47" s="1"/>
  <c r="I82" i="47" s="1"/>
  <c r="E82" i="47"/>
  <c r="G81" i="47" l="1"/>
  <c r="F81" i="47"/>
  <c r="H81" i="47" s="1"/>
  <c r="I81" i="47" s="1"/>
  <c r="E81" i="47"/>
  <c r="S38" i="44" a="1"/>
  <c r="S38" i="44" s="1"/>
  <c r="X38" i="44" s="1"/>
  <c r="R38" i="44" a="1"/>
  <c r="R38" i="44" s="1"/>
  <c r="S37" i="44"/>
  <c r="X37" i="44" s="1"/>
  <c r="S37" i="44" a="1"/>
  <c r="R37" i="44" a="1"/>
  <c r="R37" i="44" s="1"/>
  <c r="S36" i="44"/>
  <c r="X36" i="44" s="1"/>
  <c r="S36" i="44" a="1"/>
  <c r="R36" i="44" a="1"/>
  <c r="R36" i="44" s="1"/>
  <c r="S32" i="44" a="1"/>
  <c r="S32" i="44" s="1"/>
  <c r="X32" i="44" s="1"/>
  <c r="R32" i="44"/>
  <c r="R32" i="44" a="1"/>
  <c r="S31" i="44" a="1"/>
  <c r="S31" i="44" s="1"/>
  <c r="X31" i="44" s="1"/>
  <c r="R31" i="44" a="1"/>
  <c r="R31" i="44" s="1"/>
  <c r="S30" i="44" a="1"/>
  <c r="S30" i="44" s="1"/>
  <c r="X30" i="44" s="1"/>
  <c r="R30" i="44" a="1"/>
  <c r="R30" i="44" s="1"/>
  <c r="S20" i="44" a="1"/>
  <c r="S20" i="44" s="1"/>
  <c r="X20" i="44" s="1"/>
  <c r="R20" i="44" a="1"/>
  <c r="R20" i="44" s="1"/>
  <c r="S19" i="44" a="1"/>
  <c r="S19" i="44" s="1"/>
  <c r="X19" i="44" s="1"/>
  <c r="R19" i="44" a="1"/>
  <c r="R19" i="44" s="1"/>
  <c r="S18" i="44" a="1"/>
  <c r="S18" i="44" s="1"/>
  <c r="X18" i="44" s="1"/>
  <c r="R18" i="44" a="1"/>
  <c r="R18" i="44" s="1"/>
  <c r="S14" i="44" a="1"/>
  <c r="S14" i="44" s="1"/>
  <c r="X14" i="44" s="1"/>
  <c r="R14" i="44" a="1"/>
  <c r="R14" i="44" s="1"/>
  <c r="S13" i="44" a="1"/>
  <c r="S13" i="44" s="1"/>
  <c r="X13" i="44" s="1"/>
  <c r="R13" i="44" a="1"/>
  <c r="R13" i="44" s="1"/>
  <c r="S12" i="44"/>
  <c r="X12" i="44" s="1"/>
  <c r="S12" i="44" a="1"/>
  <c r="R12" i="44" a="1"/>
  <c r="R12" i="44" s="1"/>
  <c r="F80" i="47" l="1"/>
  <c r="G80" i="47"/>
  <c r="H80" i="47"/>
  <c r="I80" i="47"/>
  <c r="E80" i="47"/>
  <c r="F79" i="47"/>
  <c r="G79" i="47"/>
  <c r="H79" i="47"/>
  <c r="I79" i="47"/>
  <c r="E79" i="47"/>
  <c r="E78" i="47"/>
  <c r="G78" i="47"/>
  <c r="H78" i="47" s="1"/>
  <c r="I78" i="47" s="1"/>
  <c r="F78" i="47"/>
  <c r="G77" i="47"/>
  <c r="F77" i="47"/>
  <c r="H77" i="47" s="1"/>
  <c r="I77" i="47" s="1"/>
  <c r="E77" i="47"/>
  <c r="G76" i="47"/>
  <c r="H76" i="47" s="1"/>
  <c r="I76" i="47" s="1"/>
  <c r="F76" i="47"/>
  <c r="E76" i="47"/>
  <c r="K5" i="50"/>
  <c r="D2" i="50"/>
  <c r="E2" i="50" s="1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/>
  <c r="F75" i="47"/>
  <c r="H75" i="47" s="1"/>
  <c r="I75" i="47" s="1"/>
  <c r="E75" i="47"/>
  <c r="G74" i="47"/>
  <c r="F74" i="47"/>
  <c r="H74" i="47" s="1"/>
  <c r="I74" i="47" s="1"/>
  <c r="E74" i="47"/>
  <c r="L9" i="44"/>
  <c r="L8" i="44"/>
  <c r="L7" i="44"/>
  <c r="L6" i="44"/>
  <c r="L4" i="44"/>
  <c r="L5" i="44"/>
  <c r="G73" i="47"/>
  <c r="H73" i="47" s="1"/>
  <c r="I73" i="47" s="1"/>
  <c r="F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V30" i="44" s="1"/>
  <c r="N6" i="44"/>
  <c r="M6" i="44"/>
  <c r="N5" i="44"/>
  <c r="M5" i="44"/>
  <c r="N4" i="44"/>
  <c r="M4" i="44"/>
  <c r="R8" i="44"/>
  <c r="W8" i="44" a="1"/>
  <c r="W8" i="44"/>
  <c r="Q8" i="44"/>
  <c r="P8" i="44"/>
  <c r="R7" i="44"/>
  <c r="W7" i="44" a="1"/>
  <c r="W7" i="44"/>
  <c r="Q7" i="44"/>
  <c r="P7" i="44"/>
  <c r="W32" i="44" s="1"/>
  <c r="R6" i="44"/>
  <c r="W6" i="44" s="1" a="1"/>
  <c r="W6" i="44" s="1"/>
  <c r="Q6" i="44"/>
  <c r="P6" i="44"/>
  <c r="R5" i="44"/>
  <c r="W5" i="44" a="1"/>
  <c r="W5" i="44"/>
  <c r="Q5" i="44"/>
  <c r="P5" i="44"/>
  <c r="R4" i="44"/>
  <c r="W4" i="44" a="1"/>
  <c r="W4" i="44"/>
  <c r="Q4" i="44"/>
  <c r="P4" i="44"/>
  <c r="V36" i="44"/>
  <c r="W37" i="44"/>
  <c r="W38" i="44"/>
  <c r="R26" i="44" a="1"/>
  <c r="R26" i="44" s="1"/>
  <c r="S26" i="44" a="1"/>
  <c r="S26" i="44" s="1"/>
  <c r="X26" i="44" s="1"/>
  <c r="V37" i="44"/>
  <c r="W14" i="44"/>
  <c r="W20" i="44"/>
  <c r="V13" i="44"/>
  <c r="W13" i="44"/>
  <c r="V12" i="44"/>
  <c r="G72" i="47"/>
  <c r="F72" i="47"/>
  <c r="H72" i="47" s="1"/>
  <c r="I72" i="47" s="1"/>
  <c r="E72" i="47"/>
  <c r="G71" i="47"/>
  <c r="F71" i="47"/>
  <c r="H71" i="47" s="1"/>
  <c r="I71" i="47" s="1"/>
  <c r="E71" i="47"/>
  <c r="G70" i="47"/>
  <c r="F70" i="47"/>
  <c r="H70" i="47" s="1"/>
  <c r="I70" i="47" s="1"/>
  <c r="E70" i="47"/>
  <c r="G69" i="47"/>
  <c r="F69" i="47"/>
  <c r="H69" i="47" s="1"/>
  <c r="I69" i="47" s="1"/>
  <c r="E69" i="47"/>
  <c r="G68" i="47"/>
  <c r="F68" i="47"/>
  <c r="H68" i="47"/>
  <c r="I68" i="47"/>
  <c r="E68" i="47"/>
  <c r="G67" i="47"/>
  <c r="F67" i="47"/>
  <c r="H67" i="47" s="1"/>
  <c r="I67" i="47" s="1"/>
  <c r="E67" i="47"/>
  <c r="H66" i="47"/>
  <c r="I66" i="47" s="1"/>
  <c r="G66" i="47"/>
  <c r="F66" i="47"/>
  <c r="E66" i="47"/>
  <c r="G65" i="47"/>
  <c r="F65" i="47"/>
  <c r="H65" i="47"/>
  <c r="I65" i="47" s="1"/>
  <c r="E65" i="47"/>
  <c r="G64" i="47"/>
  <c r="F64" i="47"/>
  <c r="H64" i="47" s="1"/>
  <c r="I64" i="47" s="1"/>
  <c r="E64" i="47"/>
  <c r="G63" i="47"/>
  <c r="F63" i="47"/>
  <c r="H63" i="47"/>
  <c r="I63" i="47" s="1"/>
  <c r="E63" i="47"/>
  <c r="G62" i="47"/>
  <c r="H62" i="47" s="1"/>
  <c r="I62" i="47" s="1"/>
  <c r="F62" i="47"/>
  <c r="E62" i="47"/>
  <c r="G61" i="47"/>
  <c r="F61" i="47"/>
  <c r="H61" i="47" s="1"/>
  <c r="I61" i="47" s="1"/>
  <c r="E61" i="47"/>
  <c r="G60" i="47"/>
  <c r="F60" i="47"/>
  <c r="H60" i="47" s="1"/>
  <c r="I60" i="47" s="1"/>
  <c r="E60" i="47"/>
  <c r="K3" i="47" a="1"/>
  <c r="K3" i="47" s="1"/>
  <c r="J3" i="47" a="1"/>
  <c r="J3" i="47" s="1"/>
  <c r="G59" i="47"/>
  <c r="F59" i="47"/>
  <c r="H59" i="47" s="1"/>
  <c r="I59" i="47" s="1"/>
  <c r="E59" i="47"/>
  <c r="G58" i="47"/>
  <c r="F58" i="47"/>
  <c r="H58" i="47" s="1"/>
  <c r="I58" i="47" s="1"/>
  <c r="E58" i="47"/>
  <c r="G57" i="47"/>
  <c r="F57" i="47"/>
  <c r="H57" i="47" s="1"/>
  <c r="I57" i="47" s="1"/>
  <c r="E57" i="47"/>
  <c r="G56" i="47"/>
  <c r="F56" i="47"/>
  <c r="H56" i="47" s="1"/>
  <c r="I56" i="47" s="1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H52" i="47" s="1"/>
  <c r="I52" i="47" s="1"/>
  <c r="E52" i="47"/>
  <c r="G51" i="47"/>
  <c r="F51" i="47"/>
  <c r="E51" i="47"/>
  <c r="G50" i="47"/>
  <c r="F50" i="47"/>
  <c r="E50" i="47"/>
  <c r="G49" i="47"/>
  <c r="H49" i="47" s="1"/>
  <c r="I49" i="47" s="1"/>
  <c r="F49" i="47"/>
  <c r="E49" i="47"/>
  <c r="G48" i="47"/>
  <c r="F48" i="47"/>
  <c r="H48" i="47" s="1"/>
  <c r="I48" i="47" s="1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H44" i="47" s="1"/>
  <c r="I44" i="47" s="1"/>
  <c r="E44" i="47"/>
  <c r="G43" i="47"/>
  <c r="F43" i="47"/>
  <c r="E43" i="47"/>
  <c r="G42" i="47"/>
  <c r="F42" i="47"/>
  <c r="E42" i="47"/>
  <c r="G41" i="47"/>
  <c r="F41" i="47"/>
  <c r="E41" i="47"/>
  <c r="F40" i="47"/>
  <c r="H40" i="47" s="1"/>
  <c r="I40" i="47" s="1"/>
  <c r="G40" i="47"/>
  <c r="E40" i="47"/>
  <c r="G39" i="47"/>
  <c r="F39" i="47"/>
  <c r="E39" i="47"/>
  <c r="F38" i="47"/>
  <c r="E38" i="47"/>
  <c r="G37" i="47"/>
  <c r="H37" i="47" s="1"/>
  <c r="I37" i="47" s="1"/>
  <c r="F37" i="47"/>
  <c r="E37" i="47"/>
  <c r="G36" i="47"/>
  <c r="F36" i="47"/>
  <c r="H36" i="47" s="1"/>
  <c r="I36" i="47" s="1"/>
  <c r="E36" i="47"/>
  <c r="G35" i="47"/>
  <c r="F35" i="47"/>
  <c r="E35" i="47"/>
  <c r="G34" i="47"/>
  <c r="F34" i="47"/>
  <c r="E34" i="47"/>
  <c r="G33" i="47"/>
  <c r="H33" i="47" s="1"/>
  <c r="I33" i="47" s="1"/>
  <c r="F33" i="47"/>
  <c r="E33" i="47"/>
  <c r="G32" i="47"/>
  <c r="F32" i="47"/>
  <c r="E32" i="47"/>
  <c r="G31" i="47"/>
  <c r="F31" i="47"/>
  <c r="E31" i="47"/>
  <c r="G30" i="47"/>
  <c r="F30" i="47"/>
  <c r="E30" i="47"/>
  <c r="G29" i="47"/>
  <c r="H29" i="47" s="1"/>
  <c r="I29" i="47" s="1"/>
  <c r="F29" i="47"/>
  <c r="E29" i="47"/>
  <c r="G28" i="47"/>
  <c r="F28" i="47"/>
  <c r="H28" i="47" s="1"/>
  <c r="I28" i="47" s="1"/>
  <c r="E28" i="47"/>
  <c r="G27" i="47"/>
  <c r="F27" i="47"/>
  <c r="E27" i="47"/>
  <c r="G26" i="47"/>
  <c r="F26" i="47"/>
  <c r="E26" i="47"/>
  <c r="G25" i="47"/>
  <c r="H25" i="47" s="1"/>
  <c r="I25" i="47" s="1"/>
  <c r="F25" i="47"/>
  <c r="E25" i="47"/>
  <c r="G24" i="47"/>
  <c r="F24" i="47"/>
  <c r="H24" i="47" s="1"/>
  <c r="I24" i="47" s="1"/>
  <c r="E24" i="47"/>
  <c r="G23" i="47"/>
  <c r="F23" i="47"/>
  <c r="E23" i="47"/>
  <c r="G22" i="47"/>
  <c r="F22" i="47"/>
  <c r="E22" i="47"/>
  <c r="G21" i="47"/>
  <c r="H21" i="47" s="1"/>
  <c r="I21" i="47" s="1"/>
  <c r="F21" i="47"/>
  <c r="E21" i="47"/>
  <c r="G20" i="47"/>
  <c r="F20" i="47"/>
  <c r="H20" i="47" s="1"/>
  <c r="I20" i="47" s="1"/>
  <c r="G19" i="47"/>
  <c r="H19" i="47" s="1"/>
  <c r="I19" i="47" s="1"/>
  <c r="F19" i="47"/>
  <c r="E20" i="47"/>
  <c r="E19" i="47"/>
  <c r="G18" i="47"/>
  <c r="F18" i="47"/>
  <c r="E18" i="47"/>
  <c r="G13" i="47"/>
  <c r="H13" i="47" s="1"/>
  <c r="I13" i="47" s="1"/>
  <c r="F13" i="47"/>
  <c r="G17" i="47"/>
  <c r="F17" i="47"/>
  <c r="E17" i="47"/>
  <c r="G16" i="47"/>
  <c r="F3" i="47" s="1" a="1"/>
  <c r="F3" i="47" s="1"/>
  <c r="F16" i="47"/>
  <c r="E16" i="47"/>
  <c r="G15" i="47"/>
  <c r="F15" i="47"/>
  <c r="E15" i="47"/>
  <c r="G14" i="47"/>
  <c r="F14" i="47"/>
  <c r="H14" i="47" s="1"/>
  <c r="I14" i="47" s="1"/>
  <c r="E14" i="47"/>
  <c r="E13" i="47"/>
  <c r="G12" i="47"/>
  <c r="F12" i="47"/>
  <c r="E12" i="47"/>
  <c r="G11" i="47"/>
  <c r="F11" i="47"/>
  <c r="E11" i="47"/>
  <c r="G10" i="47"/>
  <c r="F10" i="47"/>
  <c r="E10" i="47"/>
  <c r="G9" i="47"/>
  <c r="H9" i="47" s="1"/>
  <c r="I9" i="47" s="1"/>
  <c r="F9" i="47"/>
  <c r="E9" i="47"/>
  <c r="G8" i="47"/>
  <c r="F8" i="47"/>
  <c r="G3" i="47" s="1" a="1"/>
  <c r="G3" i="47" s="1"/>
  <c r="E8" i="47"/>
  <c r="G7" i="47"/>
  <c r="F7" i="47"/>
  <c r="E7" i="47"/>
  <c r="E6" i="47"/>
  <c r="H6" i="47"/>
  <c r="I6" i="47" s="1"/>
  <c r="O9" i="44"/>
  <c r="K9" i="44"/>
  <c r="C6" i="37"/>
  <c r="O8" i="44"/>
  <c r="V8" i="44" a="1"/>
  <c r="V8" i="44"/>
  <c r="U8" i="44" a="1"/>
  <c r="U8" i="44"/>
  <c r="K8" i="44"/>
  <c r="U36" i="44"/>
  <c r="O7" i="44"/>
  <c r="V7" i="44" s="1" a="1"/>
  <c r="V7" i="44" s="1"/>
  <c r="K7" i="44"/>
  <c r="U30" i="44" s="1"/>
  <c r="O6" i="44"/>
  <c r="K6" i="44"/>
  <c r="U24" i="44" s="1"/>
  <c r="O5" i="44"/>
  <c r="V5" i="44" s="1" a="1"/>
  <c r="V5" i="44" s="1"/>
  <c r="K5" i="44"/>
  <c r="U18" i="44" s="1"/>
  <c r="O4" i="44"/>
  <c r="V4" i="44" a="1"/>
  <c r="V4" i="44"/>
  <c r="U4" i="44" a="1"/>
  <c r="U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H13" i="18" s="1"/>
  <c r="AQ37" i="7"/>
  <c r="E12" i="18" s="1"/>
  <c r="J12" i="18" s="1"/>
  <c r="M12" i="18" s="1"/>
  <c r="N12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 s="1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 s="1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N316" i="33" s="1"/>
  <c r="K316" i="33"/>
  <c r="J316" i="33"/>
  <c r="I316" i="33"/>
  <c r="G316" i="33"/>
  <c r="H316" i="33" s="1"/>
  <c r="F316" i="33"/>
  <c r="E316" i="33"/>
  <c r="D316" i="33"/>
  <c r="M315" i="33"/>
  <c r="N315" i="33" s="1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N304" i="33" s="1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 s="1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C7" i="37" s="1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F6" i="21"/>
  <c r="D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E3" i="21"/>
  <c r="F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D8" i="21"/>
  <c r="O5" i="18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7" i="2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26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A8" i="37"/>
  <c r="H38" i="47"/>
  <c r="I38" i="47" s="1"/>
  <c r="H42" i="47"/>
  <c r="I42" i="47"/>
  <c r="H34" i="47"/>
  <c r="I34" i="47"/>
  <c r="H45" i="47"/>
  <c r="I45" i="47" s="1"/>
  <c r="H17" i="47"/>
  <c r="I17" i="47" s="1"/>
  <c r="H47" i="47"/>
  <c r="I47" i="47"/>
  <c r="H26" i="47"/>
  <c r="I26" i="47"/>
  <c r="H43" i="47"/>
  <c r="I43" i="47"/>
  <c r="H10" i="47"/>
  <c r="I10" i="47" s="1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27" i="47"/>
  <c r="I27" i="47" s="1"/>
  <c r="H31" i="47"/>
  <c r="I31" i="47" s="1"/>
  <c r="H39" i="47"/>
  <c r="I39" i="47"/>
  <c r="H46" i="47"/>
  <c r="I46" i="47"/>
  <c r="H50" i="47"/>
  <c r="I50" i="47" s="1"/>
  <c r="H23" i="47"/>
  <c r="I23" i="47"/>
  <c r="H7" i="47"/>
  <c r="I7" i="47"/>
  <c r="H35" i="47"/>
  <c r="I35" i="47" s="1"/>
  <c r="H32" i="47"/>
  <c r="I32" i="47" s="1"/>
  <c r="H12" i="47"/>
  <c r="I12" i="47"/>
  <c r="H53" i="47"/>
  <c r="I53" i="47" s="1"/>
  <c r="H30" i="47"/>
  <c r="I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49" i="33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M8" i="33"/>
  <c r="N8" i="33" s="1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24" i="33"/>
  <c r="N230" i="33"/>
  <c r="N233" i="33"/>
  <c r="N251" i="33"/>
  <c r="N288" i="33"/>
  <c r="N432" i="33"/>
  <c r="N505" i="33"/>
  <c r="N590" i="33"/>
  <c r="N644" i="33"/>
  <c r="N680" i="33"/>
  <c r="N684" i="33"/>
  <c r="S25" i="44" a="1"/>
  <c r="S25" i="44"/>
  <c r="X25" i="44" s="1"/>
  <c r="V25" i="44"/>
  <c r="S24" i="44" a="1"/>
  <c r="S24" i="44"/>
  <c r="V18" i="44"/>
  <c r="R25" i="44" a="1"/>
  <c r="R25" i="44" s="1"/>
  <c r="R24" i="44" a="1"/>
  <c r="R24" i="44"/>
  <c r="O15" i="18"/>
  <c r="L6" i="22"/>
  <c r="K6" i="22"/>
  <c r="E14" i="21"/>
  <c r="C14" i="21"/>
  <c r="D14" i="21"/>
  <c r="B14" i="21"/>
  <c r="C7" i="9"/>
  <c r="W31" i="44"/>
  <c r="W26" i="44"/>
  <c r="V24" i="44"/>
  <c r="W19" i="44"/>
  <c r="V19" i="44"/>
  <c r="X24" i="44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F16" i="33"/>
  <c r="AO24" i="7"/>
  <c r="F77" i="33"/>
  <c r="F64" i="33"/>
  <c r="I50" i="33"/>
  <c r="I69" i="33"/>
  <c r="I59" i="33"/>
  <c r="I104" i="33"/>
  <c r="AU26" i="7"/>
  <c r="F84" i="33"/>
  <c r="F97" i="33"/>
  <c r="I191" i="33"/>
  <c r="I101" i="33"/>
  <c r="F48" i="33"/>
  <c r="AR32" i="7"/>
  <c r="F116" i="33"/>
  <c r="F132" i="33"/>
  <c r="AU19" i="7"/>
  <c r="I183" i="33"/>
  <c r="AP34" i="7"/>
  <c r="AN29" i="7"/>
  <c r="I93" i="33"/>
  <c r="I153" i="33"/>
  <c r="AP7" i="7"/>
  <c r="I174" i="33"/>
  <c r="I27" i="33"/>
  <c r="F153" i="33"/>
  <c r="AV22" i="7"/>
  <c r="I108" i="33"/>
  <c r="I192" i="33"/>
  <c r="F82" i="33"/>
  <c r="G17" i="18"/>
  <c r="I124" i="33"/>
  <c r="F182" i="33"/>
  <c r="AV28" i="7"/>
  <c r="AR16" i="7"/>
  <c r="H8" i="16"/>
  <c r="AR22" i="7"/>
  <c r="F197" i="33"/>
  <c r="AU4" i="7"/>
  <c r="F49" i="33"/>
  <c r="F216" i="33"/>
  <c r="I61" i="33"/>
  <c r="AR23" i="7"/>
  <c r="I142" i="33"/>
  <c r="I207" i="33"/>
  <c r="F52" i="33"/>
  <c r="I47" i="33"/>
  <c r="F62" i="33"/>
  <c r="AO33" i="7"/>
  <c r="AN23" i="7"/>
  <c r="AU6" i="7"/>
  <c r="AV14" i="7"/>
  <c r="F219" i="33"/>
  <c r="I18" i="33"/>
  <c r="F165" i="33"/>
  <c r="I154" i="33"/>
  <c r="I208" i="33"/>
  <c r="I181" i="33"/>
  <c r="F199" i="33"/>
  <c r="I42" i="33"/>
  <c r="I39" i="33"/>
  <c r="F185" i="33"/>
  <c r="F214" i="33"/>
  <c r="AO4" i="7"/>
  <c r="I199" i="33"/>
  <c r="AP32" i="7"/>
  <c r="G18" i="18"/>
  <c r="I95" i="33"/>
  <c r="AU23" i="7"/>
  <c r="G7" i="18"/>
  <c r="I90" i="33"/>
  <c r="AN20" i="7"/>
  <c r="F15" i="33"/>
  <c r="AO15" i="7"/>
  <c r="AQ33" i="7"/>
  <c r="AV34" i="7"/>
  <c r="F189" i="33"/>
  <c r="AP6" i="7"/>
  <c r="F129" i="33"/>
  <c r="F149" i="33"/>
  <c r="AO22" i="7"/>
  <c r="AQ34" i="7"/>
  <c r="AP25" i="7"/>
  <c r="F69" i="33"/>
  <c r="I70" i="33"/>
  <c r="I133" i="33"/>
  <c r="I176" i="33"/>
  <c r="AP22" i="7"/>
  <c r="F211" i="33"/>
  <c r="I149" i="33"/>
  <c r="AU18" i="7"/>
  <c r="I201" i="33"/>
  <c r="F56" i="33"/>
  <c r="I66" i="33"/>
  <c r="AQ29" i="7"/>
  <c r="F206" i="33"/>
  <c r="F70" i="33"/>
  <c r="AU33" i="7"/>
  <c r="F7" i="33"/>
  <c r="F200" i="33"/>
  <c r="I44" i="33"/>
  <c r="AO3" i="7"/>
  <c r="I48" i="33"/>
  <c r="I40" i="33"/>
  <c r="F3" i="33"/>
  <c r="AV18" i="7"/>
  <c r="I182" i="33"/>
  <c r="I92" i="33"/>
  <c r="F108" i="33"/>
  <c r="I119" i="33"/>
  <c r="AQ4" i="7"/>
  <c r="F145" i="33"/>
  <c r="F183" i="33"/>
  <c r="I33" i="33"/>
  <c r="I219" i="33"/>
  <c r="F39" i="33"/>
  <c r="I20" i="33"/>
  <c r="F99" i="33"/>
  <c r="AR26" i="7"/>
  <c r="F75" i="33"/>
  <c r="I29" i="33"/>
  <c r="F59" i="33"/>
  <c r="AQ13" i="7"/>
  <c r="AV4" i="7"/>
  <c r="F94" i="33"/>
  <c r="AO13" i="7"/>
  <c r="AV12" i="7"/>
  <c r="AO10" i="7"/>
  <c r="F191" i="33"/>
  <c r="AR13" i="7"/>
  <c r="AP17" i="7"/>
  <c r="AP16" i="7"/>
  <c r="AV23" i="7"/>
  <c r="I76" i="33"/>
  <c r="F179" i="33"/>
  <c r="F91" i="33"/>
  <c r="F202" i="33"/>
  <c r="AP20" i="7"/>
  <c r="AU8" i="7"/>
  <c r="I31" i="33"/>
  <c r="I143" i="33"/>
  <c r="AU25" i="7"/>
  <c r="F68" i="33"/>
  <c r="F41" i="33"/>
  <c r="AR11" i="7"/>
  <c r="F181" i="33"/>
  <c r="F113" i="33"/>
  <c r="D7" i="16"/>
  <c r="AR29" i="7"/>
  <c r="I158" i="33"/>
  <c r="AP30" i="7"/>
  <c r="AP31" i="7"/>
  <c r="F119" i="33"/>
  <c r="AO12" i="7"/>
  <c r="I173" i="33"/>
  <c r="F19" i="33"/>
  <c r="I139" i="33"/>
  <c r="AO23" i="7"/>
  <c r="AO32" i="7"/>
  <c r="F163" i="33"/>
  <c r="I136" i="33"/>
  <c r="I105" i="33"/>
  <c r="F178" i="33"/>
  <c r="F188" i="33"/>
  <c r="I215" i="33"/>
  <c r="AQ6" i="7"/>
  <c r="AO11" i="7"/>
  <c r="AN4" i="7"/>
  <c r="F67" i="33"/>
  <c r="AU13" i="7"/>
  <c r="AN33" i="7"/>
  <c r="I72" i="33"/>
  <c r="F150" i="33"/>
  <c r="AV26" i="7"/>
  <c r="F137" i="33"/>
  <c r="AN5" i="7"/>
  <c r="AN12" i="7"/>
  <c r="I57" i="33"/>
  <c r="I138" i="33"/>
  <c r="I30" i="33"/>
  <c r="I222" i="33"/>
  <c r="F162" i="33"/>
  <c r="F58" i="33"/>
  <c r="I144" i="33"/>
  <c r="F20" i="33"/>
  <c r="F51" i="33"/>
  <c r="AP14" i="7"/>
  <c r="F154" i="33"/>
  <c r="I106" i="33"/>
  <c r="I6" i="33"/>
  <c r="F164" i="33"/>
  <c r="F192" i="33"/>
  <c r="F212" i="33"/>
  <c r="F157" i="33"/>
  <c r="AN21" i="7"/>
  <c r="F12" i="33"/>
  <c r="F147" i="33"/>
  <c r="AR6" i="7"/>
  <c r="I28" i="33"/>
  <c r="AN36" i="7"/>
  <c r="F42" i="33"/>
  <c r="F203" i="33"/>
  <c r="AO36" i="7"/>
  <c r="AQ15" i="7"/>
  <c r="F102" i="33"/>
  <c r="I23" i="33"/>
  <c r="AR25" i="7"/>
  <c r="G12" i="18"/>
  <c r="F152" i="33"/>
  <c r="I96" i="33"/>
  <c r="AO19" i="7"/>
  <c r="F195" i="33"/>
  <c r="F103" i="33"/>
  <c r="F85" i="33"/>
  <c r="F135" i="33"/>
  <c r="I145" i="33"/>
  <c r="I86" i="33"/>
  <c r="AV10" i="7"/>
  <c r="I197" i="33"/>
  <c r="I167" i="33"/>
  <c r="F221" i="33"/>
  <c r="F166" i="33"/>
  <c r="I36" i="33"/>
  <c r="F6" i="33"/>
  <c r="AV36" i="7"/>
  <c r="AO18" i="7"/>
  <c r="AP11" i="7"/>
  <c r="I73" i="33"/>
  <c r="I132" i="33"/>
  <c r="AR9" i="7"/>
  <c r="AR30" i="7"/>
  <c r="G6" i="18"/>
  <c r="AR5" i="7"/>
  <c r="I123" i="33"/>
  <c r="I206" i="33"/>
  <c r="AV11" i="7"/>
  <c r="F194" i="33"/>
  <c r="AU16" i="7"/>
  <c r="F205" i="33"/>
  <c r="G10" i="18"/>
  <c r="I19" i="33"/>
  <c r="AU12" i="7"/>
  <c r="I62" i="33"/>
  <c r="I34" i="33"/>
  <c r="AP24" i="7"/>
  <c r="AP3" i="7"/>
  <c r="F44" i="33"/>
  <c r="AQ7" i="7"/>
  <c r="F168" i="33"/>
  <c r="AQ5" i="7"/>
  <c r="E9" i="16"/>
  <c r="AN18" i="7"/>
  <c r="I7" i="16"/>
  <c r="F65" i="33"/>
  <c r="H7" i="16"/>
  <c r="F14" i="33"/>
  <c r="F27" i="33"/>
  <c r="I85" i="33"/>
  <c r="AV27" i="7"/>
  <c r="F83" i="33"/>
  <c r="I103" i="33"/>
  <c r="AN22" i="7"/>
  <c r="F148" i="33"/>
  <c r="AP26" i="7"/>
  <c r="I15" i="33"/>
  <c r="F176" i="33"/>
  <c r="AR33" i="7"/>
  <c r="I125" i="33"/>
  <c r="AP9" i="7"/>
  <c r="F63" i="33"/>
  <c r="I43" i="33"/>
  <c r="AU29" i="7"/>
  <c r="AO8" i="7"/>
  <c r="F93" i="33"/>
  <c r="I171" i="33"/>
  <c r="AP5" i="7"/>
  <c r="AR15" i="7"/>
  <c r="I159" i="33"/>
  <c r="AU27" i="7"/>
  <c r="AN11" i="7"/>
  <c r="F107" i="33"/>
  <c r="F160" i="33"/>
  <c r="I128" i="33"/>
  <c r="AV15" i="7"/>
  <c r="F217" i="33"/>
  <c r="AQ22" i="7"/>
  <c r="F177" i="33"/>
  <c r="F218" i="33"/>
  <c r="F11" i="33"/>
  <c r="F143" i="33"/>
  <c r="F66" i="33"/>
  <c r="I188" i="33"/>
  <c r="AV29" i="7"/>
  <c r="F117" i="33"/>
  <c r="AN6" i="7"/>
  <c r="AQ17" i="7"/>
  <c r="F196" i="33"/>
  <c r="F139" i="33"/>
  <c r="I56" i="33"/>
  <c r="I190" i="33"/>
  <c r="I212" i="33"/>
  <c r="I129" i="33"/>
  <c r="I157" i="33"/>
  <c r="AO35" i="7"/>
  <c r="F114" i="33"/>
  <c r="F98" i="33"/>
  <c r="AP21" i="7"/>
  <c r="I116" i="33"/>
  <c r="F126" i="33"/>
  <c r="E7" i="16"/>
  <c r="I112" i="33"/>
  <c r="AP13" i="7"/>
  <c r="AO17" i="7"/>
  <c r="F106" i="33"/>
  <c r="F100" i="33"/>
  <c r="I99" i="33"/>
  <c r="AN24" i="7"/>
  <c r="F173" i="33"/>
  <c r="AQ16" i="7"/>
  <c r="AU10" i="7"/>
  <c r="I210" i="33"/>
  <c r="F26" i="33"/>
  <c r="F80" i="33"/>
  <c r="AO7" i="7"/>
  <c r="I83" i="33"/>
  <c r="F33" i="33"/>
  <c r="AQ23" i="7"/>
  <c r="AR14" i="7"/>
  <c r="I9" i="33"/>
  <c r="AU17" i="7"/>
  <c r="I55" i="33"/>
  <c r="AV25" i="7"/>
  <c r="I38" i="33"/>
  <c r="F23" i="33"/>
  <c r="E8" i="16"/>
  <c r="I163" i="33"/>
  <c r="F13" i="33"/>
  <c r="I25" i="33"/>
  <c r="AO20" i="7"/>
  <c r="G5" i="18"/>
  <c r="AR8" i="7"/>
  <c r="AO30" i="7"/>
  <c r="F31" i="33"/>
  <c r="F18" i="33"/>
  <c r="I202" i="33"/>
  <c r="F50" i="33"/>
  <c r="I164" i="33"/>
  <c r="AR27" i="7"/>
  <c r="F184" i="33"/>
  <c r="I166" i="33"/>
  <c r="I8" i="16"/>
  <c r="I135" i="33"/>
  <c r="G16" i="18"/>
  <c r="AP27" i="7"/>
  <c r="I79" i="33"/>
  <c r="I140" i="33"/>
  <c r="AU11" i="7"/>
  <c r="I177" i="33"/>
  <c r="AR31" i="7"/>
  <c r="F4" i="33"/>
  <c r="AQ11" i="7"/>
  <c r="I216" i="33"/>
  <c r="I195" i="33"/>
  <c r="F54" i="33"/>
  <c r="AU31" i="7"/>
  <c r="F110" i="33"/>
  <c r="I193" i="33"/>
  <c r="I172" i="33"/>
  <c r="F171" i="33"/>
  <c r="I5" i="33"/>
  <c r="I214" i="33"/>
  <c r="F180" i="33"/>
  <c r="AQ26" i="7"/>
  <c r="I84" i="33"/>
  <c r="AO28" i="7"/>
  <c r="AR4" i="7"/>
  <c r="AQ24" i="7"/>
  <c r="AQ14" i="7"/>
  <c r="AQ25" i="7"/>
  <c r="F115" i="33"/>
  <c r="AV5" i="7"/>
  <c r="I9" i="16"/>
  <c r="F141" i="33"/>
  <c r="I218" i="33"/>
  <c r="AR34" i="7"/>
  <c r="F95" i="33"/>
  <c r="I67" i="33"/>
  <c r="I221" i="33"/>
  <c r="F55" i="33"/>
  <c r="AR28" i="7"/>
  <c r="AR21" i="7"/>
  <c r="F40" i="33"/>
  <c r="I97" i="33"/>
  <c r="F127" i="33"/>
  <c r="F111" i="33"/>
  <c r="I89" i="33"/>
  <c r="F36" i="33"/>
  <c r="AN8" i="7"/>
  <c r="F207" i="33"/>
  <c r="I117" i="33"/>
  <c r="AR17" i="7"/>
  <c r="D8" i="16"/>
  <c r="AU7" i="7"/>
  <c r="I37" i="33"/>
  <c r="AV6" i="7"/>
  <c r="F151" i="33"/>
  <c r="F210" i="33"/>
  <c r="AO6" i="7"/>
  <c r="G8" i="18"/>
  <c r="I148" i="33"/>
  <c r="F34" i="33"/>
  <c r="I122" i="33"/>
  <c r="AP33" i="7"/>
  <c r="AV31" i="7"/>
  <c r="G9" i="18"/>
  <c r="AQ27" i="7"/>
  <c r="AO29" i="7"/>
  <c r="AP29" i="7"/>
  <c r="I185" i="33"/>
  <c r="I187" i="33"/>
  <c r="I45" i="33"/>
  <c r="I49" i="33"/>
  <c r="I21" i="33"/>
  <c r="AV19" i="7"/>
  <c r="I98" i="33"/>
  <c r="F215" i="33"/>
  <c r="I126" i="33"/>
  <c r="AQ3" i="7"/>
  <c r="I52" i="33"/>
  <c r="F208" i="33"/>
  <c r="AN30" i="7"/>
  <c r="I118" i="33"/>
  <c r="AU36" i="7"/>
  <c r="I131" i="33"/>
  <c r="I186" i="33"/>
  <c r="AN28" i="7"/>
  <c r="AN10" i="7"/>
  <c r="I4" i="33"/>
  <c r="AQ12" i="7"/>
  <c r="I16" i="33"/>
  <c r="F104" i="33"/>
  <c r="F131" i="33"/>
  <c r="AP23" i="7"/>
  <c r="I78" i="33"/>
  <c r="AU34" i="7"/>
  <c r="F198" i="33"/>
  <c r="I194" i="33"/>
  <c r="AV17" i="7"/>
  <c r="AR12" i="7"/>
  <c r="F73" i="33"/>
  <c r="AU9" i="7"/>
  <c r="AV8" i="7"/>
  <c r="I7" i="33"/>
  <c r="F43" i="33"/>
  <c r="I111" i="33"/>
  <c r="AO9" i="7"/>
  <c r="I88" i="33"/>
  <c r="F28" i="33"/>
  <c r="F96" i="33"/>
  <c r="F158" i="33"/>
  <c r="AR20" i="7"/>
  <c r="I3" i="33"/>
  <c r="I134" i="33"/>
  <c r="F174" i="33"/>
  <c r="AP12" i="7"/>
  <c r="F25" i="33"/>
  <c r="F193" i="33"/>
  <c r="AP28" i="7"/>
  <c r="F155" i="33"/>
  <c r="AR18" i="7"/>
  <c r="G11" i="18"/>
  <c r="I137" i="33"/>
  <c r="F78" i="33"/>
  <c r="F121" i="33"/>
  <c r="AQ8" i="7"/>
  <c r="F76" i="33"/>
  <c r="F21" i="33"/>
  <c r="I24" i="33"/>
  <c r="AQ30" i="7"/>
  <c r="I32" i="33"/>
  <c r="AU15" i="7"/>
  <c r="I198" i="33"/>
  <c r="AV9" i="7"/>
  <c r="I120" i="33"/>
  <c r="I205" i="33"/>
  <c r="F144" i="33"/>
  <c r="F22" i="33"/>
  <c r="I10" i="33"/>
  <c r="F120" i="33"/>
  <c r="F74" i="33"/>
  <c r="AN9" i="7"/>
  <c r="AN34" i="7"/>
  <c r="I12" i="33"/>
  <c r="AO34" i="7"/>
  <c r="F140" i="33"/>
  <c r="I41" i="33"/>
  <c r="I170" i="33"/>
  <c r="AN16" i="7"/>
  <c r="AO5" i="7"/>
  <c r="F72" i="33"/>
  <c r="AV3" i="7"/>
  <c r="AP4" i="7"/>
  <c r="AU28" i="7"/>
  <c r="AQ31" i="7"/>
  <c r="I147" i="33"/>
  <c r="AO31" i="7"/>
  <c r="G4" i="18"/>
  <c r="AV20" i="7"/>
  <c r="F86" i="33"/>
  <c r="F130" i="33"/>
  <c r="AR36" i="7"/>
  <c r="F190" i="33"/>
  <c r="I220" i="33"/>
  <c r="I213" i="33"/>
  <c r="I127" i="33"/>
  <c r="AP10" i="7"/>
  <c r="AO16" i="7"/>
  <c r="I94" i="33"/>
  <c r="I74" i="33"/>
  <c r="F172" i="33"/>
  <c r="I51" i="33"/>
  <c r="I71" i="33"/>
  <c r="F53" i="33"/>
  <c r="F133" i="33"/>
  <c r="I160" i="33"/>
  <c r="I115" i="33"/>
  <c r="AR35" i="7"/>
  <c r="I196" i="33"/>
  <c r="AR19" i="7"/>
  <c r="F81" i="33"/>
  <c r="AQ32" i="7"/>
  <c r="I114" i="33"/>
  <c r="AN17" i="7"/>
  <c r="F32" i="33"/>
  <c r="I60" i="33"/>
  <c r="F87" i="33"/>
  <c r="AU22" i="7"/>
  <c r="AU30" i="7"/>
  <c r="I77" i="33"/>
  <c r="AN14" i="7"/>
  <c r="AO25" i="7"/>
  <c r="I13" i="33"/>
  <c r="I11" i="33"/>
  <c r="I209" i="33"/>
  <c r="F136" i="33"/>
  <c r="AV30" i="7"/>
  <c r="AN32" i="7"/>
  <c r="AQ10" i="7"/>
  <c r="I141" i="33"/>
  <c r="F45" i="33"/>
  <c r="F134" i="33"/>
  <c r="AO14" i="7"/>
  <c r="AP36" i="7"/>
  <c r="AU5" i="7"/>
  <c r="I180" i="33"/>
  <c r="I46" i="33"/>
  <c r="I68" i="33"/>
  <c r="AP35" i="7"/>
  <c r="I109" i="33"/>
  <c r="I178" i="33"/>
  <c r="AV13" i="7"/>
  <c r="F186" i="33"/>
  <c r="AU20" i="7"/>
  <c r="F29" i="33"/>
  <c r="F89" i="33"/>
  <c r="AR3" i="7"/>
  <c r="AP8" i="7"/>
  <c r="F92" i="33"/>
  <c r="AV7" i="7"/>
  <c r="I161" i="33"/>
  <c r="AR24" i="7"/>
  <c r="I81" i="33"/>
  <c r="I162" i="33"/>
  <c r="F37" i="33"/>
  <c r="F46" i="33"/>
  <c r="I102" i="33"/>
  <c r="F146" i="33"/>
  <c r="I107" i="33"/>
  <c r="AN27" i="7"/>
  <c r="I87" i="33"/>
  <c r="AN19" i="7"/>
  <c r="I168" i="33"/>
  <c r="AR7" i="7"/>
  <c r="F204" i="33"/>
  <c r="F60" i="33"/>
  <c r="F24" i="33"/>
  <c r="I200" i="33"/>
  <c r="AN31" i="7"/>
  <c r="G13" i="18"/>
  <c r="F35" i="33"/>
  <c r="I75" i="33"/>
  <c r="I151" i="33"/>
  <c r="I113" i="33"/>
  <c r="I17" i="33"/>
  <c r="F118" i="33"/>
  <c r="AP18" i="7"/>
  <c r="F161" i="33"/>
  <c r="I110" i="33"/>
  <c r="AV24" i="7"/>
  <c r="F175" i="33"/>
  <c r="AQ35" i="7"/>
  <c r="F57" i="33"/>
  <c r="F112" i="33"/>
  <c r="F9" i="33"/>
  <c r="F220" i="33"/>
  <c r="F128" i="33"/>
  <c r="AU14" i="7"/>
  <c r="I121" i="33"/>
  <c r="I22" i="33"/>
  <c r="F167" i="33"/>
  <c r="AO21" i="7"/>
  <c r="F90" i="33"/>
  <c r="I82" i="33"/>
  <c r="AV32" i="7"/>
  <c r="AN13" i="7"/>
  <c r="AU35" i="7"/>
  <c r="AV35" i="7"/>
  <c r="AN26" i="7"/>
  <c r="I14" i="33"/>
  <c r="I184" i="33"/>
  <c r="I65" i="33"/>
  <c r="AU3" i="7"/>
  <c r="AQ18" i="7"/>
  <c r="I217" i="33"/>
  <c r="F213" i="33"/>
  <c r="I8" i="33"/>
  <c r="F187" i="33"/>
  <c r="F71" i="33"/>
  <c r="F79" i="33"/>
  <c r="F88" i="33"/>
  <c r="F10" i="33"/>
  <c r="F156" i="33"/>
  <c r="AV33" i="7"/>
  <c r="I80" i="33"/>
  <c r="I63" i="33"/>
  <c r="F30" i="33"/>
  <c r="AR10" i="7"/>
  <c r="I189" i="33"/>
  <c r="F142" i="33"/>
  <c r="F38" i="33"/>
  <c r="F209" i="33"/>
  <c r="I91" i="33"/>
  <c r="AO27" i="7"/>
  <c r="AN7" i="7"/>
  <c r="F222" i="33"/>
  <c r="F105" i="33"/>
  <c r="I179" i="33"/>
  <c r="F124" i="33"/>
  <c r="F170" i="33"/>
  <c r="I175" i="33"/>
  <c r="I58" i="33"/>
  <c r="F122" i="33"/>
  <c r="I26" i="33"/>
  <c r="I211" i="33"/>
  <c r="AQ19" i="7"/>
  <c r="I152" i="33"/>
  <c r="I146" i="33"/>
  <c r="F201" i="33"/>
  <c r="AQ9" i="7"/>
  <c r="AQ20" i="7"/>
  <c r="AN15" i="7"/>
  <c r="I54" i="33"/>
  <c r="AN35" i="7"/>
  <c r="I156" i="33"/>
  <c r="AQ21" i="7"/>
  <c r="I155" i="33"/>
  <c r="AV16" i="7"/>
  <c r="F101" i="33"/>
  <c r="F61" i="33"/>
  <c r="AO26" i="7"/>
  <c r="H9" i="16"/>
  <c r="F109" i="33"/>
  <c r="I130" i="33"/>
  <c r="F138" i="33"/>
  <c r="I204" i="33"/>
  <c r="F5" i="33"/>
  <c r="I64" i="33"/>
  <c r="I100" i="33"/>
  <c r="F169" i="33"/>
  <c r="AN25" i="7"/>
  <c r="F17" i="33"/>
  <c r="AV21" i="7"/>
  <c r="AQ28" i="7"/>
  <c r="F159" i="33"/>
  <c r="AQ36" i="7"/>
  <c r="I203" i="33"/>
  <c r="AN3" i="7"/>
  <c r="F125" i="33"/>
  <c r="I169" i="33"/>
  <c r="I35" i="33"/>
  <c r="F47" i="33"/>
  <c r="F8" i="33"/>
  <c r="I165" i="33"/>
  <c r="AU21" i="7"/>
  <c r="AU24" i="7"/>
  <c r="AP19" i="7"/>
  <c r="F123" i="33"/>
  <c r="I53" i="33"/>
  <c r="D9" i="16"/>
  <c r="AP15" i="7"/>
  <c r="I150" i="33"/>
  <c r="AU32" i="7"/>
  <c r="H8" i="47" l="1"/>
  <c r="I8" i="47" s="1"/>
  <c r="H16" i="47"/>
  <c r="I16" i="47" s="1"/>
  <c r="H3" i="47" a="1"/>
  <c r="H3" i="47" s="1"/>
  <c r="I3" i="47" s="1"/>
  <c r="V31" i="44"/>
  <c r="U5" i="44" a="1"/>
  <c r="U5" i="44" s="1"/>
  <c r="W25" i="44"/>
  <c r="E6" i="18"/>
  <c r="H6" i="18" s="1"/>
  <c r="E8" i="18"/>
  <c r="J8" i="18" s="1"/>
  <c r="M8" i="18" s="1"/>
  <c r="N8" i="18" s="1"/>
  <c r="E10" i="18"/>
  <c r="H10" i="18" s="1"/>
  <c r="H12" i="18"/>
  <c r="E4" i="18"/>
  <c r="J4" i="18" s="1"/>
  <c r="M4" i="18" s="1"/>
  <c r="N4" i="18" s="1"/>
  <c r="U6" i="44" a="1"/>
  <c r="U6" i="44" s="1"/>
  <c r="U7" i="44" a="1"/>
  <c r="U7" i="44" s="1"/>
  <c r="H16" i="18"/>
  <c r="J16" i="18"/>
  <c r="L16" i="18" s="1"/>
  <c r="N16" i="18" s="1"/>
  <c r="E5" i="18"/>
  <c r="H5" i="18" s="1"/>
  <c r="E11" i="18"/>
  <c r="J11" i="18" s="1"/>
  <c r="M11" i="18" s="1"/>
  <c r="N11" i="18" s="1"/>
  <c r="AB8" i="18"/>
  <c r="AC8" i="18" s="1"/>
  <c r="V6" i="18"/>
  <c r="W6" i="18" s="1"/>
  <c r="AB6" i="18"/>
  <c r="AC6" i="18" s="1"/>
  <c r="V9" i="18"/>
  <c r="W9" i="18" s="1"/>
  <c r="J18" i="18"/>
  <c r="L18" i="18" s="1"/>
  <c r="N18" i="18" s="1"/>
  <c r="H18" i="18"/>
  <c r="J13" i="18"/>
  <c r="L13" i="18" s="1"/>
  <c r="E9" i="18"/>
  <c r="J9" i="18" s="1"/>
  <c r="M9" i="18" s="1"/>
  <c r="N9" i="18" s="1"/>
  <c r="L12" i="18"/>
  <c r="E7" i="18"/>
  <c r="J7" i="18" s="1"/>
  <c r="L7" i="18" s="1"/>
  <c r="H17" i="18"/>
  <c r="J17" i="18"/>
  <c r="L17" i="18" s="1"/>
  <c r="N17" i="18" s="1"/>
  <c r="AB4" i="18"/>
  <c r="AC4" i="18" s="1"/>
  <c r="V4" i="18"/>
  <c r="W4" i="18" s="1"/>
  <c r="AB9" i="18"/>
  <c r="AC9" i="18" s="1"/>
  <c r="AB7" i="18"/>
  <c r="AC7" i="18" s="1"/>
  <c r="V10" i="18"/>
  <c r="W10" i="18" s="1"/>
  <c r="AB10" i="18"/>
  <c r="AC10" i="18" s="1"/>
  <c r="AB5" i="18"/>
  <c r="AC5" i="18" s="1"/>
  <c r="V8" i="18"/>
  <c r="W8" i="18" s="1"/>
  <c r="V11" i="18"/>
  <c r="W11" i="18" s="1"/>
  <c r="V7" i="18"/>
  <c r="W7" i="18" s="1"/>
  <c r="AB11" i="18"/>
  <c r="AC11" i="18" s="1"/>
  <c r="J44" i="33"/>
  <c r="K44" i="33" s="1"/>
  <c r="G102" i="33"/>
  <c r="H102" i="33" s="1"/>
  <c r="G130" i="33"/>
  <c r="H130" i="33" s="1"/>
  <c r="G21" i="33"/>
  <c r="H21" i="33" s="1"/>
  <c r="G15" i="33"/>
  <c r="H15" i="33" s="1"/>
  <c r="G155" i="33"/>
  <c r="H155" i="33" s="1"/>
  <c r="G99" i="33"/>
  <c r="H99" i="33" s="1"/>
  <c r="J184" i="33"/>
  <c r="K184" i="33" s="1"/>
  <c r="J142" i="33"/>
  <c r="K142" i="33" s="1"/>
  <c r="G35" i="33"/>
  <c r="H35" i="33" s="1"/>
  <c r="G6" i="33"/>
  <c r="H6" i="33" s="1"/>
  <c r="J110" i="33"/>
  <c r="K110" i="33" s="1"/>
  <c r="G45" i="33"/>
  <c r="H45" i="33" s="1"/>
  <c r="G182" i="33"/>
  <c r="H182" i="33" s="1"/>
  <c r="G66" i="33"/>
  <c r="H66" i="33" s="1"/>
  <c r="G75" i="33"/>
  <c r="H75" i="33" s="1"/>
  <c r="J7" i="33"/>
  <c r="K7" i="33" s="1"/>
  <c r="J68" i="33"/>
  <c r="K68" i="33" s="1"/>
  <c r="J61" i="33"/>
  <c r="K61" i="33" s="1"/>
  <c r="J154" i="33"/>
  <c r="K154" i="33" s="1"/>
  <c r="G169" i="33"/>
  <c r="H169" i="33" s="1"/>
  <c r="J51" i="33"/>
  <c r="K51" i="33" s="1"/>
  <c r="G69" i="33"/>
  <c r="H69" i="33" s="1"/>
  <c r="G218" i="33"/>
  <c r="H218" i="33" s="1"/>
  <c r="G58" i="33"/>
  <c r="H58" i="33" s="1"/>
  <c r="G174" i="33"/>
  <c r="H174" i="33" s="1"/>
  <c r="J25" i="33"/>
  <c r="K25" i="33" s="1"/>
  <c r="J62" i="33"/>
  <c r="K62" i="33" s="1"/>
  <c r="G12" i="33"/>
  <c r="H12" i="33" s="1"/>
  <c r="J29" i="33"/>
  <c r="K29" i="33" s="1"/>
  <c r="J126" i="33"/>
  <c r="K126" i="33" s="1"/>
  <c r="G31" i="33"/>
  <c r="H31" i="33" s="1"/>
  <c r="G39" i="33"/>
  <c r="H39" i="33" s="1"/>
  <c r="G98" i="33"/>
  <c r="H98" i="33" s="1"/>
  <c r="G32" i="33"/>
  <c r="H32" i="33" s="1"/>
  <c r="J141" i="33"/>
  <c r="K141" i="33" s="1"/>
  <c r="J158" i="33"/>
  <c r="K158" i="33" s="1"/>
  <c r="O8" i="16"/>
  <c r="J64" i="33"/>
  <c r="K64" i="33" s="1"/>
  <c r="O7" i="16"/>
  <c r="J214" i="33"/>
  <c r="K214" i="33" s="1"/>
  <c r="J9" i="33"/>
  <c r="K9" i="33" s="1"/>
  <c r="J153" i="33"/>
  <c r="K153" i="33" s="1"/>
  <c r="J201" i="33"/>
  <c r="K201" i="33" s="1"/>
  <c r="J219" i="33"/>
  <c r="K219" i="33" s="1"/>
  <c r="G84" i="33"/>
  <c r="H84" i="33" s="1"/>
  <c r="G90" i="33"/>
  <c r="H90" i="33" s="1"/>
  <c r="J16" i="33"/>
  <c r="K16" i="33" s="1"/>
  <c r="G142" i="33"/>
  <c r="H142" i="33" s="1"/>
  <c r="J146" i="33"/>
  <c r="K146" i="33" s="1"/>
  <c r="G173" i="33"/>
  <c r="H173" i="33" s="1"/>
  <c r="J37" i="33"/>
  <c r="K37" i="33" s="1"/>
  <c r="G18" i="33"/>
  <c r="H18" i="33" s="1"/>
  <c r="J124" i="33"/>
  <c r="K124" i="33" s="1"/>
  <c r="J143" i="33"/>
  <c r="K143" i="33" s="1"/>
  <c r="J211" i="33"/>
  <c r="K211" i="33" s="1"/>
  <c r="G171" i="33"/>
  <c r="H171" i="33" s="1"/>
  <c r="G193" i="33"/>
  <c r="H193" i="33" s="1"/>
  <c r="J112" i="33"/>
  <c r="K112" i="33" s="1"/>
  <c r="G113" i="33"/>
  <c r="H113" i="33" s="1"/>
  <c r="J188" i="33"/>
  <c r="K188" i="33" s="1"/>
  <c r="G134" i="33"/>
  <c r="H134" i="33" s="1"/>
  <c r="G170" i="33"/>
  <c r="H170" i="33" s="1"/>
  <c r="J97" i="33"/>
  <c r="K97" i="33" s="1"/>
  <c r="G95" i="33"/>
  <c r="H95" i="33" s="1"/>
  <c r="G149" i="33"/>
  <c r="H149" i="33" s="1"/>
  <c r="N7" i="16"/>
  <c r="G108" i="33"/>
  <c r="H108" i="33" s="1"/>
  <c r="J125" i="33"/>
  <c r="K125" i="33" s="1"/>
  <c r="G20" i="33"/>
  <c r="H20" i="33" s="1"/>
  <c r="J34" i="33"/>
  <c r="K34" i="33" s="1"/>
  <c r="G48" i="33"/>
  <c r="H48" i="33" s="1"/>
  <c r="G214" i="33"/>
  <c r="H214" i="33" s="1"/>
  <c r="G14" i="33"/>
  <c r="H14" i="33" s="1"/>
  <c r="J99" i="33"/>
  <c r="K99" i="33" s="1"/>
  <c r="G36" i="33"/>
  <c r="H36" i="33" s="1"/>
  <c r="J199" i="33"/>
  <c r="K199" i="33" s="1"/>
  <c r="J132" i="33"/>
  <c r="K132" i="33" s="1"/>
  <c r="J145" i="33"/>
  <c r="K145" i="33" s="1"/>
  <c r="G53" i="33"/>
  <c r="H53" i="33" s="1"/>
  <c r="J22" i="33"/>
  <c r="K22" i="33" s="1"/>
  <c r="J195" i="33"/>
  <c r="K195" i="33" s="1"/>
  <c r="J92" i="33"/>
  <c r="K92" i="33" s="1"/>
  <c r="G92" i="33"/>
  <c r="H92" i="33" s="1"/>
  <c r="J49" i="33"/>
  <c r="K49" i="33" s="1"/>
  <c r="J42" i="33"/>
  <c r="K42" i="33" s="1"/>
  <c r="J40" i="33"/>
  <c r="K40" i="33" s="1"/>
  <c r="G141" i="33"/>
  <c r="H141" i="33" s="1"/>
  <c r="G140" i="33"/>
  <c r="H140" i="33" s="1"/>
  <c r="G131" i="33"/>
  <c r="H131" i="33" s="1"/>
  <c r="G181" i="33"/>
  <c r="H181" i="33" s="1"/>
  <c r="G33" i="33"/>
  <c r="H33" i="33" s="1"/>
  <c r="J94" i="33"/>
  <c r="K94" i="33" s="1"/>
  <c r="G103" i="33"/>
  <c r="H103" i="33" s="1"/>
  <c r="J114" i="33"/>
  <c r="K114" i="33" s="1"/>
  <c r="J59" i="33"/>
  <c r="K59" i="33" s="1"/>
  <c r="J69" i="33"/>
  <c r="K69" i="33" s="1"/>
  <c r="J35" i="33"/>
  <c r="K35" i="33" s="1"/>
  <c r="G61" i="33"/>
  <c r="H61" i="33" s="1"/>
  <c r="J171" i="33"/>
  <c r="K171" i="33" s="1"/>
  <c r="J197" i="33"/>
  <c r="K197" i="33" s="1"/>
  <c r="G203" i="33"/>
  <c r="H203" i="33" s="1"/>
  <c r="G177" i="33"/>
  <c r="H177" i="33" s="1"/>
  <c r="G86" i="33"/>
  <c r="H86" i="33" s="1"/>
  <c r="G67" i="33"/>
  <c r="H67" i="33" s="1"/>
  <c r="J115" i="33"/>
  <c r="K115" i="33" s="1"/>
  <c r="G83" i="33"/>
  <c r="H83" i="33" s="1"/>
  <c r="G27" i="33"/>
  <c r="H27" i="33" s="1"/>
  <c r="J17" i="33"/>
  <c r="K17" i="33" s="1"/>
  <c r="G204" i="33"/>
  <c r="H204" i="33" s="1"/>
  <c r="J14" i="33"/>
  <c r="K14" i="33" s="1"/>
  <c r="G52" i="33"/>
  <c r="H52" i="33" s="1"/>
  <c r="J187" i="33"/>
  <c r="K187" i="33" s="1"/>
  <c r="J172" i="33"/>
  <c r="K172" i="33" s="1"/>
  <c r="G213" i="33"/>
  <c r="H213" i="33" s="1"/>
  <c r="G205" i="33"/>
  <c r="H205" i="33" s="1"/>
  <c r="J144" i="33"/>
  <c r="K144" i="33" s="1"/>
  <c r="J89" i="33"/>
  <c r="K89" i="33" s="1"/>
  <c r="J23" i="33"/>
  <c r="K23" i="33" s="1"/>
  <c r="G115" i="33"/>
  <c r="H115" i="33" s="1"/>
  <c r="G72" i="33"/>
  <c r="H72" i="33" s="1"/>
  <c r="J134" i="33"/>
  <c r="K134" i="33" s="1"/>
  <c r="G199" i="33"/>
  <c r="H199" i="33" s="1"/>
  <c r="G221" i="33"/>
  <c r="H221" i="33" s="1"/>
  <c r="G135" i="33"/>
  <c r="H135" i="33" s="1"/>
  <c r="G194" i="33"/>
  <c r="H194" i="33" s="1"/>
  <c r="J208" i="33"/>
  <c r="K208" i="33" s="1"/>
  <c r="J70" i="33"/>
  <c r="K70" i="33" s="1"/>
  <c r="J81" i="33"/>
  <c r="K81" i="33" s="1"/>
  <c r="G122" i="33"/>
  <c r="H122" i="33" s="1"/>
  <c r="J56" i="33"/>
  <c r="K56" i="33" s="1"/>
  <c r="J60" i="33"/>
  <c r="K60" i="33" s="1"/>
  <c r="G14" i="18"/>
  <c r="G10" i="33"/>
  <c r="H10" i="33" s="1"/>
  <c r="G47" i="33"/>
  <c r="H47" i="33" s="1"/>
  <c r="G212" i="33"/>
  <c r="H212" i="33" s="1"/>
  <c r="G216" i="33"/>
  <c r="H216" i="33" s="1"/>
  <c r="G15" i="18"/>
  <c r="G147" i="33"/>
  <c r="H147" i="33" s="1"/>
  <c r="J175" i="33"/>
  <c r="K175" i="33" s="1"/>
  <c r="J161" i="33"/>
  <c r="K161" i="33" s="1"/>
  <c r="J90" i="33"/>
  <c r="K90" i="33" s="1"/>
  <c r="G200" i="33"/>
  <c r="H200" i="33" s="1"/>
  <c r="G88" i="33"/>
  <c r="H88" i="33" s="1"/>
  <c r="J128" i="33"/>
  <c r="K128" i="33" s="1"/>
  <c r="J185" i="33"/>
  <c r="K185" i="33" s="1"/>
  <c r="G80" i="33"/>
  <c r="H80" i="33" s="1"/>
  <c r="G198" i="33"/>
  <c r="H198" i="33" s="1"/>
  <c r="J107" i="33"/>
  <c r="K107" i="33" s="1"/>
  <c r="G43" i="33"/>
  <c r="H43" i="33" s="1"/>
  <c r="J4" i="33"/>
  <c r="K4" i="33" s="1"/>
  <c r="G124" i="33"/>
  <c r="H124" i="33" s="1"/>
  <c r="J149" i="33"/>
  <c r="K149" i="33" s="1"/>
  <c r="N8" i="16"/>
  <c r="G71" i="33"/>
  <c r="H71" i="33" s="1"/>
  <c r="J15" i="33"/>
  <c r="K15" i="33" s="1"/>
  <c r="J209" i="33"/>
  <c r="K209" i="33" s="1"/>
  <c r="G175" i="33"/>
  <c r="H175" i="33" s="1"/>
  <c r="J181" i="33"/>
  <c r="K181" i="33" s="1"/>
  <c r="J193" i="33"/>
  <c r="K193" i="33" s="1"/>
  <c r="G160" i="33"/>
  <c r="H160" i="33" s="1"/>
  <c r="J74" i="33"/>
  <c r="K74" i="33" s="1"/>
  <c r="J85" i="33"/>
  <c r="K85" i="33" s="1"/>
  <c r="J63" i="33"/>
  <c r="K63" i="33" s="1"/>
  <c r="G156" i="33"/>
  <c r="H156" i="33" s="1"/>
  <c r="G209" i="33"/>
  <c r="H209" i="33" s="1"/>
  <c r="J46" i="33"/>
  <c r="K46" i="33" s="1"/>
  <c r="J82" i="33"/>
  <c r="K82" i="33" s="1"/>
  <c r="G123" i="33"/>
  <c r="H123" i="33" s="1"/>
  <c r="J180" i="33"/>
  <c r="K180" i="33" s="1"/>
  <c r="J196" i="33"/>
  <c r="K196" i="33" s="1"/>
  <c r="J111" i="33"/>
  <c r="K111" i="33" s="1"/>
  <c r="J176" i="33"/>
  <c r="K176" i="33" s="1"/>
  <c r="G207" i="33"/>
  <c r="H207" i="33" s="1"/>
  <c r="J55" i="33"/>
  <c r="K55" i="33" s="1"/>
  <c r="G29" i="33"/>
  <c r="H29" i="33" s="1"/>
  <c r="G91" i="33"/>
  <c r="H91" i="33" s="1"/>
  <c r="G85" i="33"/>
  <c r="H85" i="33" s="1"/>
  <c r="G59" i="33"/>
  <c r="H59" i="33" s="1"/>
  <c r="G64" i="33"/>
  <c r="H64" i="33" s="1"/>
  <c r="J95" i="33"/>
  <c r="K95" i="33" s="1"/>
  <c r="G161" i="33"/>
  <c r="H161" i="33" s="1"/>
  <c r="J156" i="33"/>
  <c r="K156" i="33" s="1"/>
  <c r="J190" i="33"/>
  <c r="K190" i="33" s="1"/>
  <c r="J5" i="33"/>
  <c r="K5" i="33" s="1"/>
  <c r="G150" i="33"/>
  <c r="H150" i="33" s="1"/>
  <c r="J213" i="33"/>
  <c r="K213" i="33" s="1"/>
  <c r="G189" i="33"/>
  <c r="H189" i="33" s="1"/>
  <c r="J191" i="33"/>
  <c r="K191" i="33" s="1"/>
  <c r="G68" i="33"/>
  <c r="H68" i="33" s="1"/>
  <c r="J47" i="33"/>
  <c r="K47" i="33" s="1"/>
  <c r="J121" i="33"/>
  <c r="K121" i="33" s="1"/>
  <c r="G106" i="33"/>
  <c r="H106" i="33" s="1"/>
  <c r="G148" i="33"/>
  <c r="H148" i="33" s="1"/>
  <c r="G104" i="33"/>
  <c r="H104" i="33" s="1"/>
  <c r="J36" i="33"/>
  <c r="K36" i="33" s="1"/>
  <c r="J52" i="33"/>
  <c r="K52" i="33" s="1"/>
  <c r="G119" i="33"/>
  <c r="H119" i="33" s="1"/>
  <c r="J217" i="33"/>
  <c r="K217" i="33" s="1"/>
  <c r="J20" i="33"/>
  <c r="K20" i="33" s="1"/>
  <c r="G176" i="33"/>
  <c r="H176" i="33" s="1"/>
  <c r="J93" i="33"/>
  <c r="K93" i="33" s="1"/>
  <c r="J148" i="33"/>
  <c r="K148" i="33" s="1"/>
  <c r="J100" i="33"/>
  <c r="K100" i="33" s="1"/>
  <c r="G51" i="33"/>
  <c r="H51" i="33" s="1"/>
  <c r="J32" i="33"/>
  <c r="K32" i="33" s="1"/>
  <c r="J73" i="33"/>
  <c r="K73" i="33" s="1"/>
  <c r="G184" i="33"/>
  <c r="H184" i="33" s="1"/>
  <c r="G63" i="33"/>
  <c r="H63" i="33" s="1"/>
  <c r="J104" i="33"/>
  <c r="K104" i="33" s="1"/>
  <c r="G158" i="33"/>
  <c r="H158" i="33" s="1"/>
  <c r="J96" i="33"/>
  <c r="K96" i="33" s="1"/>
  <c r="G22" i="33"/>
  <c r="H22" i="33" s="1"/>
  <c r="G163" i="33"/>
  <c r="H163" i="33" s="1"/>
  <c r="G11" i="33"/>
  <c r="H11" i="33" s="1"/>
  <c r="J135" i="33"/>
  <c r="K135" i="33" s="1"/>
  <c r="G65" i="33"/>
  <c r="H65" i="33" s="1"/>
  <c r="G89" i="33"/>
  <c r="H89" i="33" s="1"/>
  <c r="G28" i="33"/>
  <c r="H28" i="33" s="1"/>
  <c r="G178" i="33"/>
  <c r="H178" i="33" s="1"/>
  <c r="J173" i="33"/>
  <c r="K173" i="33" s="1"/>
  <c r="G129" i="33"/>
  <c r="H129" i="33" s="1"/>
  <c r="J98" i="33"/>
  <c r="K98" i="33" s="1"/>
  <c r="G125" i="33"/>
  <c r="H125" i="33" s="1"/>
  <c r="J159" i="33"/>
  <c r="K159" i="33" s="1"/>
  <c r="J182" i="33"/>
  <c r="K182" i="33" s="1"/>
  <c r="G139" i="33"/>
  <c r="H139" i="33" s="1"/>
  <c r="G87" i="33"/>
  <c r="H87" i="33" s="1"/>
  <c r="G190" i="33"/>
  <c r="H190" i="33" s="1"/>
  <c r="J177" i="33"/>
  <c r="K177" i="33" s="1"/>
  <c r="J45" i="33"/>
  <c r="K45" i="33" s="1"/>
  <c r="J138" i="33"/>
  <c r="K138" i="33" s="1"/>
  <c r="J19" i="33"/>
  <c r="K19" i="33" s="1"/>
  <c r="J67" i="33"/>
  <c r="K67" i="33" s="1"/>
  <c r="J12" i="33"/>
  <c r="K12" i="33" s="1"/>
  <c r="J178" i="33"/>
  <c r="K178" i="33" s="1"/>
  <c r="J80" i="33"/>
  <c r="K80" i="33" s="1"/>
  <c r="J216" i="33"/>
  <c r="K216" i="33" s="1"/>
  <c r="G197" i="33"/>
  <c r="H197" i="33" s="1"/>
  <c r="G217" i="33"/>
  <c r="H217" i="33" s="1"/>
  <c r="J123" i="33"/>
  <c r="K123" i="33" s="1"/>
  <c r="J170" i="33"/>
  <c r="K170" i="33" s="1"/>
  <c r="G187" i="33"/>
  <c r="H187" i="33" s="1"/>
  <c r="J210" i="33"/>
  <c r="K210" i="33" s="1"/>
  <c r="G26" i="33"/>
  <c r="H26" i="33" s="1"/>
  <c r="G7" i="33"/>
  <c r="H7" i="33" s="1"/>
  <c r="J79" i="33"/>
  <c r="K79" i="33" s="1"/>
  <c r="J72" i="33"/>
  <c r="K72" i="33" s="1"/>
  <c r="J91" i="33"/>
  <c r="K91" i="33" s="1"/>
  <c r="G49" i="33"/>
  <c r="H49" i="33" s="1"/>
  <c r="J113" i="33"/>
  <c r="K113" i="33" s="1"/>
  <c r="J24" i="33"/>
  <c r="K24" i="33" s="1"/>
  <c r="G153" i="33"/>
  <c r="H153" i="33" s="1"/>
  <c r="J212" i="33"/>
  <c r="K212" i="33" s="1"/>
  <c r="G183" i="33"/>
  <c r="H183" i="33" s="1"/>
  <c r="G114" i="33"/>
  <c r="H114" i="33" s="1"/>
  <c r="G82" i="33"/>
  <c r="H82" i="33" s="1"/>
  <c r="J207" i="33"/>
  <c r="K207" i="33" s="1"/>
  <c r="J43" i="33"/>
  <c r="K43" i="33" s="1"/>
  <c r="O9" i="16"/>
  <c r="G192" i="33"/>
  <c r="H192" i="33" s="1"/>
  <c r="J155" i="33"/>
  <c r="K155" i="33" s="1"/>
  <c r="G219" i="33"/>
  <c r="H219" i="33" s="1"/>
  <c r="G105" i="33"/>
  <c r="H105" i="33" s="1"/>
  <c r="J6" i="33"/>
  <c r="K6" i="33" s="1"/>
  <c r="G112" i="33"/>
  <c r="H112" i="33" s="1"/>
  <c r="G23" i="33"/>
  <c r="H23" i="33" s="1"/>
  <c r="J65" i="33"/>
  <c r="K65" i="33" s="1"/>
  <c r="G107" i="33"/>
  <c r="H107" i="33" s="1"/>
  <c r="G100" i="33"/>
  <c r="H100" i="33" s="1"/>
  <c r="J200" i="33"/>
  <c r="K200" i="33" s="1"/>
  <c r="G127" i="33"/>
  <c r="H127" i="33" s="1"/>
  <c r="J116" i="33"/>
  <c r="K116" i="33" s="1"/>
  <c r="G137" i="33"/>
  <c r="H137" i="33" s="1"/>
  <c r="J127" i="33"/>
  <c r="K127" i="33" s="1"/>
  <c r="J8" i="33"/>
  <c r="K8" i="33" s="1"/>
  <c r="J103" i="33"/>
  <c r="K103" i="33" s="1"/>
  <c r="J160" i="33"/>
  <c r="K160" i="33" s="1"/>
  <c r="J131" i="33"/>
  <c r="K131" i="33" s="1"/>
  <c r="G50" i="33"/>
  <c r="H50" i="33" s="1"/>
  <c r="J140" i="33"/>
  <c r="K140" i="33" s="1"/>
  <c r="G180" i="33"/>
  <c r="H180" i="33" s="1"/>
  <c r="J167" i="33"/>
  <c r="K167" i="33" s="1"/>
  <c r="J26" i="33"/>
  <c r="K26" i="33" s="1"/>
  <c r="G188" i="33"/>
  <c r="H188" i="33" s="1"/>
  <c r="G110" i="33"/>
  <c r="H110" i="33" s="1"/>
  <c r="G34" i="33"/>
  <c r="H34" i="33" s="1"/>
  <c r="G120" i="33"/>
  <c r="H120" i="33" s="1"/>
  <c r="G121" i="33"/>
  <c r="H121" i="33" s="1"/>
  <c r="G152" i="33"/>
  <c r="H152" i="33" s="1"/>
  <c r="G201" i="33"/>
  <c r="H201" i="33" s="1"/>
  <c r="J108" i="33"/>
  <c r="K108" i="33" s="1"/>
  <c r="G13" i="33"/>
  <c r="H13" i="33" s="1"/>
  <c r="J18" i="33"/>
  <c r="K18" i="33" s="1"/>
  <c r="G186" i="33"/>
  <c r="H186" i="33" s="1"/>
  <c r="J129" i="33"/>
  <c r="K129" i="33" s="1"/>
  <c r="J162" i="33"/>
  <c r="K162" i="33" s="1"/>
  <c r="J84" i="33"/>
  <c r="K84" i="33" s="1"/>
  <c r="J71" i="33"/>
  <c r="K71" i="33" s="1"/>
  <c r="G222" i="33"/>
  <c r="H222" i="33" s="1"/>
  <c r="G60" i="33"/>
  <c r="H60" i="33" s="1"/>
  <c r="J30" i="33"/>
  <c r="K30" i="33" s="1"/>
  <c r="J152" i="33"/>
  <c r="K152" i="33" s="1"/>
  <c r="J33" i="33"/>
  <c r="K33" i="33" s="1"/>
  <c r="J13" i="33"/>
  <c r="K13" i="33" s="1"/>
  <c r="G133" i="33"/>
  <c r="H133" i="33" s="1"/>
  <c r="J11" i="33"/>
  <c r="K11" i="33" s="1"/>
  <c r="G57" i="33"/>
  <c r="H57" i="33" s="1"/>
  <c r="G74" i="33"/>
  <c r="H74" i="33" s="1"/>
  <c r="J183" i="33"/>
  <c r="K183" i="33" s="1"/>
  <c r="G168" i="33"/>
  <c r="H168" i="33" s="1"/>
  <c r="J28" i="33"/>
  <c r="K28" i="33" s="1"/>
  <c r="J120" i="33"/>
  <c r="K120" i="33" s="1"/>
  <c r="G70" i="33"/>
  <c r="H70" i="33" s="1"/>
  <c r="G210" i="33"/>
  <c r="H210" i="33" s="1"/>
  <c r="G24" i="33"/>
  <c r="H24" i="33" s="1"/>
  <c r="J75" i="33"/>
  <c r="K75" i="33" s="1"/>
  <c r="G179" i="33"/>
  <c r="H179" i="33" s="1"/>
  <c r="J221" i="33"/>
  <c r="K221" i="33" s="1"/>
  <c r="G76" i="33"/>
  <c r="H76" i="33" s="1"/>
  <c r="J50" i="33"/>
  <c r="K50" i="33" s="1"/>
  <c r="G145" i="33"/>
  <c r="H145" i="33" s="1"/>
  <c r="J218" i="33"/>
  <c r="K218" i="33" s="1"/>
  <c r="J21" i="33"/>
  <c r="K21" i="33" s="1"/>
  <c r="J58" i="33"/>
  <c r="K58" i="33" s="1"/>
  <c r="G165" i="33"/>
  <c r="H165" i="33" s="1"/>
  <c r="J222" i="33"/>
  <c r="K222" i="33" s="1"/>
  <c r="J186" i="33"/>
  <c r="K186" i="33" s="1"/>
  <c r="G164" i="33"/>
  <c r="H164" i="33" s="1"/>
  <c r="G97" i="33"/>
  <c r="H97" i="33" s="1"/>
  <c r="J194" i="33"/>
  <c r="K194" i="33" s="1"/>
  <c r="J198" i="33"/>
  <c r="K198" i="33" s="1"/>
  <c r="G81" i="33"/>
  <c r="H81" i="33" s="1"/>
  <c r="G101" i="33"/>
  <c r="H101" i="33" s="1"/>
  <c r="J119" i="33"/>
  <c r="K119" i="33" s="1"/>
  <c r="G16" i="33"/>
  <c r="H16" i="33" s="1"/>
  <c r="G167" i="33"/>
  <c r="H167" i="33" s="1"/>
  <c r="G56" i="33"/>
  <c r="H56" i="33" s="1"/>
  <c r="G138" i="33"/>
  <c r="H138" i="33" s="1"/>
  <c r="G94" i="33"/>
  <c r="H94" i="33" s="1"/>
  <c r="J38" i="33"/>
  <c r="K38" i="33" s="1"/>
  <c r="J102" i="33"/>
  <c r="K102" i="33" s="1"/>
  <c r="G8" i="33"/>
  <c r="H8" i="33" s="1"/>
  <c r="G19" i="33"/>
  <c r="H19" i="33" s="1"/>
  <c r="G78" i="33"/>
  <c r="H78" i="33" s="1"/>
  <c r="J147" i="33"/>
  <c r="K147" i="33" s="1"/>
  <c r="J165" i="33"/>
  <c r="K165" i="33" s="1"/>
  <c r="G157" i="33"/>
  <c r="H157" i="33" s="1"/>
  <c r="J87" i="33"/>
  <c r="K87" i="33" s="1"/>
  <c r="J31" i="33"/>
  <c r="K31" i="33" s="1"/>
  <c r="J204" i="33"/>
  <c r="K204" i="33" s="1"/>
  <c r="G96" i="33"/>
  <c r="H96" i="33" s="1"/>
  <c r="G42" i="33"/>
  <c r="H42" i="33" s="1"/>
  <c r="J57" i="33"/>
  <c r="K57" i="33" s="1"/>
  <c r="G144" i="33"/>
  <c r="H144" i="33" s="1"/>
  <c r="J83" i="33"/>
  <c r="K83" i="33" s="1"/>
  <c r="J133" i="33"/>
  <c r="K133" i="33" s="1"/>
  <c r="J88" i="33"/>
  <c r="K88" i="33" s="1"/>
  <c r="G46" i="33"/>
  <c r="H46" i="33" s="1"/>
  <c r="J174" i="33"/>
  <c r="K174" i="33" s="1"/>
  <c r="J150" i="33"/>
  <c r="K150" i="33" s="1"/>
  <c r="G143" i="33"/>
  <c r="H143" i="33" s="1"/>
  <c r="G202" i="33"/>
  <c r="H202" i="33" s="1"/>
  <c r="G136" i="33"/>
  <c r="H136" i="33" s="1"/>
  <c r="J54" i="33"/>
  <c r="K54" i="33" s="1"/>
  <c r="G40" i="33"/>
  <c r="H40" i="33" s="1"/>
  <c r="G25" i="33"/>
  <c r="H25" i="33" s="1"/>
  <c r="J39" i="33"/>
  <c r="K39" i="33" s="1"/>
  <c r="G37" i="33"/>
  <c r="H37" i="33" s="1"/>
  <c r="G208" i="33"/>
  <c r="H208" i="33" s="1"/>
  <c r="J202" i="33"/>
  <c r="K202" i="33" s="1"/>
  <c r="J166" i="33"/>
  <c r="K166" i="33" s="1"/>
  <c r="G128" i="33"/>
  <c r="H128" i="33" s="1"/>
  <c r="G126" i="33"/>
  <c r="H126" i="33" s="1"/>
  <c r="G159" i="33"/>
  <c r="H159" i="33" s="1"/>
  <c r="J66" i="33"/>
  <c r="K66" i="33" s="1"/>
  <c r="J192" i="33"/>
  <c r="K192" i="33" s="1"/>
  <c r="G211" i="33"/>
  <c r="H211" i="33" s="1"/>
  <c r="G220" i="33"/>
  <c r="H220" i="33" s="1"/>
  <c r="G3" i="33"/>
  <c r="H3" i="33" s="1"/>
  <c r="G54" i="33"/>
  <c r="H54" i="33" s="1"/>
  <c r="G118" i="33"/>
  <c r="H118" i="33" s="1"/>
  <c r="J151" i="33"/>
  <c r="K151" i="33" s="1"/>
  <c r="J106" i="33"/>
  <c r="K106" i="33" s="1"/>
  <c r="G109" i="33"/>
  <c r="H109" i="33" s="1"/>
  <c r="J122" i="33"/>
  <c r="K122" i="33" s="1"/>
  <c r="J10" i="33"/>
  <c r="K10" i="33" s="1"/>
  <c r="G41" i="33"/>
  <c r="H41" i="33" s="1"/>
  <c r="J189" i="33"/>
  <c r="K189" i="33" s="1"/>
  <c r="G172" i="33"/>
  <c r="H172" i="33" s="1"/>
  <c r="G111" i="33"/>
  <c r="H111" i="33" s="1"/>
  <c r="J86" i="33"/>
  <c r="K86" i="33" s="1"/>
  <c r="J118" i="33"/>
  <c r="K118" i="33" s="1"/>
  <c r="J137" i="33"/>
  <c r="K137" i="33" s="1"/>
  <c r="G191" i="33"/>
  <c r="H191" i="33" s="1"/>
  <c r="G166" i="33"/>
  <c r="H166" i="33" s="1"/>
  <c r="J205" i="33"/>
  <c r="K205" i="33" s="1"/>
  <c r="G116" i="33"/>
  <c r="H116" i="33" s="1"/>
  <c r="G38" i="33"/>
  <c r="H38" i="33" s="1"/>
  <c r="J76" i="33"/>
  <c r="K76" i="33" s="1"/>
  <c r="J41" i="33"/>
  <c r="K41" i="33" s="1"/>
  <c r="G185" i="33"/>
  <c r="H185" i="33" s="1"/>
  <c r="J139" i="33"/>
  <c r="K139" i="33" s="1"/>
  <c r="G73" i="33"/>
  <c r="H73" i="33" s="1"/>
  <c r="G151" i="33"/>
  <c r="H151" i="33" s="1"/>
  <c r="G206" i="33"/>
  <c r="H206" i="33" s="1"/>
  <c r="N9" i="16"/>
  <c r="G55" i="33"/>
  <c r="H55" i="33" s="1"/>
  <c r="G93" i="33"/>
  <c r="H93" i="33" s="1"/>
  <c r="G162" i="33"/>
  <c r="H162" i="33" s="1"/>
  <c r="J27" i="33"/>
  <c r="K27" i="33" s="1"/>
  <c r="J203" i="33"/>
  <c r="K203" i="33" s="1"/>
  <c r="G79" i="33"/>
  <c r="H79" i="33" s="1"/>
  <c r="G146" i="33"/>
  <c r="H146" i="33" s="1"/>
  <c r="F12" i="18"/>
  <c r="J48" i="33"/>
  <c r="K48" i="33" s="1"/>
  <c r="J168" i="33"/>
  <c r="K168" i="33" s="1"/>
  <c r="J117" i="33"/>
  <c r="K117" i="33" s="1"/>
  <c r="J136" i="33"/>
  <c r="K136" i="33" s="1"/>
  <c r="J101" i="33"/>
  <c r="K101" i="33" s="1"/>
  <c r="G77" i="33"/>
  <c r="H77" i="33" s="1"/>
  <c r="G215" i="33"/>
  <c r="H215" i="33" s="1"/>
  <c r="J169" i="33"/>
  <c r="K169" i="33" s="1"/>
  <c r="G132" i="33"/>
  <c r="H132" i="33" s="1"/>
  <c r="J130" i="33"/>
  <c r="K130" i="33" s="1"/>
  <c r="J220" i="33"/>
  <c r="K220" i="33" s="1"/>
  <c r="J105" i="33"/>
  <c r="K105" i="33" s="1"/>
  <c r="J3" i="33"/>
  <c r="K3" i="33" s="1"/>
  <c r="G4" i="33"/>
  <c r="H4" i="33" s="1"/>
  <c r="G117" i="33"/>
  <c r="H117" i="33" s="1"/>
  <c r="J163" i="33"/>
  <c r="K163" i="33" s="1"/>
  <c r="J157" i="33"/>
  <c r="K157" i="33" s="1"/>
  <c r="G62" i="33"/>
  <c r="H62" i="33" s="1"/>
  <c r="G30" i="33"/>
  <c r="H30" i="33" s="1"/>
  <c r="J53" i="33"/>
  <c r="K53" i="33" s="1"/>
  <c r="J78" i="33"/>
  <c r="K78" i="33" s="1"/>
  <c r="J109" i="33"/>
  <c r="K109" i="33" s="1"/>
  <c r="J179" i="33"/>
  <c r="K179" i="33" s="1"/>
  <c r="J164" i="33"/>
  <c r="K164" i="33" s="1"/>
  <c r="J206" i="33"/>
  <c r="K206" i="33" s="1"/>
  <c r="G17" i="33"/>
  <c r="H17" i="33" s="1"/>
  <c r="G5" i="33"/>
  <c r="H5" i="33" s="1"/>
  <c r="G195" i="33"/>
  <c r="H195" i="33" s="1"/>
  <c r="J215" i="33"/>
  <c r="K215" i="33" s="1"/>
  <c r="G196" i="33"/>
  <c r="H196" i="33" s="1"/>
  <c r="G44" i="33"/>
  <c r="H44" i="33" s="1"/>
  <c r="G154" i="33"/>
  <c r="H154" i="33" s="1"/>
  <c r="J77" i="33"/>
  <c r="K77" i="33" s="1"/>
  <c r="G9" i="33"/>
  <c r="H9" i="33" s="1"/>
  <c r="A9" i="37"/>
  <c r="C8" i="37"/>
  <c r="K12" i="18" l="1"/>
  <c r="J6" i="18"/>
  <c r="F6" i="18" s="1"/>
  <c r="K6" i="18" s="1"/>
  <c r="L8" i="18"/>
  <c r="F8" i="18"/>
  <c r="F4" i="18"/>
  <c r="F7" i="18"/>
  <c r="F16" i="18"/>
  <c r="K16" i="18" s="1"/>
  <c r="H8" i="18"/>
  <c r="H4" i="18"/>
  <c r="E14" i="18"/>
  <c r="L4" i="18"/>
  <c r="J10" i="18"/>
  <c r="L10" i="18" s="1"/>
  <c r="F11" i="18"/>
  <c r="F13" i="18"/>
  <c r="K13" i="18" s="1"/>
  <c r="F18" i="18"/>
  <c r="K18" i="18" s="1"/>
  <c r="H11" i="18"/>
  <c r="L11" i="18"/>
  <c r="F9" i="18"/>
  <c r="J5" i="18"/>
  <c r="M5" i="18" s="1"/>
  <c r="N5" i="18" s="1"/>
  <c r="M13" i="18"/>
  <c r="N13" i="18" s="1"/>
  <c r="L20" i="18"/>
  <c r="L9" i="18"/>
  <c r="M7" i="18"/>
  <c r="N7" i="18" s="1"/>
  <c r="H7" i="18"/>
  <c r="E15" i="18"/>
  <c r="H9" i="18"/>
  <c r="F17" i="18"/>
  <c r="K17" i="18" s="1"/>
  <c r="A10" i="37"/>
  <c r="C9" i="37"/>
  <c r="M6" i="18" l="1"/>
  <c r="N6" i="18" s="1"/>
  <c r="L6" i="18"/>
  <c r="K8" i="18"/>
  <c r="K11" i="18"/>
  <c r="H14" i="18"/>
  <c r="K4" i="18"/>
  <c r="F10" i="18"/>
  <c r="J14" i="18"/>
  <c r="M10" i="18"/>
  <c r="N10" i="18" s="1"/>
  <c r="K9" i="18"/>
  <c r="L5" i="18"/>
  <c r="F5" i="18"/>
  <c r="J15" i="18"/>
  <c r="H15" i="18"/>
  <c r="K7" i="18"/>
  <c r="C10" i="37"/>
  <c r="A11" i="37"/>
  <c r="L14" i="18" l="1"/>
  <c r="K10" i="18"/>
  <c r="F14" i="18"/>
  <c r="K14" i="18" s="1"/>
  <c r="N14" i="18"/>
  <c r="M14" i="18"/>
  <c r="F15" i="18"/>
  <c r="K15" i="18" s="1"/>
  <c r="K5" i="18"/>
  <c r="A12" i="37"/>
  <c r="C11" i="37"/>
  <c r="A13" i="37" l="1"/>
  <c r="C12" i="37"/>
  <c r="C13" i="37" l="1"/>
  <c r="A14" i="37"/>
  <c r="A15" i="37" l="1"/>
  <c r="C14" i="37"/>
  <c r="A16" i="37" l="1"/>
  <c r="C15" i="37"/>
  <c r="C16" i="37" l="1"/>
  <c r="A17" i="37"/>
  <c r="A18" i="37" l="1"/>
  <c r="C17" i="37"/>
  <c r="A19" i="37" l="1"/>
  <c r="C18" i="37"/>
  <c r="A20" i="37" l="1"/>
  <c r="C19" i="37"/>
  <c r="A21" i="37" l="1"/>
  <c r="C20" i="37"/>
  <c r="C21" i="37" l="1"/>
  <c r="A22" i="37"/>
  <c r="A23" i="37" l="1"/>
  <c r="C22" i="37"/>
  <c r="A24" i="37" l="1"/>
  <c r="C23" i="37"/>
  <c r="C24" i="37" l="1"/>
  <c r="A25" i="37"/>
  <c r="A26" i="37" l="1"/>
  <c r="C25" i="37"/>
  <c r="A27" i="37" l="1"/>
  <c r="C26" i="37"/>
  <c r="C27" i="37" l="1"/>
  <c r="A28" i="37"/>
  <c r="A29" i="37" l="1"/>
  <c r="C28" i="37"/>
  <c r="A30" i="37" l="1"/>
  <c r="C29" i="37"/>
  <c r="F1" i="37" l="1"/>
  <c r="D1" i="37"/>
  <c r="C30" i="37"/>
  <c r="A31" i="37"/>
  <c r="A32" i="37" l="1"/>
  <c r="C31" i="37"/>
  <c r="A33" i="37" l="1"/>
  <c r="C32" i="37"/>
  <c r="A34" i="37" l="1"/>
  <c r="C33" i="37"/>
  <c r="A35" i="37" l="1"/>
  <c r="C34" i="37"/>
  <c r="C35" i="37" l="1"/>
  <c r="A36" i="37"/>
  <c r="A37" i="37" l="1"/>
  <c r="C36" i="37"/>
  <c r="A38" i="37" l="1"/>
  <c r="C37" i="37"/>
  <c r="C38" i="37" l="1"/>
  <c r="A39" i="37"/>
  <c r="A40" i="37" l="1"/>
  <c r="C40" i="37" s="1"/>
  <c r="C39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<sst xmlns="http://schemas.openxmlformats.org/spreadsheetml/2006/main" count="1417" uniqueCount="512">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</sst>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  <c:pt idx="72">
                  <c:v>5155</c:v>
                </c:pt>
                <c:pt idx="73">
                  <c:v>5280</c:v>
                </c:pt>
                <c:pt idx="74">
                  <c:v>5455</c:v>
                </c:pt>
                <c:pt idx="75">
                  <c:v>5805</c:v>
                </c:pt>
                <c:pt idx="76">
                  <c:v>6255</c:v>
                </c:pt>
                <c:pt idx="77">
                  <c:v>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  <c:pt idx="72">
                  <c:v>3184</c:v>
                </c:pt>
                <c:pt idx="73">
                  <c:v>3204</c:v>
                </c:pt>
                <c:pt idx="74">
                  <c:v>2124</c:v>
                </c:pt>
                <c:pt idx="75">
                  <c:v>2674</c:v>
                </c:pt>
                <c:pt idx="76">
                  <c:v>2694</c:v>
                </c:pt>
                <c:pt idx="77">
                  <c:v>2564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  <c:pt idx="72">
                  <c:v>8339</c:v>
                </c:pt>
                <c:pt idx="73">
                  <c:v>8484</c:v>
                </c:pt>
                <c:pt idx="74">
                  <c:v>7579</c:v>
                </c:pt>
                <c:pt idx="75">
                  <c:v>8479</c:v>
                </c:pt>
                <c:pt idx="76">
                  <c:v>8949</c:v>
                </c:pt>
                <c:pt idx="77">
                  <c:v>9069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9" t="s">
        <v>197</v>
      </c>
      <c r="B10" s="439" t="s">
        <v>198</v>
      </c>
    </row>
    <row r="11" spans="1:3" s="426" customFormat="1" ht="35.25" customHeight="1" x14ac:dyDescent="0.25">
      <c r="A11" s="83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1" t="s">
        <v>194</v>
      </c>
      <c r="B17" s="826" t="s">
        <v>194</v>
      </c>
      <c r="C17" s="442" t="s">
        <v>202</v>
      </c>
    </row>
    <row r="18" spans="1:3" s="425" customFormat="1" ht="22.5" customHeight="1" x14ac:dyDescent="0.25">
      <c r="A18" s="832"/>
      <c r="B18" s="827"/>
      <c r="C18" s="442" t="s">
        <v>232</v>
      </c>
    </row>
    <row r="19" spans="1:3" s="425" customFormat="1" ht="22.5" customHeight="1" x14ac:dyDescent="0.25">
      <c r="A19" s="832"/>
      <c r="B19" s="827"/>
      <c r="C19" s="447" t="s">
        <v>229</v>
      </c>
    </row>
    <row r="20" spans="1:3" s="425" customFormat="1" ht="22.5" customHeight="1" x14ac:dyDescent="0.25">
      <c r="A20" s="832"/>
      <c r="B20" s="827"/>
      <c r="C20" s="447" t="s">
        <v>228</v>
      </c>
    </row>
    <row r="21" spans="1:3" s="438" customFormat="1" ht="22.5" customHeight="1" thickBot="1" x14ac:dyDescent="0.3">
      <c r="A21" s="833"/>
      <c r="B21" s="828"/>
      <c r="C21" s="443" t="s">
        <v>233</v>
      </c>
    </row>
    <row r="22" spans="1:3" s="435" customFormat="1" ht="22.5" customHeight="1" x14ac:dyDescent="0.25">
      <c r="A22" s="831" t="s">
        <v>207</v>
      </c>
      <c r="B22" s="826" t="s">
        <v>208</v>
      </c>
      <c r="C22" s="441" t="s">
        <v>209</v>
      </c>
    </row>
    <row r="23" spans="1:3" s="425" customFormat="1" ht="22.5" customHeight="1" x14ac:dyDescent="0.25">
      <c r="A23" s="832"/>
      <c r="B23" s="827"/>
      <c r="C23" s="442" t="s">
        <v>210</v>
      </c>
    </row>
    <row r="24" spans="1:3" s="425" customFormat="1" ht="22.5" customHeight="1" x14ac:dyDescent="0.25">
      <c r="A24" s="832"/>
      <c r="B24" s="827"/>
      <c r="C24" s="425" t="s">
        <v>213</v>
      </c>
    </row>
    <row r="25" spans="1:3" s="425" customFormat="1" ht="22.5" customHeight="1" x14ac:dyDescent="0.25">
      <c r="A25" s="832"/>
      <c r="B25" s="827"/>
      <c r="C25" s="442" t="s">
        <v>211</v>
      </c>
    </row>
    <row r="26" spans="1:3" s="438" customFormat="1" ht="22.5" customHeight="1" thickBot="1" x14ac:dyDescent="0.3">
      <c r="A26" s="833"/>
      <c r="B26" s="828"/>
      <c r="C26" s="438" t="s">
        <v>212</v>
      </c>
    </row>
    <row r="27" spans="1:3" s="435" customFormat="1" ht="22.5" customHeight="1" x14ac:dyDescent="0.25">
      <c r="A27" s="831" t="s">
        <v>215</v>
      </c>
      <c r="B27" s="826" t="s">
        <v>215</v>
      </c>
      <c r="C27" s="441" t="s">
        <v>216</v>
      </c>
    </row>
    <row r="28" spans="1:3" s="425" customFormat="1" ht="22.5" customHeight="1" x14ac:dyDescent="0.25">
      <c r="A28" s="832"/>
      <c r="B28" s="827"/>
      <c r="C28" s="447" t="s">
        <v>268</v>
      </c>
    </row>
    <row r="29" spans="1:3" s="425" customFormat="1" ht="22.5" customHeight="1" x14ac:dyDescent="0.25">
      <c r="A29" s="832"/>
      <c r="B29" s="827"/>
      <c r="C29" s="447" t="s">
        <v>270</v>
      </c>
    </row>
    <row r="30" spans="1:3" s="425" customFormat="1" ht="22.5" customHeight="1" x14ac:dyDescent="0.25">
      <c r="A30" s="832"/>
      <c r="B30" s="827"/>
      <c r="C30" s="425" t="s">
        <v>269</v>
      </c>
    </row>
    <row r="31" spans="1:3" s="437" customFormat="1" ht="22.5" customHeight="1" thickBot="1" x14ac:dyDescent="0.3">
      <c r="A31" s="833"/>
      <c r="B31" s="436" t="s">
        <v>217</v>
      </c>
      <c r="C31" s="437" t="s">
        <v>341</v>
      </c>
    </row>
    <row r="32" spans="1:3" s="435" customFormat="1" ht="22.5" customHeight="1" x14ac:dyDescent="0.25">
      <c r="A32" s="823" t="s">
        <v>221</v>
      </c>
      <c r="B32" s="820" t="s">
        <v>221</v>
      </c>
      <c r="C32" s="441" t="s">
        <v>222</v>
      </c>
    </row>
    <row r="33" spans="1:3" s="425" customFormat="1" ht="22.5" customHeight="1" x14ac:dyDescent="0.25">
      <c r="A33" s="824"/>
      <c r="B33" s="821"/>
      <c r="C33" s="442" t="s">
        <v>223</v>
      </c>
    </row>
    <row r="34" spans="1:3" s="425" customFormat="1" ht="22.5" customHeight="1" x14ac:dyDescent="0.25">
      <c r="A34" s="824"/>
      <c r="B34" s="821"/>
      <c r="C34" s="442" t="s">
        <v>224</v>
      </c>
    </row>
    <row r="35" spans="1:3" s="438" customFormat="1" ht="22.5" customHeight="1" thickBot="1" x14ac:dyDescent="0.3">
      <c r="A35" s="825"/>
      <c r="B35" s="82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41" t="s">
        <v>441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</row>
    <row r="2" spans="1:21" s="11" customFormat="1" ht="18.75" customHeight="1" x14ac:dyDescent="0.25">
      <c r="A2" s="842" t="s">
        <v>342</v>
      </c>
      <c r="B2" s="842"/>
      <c r="C2" s="842"/>
      <c r="D2" s="842"/>
      <c r="E2" s="842"/>
      <c r="F2" s="842"/>
      <c r="G2" s="842"/>
      <c r="H2" s="842"/>
      <c r="I2" s="842"/>
      <c r="J2" s="842"/>
      <c r="K2" s="842"/>
      <c r="L2" s="842"/>
      <c r="M2" s="842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8" t="s">
        <v>275</v>
      </c>
      <c r="B3" s="866" t="s">
        <v>336</v>
      </c>
      <c r="C3" s="867"/>
      <c r="D3" s="866" t="s">
        <v>322</v>
      </c>
      <c r="E3" s="867"/>
      <c r="F3" s="866" t="s">
        <v>326</v>
      </c>
      <c r="G3" s="867"/>
      <c r="H3" s="866" t="s">
        <v>326</v>
      </c>
      <c r="I3" s="867"/>
      <c r="J3" s="866" t="s">
        <v>363</v>
      </c>
      <c r="K3" s="867"/>
      <c r="L3" s="866"/>
      <c r="M3" s="867"/>
      <c r="N3" s="866"/>
      <c r="O3" s="867"/>
      <c r="P3" s="866"/>
      <c r="Q3" s="867"/>
      <c r="R3" s="866"/>
      <c r="S3" s="867"/>
      <c r="T3" s="866"/>
      <c r="U3" s="867"/>
    </row>
    <row r="4" spans="1:21" s="612" customFormat="1" ht="21" customHeight="1" x14ac:dyDescent="0.25">
      <c r="A4" s="869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70"/>
      <c r="B5" s="864" t="s">
        <v>337</v>
      </c>
      <c r="C5" s="865"/>
      <c r="D5" s="864" t="s">
        <v>325</v>
      </c>
      <c r="E5" s="865"/>
      <c r="F5" s="864" t="s">
        <v>330</v>
      </c>
      <c r="G5" s="871"/>
      <c r="H5" s="871"/>
      <c r="I5" s="865"/>
      <c r="J5" s="864" t="s">
        <v>366</v>
      </c>
      <c r="K5" s="865"/>
      <c r="L5" s="864"/>
      <c r="M5" s="865"/>
      <c r="N5" s="864"/>
      <c r="O5" s="865"/>
      <c r="P5" s="864"/>
      <c r="Q5" s="865"/>
      <c r="R5" s="864"/>
      <c r="S5" s="865"/>
      <c r="T5" s="864"/>
      <c r="U5" s="865"/>
    </row>
    <row r="6" spans="1:21" s="609" customFormat="1" ht="21" customHeight="1" x14ac:dyDescent="0.25">
      <c r="A6" s="838" t="s">
        <v>277</v>
      </c>
      <c r="B6" s="834" t="s">
        <v>271</v>
      </c>
      <c r="C6" s="835"/>
      <c r="D6" s="834" t="s">
        <v>296</v>
      </c>
      <c r="E6" s="835"/>
      <c r="F6" s="834" t="s">
        <v>304</v>
      </c>
      <c r="G6" s="835"/>
      <c r="H6" s="834" t="s">
        <v>411</v>
      </c>
      <c r="I6" s="835"/>
      <c r="J6" s="834"/>
      <c r="K6" s="835"/>
      <c r="L6" s="834"/>
      <c r="M6" s="835"/>
      <c r="N6" s="834"/>
      <c r="O6" s="835"/>
      <c r="P6" s="834"/>
      <c r="Q6" s="835"/>
      <c r="R6" s="834"/>
      <c r="S6" s="835"/>
      <c r="T6" s="834"/>
      <c r="U6" s="835"/>
    </row>
    <row r="7" spans="1:21" s="613" customFormat="1" ht="21" customHeight="1" x14ac:dyDescent="0.25">
      <c r="A7" s="839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9"/>
      <c r="B8" s="836" t="s">
        <v>409</v>
      </c>
      <c r="C8" s="837"/>
      <c r="D8" s="836"/>
      <c r="E8" s="837"/>
      <c r="F8" s="836" t="s">
        <v>328</v>
      </c>
      <c r="G8" s="837"/>
      <c r="H8" s="836"/>
      <c r="I8" s="837"/>
      <c r="J8" s="836"/>
      <c r="K8" s="837"/>
      <c r="L8" s="836"/>
      <c r="M8" s="837"/>
      <c r="N8" s="836"/>
      <c r="O8" s="837"/>
      <c r="P8" s="836"/>
      <c r="Q8" s="837"/>
      <c r="R8" s="836"/>
      <c r="S8" s="837"/>
      <c r="T8" s="836"/>
      <c r="U8" s="837"/>
    </row>
    <row r="9" spans="1:21" s="720" customFormat="1" ht="21" customHeight="1" x14ac:dyDescent="0.25">
      <c r="A9" s="839"/>
      <c r="B9" s="834" t="s">
        <v>435</v>
      </c>
      <c r="C9" s="835"/>
      <c r="D9" s="834" t="s">
        <v>296</v>
      </c>
      <c r="E9" s="835"/>
      <c r="F9" s="834" t="s">
        <v>439</v>
      </c>
      <c r="G9" s="835"/>
      <c r="H9" s="834"/>
      <c r="I9" s="835"/>
      <c r="J9" s="834"/>
      <c r="K9" s="835"/>
      <c r="L9" s="834"/>
      <c r="M9" s="835"/>
      <c r="N9" s="834"/>
      <c r="O9" s="835"/>
      <c r="P9" s="834"/>
      <c r="Q9" s="835"/>
      <c r="R9" s="834"/>
      <c r="S9" s="835"/>
      <c r="T9" s="834"/>
      <c r="U9" s="835"/>
    </row>
    <row r="10" spans="1:21" s="613" customFormat="1" ht="21" customHeight="1" x14ac:dyDescent="0.25">
      <c r="A10" s="839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40"/>
      <c r="B11" s="836" t="s">
        <v>438</v>
      </c>
      <c r="C11" s="837"/>
      <c r="D11" s="836" t="s">
        <v>437</v>
      </c>
      <c r="E11" s="837"/>
      <c r="F11" s="836" t="s">
        <v>437</v>
      </c>
      <c r="G11" s="837"/>
      <c r="H11" s="836"/>
      <c r="I11" s="837"/>
      <c r="J11" s="836"/>
      <c r="K11" s="837"/>
      <c r="L11" s="836"/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153" customFormat="1" ht="21" customHeight="1" x14ac:dyDescent="0.25">
      <c r="A12" s="861" t="s">
        <v>278</v>
      </c>
      <c r="B12" s="859" t="s">
        <v>303</v>
      </c>
      <c r="C12" s="860"/>
      <c r="D12" s="859" t="s">
        <v>310</v>
      </c>
      <c r="E12" s="860"/>
      <c r="F12" s="859"/>
      <c r="G12" s="860"/>
      <c r="H12" s="859"/>
      <c r="I12" s="860"/>
      <c r="J12" s="859"/>
      <c r="K12" s="860"/>
      <c r="L12" s="859"/>
      <c r="M12" s="860"/>
      <c r="N12" s="859"/>
      <c r="O12" s="860"/>
      <c r="P12" s="859"/>
      <c r="Q12" s="860"/>
      <c r="R12" s="859"/>
      <c r="S12" s="860"/>
      <c r="T12" s="859"/>
      <c r="U12" s="860"/>
    </row>
    <row r="13" spans="1:21" s="612" customFormat="1" ht="21" customHeight="1" x14ac:dyDescent="0.25">
      <c r="A13" s="862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63"/>
      <c r="B14" s="857" t="s">
        <v>307</v>
      </c>
      <c r="C14" s="858"/>
      <c r="D14" s="857" t="s">
        <v>315</v>
      </c>
      <c r="E14" s="858"/>
      <c r="F14" s="857"/>
      <c r="G14" s="858"/>
      <c r="H14" s="857"/>
      <c r="I14" s="858"/>
      <c r="J14" s="857"/>
      <c r="K14" s="858"/>
      <c r="L14" s="857"/>
      <c r="M14" s="858"/>
      <c r="N14" s="857"/>
      <c r="O14" s="858"/>
      <c r="P14" s="857"/>
      <c r="Q14" s="858"/>
      <c r="R14" s="857"/>
      <c r="S14" s="858"/>
      <c r="T14" s="857"/>
      <c r="U14" s="858"/>
    </row>
    <row r="15" spans="1:21" s="161" customFormat="1" ht="21" customHeight="1" x14ac:dyDescent="0.25">
      <c r="A15" s="854" t="s">
        <v>280</v>
      </c>
      <c r="B15" s="852" t="s">
        <v>285</v>
      </c>
      <c r="C15" s="853"/>
      <c r="D15" s="852" t="s">
        <v>285</v>
      </c>
      <c r="E15" s="853"/>
      <c r="F15" s="852"/>
      <c r="G15" s="853"/>
      <c r="H15" s="852"/>
      <c r="I15" s="853"/>
      <c r="J15" s="852"/>
      <c r="K15" s="853"/>
      <c r="L15" s="852"/>
      <c r="M15" s="853"/>
      <c r="N15" s="852"/>
      <c r="O15" s="853"/>
      <c r="P15" s="852"/>
      <c r="Q15" s="853"/>
      <c r="R15" s="852"/>
      <c r="S15" s="853"/>
      <c r="T15" s="852"/>
      <c r="U15" s="853"/>
    </row>
    <row r="16" spans="1:21" s="612" customFormat="1" ht="21" customHeight="1" x14ac:dyDescent="0.25">
      <c r="A16" s="85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6"/>
      <c r="B17" s="850" t="s">
        <v>339</v>
      </c>
      <c r="C17" s="851"/>
      <c r="D17" s="850" t="s">
        <v>298</v>
      </c>
      <c r="E17" s="851"/>
      <c r="F17" s="850"/>
      <c r="G17" s="851"/>
      <c r="H17" s="850"/>
      <c r="I17" s="851"/>
      <c r="J17" s="850"/>
      <c r="K17" s="851"/>
      <c r="L17" s="850"/>
      <c r="M17" s="851"/>
      <c r="N17" s="850"/>
      <c r="O17" s="851"/>
      <c r="P17" s="850"/>
      <c r="Q17" s="851"/>
      <c r="R17" s="850"/>
      <c r="S17" s="851"/>
      <c r="T17" s="850"/>
      <c r="U17" s="851"/>
    </row>
    <row r="18" spans="1:21" s="168" customFormat="1" ht="21" customHeight="1" x14ac:dyDescent="0.25">
      <c r="A18" s="847" t="s">
        <v>282</v>
      </c>
      <c r="B18" s="845" t="s">
        <v>288</v>
      </c>
      <c r="C18" s="846"/>
      <c r="D18" s="845" t="s">
        <v>359</v>
      </c>
      <c r="E18" s="846"/>
      <c r="F18" s="845" t="s">
        <v>290</v>
      </c>
      <c r="G18" s="846"/>
      <c r="H18" s="845" t="s">
        <v>340</v>
      </c>
      <c r="I18" s="846"/>
      <c r="J18" s="845"/>
      <c r="K18" s="846"/>
      <c r="L18" s="845"/>
      <c r="M18" s="846"/>
      <c r="N18" s="845"/>
      <c r="O18" s="846"/>
      <c r="P18" s="845"/>
      <c r="Q18" s="846"/>
      <c r="R18" s="845"/>
      <c r="S18" s="846"/>
      <c r="T18" s="845"/>
      <c r="U18" s="846"/>
    </row>
    <row r="19" spans="1:21" s="612" customFormat="1" ht="21" customHeight="1" x14ac:dyDescent="0.25">
      <c r="A19" s="848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9"/>
      <c r="B20" s="843"/>
      <c r="C20" s="844"/>
      <c r="D20" s="843"/>
      <c r="E20" s="844"/>
      <c r="F20" s="843" t="s">
        <v>291</v>
      </c>
      <c r="G20" s="844"/>
      <c r="H20" s="843"/>
      <c r="I20" s="844"/>
      <c r="J20" s="843"/>
      <c r="K20" s="844"/>
      <c r="L20" s="843"/>
      <c r="M20" s="844"/>
      <c r="N20" s="843"/>
      <c r="O20" s="844"/>
      <c r="P20" s="843"/>
      <c r="Q20" s="844"/>
      <c r="R20" s="843"/>
      <c r="S20" s="844"/>
      <c r="T20" s="843"/>
      <c r="U20" s="84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2" t="s">
        <v>449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41" customFormat="1" ht="21" customHeight="1" x14ac:dyDescent="0.25">
      <c r="A2" s="873" t="s">
        <v>276</v>
      </c>
      <c r="B2" s="866" t="s">
        <v>336</v>
      </c>
      <c r="C2" s="867"/>
      <c r="D2" s="866" t="s">
        <v>322</v>
      </c>
      <c r="E2" s="867"/>
      <c r="F2" s="866" t="s">
        <v>326</v>
      </c>
      <c r="G2" s="867"/>
      <c r="H2" s="866" t="s">
        <v>326</v>
      </c>
      <c r="I2" s="867"/>
      <c r="J2" s="866" t="s">
        <v>412</v>
      </c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 t="s">
        <v>337</v>
      </c>
      <c r="C4" s="865"/>
      <c r="D4" s="864" t="s">
        <v>325</v>
      </c>
      <c r="E4" s="865"/>
      <c r="F4" s="864" t="s">
        <v>330</v>
      </c>
      <c r="G4" s="871"/>
      <c r="H4" s="871"/>
      <c r="I4" s="865"/>
      <c r="J4" s="864" t="s">
        <v>420</v>
      </c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720" customFormat="1" ht="21" customHeight="1" x14ac:dyDescent="0.25">
      <c r="A5" s="839"/>
      <c r="B5" s="834" t="s">
        <v>435</v>
      </c>
      <c r="C5" s="835"/>
      <c r="D5" s="834" t="s">
        <v>434</v>
      </c>
      <c r="E5" s="835"/>
      <c r="F5" s="834" t="s">
        <v>296</v>
      </c>
      <c r="G5" s="835"/>
      <c r="H5" s="834"/>
      <c r="I5" s="835"/>
      <c r="J5" s="834"/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40"/>
      <c r="B7" s="836" t="s">
        <v>437</v>
      </c>
      <c r="C7" s="837"/>
      <c r="D7" s="836" t="s">
        <v>437</v>
      </c>
      <c r="E7" s="837"/>
      <c r="F7" s="836" t="s">
        <v>437</v>
      </c>
      <c r="G7" s="837"/>
      <c r="H7" s="836"/>
      <c r="I7" s="837"/>
      <c r="J7" s="836"/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153" customFormat="1" ht="21" customHeight="1" x14ac:dyDescent="0.25">
      <c r="A8" s="883" t="s">
        <v>279</v>
      </c>
      <c r="B8" s="881" t="s">
        <v>293</v>
      </c>
      <c r="C8" s="860"/>
      <c r="D8" s="859" t="s">
        <v>303</v>
      </c>
      <c r="E8" s="860"/>
      <c r="F8" s="859" t="s">
        <v>300</v>
      </c>
      <c r="G8" s="860"/>
      <c r="H8" s="859" t="s">
        <v>310</v>
      </c>
      <c r="I8" s="860"/>
      <c r="J8" s="859" t="s">
        <v>310</v>
      </c>
      <c r="K8" s="860"/>
      <c r="L8" s="859" t="s">
        <v>345</v>
      </c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4"/>
      <c r="B10" s="882" t="s">
        <v>295</v>
      </c>
      <c r="C10" s="858"/>
      <c r="D10" s="857" t="s">
        <v>307</v>
      </c>
      <c r="E10" s="858"/>
      <c r="F10" s="857" t="s">
        <v>302</v>
      </c>
      <c r="G10" s="858"/>
      <c r="H10" s="857"/>
      <c r="I10" s="858"/>
      <c r="J10" s="857" t="s">
        <v>332</v>
      </c>
      <c r="K10" s="858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153" customFormat="1" ht="21" customHeight="1" x14ac:dyDescent="0.25">
      <c r="A11" s="884"/>
      <c r="B11" s="881" t="s">
        <v>312</v>
      </c>
      <c r="C11" s="860"/>
      <c r="D11" s="859" t="s">
        <v>316</v>
      </c>
      <c r="E11" s="860"/>
      <c r="F11" s="859" t="s">
        <v>319</v>
      </c>
      <c r="G11" s="860"/>
      <c r="H11" s="859" t="s">
        <v>333</v>
      </c>
      <c r="I11" s="860"/>
      <c r="J11" s="859" t="s">
        <v>333</v>
      </c>
      <c r="K11" s="860"/>
      <c r="L11" s="859" t="s">
        <v>290</v>
      </c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5"/>
      <c r="B13" s="882" t="s">
        <v>313</v>
      </c>
      <c r="C13" s="858"/>
      <c r="D13" s="857" t="s">
        <v>318</v>
      </c>
      <c r="E13" s="858"/>
      <c r="F13" s="857" t="s">
        <v>321</v>
      </c>
      <c r="G13" s="858"/>
      <c r="H13" s="857" t="s">
        <v>334</v>
      </c>
      <c r="I13" s="858"/>
      <c r="J13" s="857"/>
      <c r="K13" s="858"/>
      <c r="L13" s="857" t="s">
        <v>414</v>
      </c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78" t="s">
        <v>281</v>
      </c>
      <c r="B14" s="886" t="s">
        <v>285</v>
      </c>
      <c r="C14" s="853"/>
      <c r="D14" s="852" t="s">
        <v>273</v>
      </c>
      <c r="E14" s="853"/>
      <c r="F14" s="852" t="s">
        <v>381</v>
      </c>
      <c r="G14" s="853"/>
      <c r="H14" s="852" t="s">
        <v>285</v>
      </c>
      <c r="I14" s="853"/>
      <c r="J14" s="852"/>
      <c r="K14" s="853"/>
      <c r="L14" s="852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79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80"/>
      <c r="B16" s="887" t="s">
        <v>380</v>
      </c>
      <c r="C16" s="851"/>
      <c r="D16" s="887" t="s">
        <v>380</v>
      </c>
      <c r="E16" s="851"/>
      <c r="F16" s="850" t="s">
        <v>379</v>
      </c>
      <c r="G16" s="851"/>
      <c r="H16" s="850" t="s">
        <v>379</v>
      </c>
      <c r="I16" s="851"/>
      <c r="J16" s="850"/>
      <c r="K16" s="851"/>
      <c r="L16" s="850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8" customFormat="1" ht="21" customHeight="1" x14ac:dyDescent="0.25">
      <c r="A17" s="875" t="s">
        <v>283</v>
      </c>
      <c r="B17" s="845" t="s">
        <v>288</v>
      </c>
      <c r="C17" s="846"/>
      <c r="D17" s="845" t="s">
        <v>359</v>
      </c>
      <c r="E17" s="846"/>
      <c r="F17" s="845" t="s">
        <v>290</v>
      </c>
      <c r="G17" s="846"/>
      <c r="H17" s="845" t="s">
        <v>340</v>
      </c>
      <c r="I17" s="846"/>
      <c r="J17" s="845" t="s">
        <v>407</v>
      </c>
      <c r="K17" s="846"/>
      <c r="L17" s="845"/>
      <c r="M17" s="846"/>
      <c r="N17" s="845"/>
      <c r="O17" s="846"/>
      <c r="P17" s="845"/>
      <c r="Q17" s="846"/>
      <c r="R17" s="845"/>
      <c r="S17" s="846"/>
      <c r="T17" s="845"/>
      <c r="U17" s="846"/>
    </row>
    <row r="18" spans="1:21" s="612" customFormat="1" ht="21" customHeight="1" x14ac:dyDescent="0.25">
      <c r="A18" s="876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7"/>
      <c r="B19" s="843"/>
      <c r="C19" s="844"/>
      <c r="D19" s="843"/>
      <c r="E19" s="844"/>
      <c r="F19" s="843" t="s">
        <v>291</v>
      </c>
      <c r="G19" s="844"/>
      <c r="H19" s="843"/>
      <c r="I19" s="844"/>
      <c r="J19" s="843"/>
      <c r="K19" s="844"/>
      <c r="L19" s="843"/>
      <c r="M19" s="844"/>
      <c r="N19" s="843"/>
      <c r="O19" s="844"/>
      <c r="P19" s="843"/>
      <c r="Q19" s="844"/>
      <c r="R19" s="843"/>
      <c r="S19" s="844"/>
      <c r="T19" s="843"/>
      <c r="U19" s="84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8" t="s">
        <v>367</v>
      </c>
      <c r="I1" s="888"/>
      <c r="J1" s="888"/>
      <c r="K1" s="888"/>
      <c r="L1" s="888"/>
      <c r="M1" s="888"/>
      <c r="N1" s="888"/>
      <c r="O1" s="88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5" t="s">
        <v>263</v>
      </c>
      <c r="B2" s="956"/>
      <c r="C2" s="956"/>
      <c r="D2" s="957"/>
      <c r="F2" s="932" t="s">
        <v>30</v>
      </c>
      <c r="G2" s="933"/>
      <c r="H2" s="940" t="s">
        <v>244</v>
      </c>
      <c r="I2" s="941"/>
      <c r="J2" s="941"/>
      <c r="K2" s="941"/>
      <c r="L2" s="941"/>
      <c r="M2" s="941"/>
      <c r="N2" s="941"/>
      <c r="O2" s="942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5" t="s">
        <v>220</v>
      </c>
      <c r="B3" s="926"/>
      <c r="C3" s="926"/>
      <c r="D3" s="927"/>
      <c r="F3" s="934"/>
      <c r="G3" s="935"/>
      <c r="H3" s="517" t="str">
        <f>"中級 (" &amp; HDRAG_GAMES_HBRUN_MED &amp; "場)"</f>
        <v>中級 (299場)</v>
      </c>
      <c r="I3" s="948" t="str">
        <f>"高級 (" &amp; HDRAG_GAMES_HBRUN_EXP &amp; "場)"</f>
        <v>高級 (225場)</v>
      </c>
      <c r="J3" s="949"/>
      <c r="K3" s="950"/>
      <c r="L3" s="948" t="str">
        <f>"超級 (" &amp; HDRAG_GAMES_HBRUN_MST &amp; "場)"</f>
        <v>超級 (232場)</v>
      </c>
      <c r="M3" s="949"/>
      <c r="N3" s="949"/>
      <c r="O3" s="95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4">
        <f>HDRAG_AVG_HBRUN_MED_ORB</f>
        <v>2.4381270903010033</v>
      </c>
      <c r="I5" s="943">
        <f>HDRAG_AVG_HBRUN_EXP_ORB</f>
        <v>4.4133333333333331</v>
      </c>
      <c r="J5" s="943">
        <f>HDRAG_AVG_HBRUN_EXP_TAIL</f>
        <v>2</v>
      </c>
      <c r="K5" s="945">
        <f>HDRAG_AVG_HBRUN_EXP_ORIHAL</f>
        <v>0.31555555555555553</v>
      </c>
      <c r="L5" s="943">
        <f>HDRAG_AVG_HBRUN_MST_ORB</f>
        <v>6.3965517241379306</v>
      </c>
      <c r="M5" s="943">
        <f>HDRAG_AVG_HBRUN_MST_TAIL</f>
        <v>2.0517241379310347</v>
      </c>
      <c r="N5" s="943">
        <f>HDRAG_AVG_HBRUN_MST_HORN</f>
        <v>1.9827586206896552</v>
      </c>
      <c r="O5" s="928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4"/>
      <c r="I6" s="943"/>
      <c r="J6" s="943"/>
      <c r="K6" s="945"/>
      <c r="L6" s="943"/>
      <c r="M6" s="982"/>
      <c r="N6" s="982"/>
      <c r="O6" s="929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6" t="s">
        <v>35</v>
      </c>
      <c r="G7" s="937"/>
      <c r="H7" s="920" t="s">
        <v>244</v>
      </c>
      <c r="I7" s="921"/>
      <c r="J7" s="921"/>
      <c r="K7" s="921"/>
      <c r="L7" s="921"/>
      <c r="M7" s="921"/>
      <c r="N7" s="921"/>
      <c r="O7" s="92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8"/>
      <c r="G8" s="939"/>
      <c r="H8" s="518" t="str">
        <f>"中級 (" &amp; HDRAG_GAMES_HMERC_MED &amp; "場)"</f>
        <v>中級 (246場)</v>
      </c>
      <c r="I8" s="985" t="str">
        <f>"高級 (" &amp; HDRAG_GAMES_HMERC_EXP &amp; "場)"</f>
        <v>高級 (524場)</v>
      </c>
      <c r="J8" s="986"/>
      <c r="K8" s="999"/>
      <c r="L8" s="985" t="str">
        <f>"超級 (" &amp; HDRAG_GAMES_HMERC_MST &amp; "場)"</f>
        <v>超級 (356場)</v>
      </c>
      <c r="M8" s="986"/>
      <c r="N8" s="986"/>
      <c r="O8" s="98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23">
        <f>HDRAG_AVG_HMERC_MED_ORB</f>
        <v>2.3861788617886179</v>
      </c>
      <c r="I10" s="930">
        <f>HDRAG_AVG_HMERC_EXP_ORB</f>
        <v>4.4217557251908399</v>
      </c>
      <c r="J10" s="951">
        <f>HDRAG_AVG_HMERC_EXP_TAIL</f>
        <v>2.0152671755725189</v>
      </c>
      <c r="K10" s="946">
        <f>HDRAG_AVG_HMERC_EXP_ORIHAL</f>
        <v>0.35496183206106868</v>
      </c>
      <c r="L10" s="951">
        <f>HDRAG_AVG_HMERC_MST_ORB</f>
        <v>6.4241573033707864</v>
      </c>
      <c r="M10" s="951">
        <f>HDRAG_AVG_HMERC_MST_TAIL</f>
        <v>1.9213483146067416</v>
      </c>
      <c r="N10" s="951">
        <f>HDRAG_AVG_HMERC_MST_HORN</f>
        <v>2.1151685393258428</v>
      </c>
      <c r="O10" s="953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5" t="s">
        <v>264</v>
      </c>
      <c r="B11" s="956"/>
      <c r="C11" s="956"/>
      <c r="D11" s="957"/>
      <c r="F11" s="490" t="s">
        <v>237</v>
      </c>
      <c r="G11" s="491">
        <f>IF(HDRAG_HAS_REC_HMERC,HDRAG_HMERC_ITEMS + G9 + G10,0)</f>
        <v>3116</v>
      </c>
      <c r="H11" s="924"/>
      <c r="I11" s="931"/>
      <c r="J11" s="952"/>
      <c r="K11" s="947"/>
      <c r="L11" s="952"/>
      <c r="M11" s="952"/>
      <c r="N11" s="952"/>
      <c r="O11" s="954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9" t="s">
        <v>31</v>
      </c>
      <c r="G12" s="890"/>
      <c r="H12" s="913" t="s">
        <v>244</v>
      </c>
      <c r="I12" s="914"/>
      <c r="J12" s="914"/>
      <c r="K12" s="914"/>
      <c r="L12" s="914"/>
      <c r="M12" s="914"/>
      <c r="N12" s="914"/>
      <c r="O12" s="91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91"/>
      <c r="G13" s="892"/>
      <c r="H13" s="519" t="str">
        <f>"中級 (" &amp; HDRAG_GAMES_HMID_MED &amp; "場)"</f>
        <v>中級 (803場)</v>
      </c>
      <c r="I13" s="996" t="str">
        <f>"高級 (" &amp; HDRAG_GAMES_HMID_EXP &amp; "場)"</f>
        <v>高級 (471場)</v>
      </c>
      <c r="J13" s="997"/>
      <c r="K13" s="998"/>
      <c r="L13" s="996" t="str">
        <f>"超級 (" &amp; HDRAG_GAMES_HMID_MST &amp; "場)"</f>
        <v>超級 (131場)</v>
      </c>
      <c r="M13" s="997"/>
      <c r="N13" s="997"/>
      <c r="O13" s="1030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6">
        <f>HDRAG_AVG_HMID_MED_ORB</f>
        <v>2.5504358655043586</v>
      </c>
      <c r="I15" s="917">
        <f>HDRAG_AVG_HMID_EXP_ORB</f>
        <v>4.3949044585987265</v>
      </c>
      <c r="J15" s="917">
        <f>HDRAG_AVG_HMID_EXP_TAIL</f>
        <v>1.9660297239915074</v>
      </c>
      <c r="K15" s="911">
        <f>HDRAG_AVG_HMID_EXP_ORIHAL</f>
        <v>0.32484076433121017</v>
      </c>
      <c r="L15" s="917">
        <f>HDRAG_AVG_HMID_MST_ORB</f>
        <v>6.5038167938931295</v>
      </c>
      <c r="M15" s="917">
        <f>HDRAG_AVG_HMID_MST_TAIL</f>
        <v>1.9541984732824427</v>
      </c>
      <c r="N15" s="917">
        <f>HDRAG_AVG_HMID_MST_HORN</f>
        <v>2.0839694656488548</v>
      </c>
      <c r="O15" s="91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6"/>
      <c r="I16" s="917"/>
      <c r="J16" s="917"/>
      <c r="K16" s="911"/>
      <c r="L16" s="917"/>
      <c r="M16" s="984"/>
      <c r="N16" s="984"/>
      <c r="O16" s="919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93" t="s">
        <v>36</v>
      </c>
      <c r="G17" s="894"/>
      <c r="H17" s="901" t="s">
        <v>244</v>
      </c>
      <c r="I17" s="902"/>
      <c r="J17" s="902"/>
      <c r="K17" s="902"/>
      <c r="L17" s="902"/>
      <c r="M17" s="902"/>
      <c r="N17" s="902"/>
      <c r="O17" s="90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5"/>
      <c r="G18" s="896"/>
      <c r="H18" s="522" t="str">
        <f>"中級 (" &amp; HDRAG_GAMES_HJUP_MED &amp; "場)"</f>
        <v>中級 (443場)</v>
      </c>
      <c r="I18" s="993" t="str">
        <f>"高級 (" &amp; HDRAG_GAMES_HJUP_EXP &amp; "場)"</f>
        <v>高級 (435場)</v>
      </c>
      <c r="J18" s="994"/>
      <c r="K18" s="995"/>
      <c r="L18" s="993" t="str">
        <f>"超級 (" &amp; HDRAG_GAMES_HJUP_MST &amp; "場)"</f>
        <v>超級 (254場)</v>
      </c>
      <c r="M18" s="994"/>
      <c r="N18" s="994"/>
      <c r="O18" s="102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4">
        <f>HDRAG_AVG_HJUP_MED_ORB</f>
        <v>2.4582392776523703</v>
      </c>
      <c r="I20" s="905">
        <f>HDRAG_AVG_HJUP_EXP_ORB</f>
        <v>4.4206896551724135</v>
      </c>
      <c r="J20" s="905">
        <f>HDRAG_AVG_HJUP_EXP_TAIL</f>
        <v>2.0045977011494251</v>
      </c>
      <c r="K20" s="912">
        <f>HDRAG_AVG_HJUP_EXP_ORIHAL</f>
        <v>0.30804597701149428</v>
      </c>
      <c r="L20" s="905">
        <f>HDRAG_AVG_HJUP_MST_ORB</f>
        <v>6.4763779527559056</v>
      </c>
      <c r="M20" s="905">
        <f>HDRAG_AVG_HJUP_MST_TAIL</f>
        <v>2.106299212598425</v>
      </c>
      <c r="N20" s="905">
        <f>HDRAG_AVG_HJUP_MST_HORN</f>
        <v>2.0393700787401574</v>
      </c>
      <c r="O20" s="90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4"/>
      <c r="I21" s="905"/>
      <c r="J21" s="905"/>
      <c r="K21" s="912"/>
      <c r="L21" s="905"/>
      <c r="M21" s="983"/>
      <c r="N21" s="983"/>
      <c r="O21" s="907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897" t="s">
        <v>37</v>
      </c>
      <c r="G22" s="898"/>
      <c r="H22" s="908" t="s">
        <v>244</v>
      </c>
      <c r="I22" s="909"/>
      <c r="J22" s="909"/>
      <c r="K22" s="909"/>
      <c r="L22" s="909"/>
      <c r="M22" s="909"/>
      <c r="N22" s="909"/>
      <c r="O22" s="91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9"/>
      <c r="G23" s="900"/>
      <c r="H23" s="525" t="str">
        <f>"中級 (" &amp; HDRAG_GAMES_HZOD_MED &amp; "場)"</f>
        <v>中級 (241場)</v>
      </c>
      <c r="I23" s="990" t="str">
        <f>"高級 (" &amp; HDRAG_GAMES_HZOD_EXP &amp; "場)"</f>
        <v>高級 (331場)</v>
      </c>
      <c r="J23" s="991"/>
      <c r="K23" s="992"/>
      <c r="L23" s="990" t="str">
        <f>"超級 (" &amp; HDRAG_GAMES_HZOD_MST &amp; "場)"</f>
        <v>超級 (397場)</v>
      </c>
      <c r="M23" s="991"/>
      <c r="N23" s="991"/>
      <c r="O23" s="102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3">
        <f>HDRAG_AVG_HZOD_MED_ORB</f>
        <v>2.3692946058091287</v>
      </c>
      <c r="I25" s="965">
        <f>HDRAG_AVG_HZOD_EXP_ORB</f>
        <v>4.4410876132930515</v>
      </c>
      <c r="J25" s="965">
        <f>HDRAG_AVG_HZOD_EXP_TAIL</f>
        <v>1.9607250755287009</v>
      </c>
      <c r="K25" s="970">
        <f>HDRAG_AVG_HZOD_EXP_ORIHAL</f>
        <v>0.35649546827794559</v>
      </c>
      <c r="L25" s="965">
        <f>HDRAG_AVG_HZOD_MST_ORB</f>
        <v>6.3576826196473553</v>
      </c>
      <c r="M25" s="965">
        <f>HDRAG_AVG_HZOD_MST_TAIL</f>
        <v>2.005037783375315</v>
      </c>
      <c r="N25" s="965">
        <f>HDRAG_AVG_HZOD_MST_HORN</f>
        <v>1.9899244332493702</v>
      </c>
      <c r="O25" s="96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4"/>
      <c r="I26" s="966"/>
      <c r="J26" s="966"/>
      <c r="K26" s="971"/>
      <c r="L26" s="966"/>
      <c r="M26" s="966"/>
      <c r="N26" s="966"/>
      <c r="O26" s="962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67"/>
      <c r="I27" s="968"/>
      <c r="J27" s="968"/>
      <c r="K27" s="968"/>
      <c r="L27" s="968"/>
      <c r="M27" s="968"/>
      <c r="N27" s="968"/>
      <c r="O27" s="96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4" t="str">
        <f>"高級 (" &amp; HDRAG_GAMES_HBRUN_EXP + HDRAG_GAMES_HMERC_EXP + HDRAG_GAMES_HMID_EXP + HDRAG_GAMES_HJUP_EXP + HDRAG_GAMES_HZOD_EXP &amp; "場)"</f>
        <v>高級 (1986場)</v>
      </c>
      <c r="J28" s="1025"/>
      <c r="K28" s="1026"/>
      <c r="L28" s="1024" t="str">
        <f>"超級 (" &amp; HDRAG_GAMES_HBRUN_MST + HDRAG_GAMES_HMERC_MST + HDRAG_GAMES_HMID_MST + HDRAG_GAMES_HJUP_MST + HDRAG_GAMES_HZOD_MST &amp; "場)"</f>
        <v>超級 (1370場)</v>
      </c>
      <c r="M28" s="1025"/>
      <c r="N28" s="1025"/>
      <c r="O28" s="102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31">
        <f>AVERAGE(DATA_HDRAG_HBRUN_MED_ORB,HDRAG_AVG_HMERC_MED_ORB,HDRAG_AVG_HMID_MED_ORB,HDRAG_AVG_HJUP_MED_ORB,HDRAG_AVG_HZOD_MED_ORB)</f>
        <v>2.4381655069661865</v>
      </c>
      <c r="I30" s="972">
        <f>AVERAGE(DATA_HDRAG_HBRUN_EXP_ORB,HDRAG_AVG_HMERC_EXP_ORB,HDRAG_AVG_HMID_EXP_ORB,HDRAG_AVG_HJUP_EXP_ORB,HDRAG_AVG_HZOD_EXP_ORB)</f>
        <v>4.4134429583067902</v>
      </c>
      <c r="J30" s="972">
        <f>AVERAGE(DATA_HDRAG_HBRUN_EXP_TAIL,HDRAG_AVG_HMERC_EXP_TAIL,HDRAG_AVG_HMID_EXP_TAIL,HDRAG_AVG_HJUP_EXP_TAIL,HDRAG_AVG_HZOD_EXP_TAIL)</f>
        <v>1.9997668981495291</v>
      </c>
      <c r="K30" s="988">
        <f>AVERAGE(DATA_HDRAG_HBRUN_EXP_ORIHAL,HDRAG_AVG_HMERC_EXP_ORIHAL,HDRAG_AVG_HMID_EXP_ORIHAL,HDRAG_AVG_HJUP_EXP_ORIHAL,HDRAG_AVG_HZOD_EXP_ORIHAL)</f>
        <v>0.3159141661208808</v>
      </c>
      <c r="L30" s="972">
        <f>AVERAGE(DATA_HDRAG_HBRUN_MST_ORB,HDRAG_AVG_HMERC_MST_ORB,HDRAG_AVG_HMID_MST_ORB,HDRAG_AVG_HJUP_MST_ORB,HDRAG_AVG_HZOD_MST_ORB)</f>
        <v>6.3972967570748613</v>
      </c>
      <c r="M30" s="972">
        <f>AVERAGE(DATA_HDRAG_HBRUN_MST_TAIL,HDRAG_AVG_HMERC_MST_TAIL,HDRAG_AVG_HMID_MST_TAIL,HDRAG_AVG_HJUP_MST_TAIL,HDRAG_AVG_HZOD_MST_TAIL)</f>
        <v>2.0507918804400971</v>
      </c>
      <c r="N30" s="972">
        <f>AVERAGE(DATA_HDRAG_HBRUN_MST_HORN,HDRAG_AVG_HMERC_MST_HORN,HDRAG_AVG_HMID_MST_HORN,HDRAG_AVG_HJUP_MST_HORN,HDRAG_AVG_HZOD_MST_HORN)</f>
        <v>1.9840187818515433</v>
      </c>
      <c r="O30" s="95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32"/>
      <c r="I31" s="973"/>
      <c r="J31" s="973"/>
      <c r="K31" s="989"/>
      <c r="L31" s="973"/>
      <c r="M31" s="973"/>
      <c r="N31" s="973"/>
      <c r="O31" s="960"/>
    </row>
    <row r="32" spans="1:18" ht="15.75" customHeight="1" x14ac:dyDescent="0.25">
      <c r="G32" s="334"/>
      <c r="R32" s="262"/>
    </row>
    <row r="33" spans="3:18" ht="28.5" customHeight="1" x14ac:dyDescent="0.25">
      <c r="F33" s="1000"/>
      <c r="G33" s="1001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4" t="s">
        <v>24</v>
      </c>
      <c r="Q33" s="1005"/>
      <c r="R33" s="604" t="s">
        <v>323</v>
      </c>
    </row>
    <row r="34" spans="3:18" ht="16.5" customHeight="1" x14ac:dyDescent="0.25">
      <c r="F34" s="978" t="s">
        <v>30</v>
      </c>
      <c r="G34" s="979"/>
      <c r="H34" s="1045" t="s">
        <v>253</v>
      </c>
      <c r="I34" s="1002" t="s">
        <v>250</v>
      </c>
      <c r="J34" s="1002" t="s">
        <v>250</v>
      </c>
      <c r="K34" s="1002" t="s">
        <v>253</v>
      </c>
      <c r="L34" s="1002" t="s">
        <v>250</v>
      </c>
      <c r="M34" s="1002" t="s">
        <v>250</v>
      </c>
      <c r="N34" s="1002" t="s">
        <v>253</v>
      </c>
      <c r="O34" s="1051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80"/>
      <c r="G35" s="981"/>
      <c r="H35" s="1046"/>
      <c r="I35" s="1003"/>
      <c r="J35" s="1003"/>
      <c r="K35" s="1003"/>
      <c r="L35" s="1003"/>
      <c r="M35" s="1003"/>
      <c r="N35" s="1003"/>
      <c r="O35" s="1052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74" t="s">
        <v>35</v>
      </c>
      <c r="G38" s="975"/>
      <c r="H38" s="1053" t="s">
        <v>253</v>
      </c>
      <c r="I38" s="1047" t="s">
        <v>250</v>
      </c>
      <c r="J38" s="1047" t="s">
        <v>250</v>
      </c>
      <c r="K38" s="1047" t="s">
        <v>253</v>
      </c>
      <c r="L38" s="1047" t="s">
        <v>250</v>
      </c>
      <c r="M38" s="1047" t="s">
        <v>253</v>
      </c>
      <c r="N38" s="1047" t="s">
        <v>253</v>
      </c>
      <c r="O38" s="1049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6"/>
      <c r="G39" s="977"/>
      <c r="H39" s="1054"/>
      <c r="I39" s="1048"/>
      <c r="J39" s="1048"/>
      <c r="K39" s="1048"/>
      <c r="L39" s="1048"/>
      <c r="M39" s="1048"/>
      <c r="N39" s="1048"/>
      <c r="O39" s="1050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1037" t="s">
        <v>31</v>
      </c>
      <c r="G42" s="1038"/>
      <c r="H42" s="1035" t="s">
        <v>253</v>
      </c>
      <c r="I42" s="1033" t="s">
        <v>253</v>
      </c>
      <c r="J42" s="1033" t="s">
        <v>250</v>
      </c>
      <c r="K42" s="1033" t="s">
        <v>253</v>
      </c>
      <c r="L42" s="1033" t="s">
        <v>253</v>
      </c>
      <c r="M42" s="1033" t="s">
        <v>253</v>
      </c>
      <c r="N42" s="1033" t="s">
        <v>250</v>
      </c>
      <c r="O42" s="1043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9"/>
      <c r="G43" s="1040"/>
      <c r="H43" s="1036"/>
      <c r="I43" s="1034"/>
      <c r="J43" s="1034"/>
      <c r="K43" s="1034"/>
      <c r="L43" s="1034"/>
      <c r="M43" s="1034"/>
      <c r="N43" s="1034"/>
      <c r="O43" s="1044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1016" t="s">
        <v>36</v>
      </c>
      <c r="G46" s="1017"/>
      <c r="H46" s="1020" t="s">
        <v>250</v>
      </c>
      <c r="I46" s="1022" t="s">
        <v>253</v>
      </c>
      <c r="J46" s="1022" t="s">
        <v>253</v>
      </c>
      <c r="K46" s="1022" t="s">
        <v>253</v>
      </c>
      <c r="L46" s="1022" t="s">
        <v>250</v>
      </c>
      <c r="M46" s="1022" t="s">
        <v>250</v>
      </c>
      <c r="N46" s="1022" t="s">
        <v>250</v>
      </c>
      <c r="O46" s="1041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8"/>
      <c r="G47" s="1019"/>
      <c r="H47" s="1021"/>
      <c r="I47" s="1023"/>
      <c r="J47" s="1023"/>
      <c r="K47" s="1023"/>
      <c r="L47" s="1023"/>
      <c r="M47" s="1023"/>
      <c r="N47" s="1023"/>
      <c r="O47" s="1042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1012" t="s">
        <v>37</v>
      </c>
      <c r="G50" s="1013"/>
      <c r="H50" s="1010" t="s">
        <v>253</v>
      </c>
      <c r="I50" s="1008" t="s">
        <v>253</v>
      </c>
      <c r="J50" s="1008" t="s">
        <v>250</v>
      </c>
      <c r="K50" s="1008" t="s">
        <v>250</v>
      </c>
      <c r="L50" s="1008" t="s">
        <v>253</v>
      </c>
      <c r="M50" s="1008" t="s">
        <v>250</v>
      </c>
      <c r="N50" s="1008" t="s">
        <v>253</v>
      </c>
      <c r="O50" s="100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4"/>
      <c r="G51" s="1015"/>
      <c r="H51" s="1011"/>
      <c r="I51" s="1009"/>
      <c r="J51" s="1009"/>
      <c r="K51" s="1009"/>
      <c r="L51" s="1009"/>
      <c r="M51" s="1009"/>
      <c r="N51" s="1009"/>
      <c r="O51" s="1007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72" t="s">
        <v>456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693"/>
      <c r="M1" s="693"/>
    </row>
    <row r="2" spans="1:21" s="690" customFormat="1" ht="21" customHeight="1" x14ac:dyDescent="0.25">
      <c r="A2" s="873" t="s">
        <v>346</v>
      </c>
      <c r="B2" s="866"/>
      <c r="C2" s="867"/>
      <c r="D2" s="866"/>
      <c r="E2" s="867"/>
      <c r="F2" s="866"/>
      <c r="G2" s="867"/>
      <c r="H2" s="866"/>
      <c r="I2" s="867"/>
      <c r="J2" s="866"/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/>
      <c r="C4" s="865"/>
      <c r="D4" s="864"/>
      <c r="E4" s="865"/>
      <c r="F4" s="864"/>
      <c r="G4" s="871"/>
      <c r="H4" s="871"/>
      <c r="I4" s="865"/>
      <c r="J4" s="864"/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687" customFormat="1" ht="21" customHeight="1" x14ac:dyDescent="0.25">
      <c r="A5" s="838" t="s">
        <v>347</v>
      </c>
      <c r="B5" s="1065" t="s">
        <v>453</v>
      </c>
      <c r="C5" s="835"/>
      <c r="D5" s="1065" t="s">
        <v>453</v>
      </c>
      <c r="E5" s="835"/>
      <c r="F5" s="834" t="s">
        <v>458</v>
      </c>
      <c r="G5" s="835"/>
      <c r="H5" s="834" t="s">
        <v>460</v>
      </c>
      <c r="I5" s="835"/>
      <c r="J5" s="834" t="s">
        <v>439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40"/>
      <c r="B7" s="1064" t="s">
        <v>454</v>
      </c>
      <c r="C7" s="837"/>
      <c r="D7" s="836" t="s">
        <v>455</v>
      </c>
      <c r="E7" s="837"/>
      <c r="F7" s="836" t="s">
        <v>459</v>
      </c>
      <c r="G7" s="837"/>
      <c r="H7" s="836" t="s">
        <v>463</v>
      </c>
      <c r="I7" s="837"/>
      <c r="J7" s="836" t="s">
        <v>462</v>
      </c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691" customFormat="1" ht="21" customHeight="1" x14ac:dyDescent="0.25">
      <c r="A8" s="883" t="s">
        <v>348</v>
      </c>
      <c r="B8" s="881" t="s">
        <v>320</v>
      </c>
      <c r="C8" s="860"/>
      <c r="D8" s="859" t="s">
        <v>369</v>
      </c>
      <c r="E8" s="860"/>
      <c r="F8" s="859" t="s">
        <v>372</v>
      </c>
      <c r="G8" s="860"/>
      <c r="H8" s="859" t="s">
        <v>374</v>
      </c>
      <c r="I8" s="860"/>
      <c r="J8" s="859" t="s">
        <v>345</v>
      </c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4"/>
      <c r="B10" s="1055" t="s">
        <v>368</v>
      </c>
      <c r="C10" s="1056"/>
      <c r="D10" s="1057" t="s">
        <v>371</v>
      </c>
      <c r="E10" s="1056"/>
      <c r="F10" s="1057" t="s">
        <v>373</v>
      </c>
      <c r="G10" s="1056"/>
      <c r="H10" s="1057" t="s">
        <v>376</v>
      </c>
      <c r="I10" s="1056"/>
      <c r="J10" s="1057" t="s">
        <v>377</v>
      </c>
      <c r="K10" s="1056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691" customFormat="1" ht="21" customHeight="1" x14ac:dyDescent="0.25">
      <c r="A11" s="884"/>
      <c r="B11" s="881" t="s">
        <v>360</v>
      </c>
      <c r="C11" s="860"/>
      <c r="D11" s="859" t="s">
        <v>447</v>
      </c>
      <c r="E11" s="860"/>
      <c r="F11" s="859" t="s">
        <v>451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5"/>
      <c r="B13" s="1055" t="s">
        <v>413</v>
      </c>
      <c r="C13" s="1056"/>
      <c r="D13" s="1057"/>
      <c r="E13" s="1056"/>
      <c r="F13" s="1057" t="s">
        <v>413</v>
      </c>
      <c r="G13" s="1056"/>
      <c r="H13" s="1057"/>
      <c r="I13" s="1056"/>
      <c r="J13" s="1057"/>
      <c r="K13" s="1056"/>
      <c r="L13" s="857"/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54" t="s">
        <v>349</v>
      </c>
      <c r="B14" s="852" t="s">
        <v>382</v>
      </c>
      <c r="C14" s="853"/>
      <c r="D14" s="852" t="s">
        <v>391</v>
      </c>
      <c r="E14" s="853"/>
      <c r="F14" s="852" t="s">
        <v>390</v>
      </c>
      <c r="G14" s="853"/>
      <c r="H14" s="852" t="s">
        <v>388</v>
      </c>
      <c r="I14" s="853"/>
      <c r="J14" s="852" t="s">
        <v>397</v>
      </c>
      <c r="K14" s="853"/>
      <c r="L14" s="886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55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5"/>
      <c r="B16" s="850" t="s">
        <v>387</v>
      </c>
      <c r="C16" s="851"/>
      <c r="D16" s="1058" t="s">
        <v>394</v>
      </c>
      <c r="E16" s="1059"/>
      <c r="F16" s="850" t="s">
        <v>396</v>
      </c>
      <c r="G16" s="851"/>
      <c r="H16" s="850" t="s">
        <v>392</v>
      </c>
      <c r="I16" s="851"/>
      <c r="J16" s="850" t="s">
        <v>392</v>
      </c>
      <c r="K16" s="851"/>
      <c r="L16" s="887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1" customFormat="1" ht="21" customHeight="1" x14ac:dyDescent="0.25">
      <c r="A17" s="855"/>
      <c r="B17" s="852" t="s">
        <v>382</v>
      </c>
      <c r="C17" s="853"/>
      <c r="D17" s="852" t="s">
        <v>386</v>
      </c>
      <c r="E17" s="853"/>
      <c r="F17" s="852" t="s">
        <v>391</v>
      </c>
      <c r="G17" s="853"/>
      <c r="H17" s="1062" t="s">
        <v>444</v>
      </c>
      <c r="I17" s="1063"/>
      <c r="J17" s="1062"/>
      <c r="K17" s="1063"/>
      <c r="L17" s="852"/>
      <c r="M17" s="853"/>
      <c r="N17" s="852"/>
      <c r="O17" s="853"/>
      <c r="P17" s="852"/>
      <c r="Q17" s="853"/>
      <c r="R17" s="852"/>
      <c r="S17" s="853"/>
      <c r="T17" s="852"/>
      <c r="U17" s="853"/>
    </row>
    <row r="18" spans="1:21" s="612" customFormat="1" ht="21" customHeight="1" x14ac:dyDescent="0.25">
      <c r="A18" s="855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5"/>
      <c r="B19" s="850" t="s">
        <v>385</v>
      </c>
      <c r="C19" s="851"/>
      <c r="D19" s="850" t="s">
        <v>403</v>
      </c>
      <c r="E19" s="851"/>
      <c r="F19" s="850" t="s">
        <v>393</v>
      </c>
      <c r="G19" s="851"/>
      <c r="H19" s="850"/>
      <c r="I19" s="851"/>
      <c r="J19" s="850"/>
      <c r="K19" s="851"/>
      <c r="L19" s="850"/>
      <c r="M19" s="851"/>
      <c r="N19" s="850"/>
      <c r="O19" s="851"/>
      <c r="P19" s="850"/>
      <c r="Q19" s="851"/>
      <c r="R19" s="850"/>
      <c r="S19" s="851"/>
      <c r="T19" s="850"/>
      <c r="U19" s="851"/>
    </row>
    <row r="20" spans="1:21" s="161" customFormat="1" ht="21" customHeight="1" x14ac:dyDescent="0.25">
      <c r="A20" s="855"/>
      <c r="B20" s="1062" t="s">
        <v>397</v>
      </c>
      <c r="C20" s="1063"/>
      <c r="D20" s="1062" t="s">
        <v>285</v>
      </c>
      <c r="E20" s="1063"/>
      <c r="F20" s="852" t="s">
        <v>382</v>
      </c>
      <c r="G20" s="853"/>
      <c r="H20" s="1062" t="s">
        <v>406</v>
      </c>
      <c r="I20" s="1063"/>
      <c r="J20" s="1062"/>
      <c r="K20" s="1063"/>
      <c r="L20" s="852"/>
      <c r="M20" s="853"/>
      <c r="N20" s="852"/>
      <c r="O20" s="853"/>
      <c r="P20" s="852"/>
      <c r="Q20" s="853"/>
      <c r="R20" s="852"/>
      <c r="S20" s="853"/>
      <c r="T20" s="852"/>
      <c r="U20" s="853"/>
    </row>
    <row r="21" spans="1:21" s="612" customFormat="1" ht="21" customHeight="1" x14ac:dyDescent="0.25">
      <c r="A21" s="855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6"/>
      <c r="B22" s="850" t="s">
        <v>405</v>
      </c>
      <c r="C22" s="851"/>
      <c r="D22" s="850" t="s">
        <v>405</v>
      </c>
      <c r="E22" s="851"/>
      <c r="F22" s="850" t="s">
        <v>405</v>
      </c>
      <c r="G22" s="851"/>
      <c r="H22" s="850" t="s">
        <v>405</v>
      </c>
      <c r="I22" s="851"/>
      <c r="J22" s="850"/>
      <c r="K22" s="851"/>
      <c r="L22" s="850"/>
      <c r="M22" s="851"/>
      <c r="N22" s="850"/>
      <c r="O22" s="851"/>
      <c r="P22" s="850"/>
      <c r="Q22" s="851"/>
      <c r="R22" s="850"/>
      <c r="S22" s="851"/>
      <c r="T22" s="850"/>
      <c r="U22" s="851"/>
    </row>
    <row r="23" spans="1:21" s="692" customFormat="1" ht="21" customHeight="1" x14ac:dyDescent="0.25">
      <c r="A23" s="875" t="s">
        <v>350</v>
      </c>
      <c r="B23" s="1060"/>
      <c r="C23" s="1061"/>
      <c r="D23" s="1060"/>
      <c r="E23" s="1061"/>
      <c r="F23" s="845"/>
      <c r="G23" s="846"/>
      <c r="H23" s="845"/>
      <c r="I23" s="846"/>
      <c r="J23" s="845"/>
      <c r="K23" s="846"/>
      <c r="L23" s="845"/>
      <c r="M23" s="846"/>
      <c r="N23" s="845"/>
      <c r="O23" s="846"/>
      <c r="P23" s="845"/>
      <c r="Q23" s="846"/>
      <c r="R23" s="845"/>
      <c r="S23" s="846"/>
      <c r="T23" s="845"/>
      <c r="U23" s="846"/>
    </row>
    <row r="24" spans="1:21" s="612" customFormat="1" ht="21" customHeight="1" x14ac:dyDescent="0.25">
      <c r="A24" s="876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7"/>
      <c r="B25" s="843"/>
      <c r="C25" s="844"/>
      <c r="D25" s="843"/>
      <c r="E25" s="844"/>
      <c r="F25" s="843"/>
      <c r="G25" s="844"/>
      <c r="H25" s="843"/>
      <c r="I25" s="844"/>
      <c r="J25" s="843"/>
      <c r="K25" s="844"/>
      <c r="L25" s="843"/>
      <c r="M25" s="844"/>
      <c r="N25" s="843"/>
      <c r="O25" s="844"/>
      <c r="P25" s="843"/>
      <c r="Q25" s="844"/>
      <c r="R25" s="843"/>
      <c r="S25" s="844"/>
      <c r="T25" s="843"/>
      <c r="U25" s="84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R8" sqref="R8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91" t="s">
        <v>344</v>
      </c>
      <c r="D2" s="1092"/>
      <c r="E2" s="1093"/>
      <c r="F2" s="1096" t="s">
        <v>354</v>
      </c>
      <c r="G2" s="1096" t="s">
        <v>355</v>
      </c>
      <c r="I2" s="1098" t="s">
        <v>402</v>
      </c>
      <c r="J2" s="1108" t="s">
        <v>66</v>
      </c>
      <c r="K2" s="1091" t="s">
        <v>483</v>
      </c>
      <c r="L2" s="1093"/>
      <c r="M2" s="1091" t="s">
        <v>241</v>
      </c>
      <c r="N2" s="1092"/>
      <c r="O2" s="1093"/>
      <c r="P2" s="1091" t="s">
        <v>246</v>
      </c>
      <c r="Q2" s="1092"/>
      <c r="R2" s="1092"/>
      <c r="S2" s="1093"/>
      <c r="T2" s="240"/>
      <c r="U2" s="1066" t="s">
        <v>480</v>
      </c>
      <c r="V2" s="1067"/>
      <c r="W2" s="1068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97"/>
      <c r="G3" s="1097"/>
      <c r="I3" s="1099"/>
      <c r="J3" s="1109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9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IFERROR(_xlfn.CEILING.MATH((AGITO_WEAPON_MUB_624_SILVER - V4*N4) / L4),"")</f>
        <v/>
      </c>
      <c r="V4" s="779" t="str" cm="1">
        <f t="array" ref="V4">IFERROR(_xlfn.CEILING.MATH((AGITO_WEAPON_MUB_624_GOLD - W4*Q4) / O4),"")</f>
        <v/>
      </c>
      <c r="W4" s="780" t="str" cm="1">
        <f t="array" ref="W4">IFERROR(_xlfn.CEILING.MATH(AGITO_WEAPON_MUB_624_POT / R4),"")</f>
        <v/>
      </c>
    </row>
    <row r="5" spans="1:26" s="307" customFormat="1" ht="21.95" customHeight="1" x14ac:dyDescent="0.25">
      <c r="B5" s="636" t="s">
        <v>347</v>
      </c>
      <c r="C5" s="644">
        <v>2716</v>
      </c>
      <c r="D5" s="645">
        <v>2926</v>
      </c>
      <c r="E5" s="645"/>
      <c r="F5" s="645">
        <v>8</v>
      </c>
      <c r="G5" s="646">
        <v>25</v>
      </c>
      <c r="I5" s="1099"/>
      <c r="J5" s="636" t="s">
        <v>347</v>
      </c>
      <c r="K5" s="632">
        <f>IFERROR(COUNT(AGITO_WATER_STD_SILVER),"")</f>
        <v>115</v>
      </c>
      <c r="L5" s="660">
        <f>IFERROR(AVERAGE(AGITO_WATER_STD_SILVER) + 2, "")</f>
        <v>7.2</v>
      </c>
      <c r="M5" s="632">
        <f>IFERROR(COUNT(AGITO_WATER_EXP_SILVER),"")</f>
        <v>393</v>
      </c>
      <c r="N5" s="660">
        <f>IFERROR(AVERAGE(AGITO_WATER_EXP_SILVER),"")</f>
        <v>2.5852417302798982</v>
      </c>
      <c r="O5" s="661">
        <f>IFERROR(AVERAGE(AGITO_WATER_EXP_GOLD),"")</f>
        <v>3.4783715012722647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IFERROR(_xlfn.CEILING.MATH((AGITO_WEAPON_MUB_624_SILVER - V5*N5) / L5),"")</f>
        <v/>
      </c>
      <c r="V5" s="782" t="str" cm="1">
        <f t="array" ref="V5">IFERROR(_xlfn.CEILING.MATH((AGITO_WEAPON_MUB_624_GOLD - W5*Q5) / O5),"")</f>
        <v/>
      </c>
      <c r="W5" s="783" t="str" cm="1">
        <f t="array" ref="W5">IFERROR(_xlfn.CEILING.MATH(AGITO_WEAPON_MUB_624_POT / R5),"")</f>
        <v/>
      </c>
    </row>
    <row r="6" spans="1:26" ht="21.95" customHeight="1" x14ac:dyDescent="0.25">
      <c r="B6" s="637" t="s">
        <v>348</v>
      </c>
      <c r="C6" s="647">
        <v>2674</v>
      </c>
      <c r="D6" s="648">
        <v>3129</v>
      </c>
      <c r="E6" s="648">
        <v>408</v>
      </c>
      <c r="F6" s="648">
        <v>8</v>
      </c>
      <c r="G6" s="649">
        <v>25</v>
      </c>
      <c r="I6" s="1099"/>
      <c r="J6" s="637" t="s">
        <v>348</v>
      </c>
      <c r="K6" s="633">
        <f>IFERROR(COUNT(AGITO_WIND_STD_SILVER),"")</f>
        <v>386</v>
      </c>
      <c r="L6" s="662">
        <f>IFERROR(AVERAGE(AGITO_WIND_STD_SILVER) + 2, "")</f>
        <v>7.1917098445595853</v>
      </c>
      <c r="M6" s="633">
        <f>IFERROR(COUNT(AGITO_WIND_EXP_SILVER),"")</f>
        <v>1077</v>
      </c>
      <c r="N6" s="662">
        <f>IFERROR(AVERAGE(AGITO_WIND_EXP_SILVER),"")</f>
        <v>2.6453110492107705</v>
      </c>
      <c r="O6" s="663">
        <f>IFERROR(AVERAGE(AGITO_WIND_EXP_GOLD),"")</f>
        <v>3.4382544103992574</v>
      </c>
      <c r="P6" s="633">
        <f>IFERROR(COUNT(AGITO_WIND_MST_GOLD),"")</f>
        <v>191</v>
      </c>
      <c r="Q6" s="662">
        <f>IFERROR(AVERAGE(AGITO_WIND_MST_GOLD),"")</f>
        <v>2.0261780104712042</v>
      </c>
      <c r="R6" s="662">
        <f>IFERROR(AVERAGE(AGITO_WIND_MST_POT),"")</f>
        <v>3.0418848167539267</v>
      </c>
      <c r="S6" s="663">
        <f>IFERROR(AVERAGE(AGITO_WIND_MST_ORIHAL),"")</f>
        <v>1.0680628272251309</v>
      </c>
      <c r="T6" s="667"/>
      <c r="U6" s="784" cm="1">
        <f t="array" ref="U6">IFERROR(_xlfn.CEILING.MATH((AGITO_WEAPON_MUB_624_SILVER - V6*N6) / L6),"")</f>
        <v>20</v>
      </c>
      <c r="V6" s="785" cm="1">
        <f t="array" ref="V6">IFERROR(_xlfn.CEILING.MATH((AGITO_WEAPON_MUB_624_GOLD - W6*Q6) / O6),"")</f>
        <v>52</v>
      </c>
      <c r="W6" s="786" cm="1">
        <f t="array" ref="W6">IFERROR(_xlfn.CEILING.MATH(AGITO_WEAPON_MUB_624_POT / R6),"")</f>
        <v>12</v>
      </c>
    </row>
    <row r="7" spans="1:26" ht="21.95" customHeight="1" x14ac:dyDescent="0.25">
      <c r="B7" s="638" t="s">
        <v>349</v>
      </c>
      <c r="C7" s="650">
        <v>2426</v>
      </c>
      <c r="D7" s="651">
        <v>2066</v>
      </c>
      <c r="E7" s="651"/>
      <c r="F7" s="651">
        <v>8</v>
      </c>
      <c r="G7" s="652">
        <v>25</v>
      </c>
      <c r="I7" s="1099"/>
      <c r="J7" s="638" t="s">
        <v>349</v>
      </c>
      <c r="K7" s="699">
        <f>IFERROR(COUNT(AGITO_LIGHT_STD_SILVER),"")</f>
        <v>93</v>
      </c>
      <c r="L7" s="664">
        <f>IFERROR(AVERAGE(AGITO_LIGHT_STD_SILVER) + 2, "")</f>
        <v>7.204301075268817</v>
      </c>
      <c r="M7" s="699">
        <f>IFERROR(COUNT(AGITO_LIGHT_EXP_SILVER),"")</f>
        <v>906</v>
      </c>
      <c r="N7" s="664">
        <f>IFERROR(AVERAGE(AGITO_LIGHT_EXP_SILVER),"")</f>
        <v>2.5717439293598234</v>
      </c>
      <c r="O7" s="665">
        <f>IFERROR(AVERAGE(AGITO_LIGHT_EXP_GOLD),"")</f>
        <v>3.5077262693156732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IFERROR(_xlfn.CEILING.MATH((AGITO_WEAPON_MUB_624_SILVER - V7*N7) / L7),"")</f>
        <v/>
      </c>
      <c r="V7" s="788" t="str" cm="1">
        <f t="array" ref="V7">IFERROR(_xlfn.CEILING.MATH((AGITO_WEAPON_MUB_624_GOLD - W7*Q7) / O7),"")</f>
        <v/>
      </c>
      <c r="W7" s="789" t="str" cm="1">
        <f t="array" ref="W7">IFERROR(_xlfn.CEILING.MATH(AGITO_WEAPON_MUB_624_POT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9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IFERROR(_xlfn.CEILING.MATH((AGITO_WEAPON_MUB_624_SILVER - V8*N8) / L8),"")</f>
        <v/>
      </c>
      <c r="V8" s="791" t="str" cm="1">
        <f t="array" ref="V8">IFERROR(_xlfn.CEILING.MATH((AGITO_WEAPON_MUB_624_GOLD - W8*Q8) / O8),"")</f>
        <v/>
      </c>
      <c r="W8" s="792" t="str" cm="1">
        <f t="array" ref="W8">IFERROR(_xlfn.CEILING.MATH(AGITO_WEAPON_MUB_624_POT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100"/>
      <c r="J9" s="704" t="s">
        <v>238</v>
      </c>
      <c r="K9" s="705">
        <f>IFERROR(COUNT(AGITO_FLAME_STD_SILVER,AGITO_WATER_STD_SILVER,AGITO_WIND_STD_SILVER,AGITO_LIGHT_STD_SILVER,AGITO_SHADOW_STD_SILVER),"")</f>
        <v>594</v>
      </c>
      <c r="L9" s="708">
        <f>IFERROR(AVERAGE(AGITO_FLAME_STD_SILVER,AGITO_WATER_STD_SILVER,AGITO_WIND_STD_SILVER,AGITO_LIGHT_STD_SILVER,AGITO_SHADOW_STD_SILVER) + 2,"")</f>
        <v>7.1952861952861955</v>
      </c>
      <c r="M9" s="705">
        <f>IFERROR(COUNT(AGITO_FLAME_EXP_SILVER,AGITO_WATER_EXP_SILVER,AGITO_WIND_EXP_SILVER,AGITO_LIGHT_EXP_SILVER,AGITO_SHADOW_EXP_SILVER),"")</f>
        <v>2376</v>
      </c>
      <c r="N9" s="708">
        <f>IFERROR(AVERAGE(AGITO_FLAME_EXP_SILVER,AGITO_WATER_EXP_SILVER,AGITO_WIND_EXP_SILVER,AGITO_LIGHT_EXP_SILVER,AGITO_SHADOW_EXP_SILVER),"")</f>
        <v>2.6073232323232323</v>
      </c>
      <c r="O9" s="706">
        <f>IFERROR(AVERAGE(AGITO_FLAME_EXP_GOLD,AGITO_WATER_EXP_GOLD,AGITO_WIND_EXP_GOLD,AGITO_LIGHT_EXP_GOLD,AGITO_SHADOW_EXP_GOLD),"")</f>
        <v>3.4713804713804715</v>
      </c>
      <c r="P9" s="705">
        <f>IFERROR(COUNT(AGITO_FLAME_MST_GOLD,AGITO_WATER_MST_GOLD,AGITO_WIND_MST_GOLD,AGITO_LIGHT_MST_GOLD,AGITO_SHADOW_MST_GOLD),"")</f>
        <v>191</v>
      </c>
      <c r="Q9" s="708">
        <f>IFERROR(AVERAGE(AGITO_FLAME_MST_GOLD,AGITO_WATER_MST_GOLD,AGITO_WIND_MST_GOLD,AGITO_LIGHT_MST_GOLD,AGITO_SHADOW_MST_GOLD),"")</f>
        <v>2.0261780104712042</v>
      </c>
      <c r="R9" s="708">
        <f>IFERROR(AVERAGE(AGITO_FLAME_MST_POT,AGITO_WATER_MST_POT,AGITO_WIND_MST_POT,AGITO_LIGHT_MST_POT,AGITO_SHADOW_MST_POT),"")</f>
        <v>3.0418848167539267</v>
      </c>
      <c r="S9" s="706">
        <f>IFERROR(AVERAGE(AGITO_FLAME_MST_ORIHAL,AGITO_WATER_MST_ORIHAL,AGITO_WIND_MST_ORIHAL,AGITO_LIGHT_MST_ORIHAL,AGITO_SHADOW_MST_ORIHAL),"")</f>
        <v>1.0680628272251309</v>
      </c>
      <c r="T9" s="672"/>
      <c r="U9" s="816" t="s">
        <v>157</v>
      </c>
      <c r="V9" s="817" t="s">
        <v>157</v>
      </c>
      <c r="W9" s="818" t="s">
        <v>157</v>
      </c>
      <c r="X9" s="667"/>
      <c r="Y9" s="240"/>
      <c r="Z9" s="240"/>
    </row>
    <row r="10" spans="1:26" ht="15" customHeight="1" x14ac:dyDescent="0.25">
      <c r="B10" s="763"/>
      <c r="C10" s="1113" t="s">
        <v>38</v>
      </c>
      <c r="D10" s="1114"/>
      <c r="E10" s="1114"/>
      <c r="F10" s="1115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112" t="s">
        <v>65</v>
      </c>
      <c r="D11" s="1110"/>
      <c r="E11" s="1110" t="s">
        <v>64</v>
      </c>
      <c r="F11" s="1111"/>
      <c r="G11" s="765"/>
      <c r="I11" s="1103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101" t="s">
        <v>24</v>
      </c>
      <c r="T11" s="1102"/>
      <c r="U11" s="793" t="s">
        <v>351</v>
      </c>
      <c r="V11" s="794" t="s">
        <v>352</v>
      </c>
      <c r="W11" s="794" t="s">
        <v>479</v>
      </c>
      <c r="X11" s="666" t="s">
        <v>323</v>
      </c>
    </row>
    <row r="12" spans="1:26" s="307" customFormat="1" ht="18.95" customHeight="1" x14ac:dyDescent="0.25">
      <c r="B12" s="978" t="s">
        <v>346</v>
      </c>
      <c r="C12" s="1076" t="str">
        <f>IF(ISBLANK(G4),"",INDEX(DATA_AGITO_BUILDING,G4+ 1, 1))</f>
        <v/>
      </c>
      <c r="D12" s="1076"/>
      <c r="E12" s="1076" t="str">
        <f>IF(ISBLANK(G4),"",INDEX(DATA_AGITO_BUILDING,G4+ 1, 2))</f>
        <v/>
      </c>
      <c r="F12" s="1116"/>
      <c r="G12" s="764"/>
      <c r="I12" s="1104"/>
      <c r="J12" s="1088"/>
      <c r="K12" s="1094"/>
      <c r="L12" s="1094"/>
      <c r="M12" s="1094"/>
      <c r="N12" s="1094"/>
      <c r="O12" s="1094"/>
      <c r="P12" s="1094"/>
      <c r="Q12" s="1094"/>
      <c r="R12" s="771" t="str" cm="1">
        <f t="array" ref="R12">IF(ISBLANK(C4),"",(SUM(J15:Q15) + C4) / AGITO_WEAPON_MUB_614_SILVER)</f>
        <v/>
      </c>
      <c r="S12" s="615" t="str" cm="1">
        <f t="array" ref="S12">IF(ISBLANK(C4),"",-(F4 * AGITO_WEAPON_MUB_614_SILVER - SUM(J15:Q15) - C4))</f>
        <v/>
      </c>
      <c r="T12" s="760" t="s">
        <v>65</v>
      </c>
      <c r="U12" s="795" t="str">
        <f>IF(AND(K4&gt;0,S12&lt;0), _xlfn.CEILING.MATH(-S12/L4),"")</f>
        <v/>
      </c>
      <c r="V12" s="796" t="str">
        <f>IF(AND(M4&gt;0,S12&lt;0), _xlfn.CEILING.MATH(-S12/N4),"")</f>
        <v/>
      </c>
      <c r="W12" s="797" t="s">
        <v>157</v>
      </c>
      <c r="X12" s="668" t="str">
        <f>IFERROR((-F4 * AGITO_WEAPON_MUB_614_SILVER - S12)/(-F4 * AGITO_WEAPON_MUB_614_SILVER),"")</f>
        <v/>
      </c>
    </row>
    <row r="13" spans="1:26" s="307" customFormat="1" ht="18.95" customHeight="1" x14ac:dyDescent="0.25">
      <c r="B13" s="980"/>
      <c r="C13" s="1077"/>
      <c r="D13" s="1077"/>
      <c r="E13" s="1077"/>
      <c r="F13" s="1117"/>
      <c r="G13" s="764"/>
      <c r="I13" s="1104"/>
      <c r="J13" s="1089"/>
      <c r="K13" s="1095"/>
      <c r="L13" s="1095"/>
      <c r="M13" s="1095"/>
      <c r="N13" s="1095"/>
      <c r="O13" s="1095"/>
      <c r="P13" s="1095"/>
      <c r="Q13" s="1095"/>
      <c r="R13" s="772" t="str" cm="1">
        <f t="array" ref="R13">IF(ISBLANK(D4),"",(SUM(J16:Q16) + D4) / AGITO_WEAPON_MUB_614_GOLD)</f>
        <v/>
      </c>
      <c r="S13" s="616" t="str" cm="1">
        <f t="array" ref="S13">IF(ISBLANK(D4),"",-(F4 * AGITO_WEAPON_MUB_614_GOLD - SUM(J16:Q16) - D4))</f>
        <v/>
      </c>
      <c r="T13" s="758" t="s">
        <v>64</v>
      </c>
      <c r="U13" s="798" t="s">
        <v>157</v>
      </c>
      <c r="V13" s="799" t="str">
        <f>IF(AND(M4&gt;0,S13&lt;0), _xlfn.CEILING.MATH(-S13/O4),"")</f>
        <v/>
      </c>
      <c r="W13" s="800" t="str">
        <f>IF(AND(P4&gt;0,S13&lt;0), _xlfn.CEILING.MATH(-S13/Q4),"")</f>
        <v/>
      </c>
      <c r="X13" s="669" t="str">
        <f>IFERROR((-F4 * AGITO_WEAPON_MUB_614_GOLD - S13)/(-F4 * AGITO_WEAPON_MUB_614_GOLD),"")</f>
        <v/>
      </c>
    </row>
    <row r="14" spans="1:26" s="307" customFormat="1" ht="18.95" customHeight="1" x14ac:dyDescent="0.25">
      <c r="B14" s="980"/>
      <c r="C14" s="1077"/>
      <c r="D14" s="1077"/>
      <c r="E14" s="1077"/>
      <c r="F14" s="1117"/>
      <c r="G14" s="764"/>
      <c r="I14" s="1104"/>
      <c r="J14" s="1089"/>
      <c r="K14" s="1095"/>
      <c r="L14" s="1095"/>
      <c r="M14" s="1095"/>
      <c r="N14" s="1095"/>
      <c r="O14" s="1095"/>
      <c r="P14" s="1095"/>
      <c r="Q14" s="1095"/>
      <c r="R14" s="772" t="str" cm="1">
        <f t="array" ref="R14">IF(ISBLANK(E5),"",(SUM(J17:Q17) + E5) / AGITO_WEAPON_MUB_614_POT)</f>
        <v/>
      </c>
      <c r="S14" s="616" t="str" cm="1">
        <f t="array" ref="S14">IF(ISBLANK(E4),"",-(F4 * AGITO_WEAPON_MUB_614_POT - SUM(J17:Q17) - E4))</f>
        <v/>
      </c>
      <c r="T14" s="758" t="s">
        <v>475</v>
      </c>
      <c r="U14" s="798" t="s">
        <v>157</v>
      </c>
      <c r="V14" s="799" t="s">
        <v>157</v>
      </c>
      <c r="W14" s="800" t="str">
        <f>IF(AND(P4&gt;0,S14&lt;0), _xlfn.CEILING.MATH(-S14/R4),"")</f>
        <v/>
      </c>
      <c r="X14" s="669" t="str">
        <f>IFERROR((-F4 * AGITO_WEAPON_MUB_614_POT - S14)/(-F4 * AGITO_WEAPON_MUB_614_POT),"")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104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798"/>
      <c r="V15" s="799"/>
      <c r="W15" s="800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104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798"/>
      <c r="V16" s="799"/>
      <c r="W16" s="800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104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798"/>
      <c r="V17" s="799"/>
      <c r="W17" s="800"/>
      <c r="X17" s="669"/>
    </row>
    <row r="18" spans="2:24" s="307" customFormat="1" ht="18.95" customHeight="1" x14ac:dyDescent="0.25">
      <c r="B18" s="976" t="s">
        <v>347</v>
      </c>
      <c r="C18" s="1078">
        <f>IF(ISBLANK(G5),"",INDEX(DATA_AGITO_BUILDING,G5+ 1, 1))</f>
        <v>0</v>
      </c>
      <c r="D18" s="1078"/>
      <c r="E18" s="1078">
        <f>IF(ISBLANK(G5),"",INDEX(DATA_AGITO_BUILDING,G5+ 1, 2))</f>
        <v>0</v>
      </c>
      <c r="F18" s="1079"/>
      <c r="G18" s="764"/>
      <c r="I18" s="1104"/>
      <c r="J18" s="1087">
        <v>614</v>
      </c>
      <c r="K18" s="1083">
        <v>614</v>
      </c>
      <c r="L18" s="1083">
        <v>614</v>
      </c>
      <c r="M18" s="1083">
        <v>614</v>
      </c>
      <c r="N18" s="1083">
        <v>614</v>
      </c>
      <c r="O18" s="1083">
        <v>614</v>
      </c>
      <c r="P18" s="1083">
        <v>614</v>
      </c>
      <c r="Q18" s="1083">
        <v>614</v>
      </c>
      <c r="R18" s="772" cm="1">
        <f t="array" ref="R18">IF(ISBLANK(C5),"",(SUM(J21:Q21) + C5) / AGITO_WEAPON_MUB_614_SILVER)</f>
        <v>21.58</v>
      </c>
      <c r="S18" s="616" cm="1">
        <f t="array" ref="S18">IF(ISBLANK(C5),"",-(F5 * AGITO_WEAPON_MUB_614_SILVER - SUM(J21:Q21) - C5))</f>
        <v>2716</v>
      </c>
      <c r="T18" s="758" t="s">
        <v>65</v>
      </c>
      <c r="U18" s="798" t="str">
        <f>IF(AND(K5&gt;0,S18&lt;0), _xlfn.CEILING.MATH(-S18/L5),"")</f>
        <v/>
      </c>
      <c r="V18" s="799" t="str">
        <f>IF(AND(M5&gt;0,S18&lt;0), _xlfn.CEILING.MATH(-S18/N5),"")</f>
        <v/>
      </c>
      <c r="W18" s="800" t="s">
        <v>157</v>
      </c>
      <c r="X18" s="669">
        <f>IFERROR((-F5 * AGITO_WEAPON_MUB_614_SILVER - S18)/(-F5 * AGITO_WEAPON_MUB_614_SILVER),"")</f>
        <v>2.6974999999999998</v>
      </c>
    </row>
    <row r="19" spans="2:24" s="307" customFormat="1" ht="18.95" customHeight="1" x14ac:dyDescent="0.25">
      <c r="B19" s="976"/>
      <c r="C19" s="1078"/>
      <c r="D19" s="1078"/>
      <c r="E19" s="1078"/>
      <c r="F19" s="1079"/>
      <c r="G19" s="764"/>
      <c r="I19" s="1104"/>
      <c r="J19" s="1087"/>
      <c r="K19" s="1083"/>
      <c r="L19" s="1083"/>
      <c r="M19" s="1083"/>
      <c r="N19" s="1083"/>
      <c r="O19" s="1083"/>
      <c r="P19" s="1083"/>
      <c r="Q19" s="1083"/>
      <c r="R19" s="772" cm="1">
        <f t="array" ref="R19">IF(ISBLANK(D5),"",(SUM(J22:Q22) + D5) / AGITO_WEAPON_MUB_614_GOLD)</f>
        <v>27.506666666666668</v>
      </c>
      <c r="S19" s="616" cm="1">
        <f t="array" ref="S19">IF(ISBLANK(D5),"",-(F5 * AGITO_WEAPON_MUB_614_GOLD - SUM(J22:Q22) - D5))</f>
        <v>2926</v>
      </c>
      <c r="T19" s="758" t="s">
        <v>64</v>
      </c>
      <c r="U19" s="798" t="s">
        <v>157</v>
      </c>
      <c r="V19" s="799" t="str">
        <f>IF(AND(M5&gt;0,S19&lt;0), _xlfn.CEILING.MATH(-S19/O5),"")</f>
        <v/>
      </c>
      <c r="W19" s="800" t="str">
        <f>IF(AND(P5&gt;0,S19&lt;0), _xlfn.CEILING.MATH(-S19/Q5),"")</f>
        <v/>
      </c>
      <c r="X19" s="669">
        <f>IFERROR((-F5 * AGITO_WEAPON_MUB_614_GOLD - S19)/(-F5 * AGITO_WEAPON_MUB_614_GOLD),"")</f>
        <v>3.4383333333333335</v>
      </c>
    </row>
    <row r="20" spans="2:24" s="307" customFormat="1" ht="18.95" customHeight="1" x14ac:dyDescent="0.25">
      <c r="B20" s="976"/>
      <c r="C20" s="1078"/>
      <c r="D20" s="1078"/>
      <c r="E20" s="1078"/>
      <c r="F20" s="1079"/>
      <c r="G20" s="764"/>
      <c r="I20" s="1104"/>
      <c r="J20" s="1087"/>
      <c r="K20" s="1083"/>
      <c r="L20" s="1083"/>
      <c r="M20" s="1083"/>
      <c r="N20" s="1083"/>
      <c r="O20" s="1083"/>
      <c r="P20" s="1083"/>
      <c r="Q20" s="1083"/>
      <c r="R20" s="772" t="str" cm="1">
        <f t="array" ref="R20">IF(ISBLANK(E5),"",(SUM(J23:Q23) + E5) / AGITO_WEAPON_MUB_614_POT)</f>
        <v/>
      </c>
      <c r="S20" s="616" t="str" cm="1">
        <f t="array" ref="S20">IF(ISBLANK(E5),"",-(F5 * AGITO_WEAPON_MUB_614_POT - SUM(J23:Q23) - E5))</f>
        <v/>
      </c>
      <c r="T20" s="758" t="s">
        <v>475</v>
      </c>
      <c r="U20" s="798" t="s">
        <v>157</v>
      </c>
      <c r="V20" s="799" t="s">
        <v>157</v>
      </c>
      <c r="W20" s="800" t="str">
        <f>IF(AND(P5&gt;0,S20&lt;0), _xlfn.CEILING.MATH(-S20/R5),"")</f>
        <v/>
      </c>
      <c r="X20" s="669" t="str">
        <f>IFERROR((-F5 * AGITO_WEAPON_MUB_614_POT - S20)/(-F5 * AGITO_WEAPON_MUB_614_POT),"")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104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798"/>
      <c r="V21" s="799"/>
      <c r="W21" s="800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104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798"/>
      <c r="V22" s="799"/>
      <c r="W22" s="800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104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798"/>
      <c r="V23" s="799"/>
      <c r="W23" s="800"/>
      <c r="X23" s="669"/>
    </row>
    <row r="24" spans="2:24" s="307" customFormat="1" ht="18.95" customHeight="1" x14ac:dyDescent="0.25">
      <c r="B24" s="1039" t="s">
        <v>348</v>
      </c>
      <c r="C24" s="1080">
        <f>IF(ISBLANK(G6),"",INDEX(DATA_AGITO_BUILDING,G6+ 1, 1))</f>
        <v>0</v>
      </c>
      <c r="D24" s="1080"/>
      <c r="E24" s="1080">
        <f>IF(ISBLANK(G6),"",INDEX(DATA_AGITO_BUILDING,G6+ 1, 2))</f>
        <v>0</v>
      </c>
      <c r="F24" s="1081"/>
      <c r="G24" s="764"/>
      <c r="I24" s="1104"/>
      <c r="J24" s="1118">
        <v>624</v>
      </c>
      <c r="K24" s="1082">
        <v>624</v>
      </c>
      <c r="L24" s="1082">
        <v>624</v>
      </c>
      <c r="M24" s="1082">
        <v>624</v>
      </c>
      <c r="N24" s="1082">
        <v>624</v>
      </c>
      <c r="O24" s="1082">
        <v>624</v>
      </c>
      <c r="P24" s="1082">
        <v>624</v>
      </c>
      <c r="Q24" s="1082">
        <v>624</v>
      </c>
      <c r="R24" s="772" cm="1">
        <f t="array" ref="R24">IF(ISBLANK(C6),"",(SUM(J27:Q27) + C6) / AGITO_WEAPON_MUB_624_SILVER)</f>
        <v>17.55</v>
      </c>
      <c r="S24" s="616" cm="1">
        <f t="array" ref="S24">IF(ISBLANK(C6),"",-(F6*AGITO_WEAPON_MUB_624_SILVER-SUM(J27:Q27)-C6))</f>
        <v>2674</v>
      </c>
      <c r="T24" s="758" t="s">
        <v>65</v>
      </c>
      <c r="U24" s="798" t="str">
        <f>IF(AND(S24&lt;0,K6&gt;0), _xlfn.CEILING.MATH(-S24/L6),"")</f>
        <v/>
      </c>
      <c r="V24" s="799" t="str">
        <f>IF(AND(S24&lt;0,M6&gt;0), _xlfn.CEILING.MATH(-S24/N6),"")</f>
        <v/>
      </c>
      <c r="W24" s="800" t="s">
        <v>157</v>
      </c>
      <c r="X24" s="669">
        <f>IFERROR((-F6 * AGITO_WEAPON_MUB_624_SILVER - S24)/(-F6 * AGITO_WEAPON_MUB_624_SILVER),"")</f>
        <v>2.1937500000000001</v>
      </c>
    </row>
    <row r="25" spans="2:24" s="307" customFormat="1" ht="18.95" customHeight="1" x14ac:dyDescent="0.25">
      <c r="B25" s="1039"/>
      <c r="C25" s="1080"/>
      <c r="D25" s="1080"/>
      <c r="E25" s="1080"/>
      <c r="F25" s="1081"/>
      <c r="G25" s="764"/>
      <c r="I25" s="1104"/>
      <c r="J25" s="1118"/>
      <c r="K25" s="1082"/>
      <c r="L25" s="1082"/>
      <c r="M25" s="1082"/>
      <c r="N25" s="1082"/>
      <c r="O25" s="1082"/>
      <c r="P25" s="1082"/>
      <c r="Q25" s="1082"/>
      <c r="R25" s="772" cm="1">
        <f t="array" ref="R25">IF(ISBLANK(D6),"",(SUM(J28:Q28) + D6) / AGITO_WEAPON_MUB_624_GOLD)</f>
        <v>23.645</v>
      </c>
      <c r="S25" s="616" cm="1">
        <f t="array" ref="S25">IF(ISBLANK(D6),"",-(F6 * AGITO_WEAPON_MUB_624_GOLD - SUM(J28:Q28) - D6))</f>
        <v>3129</v>
      </c>
      <c r="T25" s="758" t="s">
        <v>64</v>
      </c>
      <c r="U25" s="798" t="s">
        <v>157</v>
      </c>
      <c r="V25" s="799" t="str">
        <f>IF(AND(M6&gt;0,S25&lt;0), _xlfn.CEILING.MATH(-S25/O6),"")</f>
        <v/>
      </c>
      <c r="W25" s="800" t="str">
        <f>IF(AND(P6&gt;0,S25&lt;0), _xlfn.CEILING.MATH(-S25/Q6),"")</f>
        <v/>
      </c>
      <c r="X25" s="669">
        <f>IFERROR((-F6 * AGITO_WEAPON_MUB_624_GOLD - S25)/(-F6 * AGITO_WEAPON_MUB_624_GOLD),"")</f>
        <v>2.9556249999999999</v>
      </c>
    </row>
    <row r="26" spans="2:24" s="307" customFormat="1" ht="18.95" customHeight="1" x14ac:dyDescent="0.25">
      <c r="B26" s="1039"/>
      <c r="C26" s="1080"/>
      <c r="D26" s="1080"/>
      <c r="E26" s="1080"/>
      <c r="F26" s="1081"/>
      <c r="G26" s="764"/>
      <c r="I26" s="1104"/>
      <c r="J26" s="1118"/>
      <c r="K26" s="1082"/>
      <c r="L26" s="1082"/>
      <c r="M26" s="1082"/>
      <c r="N26" s="1082"/>
      <c r="O26" s="1082"/>
      <c r="P26" s="1082"/>
      <c r="Q26" s="1082"/>
      <c r="R26" s="772" cm="1">
        <f t="array" ref="R26">IF(ISBLANK(E6),"",(SUM(J29:Q29) + E6) / AGITO_WEAPON_MUB_624_POT)</f>
        <v>19.657142857142858</v>
      </c>
      <c r="S26" s="616" cm="1">
        <f t="array" ref="S26">IF(ISBLANK(E6),"",-(F6 * AGITO_WEAPON_MUB_624_POT - SUM(J29:Q29) - E6))</f>
        <v>408</v>
      </c>
      <c r="T26" s="758" t="s">
        <v>475</v>
      </c>
      <c r="U26" s="798" t="s">
        <v>157</v>
      </c>
      <c r="V26" s="799" t="s">
        <v>157</v>
      </c>
      <c r="W26" s="800" t="str">
        <f>IF(AND(P6&gt;0,S25&lt;0), _xlfn.CEILING.MATH(-S25/R6),"")</f>
        <v/>
      </c>
      <c r="X26" s="669">
        <f>IFERROR((-F6 * AGITO_WEAPON_MUB_624_POT - S26)/(-F6 * AGITO_WEAPON_MUB_624_POT),"")</f>
        <v>2.4571428571428573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104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798"/>
      <c r="V27" s="799"/>
      <c r="W27" s="800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104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798"/>
      <c r="V28" s="799"/>
      <c r="W28" s="800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104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798"/>
      <c r="V29" s="799"/>
      <c r="W29" s="800"/>
      <c r="X29" s="669"/>
    </row>
    <row r="30" spans="2:24" ht="18.95" customHeight="1" x14ac:dyDescent="0.25">
      <c r="B30" s="1018" t="s">
        <v>349</v>
      </c>
      <c r="C30" s="1073">
        <f>IF(ISBLANK(G7),"",INDEX(DATA_AGITO_BUILDING,G7+ 1, 1))</f>
        <v>0</v>
      </c>
      <c r="D30" s="1073"/>
      <c r="E30" s="1073">
        <f>IF(ISBLANK(G7),"",INDEX(DATA_AGITO_BUILDING,G7+ 1, 2))</f>
        <v>0</v>
      </c>
      <c r="F30" s="1074"/>
      <c r="G30" s="764"/>
      <c r="I30" s="1104"/>
      <c r="J30" s="1090">
        <v>614</v>
      </c>
      <c r="K30" s="1086">
        <v>614</v>
      </c>
      <c r="L30" s="1086">
        <v>614</v>
      </c>
      <c r="M30" s="1086">
        <v>614</v>
      </c>
      <c r="N30" s="1086">
        <v>614</v>
      </c>
      <c r="O30" s="1086">
        <v>614</v>
      </c>
      <c r="P30" s="1086">
        <v>614</v>
      </c>
      <c r="Q30" s="1086">
        <v>614</v>
      </c>
      <c r="R30" s="772" cm="1">
        <f t="array" ref="R30">IF(ISBLANK(C7),"",(SUM(J33:Q33) + C7) / AGITO_WEAPON_MUB_614_SILVER)</f>
        <v>20.13</v>
      </c>
      <c r="S30" s="616" cm="1">
        <f t="array" ref="S30">IF(ISBLANK(C7),"",-(F7 * AGITO_WEAPON_MUB_614_SILVER - SUM(J33:Q33) - C7))</f>
        <v>2426</v>
      </c>
      <c r="T30" s="758" t="s">
        <v>65</v>
      </c>
      <c r="U30" s="798" t="str">
        <f>IF(AND(S30&lt;0,K7&gt;0), _xlfn.CEILING.MATH(-S30/L7),"")</f>
        <v/>
      </c>
      <c r="V30" s="799" t="str">
        <f>IF(AND(S30&lt;0,M7&gt;0), _xlfn.CEILING.MATH(-S30/N7),"")</f>
        <v/>
      </c>
      <c r="W30" s="800" t="s">
        <v>157</v>
      </c>
      <c r="X30" s="669">
        <f>IFERROR((-F7 * AGITO_WEAPON_MUB_614_SILVER - S30)/(-F7 * AGITO_WEAPON_MUB_614_SILVER),"")</f>
        <v>2.5162499999999999</v>
      </c>
    </row>
    <row r="31" spans="2:24" ht="18.95" customHeight="1" x14ac:dyDescent="0.25">
      <c r="B31" s="1018"/>
      <c r="C31" s="1073"/>
      <c r="D31" s="1073"/>
      <c r="E31" s="1073"/>
      <c r="F31" s="1074"/>
      <c r="G31" s="764"/>
      <c r="I31" s="1104"/>
      <c r="J31" s="1090"/>
      <c r="K31" s="1086"/>
      <c r="L31" s="1086"/>
      <c r="M31" s="1086"/>
      <c r="N31" s="1086"/>
      <c r="O31" s="1086"/>
      <c r="P31" s="1086"/>
      <c r="Q31" s="1086"/>
      <c r="R31" s="772" cm="1">
        <f t="array" ref="R31">IF(ISBLANK(D7),"",(SUM(J34:Q34) + D7) / AGITO_WEAPON_MUB_614_GOLD)</f>
        <v>21.773333333333333</v>
      </c>
      <c r="S31" s="616" cm="1">
        <f t="array" ref="S31">IF(ISBLANK(D7),"",-(F7 * AGITO_WEAPON_MUB_614_GOLD - SUM(J34:Q34) - D7))</f>
        <v>2066</v>
      </c>
      <c r="T31" s="758" t="s">
        <v>64</v>
      </c>
      <c r="U31" s="798" t="s">
        <v>157</v>
      </c>
      <c r="V31" s="799" t="str">
        <f>IF(AND(S31&lt;0,M7&gt;0), _xlfn.CEILING.MATH(-S31/O7),"")</f>
        <v/>
      </c>
      <c r="W31" s="800" t="str">
        <f>IF(AND(S31&lt;0,P7&gt;0), _xlfn.CEILING.MATH(-S31/Q7),"")</f>
        <v/>
      </c>
      <c r="X31" s="669">
        <f>IFERROR((-F7 * AGITO_WEAPON_MUB_614_GOLD - S31)/(-F7 * AGITO_WEAPON_MUB_614_GOLD),"")</f>
        <v>2.7216666666666667</v>
      </c>
    </row>
    <row r="32" spans="2:24" s="740" customFormat="1" ht="18.95" customHeight="1" x14ac:dyDescent="0.25">
      <c r="B32" s="1018"/>
      <c r="C32" s="1073"/>
      <c r="D32" s="1073"/>
      <c r="E32" s="1073"/>
      <c r="F32" s="1074"/>
      <c r="G32" s="764"/>
      <c r="I32" s="1104"/>
      <c r="J32" s="1090"/>
      <c r="K32" s="1086"/>
      <c r="L32" s="1086"/>
      <c r="M32" s="1086"/>
      <c r="N32" s="1086"/>
      <c r="O32" s="1086"/>
      <c r="P32" s="1086"/>
      <c r="Q32" s="1086"/>
      <c r="R32" s="772" t="str" cm="1">
        <f t="array" ref="R32">IF(ISBLANK(E7),"",(SUM(J35:Q35) + E7) / AGITO_WEAPON_MUB_614_POT)</f>
        <v/>
      </c>
      <c r="S32" s="616" t="str" cm="1">
        <f t="array" ref="S32">IF(ISBLANK(E7),"",-(F7 * AGITO_WEAPON_MUB_614_POT - SUM(J35:Q35) - E7))</f>
        <v/>
      </c>
      <c r="T32" s="758" t="s">
        <v>475</v>
      </c>
      <c r="U32" s="798" t="s">
        <v>157</v>
      </c>
      <c r="V32" s="799" t="s">
        <v>157</v>
      </c>
      <c r="W32" s="800" t="str">
        <f>IF(AND(S32&lt;0,P7&gt;0), _xlfn.CEILING.MATH(-S32/R7),"")</f>
        <v/>
      </c>
      <c r="X32" s="669" t="str">
        <f>IFERROR((-F7 * AGITO_WEAPON_MUB_614_POT - S32)/(-F7 * AGITO_WEAPON_MUB_614_POT),"")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104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798"/>
      <c r="V33" s="799"/>
      <c r="W33" s="800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104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798"/>
      <c r="V34" s="799"/>
      <c r="W34" s="800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104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798"/>
      <c r="V35" s="799"/>
      <c r="W35" s="800"/>
      <c r="X35" s="669"/>
    </row>
    <row r="36" spans="2:24" ht="18.95" customHeight="1" x14ac:dyDescent="0.25">
      <c r="B36" s="1075" t="s">
        <v>350</v>
      </c>
      <c r="C36" s="1069" t="str">
        <f>IF(ISBLANK(G8),"",INDEX(DATA_AGITO_BUILDING,G8+ 1, 1))</f>
        <v/>
      </c>
      <c r="D36" s="1069"/>
      <c r="E36" s="1069" t="str">
        <f>IF(ISBLANK(G8),"",INDEX(DATA_AGITO_BUILDING,G8+ 1, 2))</f>
        <v/>
      </c>
      <c r="F36" s="1070"/>
      <c r="G36" s="764"/>
      <c r="I36" s="1104"/>
      <c r="J36" s="1106"/>
      <c r="K36" s="1084"/>
      <c r="L36" s="1084"/>
      <c r="M36" s="1084"/>
      <c r="N36" s="1084"/>
      <c r="O36" s="1084"/>
      <c r="P36" s="1084"/>
      <c r="Q36" s="1084"/>
      <c r="R36" s="772" t="str" cm="1">
        <f t="array" ref="R36">IF(ISBLANK(C8),"",(SUM(J39:Q39) + C8) / AGITO_WEAPON_MUB_614_SILVER)</f>
        <v/>
      </c>
      <c r="S36" s="616" t="str" cm="1">
        <f t="array" ref="S36">IF(ISBLANK(C8),"",-(F8*AGITO_WEAPON_MUB_614_SILVER-SUM(J39:Q39)-C8))</f>
        <v/>
      </c>
      <c r="T36" s="758" t="s">
        <v>65</v>
      </c>
      <c r="U36" s="798" t="str">
        <f>IF(AND(S36&lt;0,K8&gt;0), _xlfn.CEILING.MATH(-S36/L8),"")</f>
        <v/>
      </c>
      <c r="V36" s="799" t="str">
        <f>IF(AND(S36&lt;0,M8&gt;0), _xlfn.CEILING.MATH(-S36/N8),"")</f>
        <v/>
      </c>
      <c r="W36" s="800" t="s">
        <v>157</v>
      </c>
      <c r="X36" s="669" t="str">
        <f>IFERROR((-F8 * AGITO_WEAPON_MUB_614_SILVER - S36)/(-F8 * AGITO_WEAPON_MUB_614_SILVER),"")</f>
        <v/>
      </c>
    </row>
    <row r="37" spans="2:24" ht="18.95" customHeight="1" x14ac:dyDescent="0.25">
      <c r="B37" s="1075"/>
      <c r="C37" s="1069"/>
      <c r="D37" s="1069"/>
      <c r="E37" s="1069"/>
      <c r="F37" s="1070"/>
      <c r="G37" s="764"/>
      <c r="I37" s="1104"/>
      <c r="J37" s="1106"/>
      <c r="K37" s="1084"/>
      <c r="L37" s="1084"/>
      <c r="M37" s="1084"/>
      <c r="N37" s="1084"/>
      <c r="O37" s="1084"/>
      <c r="P37" s="1084"/>
      <c r="Q37" s="1084"/>
      <c r="R37" s="772" t="str" cm="1">
        <f t="array" ref="R37">IF(ISBLANK(D8),"",(SUM(J40:Q40) + D8) / AGITO_WEAPON_MUB_614_GOLD)</f>
        <v/>
      </c>
      <c r="S37" s="616" t="str" cm="1">
        <f t="array" ref="S37">IF(ISBLANK(D8),"",-(F8 * AGITO_WEAPON_MUB_614_GOLD - SUM(J40:Q40) - D8))</f>
        <v/>
      </c>
      <c r="T37" s="758" t="s">
        <v>64</v>
      </c>
      <c r="U37" s="798" t="s">
        <v>157</v>
      </c>
      <c r="V37" s="799" t="str">
        <f>IF(AND(S37&lt;0,M8&gt;0), _xlfn.CEILING.MATH(-S37/O8),"")</f>
        <v/>
      </c>
      <c r="W37" s="800" t="str">
        <f>IF(AND(S37&lt;0,P8&gt;0), _xlfn.CEILING.MATH(-S37/Q8),"")</f>
        <v/>
      </c>
      <c r="X37" s="669" t="str">
        <f>IFERROR((-F8 * AGITO_WEAPON_MUB_614_GOLD - S37)/(-F8 * AGITO_WEAPON_MUB_614_GOLD),"")</f>
        <v/>
      </c>
    </row>
    <row r="38" spans="2:24" s="740" customFormat="1" ht="18.95" customHeight="1" x14ac:dyDescent="0.25">
      <c r="B38" s="1014"/>
      <c r="C38" s="1071"/>
      <c r="D38" s="1071"/>
      <c r="E38" s="1071"/>
      <c r="F38" s="1072"/>
      <c r="G38" s="764"/>
      <c r="I38" s="1104"/>
      <c r="J38" s="1107"/>
      <c r="K38" s="1085"/>
      <c r="L38" s="1085"/>
      <c r="M38" s="1085"/>
      <c r="N38" s="1085"/>
      <c r="O38" s="1085"/>
      <c r="P38" s="1085"/>
      <c r="Q38" s="1085"/>
      <c r="R38" s="773" t="str" cm="1">
        <f t="array" ref="R38">IF(ISBLANK(E8),"",(SUM(J41:Q41) + E8) / AGITO_WEAPON_MUB_614_POT)</f>
        <v/>
      </c>
      <c r="S38" s="617" t="str" cm="1">
        <f t="array" ref="S38">IF(ISBLANK(E8),"",-(F8 * AGITO_WEAPON_MUB_614_GOLD - SUM(J41:Q41) - E8))</f>
        <v/>
      </c>
      <c r="T38" s="759" t="s">
        <v>475</v>
      </c>
      <c r="U38" s="801" t="s">
        <v>157</v>
      </c>
      <c r="V38" s="802" t="s">
        <v>157</v>
      </c>
      <c r="W38" s="803" t="str">
        <f>IF(AND(S38&lt;0,P8&gt;0), _xlfn.CEILING.MATH(-S38/R8),"")</f>
        <v/>
      </c>
      <c r="X38" s="670" t="str">
        <f>IFERROR((-F8 * AGITO_WEAPON_MUB_614_POT - S38)/(-F8 * AGITO_WEAPON_MUB_614_POT),"")</f>
        <v/>
      </c>
    </row>
    <row r="39" spans="2:24" ht="36" hidden="1" customHeight="1" x14ac:dyDescent="0.25">
      <c r="C39" s="307"/>
      <c r="D39" s="307"/>
      <c r="E39" s="307"/>
      <c r="I39" s="1104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4"/>
      <c r="V39" s="804"/>
      <c r="W39" s="804"/>
      <c r="X39" s="510"/>
    </row>
    <row r="40" spans="2:24" ht="20.25" hidden="1" customHeight="1" x14ac:dyDescent="0.25">
      <c r="I40" s="1104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4"/>
      <c r="V40" s="804"/>
      <c r="W40" s="804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105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5"/>
      <c r="V41" s="805"/>
      <c r="W41" s="805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9"/>
  <sheetViews>
    <sheetView topLeftCell="A376" zoomScaleNormal="100" workbookViewId="0">
      <selection activeCell="P392" sqref="P392:P393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2" t="s">
        <v>241</v>
      </c>
      <c r="C1" s="1122"/>
      <c r="D1" s="1122" t="s">
        <v>246</v>
      </c>
      <c r="E1" s="1122"/>
      <c r="F1" s="1125"/>
      <c r="G1" s="629" t="s">
        <v>239</v>
      </c>
      <c r="H1" s="1123" t="s">
        <v>241</v>
      </c>
      <c r="I1" s="1123"/>
      <c r="J1" s="1123" t="s">
        <v>246</v>
      </c>
      <c r="K1" s="1123"/>
      <c r="L1" s="1126"/>
      <c r="M1" s="656" t="s">
        <v>239</v>
      </c>
      <c r="N1" s="1055" t="s">
        <v>241</v>
      </c>
      <c r="O1" s="1055"/>
      <c r="P1" s="1055" t="s">
        <v>246</v>
      </c>
      <c r="Q1" s="1055"/>
      <c r="R1" s="1056"/>
      <c r="S1" s="628" t="s">
        <v>239</v>
      </c>
      <c r="T1" s="1124" t="s">
        <v>241</v>
      </c>
      <c r="U1" s="1124"/>
      <c r="V1" s="1124" t="s">
        <v>246</v>
      </c>
      <c r="W1" s="1124"/>
      <c r="X1" s="1059"/>
      <c r="Y1" s="757" t="s">
        <v>239</v>
      </c>
      <c r="Z1" s="1119" t="s">
        <v>241</v>
      </c>
      <c r="AA1" s="1119"/>
      <c r="AB1" s="1119" t="s">
        <v>246</v>
      </c>
      <c r="AC1" s="1119"/>
      <c r="AD1" s="1120"/>
      <c r="AF1" s="1121" t="s">
        <v>353</v>
      </c>
      <c r="AG1" s="1121" t="s">
        <v>476</v>
      </c>
      <c r="AH1" s="1121"/>
      <c r="AI1" s="1121" t="s">
        <v>477</v>
      </c>
      <c r="AJ1" s="1121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1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G87" s="191">
        <v>5</v>
      </c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G88" s="191">
        <v>5</v>
      </c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G89" s="191">
        <v>5</v>
      </c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G90" s="191">
        <v>5</v>
      </c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G91" s="191">
        <v>5</v>
      </c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G92" s="191">
        <v>7</v>
      </c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G93" s="191">
        <v>5</v>
      </c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G94" s="191">
        <v>5</v>
      </c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G95" s="191">
        <v>5</v>
      </c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S95" s="201">
        <v>5</v>
      </c>
      <c r="T95" s="318">
        <v>3</v>
      </c>
      <c r="U95" s="318">
        <v>3</v>
      </c>
    </row>
    <row r="96" spans="7:21" x14ac:dyDescent="0.25">
      <c r="G96" s="191">
        <v>5</v>
      </c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7:21" x14ac:dyDescent="0.25">
      <c r="G97" s="191">
        <v>5</v>
      </c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7:21" x14ac:dyDescent="0.25">
      <c r="G98" s="191">
        <v>5</v>
      </c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7:21" x14ac:dyDescent="0.25">
      <c r="G99" s="191">
        <v>5</v>
      </c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7:21" x14ac:dyDescent="0.25">
      <c r="G100" s="191">
        <v>5</v>
      </c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7:21" x14ac:dyDescent="0.25">
      <c r="G101" s="191">
        <v>5</v>
      </c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7:21" x14ac:dyDescent="0.25">
      <c r="G102" s="191">
        <v>5</v>
      </c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7:21" x14ac:dyDescent="0.25">
      <c r="G103" s="191">
        <v>5</v>
      </c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7:21" x14ac:dyDescent="0.25">
      <c r="G104" s="191">
        <v>5</v>
      </c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7:21" x14ac:dyDescent="0.25">
      <c r="G105" s="191">
        <v>5</v>
      </c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7:21" x14ac:dyDescent="0.25">
      <c r="G106" s="191">
        <v>5</v>
      </c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7:21" x14ac:dyDescent="0.25">
      <c r="G107" s="191">
        <v>5</v>
      </c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7:21" x14ac:dyDescent="0.25">
      <c r="G108" s="191">
        <v>5</v>
      </c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7:21" x14ac:dyDescent="0.25">
      <c r="G109" s="191">
        <v>7</v>
      </c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7:21" x14ac:dyDescent="0.25">
      <c r="G110" s="191">
        <v>5</v>
      </c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7:21" x14ac:dyDescent="0.25">
      <c r="G111" s="191">
        <v>5</v>
      </c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7:21" x14ac:dyDescent="0.25">
      <c r="G112" s="191">
        <v>5</v>
      </c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7:21" x14ac:dyDescent="0.25">
      <c r="G113" s="191">
        <v>5</v>
      </c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7:21" x14ac:dyDescent="0.25">
      <c r="G114" s="191">
        <v>5</v>
      </c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7:21" x14ac:dyDescent="0.25">
      <c r="G115" s="191">
        <v>5</v>
      </c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7:21" x14ac:dyDescent="0.25">
      <c r="G116" s="191">
        <v>5</v>
      </c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7:21" x14ac:dyDescent="0.25">
      <c r="G117" s="191">
        <v>5</v>
      </c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7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7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7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7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7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7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7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7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7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7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7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P191" s="51">
        <v>1</v>
      </c>
      <c r="Q191" s="51">
        <v>2</v>
      </c>
      <c r="R191" s="51">
        <v>1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P192" s="51">
        <v>1</v>
      </c>
      <c r="Q192" s="51">
        <v>3</v>
      </c>
      <c r="R192" s="51">
        <v>1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P193" s="51">
        <v>2</v>
      </c>
      <c r="Q193" s="51">
        <v>2</v>
      </c>
      <c r="R193" s="51">
        <v>1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M370" s="621">
        <v>5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M371" s="621">
        <v>6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M372" s="621">
        <v>7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M373" s="621">
        <v>5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M374" s="621">
        <v>5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M375" s="621">
        <v>5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M376" s="621">
        <v>5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M377" s="621">
        <v>5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M378" s="621">
        <v>5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M379" s="62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M380" s="621">
        <v>5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M381" s="621">
        <v>5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M382" s="621">
        <v>5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M383" s="621">
        <v>5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M384" s="621">
        <v>5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M385" s="621">
        <v>6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M386" s="621">
        <v>5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M387" s="621">
        <v>5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M388" s="621">
        <v>5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H392" s="261">
        <v>2</v>
      </c>
      <c r="I392" s="261">
        <v>3</v>
      </c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H393" s="261">
        <v>2</v>
      </c>
      <c r="I393" s="261">
        <v>3</v>
      </c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H394" s="261">
        <v>3</v>
      </c>
      <c r="I394" s="261">
        <v>3</v>
      </c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H395" s="261">
        <v>3</v>
      </c>
      <c r="I395" s="261">
        <v>4</v>
      </c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  <c r="T862" s="318">
        <v>3</v>
      </c>
      <c r="U862" s="318">
        <v>5</v>
      </c>
    </row>
    <row r="863" spans="14:21" x14ac:dyDescent="0.25">
      <c r="N863" s="51">
        <v>3</v>
      </c>
      <c r="O863" s="51">
        <v>5</v>
      </c>
      <c r="T863" s="318">
        <v>2</v>
      </c>
      <c r="U863" s="318">
        <v>4</v>
      </c>
    </row>
    <row r="864" spans="14:21" x14ac:dyDescent="0.25">
      <c r="N864" s="51">
        <v>4</v>
      </c>
      <c r="O864" s="51">
        <v>4</v>
      </c>
      <c r="T864" s="318">
        <v>3</v>
      </c>
      <c r="U864" s="318">
        <v>4</v>
      </c>
    </row>
    <row r="865" spans="14:21" x14ac:dyDescent="0.25">
      <c r="N865" s="51">
        <v>3</v>
      </c>
      <c r="O865" s="51">
        <v>3</v>
      </c>
      <c r="T865" s="318">
        <v>3</v>
      </c>
      <c r="U865" s="318">
        <v>3</v>
      </c>
    </row>
    <row r="866" spans="14:21" x14ac:dyDescent="0.25">
      <c r="N866" s="51">
        <v>2</v>
      </c>
      <c r="O866" s="51">
        <v>4</v>
      </c>
      <c r="T866" s="318">
        <v>2</v>
      </c>
      <c r="U866" s="318">
        <v>3</v>
      </c>
    </row>
    <row r="867" spans="14:21" x14ac:dyDescent="0.25">
      <c r="N867" s="51">
        <v>2</v>
      </c>
      <c r="O867" s="51">
        <v>3</v>
      </c>
      <c r="T867" s="318">
        <v>3</v>
      </c>
      <c r="U867" s="318">
        <v>3</v>
      </c>
    </row>
    <row r="868" spans="14:21" x14ac:dyDescent="0.25">
      <c r="N868" s="51">
        <v>3</v>
      </c>
      <c r="O868" s="51">
        <v>4</v>
      </c>
      <c r="T868" s="318">
        <v>3</v>
      </c>
      <c r="U868" s="318">
        <v>4</v>
      </c>
    </row>
    <row r="869" spans="14:21" x14ac:dyDescent="0.25">
      <c r="N869" s="51">
        <v>2</v>
      </c>
      <c r="O869" s="51">
        <v>5</v>
      </c>
      <c r="T869" s="318">
        <v>3</v>
      </c>
      <c r="U869" s="318">
        <v>4</v>
      </c>
    </row>
    <row r="870" spans="14:21" x14ac:dyDescent="0.25">
      <c r="N870" s="51">
        <v>4</v>
      </c>
      <c r="O870" s="51">
        <v>3</v>
      </c>
      <c r="T870" s="318">
        <v>2</v>
      </c>
      <c r="U870" s="318">
        <v>3</v>
      </c>
    </row>
    <row r="871" spans="14:21" x14ac:dyDescent="0.25">
      <c r="N871" s="51">
        <v>2</v>
      </c>
      <c r="O871" s="51">
        <v>3</v>
      </c>
      <c r="T871" s="318">
        <v>3</v>
      </c>
      <c r="U871" s="318">
        <v>4</v>
      </c>
    </row>
    <row r="872" spans="14:21" x14ac:dyDescent="0.25">
      <c r="N872" s="51">
        <v>3</v>
      </c>
      <c r="O872" s="51">
        <v>5</v>
      </c>
      <c r="T872" s="318">
        <v>2</v>
      </c>
      <c r="U872" s="318">
        <v>5</v>
      </c>
    </row>
    <row r="873" spans="14:21" x14ac:dyDescent="0.25">
      <c r="N873" s="51">
        <v>2</v>
      </c>
      <c r="O873" s="51">
        <v>4</v>
      </c>
      <c r="T873" s="318">
        <v>2</v>
      </c>
      <c r="U873" s="318">
        <v>3</v>
      </c>
    </row>
    <row r="874" spans="14:21" x14ac:dyDescent="0.25">
      <c r="N874" s="51">
        <v>3</v>
      </c>
      <c r="O874" s="51">
        <v>4</v>
      </c>
      <c r="T874" s="318">
        <v>2</v>
      </c>
      <c r="U874" s="318">
        <v>4</v>
      </c>
    </row>
    <row r="875" spans="14:21" x14ac:dyDescent="0.25">
      <c r="N875" s="51">
        <v>2</v>
      </c>
      <c r="O875" s="51">
        <v>4</v>
      </c>
      <c r="T875" s="318">
        <v>2</v>
      </c>
      <c r="U875" s="318">
        <v>4</v>
      </c>
    </row>
    <row r="876" spans="14:21" x14ac:dyDescent="0.25">
      <c r="N876" s="51">
        <v>2</v>
      </c>
      <c r="O876" s="51">
        <v>4</v>
      </c>
      <c r="T876" s="318">
        <v>4</v>
      </c>
      <c r="U876" s="318">
        <v>3</v>
      </c>
    </row>
    <row r="877" spans="14:21" x14ac:dyDescent="0.25">
      <c r="N877" s="51">
        <v>3</v>
      </c>
      <c r="O877" s="51">
        <v>3</v>
      </c>
      <c r="T877" s="318">
        <v>3</v>
      </c>
      <c r="U877" s="318">
        <v>4</v>
      </c>
    </row>
    <row r="878" spans="14:21" x14ac:dyDescent="0.25">
      <c r="N878" s="51">
        <v>3</v>
      </c>
      <c r="O878" s="51">
        <v>4</v>
      </c>
      <c r="T878" s="318">
        <v>2</v>
      </c>
      <c r="U878" s="318">
        <v>4</v>
      </c>
    </row>
    <row r="879" spans="14:21" x14ac:dyDescent="0.25">
      <c r="N879" s="51">
        <v>3</v>
      </c>
      <c r="O879" s="51">
        <v>3</v>
      </c>
      <c r="T879" s="318">
        <v>2</v>
      </c>
      <c r="U879" s="318">
        <v>3</v>
      </c>
    </row>
    <row r="880" spans="14:21" x14ac:dyDescent="0.25">
      <c r="N880" s="51">
        <v>2</v>
      </c>
      <c r="O880" s="51">
        <v>3</v>
      </c>
      <c r="T880" s="318">
        <v>2</v>
      </c>
      <c r="U880" s="318">
        <v>3</v>
      </c>
    </row>
    <row r="881" spans="14:21" x14ac:dyDescent="0.25">
      <c r="N881" s="51">
        <v>2</v>
      </c>
      <c r="O881" s="51">
        <v>4</v>
      </c>
      <c r="T881" s="318">
        <v>3</v>
      </c>
      <c r="U881" s="318">
        <v>3</v>
      </c>
    </row>
    <row r="882" spans="14:21" x14ac:dyDescent="0.25">
      <c r="N882" s="51">
        <v>3</v>
      </c>
      <c r="O882" s="51">
        <v>4</v>
      </c>
      <c r="T882" s="318">
        <v>3</v>
      </c>
      <c r="U882" s="318">
        <v>3</v>
      </c>
    </row>
    <row r="883" spans="14:21" x14ac:dyDescent="0.25">
      <c r="N883" s="51">
        <v>3</v>
      </c>
      <c r="O883" s="51">
        <v>4</v>
      </c>
      <c r="T883" s="318">
        <v>4</v>
      </c>
      <c r="U883" s="318">
        <v>4</v>
      </c>
    </row>
    <row r="884" spans="14:21" x14ac:dyDescent="0.25">
      <c r="N884" s="51">
        <v>2</v>
      </c>
      <c r="O884" s="51">
        <v>3</v>
      </c>
      <c r="T884" s="318">
        <v>3</v>
      </c>
      <c r="U884" s="318">
        <v>3</v>
      </c>
    </row>
    <row r="885" spans="14:21" x14ac:dyDescent="0.25">
      <c r="N885" s="51">
        <v>2</v>
      </c>
      <c r="O885" s="51">
        <v>4</v>
      </c>
      <c r="T885" s="318">
        <v>2</v>
      </c>
      <c r="U885" s="318">
        <v>4</v>
      </c>
    </row>
    <row r="886" spans="14:21" x14ac:dyDescent="0.25">
      <c r="N886" s="51">
        <v>2</v>
      </c>
      <c r="O886" s="51">
        <v>4</v>
      </c>
      <c r="T886" s="318">
        <v>3</v>
      </c>
      <c r="U886" s="318">
        <v>3</v>
      </c>
    </row>
    <row r="887" spans="14:21" x14ac:dyDescent="0.25">
      <c r="N887" s="51">
        <v>2</v>
      </c>
      <c r="O887" s="51">
        <v>3</v>
      </c>
      <c r="T887" s="318">
        <v>2</v>
      </c>
      <c r="U887" s="318">
        <v>3</v>
      </c>
    </row>
    <row r="888" spans="14:21" x14ac:dyDescent="0.25">
      <c r="N888" s="51">
        <v>2</v>
      </c>
      <c r="O888" s="51">
        <v>3</v>
      </c>
      <c r="T888" s="318">
        <v>2</v>
      </c>
      <c r="U888" s="318">
        <v>4</v>
      </c>
    </row>
    <row r="889" spans="14:21" x14ac:dyDescent="0.25">
      <c r="N889" s="51">
        <v>3</v>
      </c>
      <c r="O889" s="51">
        <v>3</v>
      </c>
      <c r="T889" s="318">
        <v>3</v>
      </c>
      <c r="U889" s="318">
        <v>3</v>
      </c>
    </row>
    <row r="890" spans="14:21" x14ac:dyDescent="0.25">
      <c r="N890" s="51">
        <v>2</v>
      </c>
      <c r="O890" s="51">
        <v>4</v>
      </c>
      <c r="T890" s="318">
        <v>3</v>
      </c>
      <c r="U890" s="318">
        <v>3</v>
      </c>
    </row>
    <row r="891" spans="14:21" x14ac:dyDescent="0.25">
      <c r="N891" s="51">
        <v>2</v>
      </c>
      <c r="O891" s="51">
        <v>4</v>
      </c>
      <c r="T891" s="318">
        <v>2</v>
      </c>
      <c r="U891" s="318">
        <v>3</v>
      </c>
    </row>
    <row r="892" spans="14:21" x14ac:dyDescent="0.25">
      <c r="N892" s="51">
        <v>2</v>
      </c>
      <c r="O892" s="51">
        <v>3</v>
      </c>
      <c r="T892" s="318">
        <v>2</v>
      </c>
      <c r="U892" s="318">
        <v>5</v>
      </c>
    </row>
    <row r="893" spans="14:21" x14ac:dyDescent="0.25">
      <c r="N893" s="51">
        <v>3</v>
      </c>
      <c r="O893" s="51">
        <v>4</v>
      </c>
      <c r="T893" s="318">
        <v>2</v>
      </c>
      <c r="U893" s="318">
        <v>4</v>
      </c>
    </row>
    <row r="894" spans="14:21" x14ac:dyDescent="0.25">
      <c r="N894" s="51">
        <v>3</v>
      </c>
      <c r="O894" s="51">
        <v>4</v>
      </c>
      <c r="T894" s="318">
        <v>3</v>
      </c>
      <c r="U894" s="318">
        <v>4</v>
      </c>
    </row>
    <row r="895" spans="14:21" x14ac:dyDescent="0.25">
      <c r="N895" s="51">
        <v>3</v>
      </c>
      <c r="O895" s="51">
        <v>3</v>
      </c>
      <c r="T895" s="318">
        <v>2</v>
      </c>
      <c r="U895" s="318">
        <v>3</v>
      </c>
    </row>
    <row r="896" spans="14:21" x14ac:dyDescent="0.25">
      <c r="N896" s="51">
        <v>2</v>
      </c>
      <c r="O896" s="51">
        <v>4</v>
      </c>
      <c r="T896" s="318">
        <v>2</v>
      </c>
      <c r="U896" s="318">
        <v>4</v>
      </c>
    </row>
    <row r="897" spans="14:21" x14ac:dyDescent="0.25">
      <c r="N897" s="51">
        <v>2</v>
      </c>
      <c r="O897" s="51">
        <v>4</v>
      </c>
      <c r="T897" s="318">
        <v>2</v>
      </c>
      <c r="U897" s="318">
        <v>3</v>
      </c>
    </row>
    <row r="898" spans="14:21" x14ac:dyDescent="0.25">
      <c r="N898" s="51">
        <v>3</v>
      </c>
      <c r="O898" s="51">
        <v>4</v>
      </c>
      <c r="T898" s="318">
        <v>2</v>
      </c>
      <c r="U898" s="318">
        <v>4</v>
      </c>
    </row>
    <row r="899" spans="14:21" x14ac:dyDescent="0.25">
      <c r="N899" s="51">
        <v>3</v>
      </c>
      <c r="O899" s="51">
        <v>3</v>
      </c>
      <c r="T899" s="318">
        <v>3</v>
      </c>
      <c r="U899" s="318">
        <v>4</v>
      </c>
    </row>
    <row r="900" spans="14:21" x14ac:dyDescent="0.25">
      <c r="N900" s="51">
        <v>2</v>
      </c>
      <c r="O900" s="51">
        <v>4</v>
      </c>
      <c r="T900" s="318">
        <v>3</v>
      </c>
      <c r="U900" s="318">
        <v>4</v>
      </c>
    </row>
    <row r="901" spans="14:21" x14ac:dyDescent="0.25">
      <c r="N901" s="51">
        <v>2</v>
      </c>
      <c r="O901" s="51">
        <v>3</v>
      </c>
      <c r="T901" s="318">
        <v>4</v>
      </c>
      <c r="U901" s="318">
        <v>3</v>
      </c>
    </row>
    <row r="902" spans="14:21" x14ac:dyDescent="0.25">
      <c r="N902" s="51">
        <v>2</v>
      </c>
      <c r="O902" s="51">
        <v>3</v>
      </c>
      <c r="T902" s="318">
        <v>4</v>
      </c>
      <c r="U902" s="318">
        <v>3</v>
      </c>
    </row>
    <row r="903" spans="14:21" x14ac:dyDescent="0.25">
      <c r="N903" s="51">
        <v>2</v>
      </c>
      <c r="O903" s="51">
        <v>3</v>
      </c>
      <c r="T903" s="318">
        <v>2</v>
      </c>
      <c r="U903" s="318">
        <v>3</v>
      </c>
    </row>
    <row r="904" spans="14:21" x14ac:dyDescent="0.25">
      <c r="N904" s="51">
        <v>4</v>
      </c>
      <c r="O904" s="51">
        <v>3</v>
      </c>
      <c r="T904" s="318">
        <v>3</v>
      </c>
      <c r="U904" s="318">
        <v>3</v>
      </c>
    </row>
    <row r="905" spans="14:21" x14ac:dyDescent="0.25">
      <c r="N905" s="51">
        <v>2</v>
      </c>
      <c r="O905" s="51">
        <v>3</v>
      </c>
      <c r="T905" s="318">
        <v>2</v>
      </c>
      <c r="U905" s="318">
        <v>3</v>
      </c>
    </row>
    <row r="906" spans="14:21" x14ac:dyDescent="0.25">
      <c r="N906" s="51">
        <v>4</v>
      </c>
      <c r="O906" s="51">
        <v>3</v>
      </c>
      <c r="T906" s="318">
        <v>3</v>
      </c>
      <c r="U906" s="318">
        <v>4</v>
      </c>
    </row>
    <row r="907" spans="14:21" x14ac:dyDescent="0.25">
      <c r="N907" s="51">
        <v>2</v>
      </c>
      <c r="O907" s="51">
        <v>4</v>
      </c>
      <c r="T907" s="318">
        <v>3</v>
      </c>
      <c r="U907" s="318">
        <v>3</v>
      </c>
    </row>
    <row r="908" spans="14:21" x14ac:dyDescent="0.25">
      <c r="N908" s="51">
        <v>3</v>
      </c>
      <c r="O908" s="51">
        <v>3</v>
      </c>
      <c r="T908" s="318">
        <v>2</v>
      </c>
      <c r="U908" s="318">
        <v>4</v>
      </c>
    </row>
    <row r="909" spans="14:21" x14ac:dyDescent="0.25">
      <c r="N909" s="51">
        <v>2</v>
      </c>
      <c r="O909" s="51">
        <v>4</v>
      </c>
      <c r="U909" s="318" t="s">
        <v>511</v>
      </c>
    </row>
    <row r="910" spans="14:21" x14ac:dyDescent="0.25">
      <c r="N910" s="51">
        <v>2</v>
      </c>
      <c r="O910" s="51">
        <v>4</v>
      </c>
    </row>
    <row r="911" spans="14:21" x14ac:dyDescent="0.25">
      <c r="N911" s="51">
        <v>3</v>
      </c>
      <c r="O911" s="51">
        <v>4</v>
      </c>
    </row>
    <row r="912" spans="14:21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  <row r="1072" spans="14:15" x14ac:dyDescent="0.25">
      <c r="N1072" s="51">
        <v>3</v>
      </c>
      <c r="O1072" s="51">
        <v>3</v>
      </c>
    </row>
    <row r="1073" spans="14:15" x14ac:dyDescent="0.25">
      <c r="N1073" s="51">
        <v>2</v>
      </c>
      <c r="O1073" s="51">
        <v>3</v>
      </c>
    </row>
    <row r="1074" spans="14:15" x14ac:dyDescent="0.25">
      <c r="N1074" s="51">
        <v>3</v>
      </c>
      <c r="O1074" s="51">
        <v>3</v>
      </c>
    </row>
    <row r="1075" spans="14:15" x14ac:dyDescent="0.25">
      <c r="N1075" s="51">
        <v>3</v>
      </c>
      <c r="O1075" s="51">
        <v>4</v>
      </c>
    </row>
    <row r="1076" spans="14:15" x14ac:dyDescent="0.25">
      <c r="N1076" s="51">
        <v>2</v>
      </c>
      <c r="O1076" s="51">
        <v>4</v>
      </c>
    </row>
    <row r="1077" spans="14:15" x14ac:dyDescent="0.25">
      <c r="N1077" s="51">
        <v>3</v>
      </c>
      <c r="O1077" s="51">
        <v>4</v>
      </c>
    </row>
    <row r="1078" spans="14:15" x14ac:dyDescent="0.25">
      <c r="N1078" s="51">
        <v>2</v>
      </c>
      <c r="O1078" s="51">
        <v>3</v>
      </c>
    </row>
    <row r="1079" spans="14:15" x14ac:dyDescent="0.25">
      <c r="N1079" s="51">
        <v>3</v>
      </c>
      <c r="O1079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83"/>
  <sheetViews>
    <sheetView topLeftCell="A62" workbookViewId="0">
      <selection activeCell="B90" sqref="B90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7" t="s">
        <v>470</v>
      </c>
      <c r="F1" s="1127"/>
      <c r="G1" s="1127"/>
      <c r="H1" s="1127"/>
      <c r="I1" s="1127"/>
      <c r="J1" s="1121" t="s">
        <v>471</v>
      </c>
      <c r="K1" s="1121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22473.455178417153</v>
      </c>
      <c r="F3" s="731" cm="1">
        <f t="array" ref="F3">SUMIF($G6:$G100000,"&gt;0") / SCOUT_DAYS_FROM_EARLIEST * 30</f>
        <v>21845.082680592925</v>
      </c>
      <c r="G3" s="731" cm="1">
        <f t="array" ref="G3">SUMIF($F6:$G100000,"&gt;0") / SCOUT_DAYS_FROM_EARLIEST * 30</f>
        <v>44318.537859010081</v>
      </c>
      <c r="H3" s="731" cm="1">
        <f t="array" ref="H3">SUMIF($F6:$G100000,"&lt;0") / SCOUT_DAYS_FROM_EARLIEST * 30</f>
        <v>-85112.271540474278</v>
      </c>
      <c r="I3" s="731">
        <f>G3+H3</f>
        <v>-40793.733681464197</v>
      </c>
      <c r="J3" s="99" cm="1">
        <f t="array" ref="J3">SUM(J6:J100000) / SCOUT_DAYS_FROM_EARLIEST * 30</f>
        <v>36762.402088774703</v>
      </c>
      <c r="K3" s="734" cm="1">
        <f t="array" ref="K3">SUM(K6:K100000) / SCOUT_DAYS_FROM_EARLIEST * 30</f>
        <v>663.88163620542969</v>
      </c>
    </row>
    <row r="4" spans="1:11" s="719" customFormat="1" ht="15" customHeight="1" x14ac:dyDescent="0.25">
      <c r="A4" s="1128" t="s">
        <v>415</v>
      </c>
      <c r="B4" s="1092" t="s">
        <v>422</v>
      </c>
      <c r="C4" s="1092" t="s">
        <v>92</v>
      </c>
      <c r="D4" s="1092"/>
      <c r="E4" s="1092"/>
      <c r="F4" s="1092" t="s">
        <v>104</v>
      </c>
      <c r="G4" s="1092"/>
      <c r="H4" s="1092"/>
      <c r="I4" s="1092"/>
      <c r="J4" s="1092" t="s">
        <v>432</v>
      </c>
      <c r="K4" s="1092"/>
    </row>
    <row r="5" spans="1:11" s="710" customFormat="1" ht="15" customHeight="1" x14ac:dyDescent="0.25">
      <c r="A5" s="1129"/>
      <c r="B5" s="926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  <c r="J74" s="711">
        <v>480</v>
      </c>
      <c r="K74" s="711">
        <v>8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  <row r="78" spans="1:11" x14ac:dyDescent="0.25">
      <c r="A78" s="714">
        <v>43987.148611111108</v>
      </c>
      <c r="C78" s="711">
        <v>5155</v>
      </c>
      <c r="D78" s="711">
        <v>3184</v>
      </c>
      <c r="E78" s="711">
        <f t="shared" ref="E78" si="30">SUM(C78:D78)</f>
        <v>8339</v>
      </c>
      <c r="F78" s="713">
        <f t="shared" ref="F78" si="31">C78-C77</f>
        <v>250</v>
      </c>
      <c r="G78" s="713">
        <f t="shared" ref="G78" si="32">D78-D77</f>
        <v>20</v>
      </c>
      <c r="H78" s="713">
        <f t="shared" ref="H78" si="33">SUM(F78:G78)</f>
        <v>270</v>
      </c>
      <c r="I78" s="724">
        <f t="shared" ref="I78" si="34">H78/4200*80</f>
        <v>5.1428571428571423</v>
      </c>
    </row>
    <row r="79" spans="1:11" x14ac:dyDescent="0.25">
      <c r="A79" s="714">
        <v>43988.245138888888</v>
      </c>
      <c r="C79" s="711">
        <v>5280</v>
      </c>
      <c r="D79" s="711">
        <v>3204</v>
      </c>
      <c r="E79" s="711">
        <f t="shared" ref="E79" si="35">SUM(C79:D79)</f>
        <v>8484</v>
      </c>
      <c r="F79" s="713">
        <f t="shared" ref="F79" si="36">C79-C78</f>
        <v>125</v>
      </c>
      <c r="G79" s="713">
        <f t="shared" ref="G79" si="37">D79-D78</f>
        <v>20</v>
      </c>
      <c r="H79" s="713">
        <f t="shared" ref="H79" si="38">SUM(F79:G79)</f>
        <v>145</v>
      </c>
      <c r="I79" s="724">
        <f t="shared" ref="I79" si="39">H79/4200*80</f>
        <v>2.7619047619047619</v>
      </c>
    </row>
    <row r="80" spans="1:11" x14ac:dyDescent="0.25">
      <c r="A80" s="714">
        <v>43989.779166666667</v>
      </c>
      <c r="B80" s="717" t="s">
        <v>508</v>
      </c>
      <c r="C80" s="711">
        <v>5455</v>
      </c>
      <c r="D80" s="711">
        <v>2124</v>
      </c>
      <c r="E80" s="711">
        <f t="shared" ref="E80:E83" si="40">SUM(C80:D80)</f>
        <v>7579</v>
      </c>
      <c r="F80" s="713">
        <f t="shared" ref="F80" si="41">C80-C79</f>
        <v>175</v>
      </c>
      <c r="G80" s="713">
        <f t="shared" ref="G80" si="42">D80-D79</f>
        <v>-1080</v>
      </c>
      <c r="H80" s="713">
        <f t="shared" ref="H80" si="43">SUM(F80:G80)</f>
        <v>-905</v>
      </c>
      <c r="I80" s="724">
        <f t="shared" ref="I80" si="44">H80/4200*80</f>
        <v>-17.238095238095241</v>
      </c>
      <c r="J80" s="711">
        <v>14400</v>
      </c>
      <c r="K80" s="711">
        <v>280</v>
      </c>
    </row>
    <row r="81" spans="1:9" x14ac:dyDescent="0.25">
      <c r="A81" s="714">
        <v>43990.398611111108</v>
      </c>
      <c r="B81" s="717" t="s">
        <v>509</v>
      </c>
      <c r="C81" s="711">
        <v>5805</v>
      </c>
      <c r="D81" s="711">
        <v>2674</v>
      </c>
      <c r="E81" s="711">
        <f t="shared" si="40"/>
        <v>8479</v>
      </c>
      <c r="F81" s="713">
        <f t="shared" ref="F81" si="45">C81-C80</f>
        <v>350</v>
      </c>
      <c r="G81" s="713">
        <f t="shared" ref="G81" si="46">D81-D80</f>
        <v>550</v>
      </c>
      <c r="H81" s="713">
        <f t="shared" ref="H81" si="47">SUM(F81:G81)</f>
        <v>900</v>
      </c>
      <c r="I81" s="724">
        <f t="shared" ref="I81" si="48">H81/4200*80</f>
        <v>17.142857142857142</v>
      </c>
    </row>
    <row r="82" spans="1:9" x14ac:dyDescent="0.25">
      <c r="A82" s="714">
        <v>43991.67291666667</v>
      </c>
      <c r="C82" s="711">
        <v>6255</v>
      </c>
      <c r="D82" s="711">
        <v>2694</v>
      </c>
      <c r="E82" s="711">
        <f t="shared" si="40"/>
        <v>8949</v>
      </c>
      <c r="F82" s="713">
        <f>C82-C81</f>
        <v>450</v>
      </c>
      <c r="G82" s="713">
        <f>D82-D81</f>
        <v>20</v>
      </c>
      <c r="H82" s="713">
        <f t="shared" ref="H82" si="49">SUM(F82:G82)</f>
        <v>470</v>
      </c>
      <c r="I82" s="724">
        <f t="shared" ref="I82" si="50">H82/4200*80</f>
        <v>8.9523809523809526</v>
      </c>
    </row>
    <row r="83" spans="1:9" x14ac:dyDescent="0.25">
      <c r="A83" s="714">
        <v>43992.845138888886</v>
      </c>
      <c r="B83" s="718"/>
      <c r="C83" s="711">
        <v>6505</v>
      </c>
      <c r="D83" s="711">
        <v>2564</v>
      </c>
      <c r="E83" s="711">
        <f t="shared" si="40"/>
        <v>9069</v>
      </c>
      <c r="F83" s="713">
        <f>C83-C82</f>
        <v>250</v>
      </c>
      <c r="G83" s="713">
        <f>D83-D82</f>
        <v>-130</v>
      </c>
      <c r="H83" s="713">
        <f t="shared" ref="H83" si="51">SUM(F83:G83)</f>
        <v>120</v>
      </c>
      <c r="I83" s="724">
        <f t="shared" ref="I83" si="52">H83/4200*80</f>
        <v>2.2857142857142856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tabSelected="1" workbookViewId="0">
      <selection activeCell="D20" sqref="D20"/>
    </sheetView>
  </sheetViews>
  <sheetFormatPr defaultColWidth="9.140625" defaultRowHeight="15" x14ac:dyDescent="0.25"/>
  <cols>
    <col min="1" max="2" width="11.5703125" style="808" customWidth="1"/>
    <col min="3" max="3" width="25.85546875" style="806" customWidth="1"/>
    <col min="4" max="4" width="8.42578125" style="806" customWidth="1"/>
    <col min="5" max="5" width="9.140625" style="622"/>
    <col min="6" max="16384" width="9.140625" style="806"/>
  </cols>
  <sheetData>
    <row r="1" spans="1:12" s="810" customFormat="1" x14ac:dyDescent="0.25">
      <c r="A1" s="808"/>
      <c r="B1" s="808"/>
      <c r="D1" s="812" t="s">
        <v>503</v>
      </c>
      <c r="E1" s="809" t="s">
        <v>502</v>
      </c>
      <c r="G1" s="841" t="s">
        <v>44</v>
      </c>
      <c r="H1" s="812" t="s">
        <v>159</v>
      </c>
      <c r="I1" s="812" t="s">
        <v>504</v>
      </c>
      <c r="J1" s="812" t="s">
        <v>416</v>
      </c>
      <c r="K1" s="812" t="s">
        <v>506</v>
      </c>
      <c r="L1" s="815" t="s">
        <v>505</v>
      </c>
    </row>
    <row r="2" spans="1:12" s="810" customFormat="1" x14ac:dyDescent="0.25">
      <c r="A2" s="808"/>
      <c r="B2" s="808"/>
      <c r="D2" s="810">
        <f>SUM(D4:D1048576)</f>
        <v>4798</v>
      </c>
      <c r="E2" s="622">
        <f ca="1">D2/(NOW()-$A$4)</f>
        <v>33.978453541276295</v>
      </c>
      <c r="G2" s="841"/>
      <c r="H2" s="810">
        <v>64</v>
      </c>
      <c r="I2" s="810">
        <v>5</v>
      </c>
      <c r="J2" s="810">
        <v>17170</v>
      </c>
      <c r="K2" s="810">
        <v>3794</v>
      </c>
      <c r="L2" s="810">
        <v>1</v>
      </c>
    </row>
    <row r="3" spans="1:12" s="807" customFormat="1" ht="15" customHeight="1" x14ac:dyDescent="0.25">
      <c r="A3" s="813" t="s">
        <v>485</v>
      </c>
      <c r="B3" s="813" t="s">
        <v>487</v>
      </c>
      <c r="C3" s="811" t="s">
        <v>484</v>
      </c>
      <c r="D3" s="811" t="s">
        <v>486</v>
      </c>
      <c r="E3" s="814" t="s">
        <v>502</v>
      </c>
      <c r="G3" s="1121" t="s">
        <v>45</v>
      </c>
      <c r="H3" s="812" t="s">
        <v>159</v>
      </c>
      <c r="I3" s="812" t="s">
        <v>504</v>
      </c>
      <c r="J3" s="812" t="s">
        <v>416</v>
      </c>
      <c r="K3" s="815" t="s">
        <v>506</v>
      </c>
    </row>
    <row r="4" spans="1:12" x14ac:dyDescent="0.25">
      <c r="A4" s="808">
        <v>43853</v>
      </c>
      <c r="B4" s="808">
        <v>43859</v>
      </c>
      <c r="C4" s="806" t="s">
        <v>488</v>
      </c>
      <c r="D4" s="806">
        <v>762</v>
      </c>
      <c r="E4" s="622">
        <f>D4/(B4-A4)</f>
        <v>127</v>
      </c>
      <c r="G4" s="1121"/>
      <c r="H4" s="806">
        <v>0</v>
      </c>
      <c r="I4" s="806">
        <v>0</v>
      </c>
      <c r="J4" s="806">
        <v>3970</v>
      </c>
      <c r="K4" s="806">
        <v>2594</v>
      </c>
    </row>
    <row r="5" spans="1:12" x14ac:dyDescent="0.25">
      <c r="A5" s="808">
        <v>43859</v>
      </c>
      <c r="B5" s="808">
        <v>43878</v>
      </c>
      <c r="C5" s="806" t="s">
        <v>489</v>
      </c>
      <c r="D5" s="806">
        <v>217</v>
      </c>
      <c r="E5" s="622">
        <f t="shared" ref="E5:E19" si="0">D5/(B5-A5)</f>
        <v>11.421052631578947</v>
      </c>
      <c r="J5" s="806" t="s">
        <v>503</v>
      </c>
      <c r="K5" s="806">
        <f>-((H4-H2) + (I4-I2) * 10 + (J4-J2) / 120 + (K4-K2) / 120 + L2)</f>
        <v>233</v>
      </c>
    </row>
    <row r="6" spans="1:12" x14ac:dyDescent="0.25">
      <c r="A6" s="808">
        <v>43865</v>
      </c>
      <c r="B6" s="808">
        <v>43878</v>
      </c>
      <c r="C6" s="806" t="s">
        <v>490</v>
      </c>
      <c r="D6" s="806">
        <v>224</v>
      </c>
      <c r="E6" s="622">
        <f t="shared" si="0"/>
        <v>17.23076923076923</v>
      </c>
    </row>
    <row r="7" spans="1:12" x14ac:dyDescent="0.25">
      <c r="A7" s="808">
        <v>43875</v>
      </c>
      <c r="B7" s="808">
        <v>43889</v>
      </c>
      <c r="C7" s="806" t="s">
        <v>491</v>
      </c>
      <c r="D7" s="806">
        <v>250</v>
      </c>
      <c r="E7" s="622">
        <f t="shared" si="0"/>
        <v>17.857142857142858</v>
      </c>
    </row>
    <row r="8" spans="1:12" x14ac:dyDescent="0.25">
      <c r="A8" s="808">
        <v>43889</v>
      </c>
      <c r="B8" s="808">
        <v>43902</v>
      </c>
      <c r="C8" s="806" t="s">
        <v>492</v>
      </c>
      <c r="D8" s="806">
        <v>785</v>
      </c>
      <c r="E8" s="622">
        <f t="shared" si="0"/>
        <v>60.384615384615387</v>
      </c>
    </row>
    <row r="9" spans="1:12" x14ac:dyDescent="0.25">
      <c r="A9" s="808">
        <v>43893</v>
      </c>
      <c r="B9" s="808">
        <v>43902</v>
      </c>
      <c r="C9" s="806" t="s">
        <v>493</v>
      </c>
      <c r="D9" s="806">
        <v>6</v>
      </c>
      <c r="E9" s="622">
        <f t="shared" si="0"/>
        <v>0.66666666666666663</v>
      </c>
    </row>
    <row r="10" spans="1:12" x14ac:dyDescent="0.25">
      <c r="A10" s="808">
        <v>43902</v>
      </c>
      <c r="B10" s="808">
        <v>43917</v>
      </c>
      <c r="C10" s="806" t="s">
        <v>435</v>
      </c>
      <c r="D10" s="806">
        <v>334</v>
      </c>
      <c r="E10" s="622">
        <f t="shared" si="0"/>
        <v>22.266666666666666</v>
      </c>
    </row>
    <row r="11" spans="1:12" x14ac:dyDescent="0.25">
      <c r="A11" s="808">
        <v>43917</v>
      </c>
      <c r="B11" s="808">
        <v>43923</v>
      </c>
      <c r="C11" s="806" t="s">
        <v>494</v>
      </c>
      <c r="D11" s="806">
        <v>359</v>
      </c>
      <c r="E11" s="622">
        <f t="shared" si="0"/>
        <v>59.833333333333336</v>
      </c>
    </row>
    <row r="12" spans="1:12" x14ac:dyDescent="0.25">
      <c r="A12" s="808">
        <v>43923</v>
      </c>
      <c r="B12" s="808">
        <v>43934</v>
      </c>
      <c r="C12" s="806" t="s">
        <v>495</v>
      </c>
      <c r="D12" s="806">
        <v>20</v>
      </c>
      <c r="E12" s="622">
        <f t="shared" si="0"/>
        <v>1.8181818181818181</v>
      </c>
    </row>
    <row r="13" spans="1:12" x14ac:dyDescent="0.25">
      <c r="A13" s="808">
        <v>43927</v>
      </c>
      <c r="B13" s="808">
        <v>43934</v>
      </c>
      <c r="C13" s="806" t="s">
        <v>496</v>
      </c>
      <c r="D13" s="806">
        <v>429</v>
      </c>
      <c r="E13" s="622">
        <f t="shared" si="0"/>
        <v>61.285714285714285</v>
      </c>
    </row>
    <row r="14" spans="1:12" x14ac:dyDescent="0.25">
      <c r="A14" s="808">
        <v>43934</v>
      </c>
      <c r="B14" s="808">
        <v>43941</v>
      </c>
      <c r="C14" s="806" t="s">
        <v>497</v>
      </c>
      <c r="D14" s="806">
        <v>60</v>
      </c>
      <c r="E14" s="622">
        <f t="shared" si="0"/>
        <v>8.5714285714285712</v>
      </c>
    </row>
    <row r="15" spans="1:12" x14ac:dyDescent="0.25">
      <c r="A15" s="808">
        <v>43945</v>
      </c>
      <c r="B15" s="808">
        <v>43951</v>
      </c>
      <c r="C15" s="806" t="s">
        <v>498</v>
      </c>
      <c r="D15" s="806">
        <v>226</v>
      </c>
      <c r="E15" s="622">
        <f t="shared" si="0"/>
        <v>37.666666666666664</v>
      </c>
    </row>
    <row r="16" spans="1:12" x14ac:dyDescent="0.25">
      <c r="A16" s="808">
        <v>43951</v>
      </c>
      <c r="B16" s="808">
        <v>43963</v>
      </c>
      <c r="C16" s="806" t="s">
        <v>501</v>
      </c>
      <c r="D16" s="806">
        <v>292</v>
      </c>
      <c r="E16" s="622">
        <f t="shared" si="0"/>
        <v>24.333333333333332</v>
      </c>
    </row>
    <row r="17" spans="1:5" x14ac:dyDescent="0.25">
      <c r="A17" s="808">
        <v>43963</v>
      </c>
      <c r="B17" s="808">
        <v>43980</v>
      </c>
      <c r="C17" s="806" t="s">
        <v>499</v>
      </c>
      <c r="D17" s="806">
        <v>595</v>
      </c>
      <c r="E17" s="622">
        <f t="shared" si="0"/>
        <v>35</v>
      </c>
    </row>
    <row r="18" spans="1:5" x14ac:dyDescent="0.25">
      <c r="A18" s="808">
        <v>43980</v>
      </c>
      <c r="B18" s="808">
        <v>43985</v>
      </c>
      <c r="C18" s="806" t="s">
        <v>500</v>
      </c>
      <c r="D18" s="806">
        <v>238</v>
      </c>
      <c r="E18" s="622">
        <f t="shared" si="0"/>
        <v>47.6</v>
      </c>
    </row>
    <row r="19" spans="1:5" x14ac:dyDescent="0.25">
      <c r="A19" s="808">
        <v>43994</v>
      </c>
      <c r="B19" s="808">
        <v>44004</v>
      </c>
      <c r="C19" s="819" t="s">
        <v>510</v>
      </c>
      <c r="D19" s="806">
        <v>1</v>
      </c>
      <c r="E19" s="622">
        <f t="shared" si="0"/>
        <v>0.1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0" t="str">
        <f>B1&amp; "日"</f>
        <v>1日</v>
      </c>
      <c r="G1" s="1131"/>
      <c r="H1" s="1131"/>
      <c r="I1" s="1130" t="str">
        <f>C1 &amp; "日"</f>
        <v>7日</v>
      </c>
      <c r="J1" s="1131"/>
      <c r="K1" s="1131"/>
      <c r="L1" s="1130" t="s">
        <v>174</v>
      </c>
      <c r="M1" s="1131"/>
      <c r="N1" s="113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-245 D 00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-247 D 15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-256 D 10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-261 D 22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-248 D 11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-042 D 20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-140 D 20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-193 D 14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-209 D 20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-229 D 09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-241 D 09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-266 D 00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-245 D 02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-250 D 18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-255 D 02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-261 D 23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-263 D 20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-258 D 14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-232 D 21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-221 D 20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-238 D 02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-237 D 03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-248 D 00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-239 D 17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-243 D 16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-244 D 02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-239 D 11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-240 D 19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-252 D 10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-240 D 01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-241 D 08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-251 D 18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-242 D 06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-241 D 12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-251 D 07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-242 D 09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-241 D 19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-231 D 18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-242 D 15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-242 D 09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-230 D 14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-243 D 10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-239 D 17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-237 D 12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-243 D 18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-242 D 06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-244 D 16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-244 D 01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-243 D 02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-251 D 05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-244 D 08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-243 D 11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-256 D 05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-244 D 20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-244 D 11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-247 D 01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-243 D 18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-241 D 14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-247 D 18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-242 D 16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-242 D 07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-233 D 12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-242 D 10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-243 D 13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-232 D 14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-241 D 16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-240 D 20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-229 D 16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-240 D 16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-241 D 01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-218 D 03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-240 D 14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-241 D 06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-221 D 13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-240 D 05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-241 D 12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-227 D 10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-240 D 09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-242 D 01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-233 D 15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-240 D 12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-242 D 14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-225 D 23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-241 D 21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-240 D 17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-242 D 12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-241 D 22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-241 D 15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-242 D 13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-242 D 00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-242 D 00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-227 D 05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-241 D 09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-240 D 16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-235 D 16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-241 D 21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-241 D 20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-253 D 04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-243 D 02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-243 D 23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-252 D 13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-243 D 07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-243 D 02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-256 D 15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-244 D 02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-243 D 23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-261 D 17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-244 D 18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-245 D 11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-264 D 08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-246 D 03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-246 D 09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-265 D 15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-247 D 03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-246 D 13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-272 D 21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-248 D 14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-247 D 02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-273 D 00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-249 D 15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-247 D 14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-273 D 06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-250 D 15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-247 D 21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-274 D 01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-251 D 10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-248 D 10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-274 D 10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-252 D 11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-248 D 17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-273 D 01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-253 D 00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-248 D 18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-273 D 03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-253 D 23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-249 D 02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-273 D 09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-254 D 11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-249 D 07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-268 D 07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-254 D 13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-248 D 14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-265 D 22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-254 D 20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-248 D 20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-265 D 06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-255 D 04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-249 D 04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-259 D 17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-256 D 01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-249 D 17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-262 D 12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-256 D 12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-250 D 06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-264 D 14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-257 D 03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-250 D 20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-267 D 13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-258 D 00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-251 D 08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-273 D 17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-259 D 15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-251 D 21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-277 D 05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-261 D 07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-253 D 04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-276 D 20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-262 D 09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-253 D 14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-275 D 12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-262 D 22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-253 D 20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-275 D 09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-263 D 09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-254 D 02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-275 D 06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-264 D 09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-254 D 05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-275 D 07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-264 D 18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-254 D 09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-271 D 23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-264 D 23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-254 D 11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-265 D 14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-266 D 23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-254 D 22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-265 D 09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-267 D 17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-255 D 02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-264 D 23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-267 D 20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-255 D 03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-265 D 09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-268 D 14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-255 D 08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-263 D 04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-270 D 01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-255 D 08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-263 D 06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-270 D 01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-255 D 23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-264 D 19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-269 D 21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-256 D 05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-265 D 21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-270 D 07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-256 D 14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-270 D 14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-270 D 08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-257 D 06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-270 D 19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-270 D 07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-257 D 09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-261 D 03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-269 D 19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-256 D 12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-259 D 02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-269 D 12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-256 D 16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-257 D 11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-269 D 11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-257 D 08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-269 D 10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-269 D 09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-258 D 10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-271 D 20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-269 D 09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-258 D 14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-275 D 05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-269 D 06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-259 D 04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-274 D 15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-269 D 07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-259 D 07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-274 D 10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-269 D 09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-259 D 10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-274 D 14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-269 D 12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-259 D 17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-274 D 17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-269 D 14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-259 D 19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-261 D 07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-268 D 15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-258 D 15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-238 D 00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-267 D 22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-258 D 17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-241 D 13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-267 D 16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-259 D 01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-246 D 10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-267 D 15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-259 D 04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-255 D 12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-267 D 08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-259 D 08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-269 D 13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-267 D 05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-259 D 14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-270 D 03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-267 D 05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-259 D 17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-270 D 11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-267 D 05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-259 D 19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-271 D 21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-267 D 08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-260 D 03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-272 D 10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-267 D 12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-260 D 07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-268 D 12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-267 D 04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-259 D 19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-262 D 00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-267 D 02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-259 D 20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-258 D 18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-266 D 23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-259 D 19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-258 D 20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-266 D 21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-259 D 21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-222 D 05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-265 D 14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-258 D 12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-243 D 18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-265 D 10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-259 D 10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-275 D 20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-265 D 10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-261 D 01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-207 D 18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-260 D 16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-259 D 00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-216 D 11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-258 D 19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-258 D 13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-221 D 23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-258 D 02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-258 D 15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-254 D 17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-257 D 16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-258 D 15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-264 D 12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-257 D 01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-259 D 04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-259 D 23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-256 D 00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-258 D 19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-258 D 03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-256 D 18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-259 D 05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-260 D 15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-257 D 09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-259 D 07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-263 D 05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-257 D 20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-259 D 03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-262 D 19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-258 D 22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-259 D 13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-263 D 06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-258 D 08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-259 D 09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-264 D 01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-259 D 01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-259 D 16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-260 D 04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-259 D 07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-259 D 12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-262 D 22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-259 D 20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-259 D 18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-264 D 01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-262 D 20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-260 D 07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-263 D 16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-262 D 21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-260 D 06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-262 D 18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-262 D 19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-260 D 05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-261 D 09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-262 D 11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-260 D 09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-260 D 13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-261 D 20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-260 D 05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-260 D 17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-261 D 19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-260 D 08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-261 D 10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-261 D 17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-260 D 11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-262 D 04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-261 D 18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-260 D 12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-255 D 16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-261 D 05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-260 D 02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-255 D 12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-260 D 18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-260 D 04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-255 D 15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-260 D 12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-260 D 02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-257 D 02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-260 D 11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-260 D 04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-260 D 19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-260 D 12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-260 D 05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-261 D 08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-260 D 13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-260 D 07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-262 D 01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-260 D 14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-260 D 08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-259 D 15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-260 D 07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-260 D 01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-264 D 16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-260 D 08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-260 D 11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-264 D 02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-260 D 10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-260 D 09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-262 D 03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-260 D 07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-260 D 06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-261 D 21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-260 D 09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-260 D 08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-260 D 12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-260 D 16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-260 D 13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-263 D 17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-260 D 23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-260 D 17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-264 D 10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-261 D 03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-260 D 17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-263 D 09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-261 D 01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-260 D 14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-264 D 00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-261 D 03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-260 D 15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-262 D 18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-261 D 06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-260 D 17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-261 D 20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-261 D 09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-260 D 19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-262 D 10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-261 D 16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-260 D 22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-264 D 04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-261 D 20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-260 D 22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-261 D 04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-261 D 20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-260 D 20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-261 D 07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-261 D 22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-260 D 22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-262 D 01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-262 D 05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-261 D 03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-262 D 08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-262 D 08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-261 D 02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-263 D 13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-262 D 10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-261 D 03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-262 D 22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-262 D 15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-261 D 04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-262 D 05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-262 D 16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-261 D 05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-260 D 20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-262 D 17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-261 D 04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-261 D 06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-262 D 17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-261 D 06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-261 D 12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-262 D 20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-261 D 07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-261 D 12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-262 D 19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-261 D 06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-261 D 20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-262 D 20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-261 D 08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-262 D 00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-262 D 20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-261 D 09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-262 D 01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-262 D 19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-261 D 08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-260 D 22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-262 D 15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-261 D 06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-262 D 02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-262 D 18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-261 D 12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-263 D 17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-262 D 21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-261 D 15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-263 D 10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-262 D 19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-261 D 14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-263 D 12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-262 D 20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-261 D 15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-264 D 13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-262 D 22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-261 D 18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-264 D 17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-262 D 23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-261 D 19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-264 D 19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-263 D 03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-262 D 00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-265 D 06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-263 D 05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-262 D 01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-262 D 04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-262 D 21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-261 D 16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-259 D 00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-262 D 21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-261 D 18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-258 D 20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-262 D 22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-261 D 20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-259 D 14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-262 D 22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-261 D 20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-260 D 06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-262 D 23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-261 D 21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-259 D 10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-262 D 16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-261 D 15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-260 D 20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-262 D 16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-261 D 16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-258 D 05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-262 D 11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-261 D 13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-259 D 00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-262 D 11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-261 D 15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-259 D 18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-262 D 11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-261 D 16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-260 D 09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-262 D 11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-261 D 17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-260 D 19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-262 D 11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-261 D 18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-261 D 14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-262 D 12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-261 D 20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-263 D 09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-262 D 13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-261 D 20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-262 D 03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-262 D 06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-261 D 14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-261 D 19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-262 D 06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-261 D 15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-262 D 16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-262 D 12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-262 D 00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-263 D 02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-262 D 10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-261 D 22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-263 D 07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-262 D 12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-262 D 00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-264 D 04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-262 D 14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-262 D 02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-264 D 05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-262 D 16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-262 D 04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-264 D 09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-262 D 18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-262 D 05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-264 D 15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-262 D 21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-262 D 09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-264 D 20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-263 D 00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-262 D 12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-265 D 08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-263 D 05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-262 D 16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-265 D 09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-263 D 07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-262 D 18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-265 D 10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-263 D 09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-262 D 19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-265 D 21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-263 D 16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-263 D 02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-265 D 19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-263 D 18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-263 D 03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-266 D 11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-264 D 12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-263 D 23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-266 D 14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-264 D 17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-264 D 03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-266 D 15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-264 D 21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-264 D 06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-266 D 15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-265 D 01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-264 D 09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-266 D 16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-265 D 07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-264 D 14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-266 D 16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-265 D 08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-264 D 15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-266 D 04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-265 D 14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-265 D 00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6">
        <v>43677.583333333336</v>
      </c>
      <c r="C1" s="1136"/>
      <c r="D1" s="255" t="s">
        <v>149</v>
      </c>
      <c r="E1" s="253" t="s">
        <v>82</v>
      </c>
      <c r="F1" s="253" t="s">
        <v>74</v>
      </c>
      <c r="G1" s="1121" t="s">
        <v>75</v>
      </c>
      <c r="H1" s="1121"/>
      <c r="I1" s="1121"/>
      <c r="J1" s="1121"/>
      <c r="K1" s="28"/>
      <c r="L1" s="252" t="s">
        <v>77</v>
      </c>
      <c r="M1" s="252"/>
      <c r="N1" s="84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6">
        <v>43688.583333333336</v>
      </c>
      <c r="C2" s="1136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5" t="str">
        <f ca="1">IF(NOW() &gt; $B$2,"",(NOW()-$B$1)/($B$2-$B$1))</f>
        <v/>
      </c>
      <c r="H2" s="1135"/>
      <c r="I2" s="1135"/>
      <c r="J2" s="1135"/>
      <c r="K2" s="28" t="s">
        <v>79</v>
      </c>
      <c r="L2" s="127">
        <v>100000</v>
      </c>
      <c r="N2" s="84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2" t="s">
        <v>76</v>
      </c>
      <c r="C5" s="1132"/>
      <c r="D5" s="1133" t="s">
        <v>153</v>
      </c>
      <c r="E5" s="1133"/>
      <c r="F5" s="1133" t="s">
        <v>78</v>
      </c>
      <c r="G5" s="1133"/>
      <c r="H5" s="1133" t="s">
        <v>81</v>
      </c>
      <c r="I5" s="1133"/>
      <c r="J5" s="1121" t="s">
        <v>151</v>
      </c>
      <c r="K5" s="1121"/>
      <c r="L5" s="1134" t="s">
        <v>152</v>
      </c>
      <c r="M5" s="1134"/>
      <c r="N5" s="1121" t="s">
        <v>150</v>
      </c>
      <c r="O5" s="1121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56" t="s">
        <v>231</v>
      </c>
      <c r="C2" s="1156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57" t="s">
        <v>17</v>
      </c>
      <c r="U3" s="1157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2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76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37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63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76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37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68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75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58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69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75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58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4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4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59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65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4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59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0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73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2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1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73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2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66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67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47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0">
        <f ca="1">SUM(MAX(L4,L5),MAX(L6,L7),MAX(L8,L9),MAX(L10,L11),MAX(L12,L13))</f>
        <v>0</v>
      </c>
      <c r="M14" s="1150">
        <f ca="1">SUM(MAX(M4,M5),MAX(M6,M7),MAX(M8,M9),MAX(M10,M11),MAX(M12,M13))</f>
        <v>0</v>
      </c>
      <c r="N14" s="1160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48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1"/>
      <c r="M15" s="1151"/>
      <c r="N15" s="1161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48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38">
        <f ca="1">IFERROR(ROUND(J16/(O16*INPUT_IO_DROP_RATE),0),NA())</f>
        <v>0</v>
      </c>
      <c r="M16" s="1138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49">
        <f>SUM(D迎擊!AK:AK)</f>
        <v>1045</v>
      </c>
      <c r="AD16" s="53"/>
    </row>
    <row r="17" spans="2:27" x14ac:dyDescent="0.25">
      <c r="B17" s="1148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38">
        <f ca="1">IFERROR(ROUND(J17/O17,0),NA())</f>
        <v>0</v>
      </c>
      <c r="M17" s="1138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49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48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38">
        <f ca="1">IFERROR(ROUND(J18/O18,0),NA())</f>
        <v>0</v>
      </c>
      <c r="M18" s="1138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49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2" t="s">
        <v>158</v>
      </c>
      <c r="C20" s="1153"/>
      <c r="D20" s="1153"/>
      <c r="E20" s="1153"/>
      <c r="F20" s="1153"/>
      <c r="G20" s="1153"/>
      <c r="H20" s="1153"/>
      <c r="I20" s="1139">
        <v>2</v>
      </c>
      <c r="J20" s="1143" t="s">
        <v>191</v>
      </c>
      <c r="K20" s="1144"/>
      <c r="L20" s="113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39"/>
      <c r="N20" s="1139"/>
      <c r="O20" s="1139"/>
      <c r="P20" s="1140"/>
    </row>
    <row r="21" spans="2:27" ht="22.5" customHeight="1" thickBot="1" x14ac:dyDescent="0.3">
      <c r="B21" s="1154"/>
      <c r="C21" s="1155"/>
      <c r="D21" s="1155"/>
      <c r="E21" s="1155"/>
      <c r="F21" s="1155"/>
      <c r="G21" s="1155"/>
      <c r="H21" s="1155"/>
      <c r="I21" s="1141"/>
      <c r="J21" s="1145"/>
      <c r="K21" s="1146"/>
      <c r="L21" s="1141"/>
      <c r="M21" s="1141"/>
      <c r="N21" s="1141"/>
      <c r="O21" s="1141"/>
      <c r="P21" s="1142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4" t="s">
        <v>90</v>
      </c>
      <c r="B1" s="1184"/>
      <c r="C1" s="1179" t="s">
        <v>26</v>
      </c>
      <c r="D1" s="1179" t="s">
        <v>89</v>
      </c>
      <c r="E1" s="1179"/>
      <c r="F1" s="1179" t="s">
        <v>26</v>
      </c>
      <c r="G1" s="1191" t="s">
        <v>90</v>
      </c>
      <c r="H1" s="1191"/>
      <c r="I1" s="1178" t="s">
        <v>26</v>
      </c>
      <c r="J1" s="1178" t="s">
        <v>89</v>
      </c>
      <c r="K1" s="1178"/>
      <c r="L1" s="1178" t="s">
        <v>26</v>
      </c>
      <c r="M1" s="1190" t="s">
        <v>90</v>
      </c>
      <c r="N1" s="1190"/>
      <c r="O1" s="1189" t="s">
        <v>26</v>
      </c>
      <c r="P1" s="1189" t="s">
        <v>89</v>
      </c>
      <c r="Q1" s="1189"/>
      <c r="R1" s="1189" t="s">
        <v>26</v>
      </c>
      <c r="S1" s="1183" t="s">
        <v>90</v>
      </c>
      <c r="T1" s="1183"/>
      <c r="U1" s="1182" t="s">
        <v>26</v>
      </c>
      <c r="V1" s="1182" t="s">
        <v>89</v>
      </c>
      <c r="W1" s="1182"/>
      <c r="X1" s="1182" t="s">
        <v>26</v>
      </c>
      <c r="Y1" s="1181" t="s">
        <v>90</v>
      </c>
      <c r="Z1" s="1181"/>
      <c r="AA1" s="1180" t="s">
        <v>26</v>
      </c>
      <c r="AB1" s="1180" t="s">
        <v>89</v>
      </c>
      <c r="AC1" s="1180"/>
      <c r="AD1" s="1180" t="s">
        <v>26</v>
      </c>
      <c r="AE1" s="1187" t="s">
        <v>98</v>
      </c>
      <c r="AF1" s="1187"/>
      <c r="AG1" s="1188" t="s">
        <v>99</v>
      </c>
      <c r="AH1" s="1188"/>
      <c r="AI1" s="1185" t="s">
        <v>100</v>
      </c>
      <c r="AJ1" s="1185"/>
      <c r="AK1" s="1186" t="s">
        <v>26</v>
      </c>
      <c r="AM1" s="1004" t="s">
        <v>155</v>
      </c>
      <c r="AN1" s="1177"/>
      <c r="AO1" s="1177"/>
      <c r="AP1" s="1177"/>
      <c r="AQ1" s="1177"/>
      <c r="AR1" s="1177"/>
      <c r="AS1" s="1177"/>
      <c r="AT1" s="1177"/>
      <c r="AU1" s="1005"/>
      <c r="AV1" s="262"/>
      <c r="AW1" s="1004" t="s">
        <v>58</v>
      </c>
      <c r="AX1" s="1177"/>
      <c r="AY1" s="1177"/>
      <c r="AZ1" s="1177"/>
      <c r="BA1" s="1177"/>
      <c r="BB1" s="1177"/>
      <c r="BC1" s="1177"/>
      <c r="BD1" s="1177"/>
      <c r="BE1" s="1005"/>
    </row>
    <row r="2" spans="1:57" x14ac:dyDescent="0.25">
      <c r="A2" s="283" t="s">
        <v>28</v>
      </c>
      <c r="B2" s="110" t="s">
        <v>97</v>
      </c>
      <c r="C2" s="1179"/>
      <c r="D2" s="108" t="s">
        <v>28</v>
      </c>
      <c r="E2" s="110" t="s">
        <v>97</v>
      </c>
      <c r="F2" s="1179"/>
      <c r="G2" s="279" t="s">
        <v>28</v>
      </c>
      <c r="H2" s="111" t="s">
        <v>97</v>
      </c>
      <c r="I2" s="1178"/>
      <c r="J2" s="281" t="s">
        <v>28</v>
      </c>
      <c r="K2" s="106" t="s">
        <v>97</v>
      </c>
      <c r="L2" s="1178"/>
      <c r="M2" s="277" t="s">
        <v>28</v>
      </c>
      <c r="N2" s="104" t="s">
        <v>97</v>
      </c>
      <c r="O2" s="1189"/>
      <c r="P2" s="277" t="s">
        <v>28</v>
      </c>
      <c r="Q2" s="104" t="s">
        <v>97</v>
      </c>
      <c r="R2" s="1189"/>
      <c r="S2" s="272" t="s">
        <v>28</v>
      </c>
      <c r="T2" s="102" t="s">
        <v>97</v>
      </c>
      <c r="U2" s="1182"/>
      <c r="V2" s="272" t="s">
        <v>28</v>
      </c>
      <c r="W2" s="102" t="s">
        <v>97</v>
      </c>
      <c r="X2" s="1182"/>
      <c r="Y2" s="274" t="s">
        <v>28</v>
      </c>
      <c r="Z2" s="113" t="s">
        <v>97</v>
      </c>
      <c r="AA2" s="1180"/>
      <c r="AB2" s="274" t="s">
        <v>28</v>
      </c>
      <c r="AC2" s="113" t="s">
        <v>97</v>
      </c>
      <c r="AD2" s="1180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6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8" t="s">
        <v>185</v>
      </c>
      <c r="B1" s="1200" t="s">
        <v>188</v>
      </c>
      <c r="C1" s="1200"/>
      <c r="D1" s="1200"/>
      <c r="E1" s="1200"/>
      <c r="F1" s="1200"/>
      <c r="G1" s="1200"/>
      <c r="H1" s="1200"/>
      <c r="I1" s="351"/>
      <c r="J1" s="1200" t="s">
        <v>186</v>
      </c>
      <c r="K1" s="1200"/>
      <c r="L1" s="1200"/>
      <c r="M1" s="1200"/>
      <c r="N1" s="1200"/>
      <c r="O1" s="446" t="s">
        <v>227</v>
      </c>
      <c r="P1" s="351"/>
      <c r="Q1" s="1201" t="s">
        <v>187</v>
      </c>
      <c r="R1" s="1201"/>
      <c r="S1" s="1201"/>
      <c r="T1" s="1201"/>
      <c r="U1" s="1201"/>
      <c r="V1" s="1201"/>
      <c r="W1" s="1201"/>
    </row>
    <row r="2" spans="1:23" ht="25.5" customHeight="1" x14ac:dyDescent="0.25">
      <c r="A2" s="1198"/>
      <c r="B2" s="1193" t="s">
        <v>51</v>
      </c>
      <c r="C2" s="1193"/>
      <c r="D2" s="1194" t="s">
        <v>53</v>
      </c>
      <c r="E2" s="1194"/>
      <c r="F2" s="1204" t="s">
        <v>55</v>
      </c>
      <c r="G2" s="1204"/>
      <c r="H2" s="1204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8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2">
        <f>FLOOR(C7/MAX(DATA_DRAG_ACCU_EXP),1)</f>
        <v>60</v>
      </c>
      <c r="H3" s="1192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8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2">
        <f>MATCH(C10,DATA_DRAG_ACCU_EXP,0)</f>
        <v>97</v>
      </c>
      <c r="H4" s="1192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8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2">
        <f>INDEX(DATA_DRAG_LV_EXP,G4)-(C9-C10)</f>
        <v>23760</v>
      </c>
      <c r="H5" s="1192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8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2" t="str">
        <f>IF(R7&gt;0,R6/R7,"")</f>
        <v/>
      </c>
      <c r="V6" s="1202"/>
      <c r="W6" s="1202"/>
    </row>
    <row r="7" spans="1:23" ht="25.5" customHeight="1" x14ac:dyDescent="0.25">
      <c r="A7" s="1198"/>
      <c r="B7" s="122" t="s">
        <v>95</v>
      </c>
      <c r="C7" s="123">
        <f>C6-C8</f>
        <v>75540600</v>
      </c>
      <c r="D7" s="86" t="s">
        <v>54</v>
      </c>
      <c r="E7" s="87"/>
      <c r="F7" s="1121" t="s">
        <v>66</v>
      </c>
      <c r="G7" s="1121"/>
      <c r="H7" s="1121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8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1" t="s">
        <v>50</v>
      </c>
      <c r="G8" s="1203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8"/>
      <c r="B9" s="94" t="s">
        <v>92</v>
      </c>
      <c r="C9" s="94">
        <f>MOD(C7,DRAG_EXP_100)</f>
        <v>1139400</v>
      </c>
      <c r="F9" s="1121"/>
      <c r="G9" s="1203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8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8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8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7" t="s">
        <v>189</v>
      </c>
      <c r="B13" s="1199" t="s">
        <v>190</v>
      </c>
      <c r="C13" s="1199"/>
      <c r="D13" s="1199"/>
      <c r="E13" s="1199"/>
      <c r="F13" s="1199"/>
      <c r="G13" s="1199"/>
      <c r="H13" s="1199"/>
      <c r="O13" s="445"/>
    </row>
    <row r="14" spans="1:23" s="262" customFormat="1" ht="25.5" customHeight="1" x14ac:dyDescent="0.25">
      <c r="A14" s="1198"/>
      <c r="B14" s="1193" t="s">
        <v>51</v>
      </c>
      <c r="C14" s="1193"/>
      <c r="D14" s="1194" t="s">
        <v>53</v>
      </c>
      <c r="E14" s="1194"/>
      <c r="F14" s="1195" t="s">
        <v>55</v>
      </c>
      <c r="G14" s="1195"/>
      <c r="H14" s="1195"/>
    </row>
    <row r="15" spans="1:23" ht="25.5" customHeight="1" x14ac:dyDescent="0.25">
      <c r="A15" s="1198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6">
        <f>FLOOR(C19/MAX(DATA_WYRM_ACCU_EXP),1)</f>
        <v>133</v>
      </c>
      <c r="H15" s="1196"/>
    </row>
    <row r="16" spans="1:23" ht="25.5" customHeight="1" x14ac:dyDescent="0.25">
      <c r="A16" s="1198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2">
        <f>MATCH(C22,DATA_WYRM_ACCU_EXP,0)</f>
        <v>48</v>
      </c>
      <c r="H16" s="1192"/>
    </row>
    <row r="17" spans="1:8" ht="25.5" customHeight="1" x14ac:dyDescent="0.25">
      <c r="A17" s="1198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2">
        <f>INDEX(DATA_WYRM_LV_EXP,G16)-(C21-C22)</f>
        <v>530</v>
      </c>
      <c r="H17" s="1192"/>
    </row>
    <row r="18" spans="1:8" ht="25.5" customHeight="1" x14ac:dyDescent="0.25">
      <c r="A18" s="1198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8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6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6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6" t="s">
        <v>83</v>
      </c>
      <c r="B1" s="1207"/>
      <c r="C1" s="1207"/>
      <c r="D1" s="1207"/>
      <c r="E1" s="1208"/>
      <c r="F1" s="1206" t="s">
        <v>105</v>
      </c>
      <c r="G1" s="1207"/>
      <c r="H1" s="1207"/>
      <c r="I1" s="1207"/>
      <c r="J1" s="1208"/>
      <c r="K1" s="1206" t="s">
        <v>107</v>
      </c>
      <c r="L1" s="1207"/>
      <c r="M1" s="1207"/>
      <c r="N1" s="1207"/>
      <c r="O1" s="1208"/>
      <c r="P1" s="1215" t="s">
        <v>106</v>
      </c>
      <c r="Q1" s="1216"/>
      <c r="R1" s="1216"/>
      <c r="S1" s="1216"/>
      <c r="T1" s="1217"/>
      <c r="U1" s="1215" t="s">
        <v>154</v>
      </c>
      <c r="V1" s="1216"/>
      <c r="W1" s="1216"/>
      <c r="X1" s="1216"/>
      <c r="Y1" s="1217"/>
      <c r="Z1" s="1212" t="s">
        <v>85</v>
      </c>
      <c r="AA1" s="1213"/>
      <c r="AB1" s="1213"/>
      <c r="AC1" s="1213"/>
      <c r="AD1" s="1214"/>
      <c r="AE1" s="1209" t="s">
        <v>84</v>
      </c>
      <c r="AF1" s="1210"/>
      <c r="AG1" s="1210"/>
      <c r="AH1" s="1210"/>
      <c r="AI1" s="1211"/>
      <c r="AJ1" s="1209" t="s">
        <v>173</v>
      </c>
      <c r="AK1" s="1210"/>
      <c r="AL1" s="1210"/>
      <c r="AM1" s="1210"/>
      <c r="AN1" s="1211"/>
      <c r="AO1" s="1205" t="s">
        <v>86</v>
      </c>
      <c r="AP1" s="1119"/>
      <c r="AQ1" s="1119"/>
      <c r="AR1" s="1119"/>
      <c r="AS1" s="1120"/>
      <c r="AT1" s="1205" t="s">
        <v>87</v>
      </c>
      <c r="AU1" s="1119"/>
      <c r="AV1" s="1119"/>
      <c r="AW1" s="1119"/>
      <c r="AX1" s="112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9" t="s">
        <v>117</v>
      </c>
      <c r="B1" s="1189"/>
      <c r="C1" s="1189"/>
      <c r="D1" s="230"/>
      <c r="E1" s="1219" t="s">
        <v>118</v>
      </c>
      <c r="F1" s="1219"/>
      <c r="G1" s="121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8">
        <v>67</v>
      </c>
      <c r="C8" s="121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1" t="s">
        <v>41</v>
      </c>
      <c r="J24" s="1221"/>
      <c r="K24" s="1220">
        <f>K14+K22</f>
        <v>0</v>
      </c>
      <c r="L24" s="122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1" t="s">
        <v>117</v>
      </c>
      <c r="B1" s="841"/>
      <c r="C1" s="841"/>
      <c r="D1" s="841"/>
      <c r="E1" s="841"/>
      <c r="F1" s="841"/>
      <c r="G1" s="841" t="s">
        <v>118</v>
      </c>
      <c r="H1" s="841"/>
      <c r="I1" s="841"/>
      <c r="J1" s="841"/>
      <c r="K1" s="841"/>
      <c r="L1" s="841"/>
      <c r="N1" s="841" t="s">
        <v>125</v>
      </c>
      <c r="O1" s="841"/>
    </row>
    <row r="2" spans="1:15" x14ac:dyDescent="0.25">
      <c r="A2" s="1222" t="s">
        <v>123</v>
      </c>
      <c r="B2" s="1222"/>
      <c r="C2" s="1224" t="s">
        <v>116</v>
      </c>
      <c r="D2" s="1224"/>
      <c r="E2" s="1223" t="s">
        <v>124</v>
      </c>
      <c r="F2" s="1223"/>
      <c r="G2" s="1226" t="s">
        <v>120</v>
      </c>
      <c r="H2" s="1226"/>
      <c r="I2" s="1223" t="s">
        <v>121</v>
      </c>
      <c r="J2" s="1223"/>
      <c r="K2" s="1225" t="s">
        <v>122</v>
      </c>
      <c r="L2" s="122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9" t="s">
        <v>182</v>
      </c>
      <c r="D1" s="1228">
        <f>INDEX(DATA_EVTBLD,B1,3)-B3</f>
        <v>2428</v>
      </c>
      <c r="E1" s="1227" t="s">
        <v>24</v>
      </c>
      <c r="F1" s="1230">
        <f>1-(INDEX(DATA_EVTBLD,B1,3)-B3)/DATA_EVTBLD_MAX</f>
        <v>0.68935516888433979</v>
      </c>
      <c r="G1" s="1230"/>
      <c r="H1" s="1230"/>
      <c r="I1" s="1230"/>
      <c r="J1" s="1230"/>
      <c r="K1" s="1230"/>
      <c r="L1" s="1230"/>
    </row>
    <row r="2" spans="1:12" ht="14.65" customHeight="1" x14ac:dyDescent="0.25">
      <c r="A2" s="335" t="s">
        <v>401</v>
      </c>
      <c r="B2" s="341">
        <v>30</v>
      </c>
      <c r="C2" s="1229"/>
      <c r="D2" s="1228"/>
      <c r="E2" s="1227"/>
      <c r="F2" s="1230"/>
      <c r="G2" s="1230"/>
      <c r="H2" s="1230"/>
      <c r="I2" s="1230"/>
      <c r="J2" s="1230"/>
      <c r="K2" s="1230"/>
      <c r="L2" s="1230"/>
    </row>
    <row r="3" spans="1:12" ht="14.65" customHeight="1" x14ac:dyDescent="0.25">
      <c r="A3" s="335" t="s">
        <v>181</v>
      </c>
      <c r="B3" s="341">
        <v>2122</v>
      </c>
      <c r="C3" s="1229"/>
      <c r="D3" s="1228"/>
      <c r="E3" s="1227"/>
      <c r="F3" s="1230"/>
      <c r="G3" s="1230"/>
      <c r="H3" s="1230"/>
      <c r="I3" s="1230"/>
      <c r="J3" s="1230"/>
      <c r="K3" s="1230"/>
      <c r="L3" s="1230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2020-06-12T09:58:58Z</dcterms:modified>
</cp:coreProperties>
</file>