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D2E8F3CA-F4E5-405F-8CBF-E9D1C3AD705F}" xr6:coauthVersionLast="45" xr6:coauthVersionMax="45" xr10:uidLastSave="{00000000-0000-0000-0000-000000000000}"/>
  <bookViews>
    <workbookView xWindow="-120" yWindow="-120" windowWidth="29040" windowHeight="15840" firstSheet="1" activeTab="8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8" i="16" l="1"/>
  <c r="J188" i="16" s="1"/>
  <c r="H188" i="16"/>
  <c r="G188" i="16"/>
  <c r="K188" i="16" s="1"/>
  <c r="F188" i="16"/>
  <c r="E188" i="16"/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18" i="25"/>
  <c r="F70" i="25"/>
  <c r="I170" i="25"/>
  <c r="F169" i="25"/>
  <c r="F6" i="25"/>
  <c r="F10" i="25"/>
  <c r="F168" i="25"/>
  <c r="F206" i="25"/>
  <c r="I54" i="25"/>
  <c r="I163" i="25"/>
  <c r="F97" i="25"/>
  <c r="I165" i="25"/>
  <c r="I38" i="25"/>
  <c r="I148" i="25"/>
  <c r="F196" i="25"/>
  <c r="F106" i="25"/>
  <c r="I102" i="25"/>
  <c r="I88" i="25"/>
  <c r="F56" i="25"/>
  <c r="F182" i="25"/>
  <c r="F170" i="25"/>
  <c r="I97" i="25"/>
  <c r="F91" i="25"/>
  <c r="I119" i="25"/>
  <c r="F141" i="25"/>
  <c r="I48" i="25"/>
  <c r="F178" i="25"/>
  <c r="I53" i="25"/>
  <c r="F109" i="25"/>
  <c r="F118" i="25"/>
  <c r="I89" i="25"/>
  <c r="F86" i="25"/>
  <c r="I7" i="28"/>
  <c r="I66" i="25"/>
  <c r="F79" i="25"/>
  <c r="I116" i="25"/>
  <c r="F52" i="25"/>
  <c r="F207" i="25"/>
  <c r="H7" i="28"/>
  <c r="F76" i="25"/>
  <c r="I77" i="25"/>
  <c r="F127" i="25"/>
  <c r="I70" i="25"/>
  <c r="I219" i="25"/>
  <c r="I185" i="25"/>
  <c r="F205" i="25"/>
  <c r="F146" i="25"/>
  <c r="F89" i="25"/>
  <c r="I19" i="25"/>
  <c r="F38" i="25"/>
  <c r="I182" i="25"/>
  <c r="I79" i="25"/>
  <c r="F30" i="25"/>
  <c r="I114" i="25"/>
  <c r="I215" i="25"/>
  <c r="I109" i="25"/>
  <c r="I74" i="25"/>
  <c r="F21" i="25"/>
  <c r="I68" i="25"/>
  <c r="F144" i="25"/>
  <c r="I85" i="25"/>
  <c r="I172" i="25"/>
  <c r="F198" i="25"/>
  <c r="F165" i="25"/>
  <c r="I104" i="25"/>
  <c r="F74" i="25"/>
  <c r="F93" i="25"/>
  <c r="I17" i="25"/>
  <c r="F28" i="25"/>
  <c r="F173" i="25"/>
  <c r="I10" i="25"/>
  <c r="I14" i="25"/>
  <c r="I95" i="25"/>
  <c r="F19" i="25"/>
  <c r="F179" i="25"/>
  <c r="I160" i="25"/>
  <c r="F152" i="25"/>
  <c r="I60" i="25"/>
  <c r="I73" i="25"/>
  <c r="F115" i="25"/>
  <c r="I144" i="25"/>
  <c r="F157" i="25"/>
  <c r="I187" i="25"/>
  <c r="I206" i="25"/>
  <c r="I30" i="25"/>
  <c r="I78" i="25"/>
  <c r="F155" i="25"/>
  <c r="F116" i="25"/>
  <c r="I49" i="25"/>
  <c r="F96" i="25"/>
  <c r="I105" i="25"/>
  <c r="F75" i="25"/>
  <c r="F13" i="25"/>
  <c r="F80" i="25"/>
  <c r="F16" i="25"/>
  <c r="F58" i="25"/>
  <c r="F94" i="25"/>
  <c r="F219" i="25"/>
  <c r="I208" i="25"/>
  <c r="I195" i="25"/>
  <c r="F40" i="25"/>
  <c r="I13" i="25"/>
  <c r="F193" i="25"/>
  <c r="D9" i="28"/>
  <c r="F121" i="25"/>
  <c r="F77" i="25"/>
  <c r="F103" i="25"/>
  <c r="F222" i="25"/>
  <c r="F113" i="25"/>
  <c r="I12" i="25"/>
  <c r="F26" i="25"/>
  <c r="F133" i="25"/>
  <c r="I189" i="25"/>
  <c r="I83" i="25"/>
  <c r="F132" i="25"/>
  <c r="I69" i="25"/>
  <c r="F203" i="25"/>
  <c r="I167" i="25"/>
  <c r="I153" i="25"/>
  <c r="I173" i="25"/>
  <c r="I46" i="25"/>
  <c r="F37" i="25"/>
  <c r="F9" i="25"/>
  <c r="I55" i="25"/>
  <c r="F180" i="25"/>
  <c r="I98" i="25"/>
  <c r="F153" i="25"/>
  <c r="F72" i="25"/>
  <c r="F34" i="25"/>
  <c r="I99" i="25"/>
  <c r="I212" i="25"/>
  <c r="I180" i="25"/>
  <c r="I207" i="25"/>
  <c r="I175" i="25"/>
  <c r="I63" i="25"/>
  <c r="I164" i="25"/>
  <c r="F108" i="25"/>
  <c r="I26" i="25"/>
  <c r="I128" i="25"/>
  <c r="F177" i="25"/>
  <c r="F104" i="25"/>
  <c r="I138" i="25"/>
  <c r="I52" i="25"/>
  <c r="F161" i="25"/>
  <c r="F47" i="25"/>
  <c r="F112" i="25"/>
  <c r="F111" i="25"/>
  <c r="F110" i="25"/>
  <c r="I122" i="25"/>
  <c r="I45" i="25"/>
  <c r="I184" i="25"/>
  <c r="F50" i="25"/>
  <c r="I197" i="25"/>
  <c r="I131" i="25"/>
  <c r="I96" i="25"/>
  <c r="I115" i="25"/>
  <c r="I80" i="25"/>
  <c r="I205" i="25"/>
  <c r="I162" i="25"/>
  <c r="I25" i="25"/>
  <c r="E7" i="28"/>
  <c r="I110" i="25"/>
  <c r="I171" i="25"/>
  <c r="F45" i="25"/>
  <c r="F148" i="25"/>
  <c r="F163" i="25"/>
  <c r="F192" i="25"/>
  <c r="F147" i="25"/>
  <c r="I20" i="25"/>
  <c r="F3" i="25"/>
  <c r="F73" i="25"/>
  <c r="F61" i="25"/>
  <c r="F68" i="25"/>
  <c r="F201" i="25"/>
  <c r="I217" i="25"/>
  <c r="I112" i="25"/>
  <c r="F4" i="25"/>
  <c r="F32" i="25"/>
  <c r="F46" i="25"/>
  <c r="F167" i="25"/>
  <c r="F8" i="25"/>
  <c r="F81" i="25"/>
  <c r="F213" i="25"/>
  <c r="F208" i="25"/>
  <c r="I127" i="25"/>
  <c r="I214" i="25"/>
  <c r="F22" i="25"/>
  <c r="F212" i="25"/>
  <c r="F200" i="25"/>
  <c r="I22" i="25"/>
  <c r="F176" i="25"/>
  <c r="F214" i="25"/>
  <c r="I142" i="25"/>
  <c r="F17" i="25"/>
  <c r="F137" i="25"/>
  <c r="I146" i="25"/>
  <c r="F123" i="25"/>
  <c r="I135" i="25"/>
  <c r="I178" i="25"/>
  <c r="I158" i="25"/>
  <c r="F43" i="25"/>
  <c r="I149" i="25"/>
  <c r="F120" i="25"/>
  <c r="I126" i="25"/>
  <c r="I47" i="25"/>
  <c r="F135" i="25"/>
  <c r="I8" i="28"/>
  <c r="I100" i="25"/>
  <c r="F126" i="25"/>
  <c r="F171" i="25"/>
  <c r="F143" i="25"/>
  <c r="I40" i="25"/>
  <c r="F160" i="25"/>
  <c r="I3" i="25"/>
  <c r="I139" i="25"/>
  <c r="F102" i="25"/>
  <c r="I9" i="25"/>
  <c r="I192" i="25"/>
  <c r="F199" i="25"/>
  <c r="I198" i="25"/>
  <c r="I218" i="25"/>
  <c r="F188" i="25"/>
  <c r="I4" i="25"/>
  <c r="I203" i="25"/>
  <c r="I156" i="25"/>
  <c r="I222" i="25"/>
  <c r="F99" i="25"/>
  <c r="F134" i="25"/>
  <c r="I65" i="25"/>
  <c r="F7" i="25"/>
  <c r="F87" i="25"/>
  <c r="I130" i="25"/>
  <c r="I82" i="25"/>
  <c r="F183" i="25"/>
  <c r="I21" i="25"/>
  <c r="F12" i="25"/>
  <c r="I39" i="25"/>
  <c r="F92" i="25"/>
  <c r="I61" i="25"/>
  <c r="F69" i="25"/>
  <c r="F41" i="25"/>
  <c r="I124" i="25"/>
  <c r="F211" i="25"/>
  <c r="F57" i="25"/>
  <c r="F105" i="25"/>
  <c r="I134" i="25"/>
  <c r="F90" i="25"/>
  <c r="F49" i="25"/>
  <c r="F20" i="25"/>
  <c r="I157" i="25"/>
  <c r="I41" i="25"/>
  <c r="F131" i="25"/>
  <c r="I221" i="25"/>
  <c r="D8" i="28"/>
  <c r="F215" i="25"/>
  <c r="F54" i="25"/>
  <c r="I57" i="25"/>
  <c r="I44" i="25"/>
  <c r="I51" i="25"/>
  <c r="I64" i="25"/>
  <c r="I101" i="25"/>
  <c r="I15" i="25"/>
  <c r="F221" i="25"/>
  <c r="I72" i="25"/>
  <c r="I93" i="25"/>
  <c r="F31" i="25"/>
  <c r="F195" i="25"/>
  <c r="F130" i="25"/>
  <c r="F164" i="25"/>
  <c r="I81" i="25"/>
  <c r="I29" i="25"/>
  <c r="F78" i="25"/>
  <c r="F150" i="25"/>
  <c r="I143" i="25"/>
  <c r="F95" i="25"/>
  <c r="I183" i="25"/>
  <c r="F119" i="25"/>
  <c r="I136" i="25"/>
  <c r="I179" i="25"/>
  <c r="I106" i="25"/>
  <c r="I186" i="25"/>
  <c r="I211" i="25"/>
  <c r="F98" i="25"/>
  <c r="F209" i="25"/>
  <c r="F64" i="25"/>
  <c r="F210" i="25"/>
  <c r="I103" i="25"/>
  <c r="I166" i="25"/>
  <c r="I33" i="25"/>
  <c r="I151" i="25"/>
  <c r="F149" i="25"/>
  <c r="I16" i="25"/>
  <c r="I24" i="25"/>
  <c r="I204" i="25"/>
  <c r="F204" i="25"/>
  <c r="I154" i="25"/>
  <c r="F122" i="25"/>
  <c r="I58" i="25"/>
  <c r="I8" i="25"/>
  <c r="I113" i="25"/>
  <c r="F175" i="25"/>
  <c r="I71" i="25"/>
  <c r="F60" i="25"/>
  <c r="F216" i="25"/>
  <c r="I177" i="25"/>
  <c r="I36" i="25"/>
  <c r="F85" i="25"/>
  <c r="F63" i="25"/>
  <c r="F172" i="25"/>
  <c r="I111" i="25"/>
  <c r="I133" i="25"/>
  <c r="F154" i="25"/>
  <c r="F191" i="25"/>
  <c r="I191" i="25"/>
  <c r="H9" i="28"/>
  <c r="F100" i="25"/>
  <c r="F136" i="25"/>
  <c r="F53" i="25"/>
  <c r="F140" i="25"/>
  <c r="I152" i="25"/>
  <c r="H8" i="28"/>
  <c r="F33" i="25"/>
  <c r="I117" i="25"/>
  <c r="F185" i="25"/>
  <c r="F82" i="25"/>
  <c r="F138" i="25"/>
  <c r="F42" i="25"/>
  <c r="F14" i="25"/>
  <c r="F59" i="25"/>
  <c r="I56" i="25"/>
  <c r="I28" i="25"/>
  <c r="F36" i="25"/>
  <c r="I125" i="25"/>
  <c r="F186" i="25"/>
  <c r="F23" i="25"/>
  <c r="F125" i="25"/>
  <c r="F166" i="25"/>
  <c r="F139" i="25"/>
  <c r="F25" i="25"/>
  <c r="F55" i="25"/>
  <c r="F71" i="25"/>
  <c r="I76" i="25"/>
  <c r="I87" i="25"/>
  <c r="I210" i="25"/>
  <c r="F190" i="25"/>
  <c r="I140" i="25"/>
  <c r="F39" i="25"/>
  <c r="F124" i="25"/>
  <c r="I86" i="25"/>
  <c r="I188" i="25"/>
  <c r="I9" i="28"/>
  <c r="F217" i="25"/>
  <c r="E8" i="28"/>
  <c r="I176" i="25"/>
  <c r="I145" i="25"/>
  <c r="I62" i="25"/>
  <c r="F174" i="25"/>
  <c r="I59" i="25"/>
  <c r="F107" i="25"/>
  <c r="I31" i="25"/>
  <c r="F114" i="25"/>
  <c r="F18" i="25"/>
  <c r="I199" i="25"/>
  <c r="I43" i="25"/>
  <c r="I107" i="25"/>
  <c r="I209" i="25"/>
  <c r="F11" i="25"/>
  <c r="F24" i="25"/>
  <c r="I75" i="25"/>
  <c r="I137" i="25"/>
  <c r="F48" i="25"/>
  <c r="I34" i="25"/>
  <c r="I32" i="25"/>
  <c r="I129" i="25"/>
  <c r="I141" i="25"/>
  <c r="I123" i="25"/>
  <c r="I42" i="25"/>
  <c r="I161" i="25"/>
  <c r="F145" i="25"/>
  <c r="I132" i="25"/>
  <c r="F129" i="25"/>
  <c r="F189" i="25"/>
  <c r="I213" i="25"/>
  <c r="F181" i="25"/>
  <c r="F62" i="25"/>
  <c r="F187" i="25"/>
  <c r="E9" i="28"/>
  <c r="I200" i="25"/>
  <c r="F142" i="25"/>
  <c r="F184" i="25"/>
  <c r="I147" i="25"/>
  <c r="I168" i="25"/>
  <c r="F67" i="25"/>
  <c r="I35" i="25"/>
  <c r="I120" i="25"/>
  <c r="I50" i="25"/>
  <c r="I118" i="25"/>
  <c r="I155" i="25"/>
  <c r="I193" i="25"/>
  <c r="I196" i="25"/>
  <c r="F158" i="25"/>
  <c r="F220" i="25"/>
  <c r="F194" i="25"/>
  <c r="I5" i="25"/>
  <c r="F44" i="25"/>
  <c r="F15" i="25"/>
  <c r="F29" i="25"/>
  <c r="I27" i="25"/>
  <c r="I216" i="25"/>
  <c r="F66" i="25"/>
  <c r="F197" i="25"/>
  <c r="I121" i="25"/>
  <c r="F218" i="25"/>
  <c r="I94" i="25"/>
  <c r="I92" i="25"/>
  <c r="I11" i="25"/>
  <c r="I202" i="25"/>
  <c r="F159" i="25"/>
  <c r="I67" i="25"/>
  <c r="F65" i="25"/>
  <c r="I220" i="25"/>
  <c r="I169" i="25"/>
  <c r="F88" i="25"/>
  <c r="F35" i="25"/>
  <c r="I7" i="25"/>
  <c r="I84" i="25"/>
  <c r="I150" i="25"/>
  <c r="I190" i="25"/>
  <c r="I181" i="25"/>
  <c r="F202" i="25"/>
  <c r="F84" i="25"/>
  <c r="I90" i="25"/>
  <c r="I108" i="25"/>
  <c r="F117" i="25"/>
  <c r="I6" i="25"/>
  <c r="I201" i="25"/>
  <c r="I23" i="25"/>
  <c r="D7" i="28"/>
  <c r="F83" i="25"/>
  <c r="I174" i="25"/>
  <c r="F5" i="25"/>
  <c r="I91" i="25"/>
  <c r="F156" i="25"/>
  <c r="F101" i="25"/>
  <c r="F128" i="25"/>
  <c r="I194" i="25"/>
  <c r="F27" i="25"/>
  <c r="I159" i="25"/>
  <c r="F162" i="25"/>
  <c r="F51" i="25"/>
  <c r="I37" i="25"/>
  <c r="F151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<sst xmlns="http://schemas.openxmlformats.org/spreadsheetml/2006/main" count="1021" uniqueCount="293">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</sst>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  <c:pt idx="182">
                  <c:v>16965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R12" sqref="R12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73" t="s">
        <v>240</v>
      </c>
      <c r="AM1" s="374"/>
      <c r="AN1" s="374"/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5"/>
    </row>
    <row r="2" spans="1:63" s="198" customFormat="1" ht="15.75" customHeight="1" x14ac:dyDescent="0.25">
      <c r="A2" s="371" t="s">
        <v>234</v>
      </c>
      <c r="B2" s="371"/>
      <c r="C2" s="372"/>
      <c r="D2" s="370" t="s">
        <v>62</v>
      </c>
      <c r="E2" s="371"/>
      <c r="F2" s="371"/>
      <c r="G2" s="371"/>
      <c r="H2" s="372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9"/>
      <c r="U2" s="377" t="s">
        <v>269</v>
      </c>
      <c r="V2" s="378"/>
      <c r="W2" s="378"/>
      <c r="X2" s="378"/>
      <c r="Y2" s="378"/>
      <c r="Z2" s="378"/>
      <c r="AA2" s="379"/>
      <c r="AB2" s="377" t="s">
        <v>254</v>
      </c>
      <c r="AC2" s="378"/>
      <c r="AD2" s="378"/>
      <c r="AE2" s="378"/>
      <c r="AF2" s="378"/>
      <c r="AG2" s="378"/>
      <c r="AH2" s="378"/>
      <c r="AI2" s="378"/>
      <c r="AJ2" s="378"/>
      <c r="AK2" s="379"/>
      <c r="AL2" s="370" t="s">
        <v>239</v>
      </c>
      <c r="AM2" s="371"/>
      <c r="AN2" s="371"/>
      <c r="AO2" s="371"/>
      <c r="AP2" s="371"/>
      <c r="AQ2" s="371"/>
      <c r="AR2" s="372"/>
      <c r="AS2" s="370" t="s">
        <v>232</v>
      </c>
      <c r="AT2" s="371"/>
      <c r="AU2" s="371"/>
      <c r="AV2" s="371"/>
      <c r="AW2" s="371"/>
      <c r="AX2" s="371"/>
      <c r="AY2" s="371"/>
      <c r="AZ2" s="372"/>
      <c r="BA2" s="371" t="s">
        <v>233</v>
      </c>
      <c r="BB2" s="371"/>
      <c r="BC2" s="371"/>
      <c r="BD2" s="371"/>
      <c r="BE2" s="371"/>
      <c r="BF2" s="371"/>
      <c r="BG2" s="371"/>
      <c r="BH2" s="371"/>
      <c r="BI2" s="371"/>
      <c r="BJ2" s="371"/>
      <c r="BK2" s="372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68" t="s">
        <v>238</v>
      </c>
      <c r="AT3" s="376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80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1926</v>
      </c>
      <c r="F4" s="74">
        <v>237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67" t="s">
        <v>68</v>
      </c>
      <c r="AT4" s="222" t="s">
        <v>229</v>
      </c>
      <c r="AU4" s="208">
        <f>MAX(SUM(BC4:BK4) - E4 + V4,0)</f>
        <v>1174</v>
      </c>
      <c r="AV4" s="209">
        <f>MAX(SUM(BC5:BK5) - E5 + V5,0)</f>
        <v>0</v>
      </c>
      <c r="AW4" s="210">
        <f>MAX(SUM(BC6:BK6) - E6 + V6,0)</f>
        <v>767</v>
      </c>
      <c r="AX4" s="211">
        <f>MAX(SUM(BC7:BK7) - E7 + V7,0)</f>
        <v>0</v>
      </c>
      <c r="AY4" s="223">
        <f>MAX(SUM(BC8:BK8) - E8 + V8,0)</f>
        <v>1026</v>
      </c>
      <c r="AZ4" s="228">
        <f>SUM(AU4:AY4)</f>
        <v>2967</v>
      </c>
      <c r="BA4" s="381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3267</v>
      </c>
      <c r="F5" s="71">
        <v>176</v>
      </c>
      <c r="G5" s="71">
        <v>1116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V8" si="2">O$8*8</f>
        <v>2600</v>
      </c>
      <c r="W5" s="36">
        <f t="shared" ref="W5:W8" si="3">P$8*8</f>
        <v>1840</v>
      </c>
      <c r="X5" s="36">
        <f t="shared" ref="X5:X8" si="4">Q$8*8</f>
        <v>480</v>
      </c>
      <c r="Y5" s="36">
        <f t="shared" ref="Y5:Y8" si="5">R$8*8</f>
        <v>360</v>
      </c>
      <c r="Z5" s="36">
        <f t="shared" ref="Z5:Z8" si="6">S$8*8</f>
        <v>304</v>
      </c>
      <c r="AA5" s="347">
        <f t="shared" ref="AA5:AA8" si="7">T$8*8</f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68"/>
      <c r="AT5" s="185" t="s">
        <v>76</v>
      </c>
      <c r="AU5" s="74">
        <f>ROUNDUP(AU4/$AP$4,0)</f>
        <v>107</v>
      </c>
      <c r="AV5" s="71">
        <f t="shared" ref="AV5:AY5" si="8">ROUNDUP(AV4/$AP$4,0)</f>
        <v>0</v>
      </c>
      <c r="AW5" s="72">
        <f t="shared" si="8"/>
        <v>70</v>
      </c>
      <c r="AX5" s="131">
        <f t="shared" si="8"/>
        <v>0</v>
      </c>
      <c r="AY5" s="73">
        <f t="shared" si="8"/>
        <v>94</v>
      </c>
      <c r="AZ5" s="229">
        <f t="shared" ref="AZ5:AZ17" si="9">SUM(AU5:AY5)</f>
        <v>271</v>
      </c>
      <c r="BA5" s="381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2333</v>
      </c>
      <c r="F6" s="72">
        <v>254</v>
      </c>
      <c r="G6" s="72">
        <v>963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3"/>
        <v>1840</v>
      </c>
      <c r="X6" s="36">
        <f t="shared" si="4"/>
        <v>480</v>
      </c>
      <c r="Y6" s="36">
        <f t="shared" si="5"/>
        <v>360</v>
      </c>
      <c r="Z6" s="36">
        <f t="shared" si="6"/>
        <v>304</v>
      </c>
      <c r="AA6" s="347">
        <f t="shared" si="7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68"/>
      <c r="AT6" s="185" t="s">
        <v>236</v>
      </c>
      <c r="AU6" s="204">
        <f>ROUNDUP(AU5/(RECOVER_AP / $B$5)*RECOVER_DIAMS,0)</f>
        <v>803</v>
      </c>
      <c r="AV6" s="207">
        <f>ROUNDUP(AV5/(RECOVER_AP / $B$5)*RECOVER_DIAMS,0)</f>
        <v>0</v>
      </c>
      <c r="AW6" s="205">
        <f>ROUNDUP(AW5/(RECOVER_AP / $B$5)*RECOVER_DIAMS,0)</f>
        <v>525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9"/>
        <v>2033</v>
      </c>
      <c r="BA6" s="381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3558</v>
      </c>
      <c r="F7" s="131">
        <v>986</v>
      </c>
      <c r="G7" s="131">
        <v>1657</v>
      </c>
      <c r="H7" s="326">
        <v>3978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3"/>
        <v>1840</v>
      </c>
      <c r="X7" s="36">
        <f t="shared" si="4"/>
        <v>480</v>
      </c>
      <c r="Y7" s="36">
        <f t="shared" si="5"/>
        <v>360</v>
      </c>
      <c r="Z7" s="36">
        <f t="shared" si="6"/>
        <v>304</v>
      </c>
      <c r="AA7" s="347">
        <f t="shared" si="7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68"/>
      <c r="AT7" s="185" t="s">
        <v>116</v>
      </c>
      <c r="AU7" s="74">
        <f>ROUNDUP(AU4/$AP$8,0)</f>
        <v>98</v>
      </c>
      <c r="AV7" s="71">
        <f t="shared" ref="AV7:AY7" si="10">ROUNDUP(AV4/$AP$8,0)</f>
        <v>0</v>
      </c>
      <c r="AW7" s="72">
        <f t="shared" si="10"/>
        <v>64</v>
      </c>
      <c r="AX7" s="131">
        <f t="shared" si="10"/>
        <v>0</v>
      </c>
      <c r="AY7" s="73">
        <f t="shared" si="10"/>
        <v>86</v>
      </c>
      <c r="AZ7" s="229">
        <f t="shared" si="9"/>
        <v>248</v>
      </c>
      <c r="BA7" s="381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2074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3"/>
        <v>1840</v>
      </c>
      <c r="X8" s="322">
        <f t="shared" si="4"/>
        <v>480</v>
      </c>
      <c r="Y8" s="322">
        <f t="shared" si="5"/>
        <v>360</v>
      </c>
      <c r="Z8" s="322">
        <f t="shared" si="6"/>
        <v>304</v>
      </c>
      <c r="AA8" s="348">
        <f t="shared" si="7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12.02839116719243</v>
      </c>
      <c r="AQ8" s="257">
        <f>COUNT(D真龍!Q:Q)</f>
        <v>634</v>
      </c>
      <c r="AR8" s="114">
        <f>$C$5/AP8</f>
        <v>3.3254655127196431</v>
      </c>
      <c r="AS8" s="369"/>
      <c r="AT8" s="224" t="s">
        <v>237</v>
      </c>
      <c r="AU8" s="216">
        <f>ROUNDUP(AU7/(RECOVER_AP / $C$5)*RECOVER_DIAMS,0)</f>
        <v>980</v>
      </c>
      <c r="AV8" s="217">
        <f>ROUNDUP(AV7/(RECOVER_AP / $C$5)*RECOVER_DIAMS,0)</f>
        <v>0</v>
      </c>
      <c r="AW8" s="218">
        <f>ROUNDUP(AW7/(RECOVER_AP / $C$5)*RECOVER_DIAMS,0)</f>
        <v>640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9"/>
        <v>2480</v>
      </c>
      <c r="BA8" s="38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68" t="s">
        <v>235</v>
      </c>
      <c r="E9" s="376"/>
      <c r="F9" s="376"/>
      <c r="G9" s="385">
        <v>614</v>
      </c>
      <c r="H9" s="386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 t="shared" ref="AO9:AO11" si="11">$C$4/AM9</f>
        <v>8</v>
      </c>
      <c r="AP9" s="115">
        <f>AVERAGE(D真龍!S:S)+AVERAGE(D真龍!U:U)</f>
        <v>6.9337539432176651</v>
      </c>
      <c r="AQ9" s="257">
        <f>COUNT(D真龍!S:S)</f>
        <v>634</v>
      </c>
      <c r="AR9" s="114">
        <f>$C$5/AP9</f>
        <v>5.7688808007279349</v>
      </c>
      <c r="AS9" s="367" t="s">
        <v>71</v>
      </c>
      <c r="AT9" s="222" t="s">
        <v>229</v>
      </c>
      <c r="AU9" s="208">
        <f>MAX(SUM(BC10:BK10) - F4 + W4,0)</f>
        <v>1963</v>
      </c>
      <c r="AV9" s="209">
        <f>MAX(SUM(BC11:BK11) - F5 + W5,0)</f>
        <v>2024</v>
      </c>
      <c r="AW9" s="210">
        <f>MAX(SUM(BC12:BK12) - F6 + W6,0)</f>
        <v>1946</v>
      </c>
      <c r="AX9" s="211">
        <f>MAX(SUM(BC13:BK13) - F7 + W7,0)</f>
        <v>854</v>
      </c>
      <c r="AY9" s="223">
        <f>MAX(SUM(BC14:BK14) - F8 + W8,0)</f>
        <v>1772</v>
      </c>
      <c r="AZ9" s="228">
        <f t="shared" si="9"/>
        <v>8559</v>
      </c>
      <c r="BA9" s="380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61" t="s">
        <v>245</v>
      </c>
      <c r="E10" s="362"/>
      <c r="F10" s="363">
        <v>140138020</v>
      </c>
      <c r="G10" s="363"/>
      <c r="H10" s="364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 t="shared" si="11"/>
        <v>8</v>
      </c>
      <c r="AP10" s="115">
        <f>AVERAGE(D真龍!T:T)+AVERAGE(D真龍!V:V)</f>
        <v>6.9353312302839116</v>
      </c>
      <c r="AQ10" s="257">
        <f>COUNT(D真龍!T:T)</f>
        <v>634</v>
      </c>
      <c r="AR10" s="114">
        <f>$C$5/AP10</f>
        <v>5.767568796906982</v>
      </c>
      <c r="AS10" s="368"/>
      <c r="AT10" s="185" t="s">
        <v>76</v>
      </c>
      <c r="AU10" s="74">
        <f>ROUNDUP(AU9/$AP$5,0)</f>
        <v>311</v>
      </c>
      <c r="AV10" s="71">
        <f t="shared" ref="AV10:AY10" si="12">ROUNDUP(AV9/$AP$5,0)</f>
        <v>321</v>
      </c>
      <c r="AW10" s="72">
        <f t="shared" si="12"/>
        <v>308</v>
      </c>
      <c r="AX10" s="131">
        <f t="shared" si="12"/>
        <v>136</v>
      </c>
      <c r="AY10" s="73">
        <f t="shared" si="12"/>
        <v>281</v>
      </c>
      <c r="AZ10" s="229">
        <f t="shared" si="9"/>
        <v>1357</v>
      </c>
      <c r="BA10" s="381"/>
      <c r="BB10" s="179" t="s">
        <v>9</v>
      </c>
      <c r="BC10" s="16">
        <f t="shared" ref="BC10:BK14" si="13">IF(ISBLANK(AC4),0,VLOOKUP(AC4,$I$4:$T$10,8,FALSE))</f>
        <v>0</v>
      </c>
      <c r="BD10" s="16">
        <f t="shared" si="13"/>
        <v>0</v>
      </c>
      <c r="BE10" s="16">
        <f t="shared" si="13"/>
        <v>0</v>
      </c>
      <c r="BF10" s="16">
        <f t="shared" si="13"/>
        <v>0</v>
      </c>
      <c r="BG10" s="16">
        <f t="shared" si="13"/>
        <v>0</v>
      </c>
      <c r="BH10" s="16">
        <f t="shared" si="13"/>
        <v>0</v>
      </c>
      <c r="BI10" s="16">
        <f t="shared" si="13"/>
        <v>0</v>
      </c>
      <c r="BJ10" s="16">
        <f t="shared" si="13"/>
        <v>0</v>
      </c>
      <c r="BK10" s="15">
        <f t="shared" si="13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 t="shared" si="11"/>
        <v>40</v>
      </c>
      <c r="AP11" s="298">
        <f>AVERAGE(D真龍!R:R)</f>
        <v>1.1677740863787376</v>
      </c>
      <c r="AQ11" s="269">
        <f>COUNT(D真龍!R:R)</f>
        <v>602</v>
      </c>
      <c r="AR11" s="299">
        <f>$C$5/AP11</f>
        <v>34.253200568990039</v>
      </c>
      <c r="AS11" s="368"/>
      <c r="AT11" s="185" t="s">
        <v>236</v>
      </c>
      <c r="AU11" s="204">
        <f>ROUNDUP(AU10/(RECOVER_AP / $B$5)*RECOVER_DIAMS,0)</f>
        <v>2333</v>
      </c>
      <c r="AV11" s="207">
        <f>ROUNDUP(AV10/(RECOVER_AP / $B$5)*RECOVER_DIAMS,0)</f>
        <v>2408</v>
      </c>
      <c r="AW11" s="205">
        <f>ROUNDUP(AW10/(RECOVER_AP / $B$5)*RECOVER_DIAMS,0)</f>
        <v>2310</v>
      </c>
      <c r="AX11" s="206">
        <f>ROUNDUP(AX10/(RECOVER_AP / $B$5)*RECOVER_DIAMS,0)</f>
        <v>1020</v>
      </c>
      <c r="AY11" s="220">
        <f>ROUNDUP(AY10/(RECOVER_AP / $B$5)*RECOVER_DIAMS,0)</f>
        <v>2108</v>
      </c>
      <c r="AZ11" s="230">
        <f t="shared" si="9"/>
        <v>10179</v>
      </c>
      <c r="BA11" s="381"/>
      <c r="BB11" s="180" t="s">
        <v>7</v>
      </c>
      <c r="BC11" s="33">
        <f t="shared" si="13"/>
        <v>0</v>
      </c>
      <c r="BD11" s="33">
        <f t="shared" si="13"/>
        <v>0</v>
      </c>
      <c r="BE11" s="33">
        <f t="shared" si="13"/>
        <v>0</v>
      </c>
      <c r="BF11" s="33">
        <f t="shared" si="13"/>
        <v>0</v>
      </c>
      <c r="BG11" s="33">
        <f t="shared" si="13"/>
        <v>0</v>
      </c>
      <c r="BH11" s="33">
        <f t="shared" si="13"/>
        <v>0</v>
      </c>
      <c r="BI11" s="33">
        <f t="shared" si="13"/>
        <v>0</v>
      </c>
      <c r="BJ11" s="33">
        <f t="shared" si="13"/>
        <v>0</v>
      </c>
      <c r="BK11" s="194">
        <f t="shared" si="13"/>
        <v>360</v>
      </c>
    </row>
    <row r="12" spans="1:63" ht="15.75" customHeight="1" x14ac:dyDescent="0.25">
      <c r="AS12" s="368"/>
      <c r="AT12" s="185" t="s">
        <v>116</v>
      </c>
      <c r="AU12" s="74">
        <f>ROUNDUP(AU9/$AP$9,0)</f>
        <v>284</v>
      </c>
      <c r="AV12" s="71">
        <f t="shared" ref="AV12:AY12" si="14">ROUNDUP(AV9/$AP$9,0)</f>
        <v>292</v>
      </c>
      <c r="AW12" s="72">
        <f t="shared" si="14"/>
        <v>281</v>
      </c>
      <c r="AX12" s="131">
        <f t="shared" si="14"/>
        <v>124</v>
      </c>
      <c r="AY12" s="73">
        <f t="shared" si="14"/>
        <v>256</v>
      </c>
      <c r="AZ12" s="229">
        <f t="shared" si="9"/>
        <v>1237</v>
      </c>
      <c r="BA12" s="381"/>
      <c r="BB12" s="192" t="s">
        <v>6</v>
      </c>
      <c r="BC12" s="193">
        <f t="shared" si="13"/>
        <v>0</v>
      </c>
      <c r="BD12" s="193">
        <f t="shared" si="13"/>
        <v>0</v>
      </c>
      <c r="BE12" s="193">
        <f t="shared" si="13"/>
        <v>0</v>
      </c>
      <c r="BF12" s="193">
        <f t="shared" si="13"/>
        <v>0</v>
      </c>
      <c r="BG12" s="193">
        <f t="shared" si="13"/>
        <v>0</v>
      </c>
      <c r="BH12" s="193">
        <f t="shared" si="13"/>
        <v>0</v>
      </c>
      <c r="BI12" s="193">
        <f t="shared" si="13"/>
        <v>0</v>
      </c>
      <c r="BJ12" s="193">
        <f t="shared" si="13"/>
        <v>0</v>
      </c>
      <c r="BK12" s="195">
        <f t="shared" si="13"/>
        <v>360</v>
      </c>
    </row>
    <row r="13" spans="1:63" ht="15.75" customHeight="1" x14ac:dyDescent="0.25">
      <c r="AS13" s="369"/>
      <c r="AT13" s="224" t="s">
        <v>237</v>
      </c>
      <c r="AU13" s="216">
        <f>ROUNDUP(AU10/(RECOVER_AP / $C$5)*RECOVER_DIAMS,0)</f>
        <v>3110</v>
      </c>
      <c r="AV13" s="217">
        <f>ROUNDUP(AV10/(RECOVER_AP / $C$5)*RECOVER_DIAMS,0)</f>
        <v>3210</v>
      </c>
      <c r="AW13" s="218">
        <f>ROUNDUP(AW10/(RECOVER_AP / $C$5)*RECOVER_DIAMS,0)</f>
        <v>3080</v>
      </c>
      <c r="AX13" s="219">
        <f>ROUNDUP(AX10/(RECOVER_AP / $C$5)*RECOVER_DIAMS,0)</f>
        <v>1360</v>
      </c>
      <c r="AY13" s="225">
        <f>ROUNDUP(AY10/(RECOVER_AP / $C$5)*RECOVER_DIAMS,0)</f>
        <v>2810</v>
      </c>
      <c r="AZ13" s="231">
        <f t="shared" si="9"/>
        <v>13570</v>
      </c>
      <c r="BA13" s="381"/>
      <c r="BB13" s="181" t="s">
        <v>4</v>
      </c>
      <c r="BC13" s="130">
        <f t="shared" si="13"/>
        <v>0</v>
      </c>
      <c r="BD13" s="130">
        <f t="shared" si="13"/>
        <v>0</v>
      </c>
      <c r="BE13" s="130">
        <f t="shared" si="13"/>
        <v>0</v>
      </c>
      <c r="BF13" s="130">
        <f t="shared" si="13"/>
        <v>0</v>
      </c>
      <c r="BG13" s="130">
        <f t="shared" si="13"/>
        <v>0</v>
      </c>
      <c r="BH13" s="130">
        <f t="shared" si="13"/>
        <v>0</v>
      </c>
      <c r="BI13" s="130">
        <f t="shared" si="13"/>
        <v>0</v>
      </c>
      <c r="BJ13" s="130">
        <f t="shared" si="13"/>
        <v>0</v>
      </c>
      <c r="BK13" s="196">
        <f t="shared" si="13"/>
        <v>0</v>
      </c>
    </row>
    <row r="14" spans="1:63" ht="15.75" customHeight="1" x14ac:dyDescent="0.25">
      <c r="AS14" s="367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9"/>
        <v>0</v>
      </c>
      <c r="BA14" s="382"/>
      <c r="BB14" s="12" t="s">
        <v>3</v>
      </c>
      <c r="BC14" s="13">
        <f t="shared" si="13"/>
        <v>0</v>
      </c>
      <c r="BD14" s="13">
        <f t="shared" si="13"/>
        <v>0</v>
      </c>
      <c r="BE14" s="13">
        <f t="shared" si="13"/>
        <v>0</v>
      </c>
      <c r="BF14" s="13">
        <f t="shared" si="13"/>
        <v>0</v>
      </c>
      <c r="BG14" s="13">
        <f t="shared" si="13"/>
        <v>0</v>
      </c>
      <c r="BH14" s="13">
        <f t="shared" si="13"/>
        <v>0</v>
      </c>
      <c r="BI14" s="13">
        <f t="shared" si="13"/>
        <v>0</v>
      </c>
      <c r="BJ14" s="13">
        <f t="shared" si="13"/>
        <v>0</v>
      </c>
      <c r="BK14" s="113">
        <f t="shared" si="13"/>
        <v>360</v>
      </c>
    </row>
    <row r="15" spans="1:63" ht="15.75" customHeight="1" x14ac:dyDescent="0.25">
      <c r="AS15" s="368"/>
      <c r="AT15" s="185" t="s">
        <v>116</v>
      </c>
      <c r="AU15" s="74">
        <f>ROUNDUP(AU14/$AP$10,0)</f>
        <v>0</v>
      </c>
      <c r="AV15" s="71">
        <f t="shared" ref="AV15:AY15" si="15">ROUNDUP(AV14/$AP$10,0)</f>
        <v>0</v>
      </c>
      <c r="AW15" s="72">
        <f t="shared" si="15"/>
        <v>0</v>
      </c>
      <c r="AX15" s="131">
        <f t="shared" si="15"/>
        <v>0</v>
      </c>
      <c r="AY15" s="73">
        <f t="shared" si="15"/>
        <v>0</v>
      </c>
      <c r="AZ15" s="229">
        <f t="shared" si="9"/>
        <v>0</v>
      </c>
      <c r="BA15" s="380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69"/>
      <c r="AT16" s="224" t="s">
        <v>237</v>
      </c>
      <c r="AU16" s="216">
        <f>ROUNDUP(AU15/(RECOVER_AP / $C$5)*RECOVER_DIAMS,0)</f>
        <v>0</v>
      </c>
      <c r="AV16" s="217">
        <f t="shared" ref="AV16:AY16" si="16">ROUNDUP(AV15/3*30,0)</f>
        <v>0</v>
      </c>
      <c r="AW16" s="218">
        <f t="shared" si="16"/>
        <v>0</v>
      </c>
      <c r="AX16" s="219">
        <f t="shared" si="16"/>
        <v>0</v>
      </c>
      <c r="AY16" s="225">
        <f t="shared" si="16"/>
        <v>0</v>
      </c>
      <c r="AZ16" s="231">
        <f t="shared" si="9"/>
        <v>0</v>
      </c>
      <c r="BA16" s="381"/>
      <c r="BB16" s="179" t="s">
        <v>9</v>
      </c>
      <c r="BC16" s="16">
        <f t="shared" ref="BC16:BK20" si="17">IF(ISBLANK(AC4),0,VLOOKUP(AC4,$I$4:$T$10,9,FALSE))</f>
        <v>0</v>
      </c>
      <c r="BD16" s="16">
        <f t="shared" si="17"/>
        <v>0</v>
      </c>
      <c r="BE16" s="16">
        <f t="shared" si="17"/>
        <v>0</v>
      </c>
      <c r="BF16" s="16">
        <f t="shared" si="17"/>
        <v>0</v>
      </c>
      <c r="BG16" s="16">
        <f t="shared" si="17"/>
        <v>0</v>
      </c>
      <c r="BH16" s="16">
        <f t="shared" si="17"/>
        <v>0</v>
      </c>
      <c r="BI16" s="16">
        <f t="shared" si="17"/>
        <v>0</v>
      </c>
      <c r="BJ16" s="16">
        <f t="shared" si="17"/>
        <v>0</v>
      </c>
      <c r="BK16" s="15">
        <f t="shared" si="17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9"/>
        <v>165</v>
      </c>
      <c r="BA17" s="381"/>
      <c r="BB17" s="180" t="s">
        <v>7</v>
      </c>
      <c r="BC17" s="33">
        <f t="shared" si="17"/>
        <v>0</v>
      </c>
      <c r="BD17" s="33">
        <f t="shared" si="17"/>
        <v>0</v>
      </c>
      <c r="BE17" s="33">
        <f t="shared" si="17"/>
        <v>0</v>
      </c>
      <c r="BF17" s="33">
        <f t="shared" si="17"/>
        <v>0</v>
      </c>
      <c r="BG17" s="33">
        <f t="shared" si="17"/>
        <v>0</v>
      </c>
      <c r="BH17" s="33">
        <f t="shared" si="17"/>
        <v>0</v>
      </c>
      <c r="BI17" s="33">
        <f t="shared" si="17"/>
        <v>0</v>
      </c>
      <c r="BJ17" s="33">
        <f t="shared" si="17"/>
        <v>0</v>
      </c>
      <c r="BK17" s="194">
        <f t="shared" si="17"/>
        <v>90</v>
      </c>
    </row>
    <row r="18" spans="45:63" ht="15.75" customHeight="1" x14ac:dyDescent="0.25">
      <c r="AS18" s="367" t="s">
        <v>70</v>
      </c>
      <c r="AT18" s="222" t="s">
        <v>229</v>
      </c>
      <c r="AU18" s="389">
        <f>MAX(SUM(BC28:BK32) - G9 + SUM(Z4:Z8),0)</f>
        <v>1090</v>
      </c>
      <c r="AV18" s="389"/>
      <c r="AW18" s="389"/>
      <c r="AX18" s="389"/>
      <c r="AY18" s="389"/>
      <c r="AZ18" s="390"/>
      <c r="BA18" s="381"/>
      <c r="BB18" s="192" t="s">
        <v>6</v>
      </c>
      <c r="BC18" s="193">
        <f t="shared" si="17"/>
        <v>0</v>
      </c>
      <c r="BD18" s="193">
        <f t="shared" si="17"/>
        <v>0</v>
      </c>
      <c r="BE18" s="193">
        <f t="shared" si="17"/>
        <v>0</v>
      </c>
      <c r="BF18" s="193">
        <f t="shared" si="17"/>
        <v>0</v>
      </c>
      <c r="BG18" s="193">
        <f t="shared" si="17"/>
        <v>0</v>
      </c>
      <c r="BH18" s="193">
        <f t="shared" si="17"/>
        <v>0</v>
      </c>
      <c r="BI18" s="193">
        <f t="shared" si="17"/>
        <v>0</v>
      </c>
      <c r="BJ18" s="193">
        <f t="shared" si="17"/>
        <v>0</v>
      </c>
      <c r="BK18" s="195">
        <f t="shared" si="17"/>
        <v>90</v>
      </c>
    </row>
    <row r="19" spans="45:63" ht="15.75" customHeight="1" x14ac:dyDescent="0.25">
      <c r="AS19" s="368"/>
      <c r="AT19" s="185" t="s">
        <v>243</v>
      </c>
      <c r="AU19" s="359">
        <f>ROUNDUP(AU18/AP6,0)</f>
        <v>2737</v>
      </c>
      <c r="AV19" s="359"/>
      <c r="AW19" s="359"/>
      <c r="AX19" s="359"/>
      <c r="AY19" s="359"/>
      <c r="AZ19" s="360"/>
      <c r="BA19" s="381"/>
      <c r="BB19" s="181" t="s">
        <v>4</v>
      </c>
      <c r="BC19" s="130">
        <f t="shared" si="17"/>
        <v>0</v>
      </c>
      <c r="BD19" s="130">
        <f t="shared" si="17"/>
        <v>0</v>
      </c>
      <c r="BE19" s="130">
        <f t="shared" si="17"/>
        <v>0</v>
      </c>
      <c r="BF19" s="130">
        <f t="shared" si="17"/>
        <v>0</v>
      </c>
      <c r="BG19" s="130">
        <f t="shared" si="17"/>
        <v>0</v>
      </c>
      <c r="BH19" s="130">
        <f t="shared" si="17"/>
        <v>0</v>
      </c>
      <c r="BI19" s="130">
        <f t="shared" si="17"/>
        <v>0</v>
      </c>
      <c r="BJ19" s="130">
        <f t="shared" si="17"/>
        <v>0</v>
      </c>
      <c r="BK19" s="196">
        <f t="shared" si="17"/>
        <v>0</v>
      </c>
    </row>
    <row r="20" spans="45:63" ht="15.75" customHeight="1" x14ac:dyDescent="0.25">
      <c r="AS20" s="368"/>
      <c r="AT20" s="224" t="s">
        <v>244</v>
      </c>
      <c r="AU20" s="387">
        <f>ROUNDUP(AU18/AP11,0)</f>
        <v>934</v>
      </c>
      <c r="AV20" s="387"/>
      <c r="AW20" s="387"/>
      <c r="AX20" s="387"/>
      <c r="AY20" s="387"/>
      <c r="AZ20" s="388"/>
      <c r="BA20" s="382"/>
      <c r="BB20" s="12" t="s">
        <v>3</v>
      </c>
      <c r="BC20" s="13">
        <f t="shared" si="17"/>
        <v>0</v>
      </c>
      <c r="BD20" s="13">
        <f t="shared" si="17"/>
        <v>0</v>
      </c>
      <c r="BE20" s="13">
        <f t="shared" si="17"/>
        <v>0</v>
      </c>
      <c r="BF20" s="13">
        <f t="shared" si="17"/>
        <v>0</v>
      </c>
      <c r="BG20" s="13">
        <f t="shared" si="17"/>
        <v>0</v>
      </c>
      <c r="BH20" s="13">
        <f t="shared" si="17"/>
        <v>0</v>
      </c>
      <c r="BI20" s="13">
        <f t="shared" si="17"/>
        <v>0</v>
      </c>
      <c r="BJ20" s="13">
        <f t="shared" si="17"/>
        <v>0</v>
      </c>
      <c r="BK20" s="113">
        <f t="shared" si="17"/>
        <v>90</v>
      </c>
    </row>
    <row r="21" spans="45:63" ht="15.75" customHeight="1" x14ac:dyDescent="0.25">
      <c r="AS21" s="221" t="s">
        <v>94</v>
      </c>
      <c r="AT21" s="197" t="s">
        <v>229</v>
      </c>
      <c r="AU21" s="383">
        <f>MAX(SUM(BC34:BK38) - F10 + SUM(AA4:AA8),0)</f>
        <v>659861980</v>
      </c>
      <c r="AV21" s="383"/>
      <c r="AW21" s="383"/>
      <c r="AX21" s="383"/>
      <c r="AY21" s="383"/>
      <c r="AZ21" s="384"/>
      <c r="BA21" s="380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81"/>
      <c r="BB22" s="179" t="s">
        <v>9</v>
      </c>
      <c r="BC22" s="16">
        <f t="shared" ref="BC22:BK26" si="18">IF(ISBLANK(AC4),0,VLOOKUP(AC4,$I$4:$T$10,10,FALSE))</f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5">
        <f t="shared" si="18"/>
        <v>80</v>
      </c>
    </row>
    <row r="23" spans="45:63" ht="15.75" customHeight="1" x14ac:dyDescent="0.25">
      <c r="BA23" s="381"/>
      <c r="BB23" s="180" t="s">
        <v>7</v>
      </c>
      <c r="BC23" s="33">
        <f t="shared" si="18"/>
        <v>0</v>
      </c>
      <c r="BD23" s="33">
        <f t="shared" si="18"/>
        <v>0</v>
      </c>
      <c r="BE23" s="33">
        <f t="shared" si="18"/>
        <v>0</v>
      </c>
      <c r="BF23" s="33">
        <f t="shared" si="18"/>
        <v>0</v>
      </c>
      <c r="BG23" s="33">
        <f t="shared" si="18"/>
        <v>0</v>
      </c>
      <c r="BH23" s="33">
        <f t="shared" si="18"/>
        <v>0</v>
      </c>
      <c r="BI23" s="33">
        <f t="shared" si="18"/>
        <v>0</v>
      </c>
      <c r="BJ23" s="33">
        <f t="shared" si="18"/>
        <v>0</v>
      </c>
      <c r="BK23" s="194">
        <f t="shared" si="18"/>
        <v>80</v>
      </c>
    </row>
    <row r="24" spans="45:63" ht="15.75" customHeight="1" x14ac:dyDescent="0.25">
      <c r="BA24" s="381"/>
      <c r="BB24" s="192" t="s">
        <v>6</v>
      </c>
      <c r="BC24" s="193">
        <f t="shared" si="18"/>
        <v>0</v>
      </c>
      <c r="BD24" s="193">
        <f t="shared" si="18"/>
        <v>0</v>
      </c>
      <c r="BE24" s="193">
        <f t="shared" si="18"/>
        <v>0</v>
      </c>
      <c r="BF24" s="193">
        <f t="shared" si="18"/>
        <v>0</v>
      </c>
      <c r="BG24" s="193">
        <f t="shared" si="18"/>
        <v>0</v>
      </c>
      <c r="BH24" s="193">
        <f t="shared" si="18"/>
        <v>0</v>
      </c>
      <c r="BI24" s="193">
        <f t="shared" si="18"/>
        <v>0</v>
      </c>
      <c r="BJ24" s="193">
        <f t="shared" si="18"/>
        <v>0</v>
      </c>
      <c r="BK24" s="195">
        <f t="shared" si="18"/>
        <v>80</v>
      </c>
    </row>
    <row r="25" spans="45:63" ht="15.75" customHeight="1" x14ac:dyDescent="0.25">
      <c r="BA25" s="381"/>
      <c r="BB25" s="181" t="s">
        <v>4</v>
      </c>
      <c r="BC25" s="130">
        <f t="shared" si="18"/>
        <v>0</v>
      </c>
      <c r="BD25" s="130">
        <f t="shared" si="18"/>
        <v>0</v>
      </c>
      <c r="BE25" s="130">
        <f t="shared" si="18"/>
        <v>0</v>
      </c>
      <c r="BF25" s="130">
        <f t="shared" si="18"/>
        <v>0</v>
      </c>
      <c r="BG25" s="130">
        <f t="shared" si="18"/>
        <v>0</v>
      </c>
      <c r="BH25" s="130">
        <f t="shared" si="18"/>
        <v>0</v>
      </c>
      <c r="BI25" s="130">
        <f t="shared" si="18"/>
        <v>0</v>
      </c>
      <c r="BJ25" s="130">
        <f t="shared" si="18"/>
        <v>0</v>
      </c>
      <c r="BK25" s="196">
        <f t="shared" si="18"/>
        <v>0</v>
      </c>
    </row>
    <row r="26" spans="45:63" ht="15.75" customHeight="1" x14ac:dyDescent="0.25">
      <c r="BA26" s="382"/>
      <c r="BB26" s="12" t="s">
        <v>3</v>
      </c>
      <c r="BC26" s="13">
        <f t="shared" si="18"/>
        <v>0</v>
      </c>
      <c r="BD26" s="13">
        <f t="shared" si="18"/>
        <v>0</v>
      </c>
      <c r="BE26" s="13">
        <f t="shared" si="18"/>
        <v>0</v>
      </c>
      <c r="BF26" s="13">
        <f t="shared" si="18"/>
        <v>0</v>
      </c>
      <c r="BG26" s="13">
        <f t="shared" si="18"/>
        <v>0</v>
      </c>
      <c r="BH26" s="13">
        <f t="shared" si="18"/>
        <v>0</v>
      </c>
      <c r="BI26" s="13">
        <f t="shared" si="18"/>
        <v>0</v>
      </c>
      <c r="BJ26" s="13">
        <f t="shared" si="18"/>
        <v>0</v>
      </c>
      <c r="BK26" s="113">
        <f t="shared" si="18"/>
        <v>80</v>
      </c>
    </row>
    <row r="27" spans="45:63" ht="15.75" customHeight="1" x14ac:dyDescent="0.25">
      <c r="BA27" s="380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81"/>
      <c r="BB28" s="179" t="s">
        <v>9</v>
      </c>
      <c r="BC28" s="16">
        <f t="shared" ref="BC28:BK32" si="19">IF(ISBLANK(AC4),0,VLOOKUP(AC4,$I$4:$T$10,11,FALSE))</f>
        <v>0</v>
      </c>
      <c r="BD28" s="16">
        <f t="shared" si="19"/>
        <v>0</v>
      </c>
      <c r="BE28" s="16">
        <f t="shared" si="19"/>
        <v>0</v>
      </c>
      <c r="BF28" s="16">
        <f t="shared" si="19"/>
        <v>0</v>
      </c>
      <c r="BG28" s="16">
        <f t="shared" si="19"/>
        <v>0</v>
      </c>
      <c r="BH28" s="16">
        <f t="shared" si="19"/>
        <v>0</v>
      </c>
      <c r="BI28" s="16">
        <f t="shared" si="19"/>
        <v>0</v>
      </c>
      <c r="BJ28" s="16">
        <f t="shared" si="19"/>
        <v>0</v>
      </c>
      <c r="BK28" s="15">
        <f t="shared" si="19"/>
        <v>46</v>
      </c>
    </row>
    <row r="29" spans="45:63" ht="15.75" customHeight="1" x14ac:dyDescent="0.25">
      <c r="BA29" s="381"/>
      <c r="BB29" s="180" t="s">
        <v>7</v>
      </c>
      <c r="BC29" s="33">
        <f t="shared" si="19"/>
        <v>0</v>
      </c>
      <c r="BD29" s="33">
        <f t="shared" si="19"/>
        <v>0</v>
      </c>
      <c r="BE29" s="33">
        <f t="shared" si="19"/>
        <v>0</v>
      </c>
      <c r="BF29" s="33">
        <f t="shared" si="19"/>
        <v>0</v>
      </c>
      <c r="BG29" s="33">
        <f t="shared" si="19"/>
        <v>0</v>
      </c>
      <c r="BH29" s="33">
        <f t="shared" si="19"/>
        <v>0</v>
      </c>
      <c r="BI29" s="33">
        <f t="shared" si="19"/>
        <v>0</v>
      </c>
      <c r="BJ29" s="33">
        <f t="shared" si="19"/>
        <v>0</v>
      </c>
      <c r="BK29" s="194">
        <f t="shared" si="19"/>
        <v>46</v>
      </c>
    </row>
    <row r="30" spans="45:63" ht="15.75" customHeight="1" x14ac:dyDescent="0.25">
      <c r="BA30" s="381"/>
      <c r="BB30" s="192" t="s">
        <v>6</v>
      </c>
      <c r="BC30" s="193">
        <f t="shared" si="19"/>
        <v>0</v>
      </c>
      <c r="BD30" s="193">
        <f t="shared" si="19"/>
        <v>0</v>
      </c>
      <c r="BE30" s="193">
        <f t="shared" si="19"/>
        <v>0</v>
      </c>
      <c r="BF30" s="193">
        <f t="shared" si="19"/>
        <v>0</v>
      </c>
      <c r="BG30" s="193">
        <f t="shared" si="19"/>
        <v>0</v>
      </c>
      <c r="BH30" s="193">
        <f t="shared" si="19"/>
        <v>0</v>
      </c>
      <c r="BI30" s="193">
        <f t="shared" si="19"/>
        <v>0</v>
      </c>
      <c r="BJ30" s="193">
        <f t="shared" si="19"/>
        <v>0</v>
      </c>
      <c r="BK30" s="195">
        <f t="shared" si="19"/>
        <v>46</v>
      </c>
    </row>
    <row r="31" spans="45:63" ht="15.75" customHeight="1" x14ac:dyDescent="0.25">
      <c r="BA31" s="381"/>
      <c r="BB31" s="181" t="s">
        <v>4</v>
      </c>
      <c r="BC31" s="130">
        <f t="shared" si="19"/>
        <v>0</v>
      </c>
      <c r="BD31" s="130">
        <f t="shared" si="19"/>
        <v>0</v>
      </c>
      <c r="BE31" s="130">
        <f t="shared" si="19"/>
        <v>0</v>
      </c>
      <c r="BF31" s="130">
        <f t="shared" si="19"/>
        <v>0</v>
      </c>
      <c r="BG31" s="130">
        <f t="shared" si="19"/>
        <v>0</v>
      </c>
      <c r="BH31" s="130">
        <f t="shared" si="19"/>
        <v>0</v>
      </c>
      <c r="BI31" s="130">
        <f t="shared" si="19"/>
        <v>0</v>
      </c>
      <c r="BJ31" s="130">
        <f t="shared" si="19"/>
        <v>0</v>
      </c>
      <c r="BK31" s="196">
        <f t="shared" si="19"/>
        <v>0</v>
      </c>
    </row>
    <row r="32" spans="45:63" ht="15.75" customHeight="1" x14ac:dyDescent="0.25">
      <c r="BA32" s="382"/>
      <c r="BB32" s="12" t="s">
        <v>3</v>
      </c>
      <c r="BC32" s="13">
        <f t="shared" si="19"/>
        <v>0</v>
      </c>
      <c r="BD32" s="13">
        <f t="shared" si="19"/>
        <v>0</v>
      </c>
      <c r="BE32" s="13">
        <f t="shared" si="19"/>
        <v>0</v>
      </c>
      <c r="BF32" s="13">
        <f t="shared" si="19"/>
        <v>0</v>
      </c>
      <c r="BG32" s="13">
        <f t="shared" si="19"/>
        <v>0</v>
      </c>
      <c r="BH32" s="13">
        <f t="shared" si="19"/>
        <v>0</v>
      </c>
      <c r="BI32" s="13">
        <f t="shared" si="19"/>
        <v>0</v>
      </c>
      <c r="BJ32" s="13">
        <f t="shared" si="19"/>
        <v>0</v>
      </c>
      <c r="BK32" s="113">
        <f t="shared" si="19"/>
        <v>46</v>
      </c>
    </row>
    <row r="33" spans="53:63" ht="15.75" customHeight="1" x14ac:dyDescent="0.25">
      <c r="BA33" s="380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81"/>
      <c r="BB34" s="286" t="s">
        <v>9</v>
      </c>
      <c r="BC34" s="333">
        <f t="shared" ref="BC34:BK38" si="20">IF(ISBLANK(AC4),0,VLOOKUP(AC4,$I$4:$T$10,12,FALSE))</f>
        <v>0</v>
      </c>
      <c r="BD34" s="333">
        <f t="shared" si="20"/>
        <v>0</v>
      </c>
      <c r="BE34" s="333">
        <f t="shared" si="20"/>
        <v>0</v>
      </c>
      <c r="BF34" s="333">
        <f t="shared" si="20"/>
        <v>0</v>
      </c>
      <c r="BG34" s="333">
        <f t="shared" si="20"/>
        <v>0</v>
      </c>
      <c r="BH34" s="333">
        <f t="shared" si="20"/>
        <v>0</v>
      </c>
      <c r="BI34" s="333">
        <f t="shared" si="20"/>
        <v>0</v>
      </c>
      <c r="BJ34" s="333">
        <f t="shared" si="20"/>
        <v>0</v>
      </c>
      <c r="BK34" s="334">
        <f t="shared" si="20"/>
        <v>25000000</v>
      </c>
    </row>
    <row r="35" spans="53:63" ht="15.75" customHeight="1" x14ac:dyDescent="0.25">
      <c r="BA35" s="381"/>
      <c r="BB35" s="287" t="s">
        <v>7</v>
      </c>
      <c r="BC35" s="335">
        <f t="shared" si="20"/>
        <v>0</v>
      </c>
      <c r="BD35" s="335">
        <f t="shared" si="20"/>
        <v>0</v>
      </c>
      <c r="BE35" s="335">
        <f t="shared" si="20"/>
        <v>0</v>
      </c>
      <c r="BF35" s="335">
        <f t="shared" si="20"/>
        <v>0</v>
      </c>
      <c r="BG35" s="335">
        <f t="shared" si="20"/>
        <v>0</v>
      </c>
      <c r="BH35" s="335">
        <f t="shared" si="20"/>
        <v>0</v>
      </c>
      <c r="BI35" s="335">
        <f t="shared" si="20"/>
        <v>0</v>
      </c>
      <c r="BJ35" s="335">
        <f t="shared" si="20"/>
        <v>0</v>
      </c>
      <c r="BK35" s="336">
        <f t="shared" si="20"/>
        <v>25000000</v>
      </c>
    </row>
    <row r="36" spans="53:63" ht="15.75" customHeight="1" x14ac:dyDescent="0.25">
      <c r="BA36" s="381"/>
      <c r="BB36" s="192" t="s">
        <v>6</v>
      </c>
      <c r="BC36" s="337">
        <f t="shared" si="20"/>
        <v>0</v>
      </c>
      <c r="BD36" s="337">
        <f t="shared" si="20"/>
        <v>0</v>
      </c>
      <c r="BE36" s="337">
        <f t="shared" si="20"/>
        <v>0</v>
      </c>
      <c r="BF36" s="337">
        <f t="shared" si="20"/>
        <v>0</v>
      </c>
      <c r="BG36" s="337">
        <f t="shared" si="20"/>
        <v>0</v>
      </c>
      <c r="BH36" s="337">
        <f t="shared" si="20"/>
        <v>0</v>
      </c>
      <c r="BI36" s="337">
        <f t="shared" si="20"/>
        <v>0</v>
      </c>
      <c r="BJ36" s="337">
        <f t="shared" si="20"/>
        <v>0</v>
      </c>
      <c r="BK36" s="338">
        <f t="shared" si="20"/>
        <v>25000000</v>
      </c>
    </row>
    <row r="37" spans="53:63" ht="15.75" customHeight="1" x14ac:dyDescent="0.25">
      <c r="BA37" s="381"/>
      <c r="BB37" s="288" t="s">
        <v>4</v>
      </c>
      <c r="BC37" s="339">
        <f t="shared" si="20"/>
        <v>0</v>
      </c>
      <c r="BD37" s="339">
        <f t="shared" si="20"/>
        <v>0</v>
      </c>
      <c r="BE37" s="339">
        <f t="shared" si="20"/>
        <v>0</v>
      </c>
      <c r="BF37" s="339">
        <f t="shared" si="20"/>
        <v>0</v>
      </c>
      <c r="BG37" s="339">
        <f t="shared" si="20"/>
        <v>0</v>
      </c>
      <c r="BH37" s="339">
        <f t="shared" si="20"/>
        <v>0</v>
      </c>
      <c r="BI37" s="339">
        <f t="shared" si="20"/>
        <v>0</v>
      </c>
      <c r="BJ37" s="339">
        <f t="shared" si="20"/>
        <v>0</v>
      </c>
      <c r="BK37" s="340">
        <f t="shared" si="20"/>
        <v>0</v>
      </c>
    </row>
    <row r="38" spans="53:63" ht="15.75" customHeight="1" x14ac:dyDescent="0.25">
      <c r="BA38" s="382"/>
      <c r="BB38" s="12" t="s">
        <v>3</v>
      </c>
      <c r="BC38" s="341">
        <f t="shared" si="20"/>
        <v>0</v>
      </c>
      <c r="BD38" s="341">
        <f t="shared" si="20"/>
        <v>0</v>
      </c>
      <c r="BE38" s="341">
        <f t="shared" si="20"/>
        <v>0</v>
      </c>
      <c r="BF38" s="341">
        <f t="shared" si="20"/>
        <v>0</v>
      </c>
      <c r="BG38" s="341">
        <f t="shared" si="20"/>
        <v>0</v>
      </c>
      <c r="BH38" s="341">
        <f t="shared" si="20"/>
        <v>0</v>
      </c>
      <c r="BI38" s="341">
        <f t="shared" si="20"/>
        <v>0</v>
      </c>
      <c r="BJ38" s="341">
        <f t="shared" si="20"/>
        <v>0</v>
      </c>
      <c r="BK38" s="342">
        <f t="shared" si="20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638"/>
  <sheetViews>
    <sheetView workbookViewId="0">
      <pane ySplit="4" topLeftCell="A311" activePane="bottomLeft" state="frozen"/>
      <selection pane="bottomLeft" activeCell="J319" sqref="J319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I1" workbookViewId="0">
      <selection activeCell="I2" sqref="I2:V15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73" t="s">
        <v>240</v>
      </c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4"/>
      <c r="BL1" s="374"/>
      <c r="BM1" s="375"/>
    </row>
    <row r="2" spans="1:65" s="198" customFormat="1" ht="15.75" customHeight="1" x14ac:dyDescent="0.25">
      <c r="A2" s="377" t="s">
        <v>234</v>
      </c>
      <c r="B2" s="378"/>
      <c r="C2" s="378"/>
      <c r="D2" s="379"/>
      <c r="E2" s="377" t="s">
        <v>62</v>
      </c>
      <c r="F2" s="378"/>
      <c r="G2" s="378"/>
      <c r="H2" s="379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9"/>
      <c r="W2" s="377" t="s">
        <v>269</v>
      </c>
      <c r="X2" s="378"/>
      <c r="Y2" s="378"/>
      <c r="Z2" s="378"/>
      <c r="AA2" s="378"/>
      <c r="AB2" s="378"/>
      <c r="AC2" s="379"/>
      <c r="AD2" s="377" t="s">
        <v>254</v>
      </c>
      <c r="AE2" s="378"/>
      <c r="AF2" s="378"/>
      <c r="AG2" s="378"/>
      <c r="AH2" s="378"/>
      <c r="AI2" s="378"/>
      <c r="AJ2" s="378"/>
      <c r="AK2" s="378"/>
      <c r="AL2" s="378"/>
      <c r="AM2" s="379"/>
      <c r="AN2" s="370" t="s">
        <v>239</v>
      </c>
      <c r="AO2" s="371"/>
      <c r="AP2" s="371"/>
      <c r="AQ2" s="371"/>
      <c r="AR2" s="371"/>
      <c r="AS2" s="371"/>
      <c r="AT2" s="372"/>
      <c r="AU2" s="370" t="s">
        <v>232</v>
      </c>
      <c r="AV2" s="371"/>
      <c r="AW2" s="371"/>
      <c r="AX2" s="371"/>
      <c r="AY2" s="371"/>
      <c r="AZ2" s="371"/>
      <c r="BA2" s="371"/>
      <c r="BB2" s="372"/>
      <c r="BC2" s="371" t="s">
        <v>233</v>
      </c>
      <c r="BD2" s="371"/>
      <c r="BE2" s="371"/>
      <c r="BF2" s="371"/>
      <c r="BG2" s="371"/>
      <c r="BH2" s="371"/>
      <c r="BI2" s="371"/>
      <c r="BJ2" s="371"/>
      <c r="BK2" s="371"/>
      <c r="BL2" s="371"/>
      <c r="BM2" s="372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68" t="s">
        <v>238</v>
      </c>
      <c r="AV3" s="376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80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67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>SUM(AW4:BA4)</f>
        <v>0</v>
      </c>
      <c r="BC4" s="381"/>
      <c r="BD4" s="286" t="s">
        <v>9</v>
      </c>
      <c r="BE4" s="16">
        <f t="shared" ref="BE4:BM8" si="0">IF(ISBLANK(AE4),0,VLOOKUP(AE4,$I$4:$V$15,9,FALSE))</f>
        <v>0</v>
      </c>
      <c r="BF4" s="16">
        <f t="shared" si="0"/>
        <v>0</v>
      </c>
      <c r="BG4" s="16">
        <f t="shared" si="0"/>
        <v>0</v>
      </c>
      <c r="BH4" s="16">
        <f t="shared" si="0"/>
        <v>0</v>
      </c>
      <c r="BI4" s="16">
        <f t="shared" si="0"/>
        <v>0</v>
      </c>
      <c r="BJ4" s="16">
        <f t="shared" si="0"/>
        <v>0</v>
      </c>
      <c r="BK4" s="16">
        <f t="shared" si="0"/>
        <v>0</v>
      </c>
      <c r="BL4" s="16">
        <f t="shared" si="0"/>
        <v>0</v>
      </c>
      <c r="BM4" s="15">
        <f t="shared" si="0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2749</v>
      </c>
      <c r="G5" s="71">
        <v>2907</v>
      </c>
      <c r="H5" s="71">
        <v>0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2</v>
      </c>
      <c r="AF5" s="305">
        <v>2</v>
      </c>
      <c r="AG5" s="305">
        <v>2</v>
      </c>
      <c r="AH5" s="305">
        <v>2</v>
      </c>
      <c r="AI5" s="305">
        <v>2</v>
      </c>
      <c r="AJ5" s="305">
        <v>2</v>
      </c>
      <c r="AK5" s="305">
        <v>2</v>
      </c>
      <c r="AL5" s="305">
        <v>2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68"/>
      <c r="AV5" s="274" t="s">
        <v>75</v>
      </c>
      <c r="AW5" s="74" t="e">
        <f>ROUNDUP(AW4/$AR$4,0)</f>
        <v>#DIV/0!</v>
      </c>
      <c r="AX5" s="71" t="e">
        <f t="shared" ref="AX5:BA5" si="1">ROUNDUP(AX4/$AR$4,0)</f>
        <v>#DIV/0!</v>
      </c>
      <c r="AY5" s="72" t="e">
        <f t="shared" si="1"/>
        <v>#DIV/0!</v>
      </c>
      <c r="AZ5" s="131" t="e">
        <f t="shared" si="1"/>
        <v>#DIV/0!</v>
      </c>
      <c r="BA5" s="73" t="e">
        <f t="shared" si="1"/>
        <v>#DIV/0!</v>
      </c>
      <c r="BB5" s="229" t="e">
        <f>SUM(AW5:BA5)</f>
        <v>#DIV/0!</v>
      </c>
      <c r="BC5" s="381"/>
      <c r="BD5" s="287" t="s">
        <v>7</v>
      </c>
      <c r="BE5" s="33">
        <f t="shared" si="0"/>
        <v>180</v>
      </c>
      <c r="BF5" s="33">
        <f t="shared" si="0"/>
        <v>180</v>
      </c>
      <c r="BG5" s="33">
        <f t="shared" si="0"/>
        <v>180</v>
      </c>
      <c r="BH5" s="33">
        <f t="shared" si="0"/>
        <v>180</v>
      </c>
      <c r="BI5" s="33">
        <f t="shared" si="0"/>
        <v>180</v>
      </c>
      <c r="BJ5" s="33">
        <f t="shared" si="0"/>
        <v>180</v>
      </c>
      <c r="BK5" s="33">
        <f t="shared" si="0"/>
        <v>180</v>
      </c>
      <c r="BL5" s="33">
        <f t="shared" si="0"/>
        <v>180</v>
      </c>
      <c r="BM5" s="194">
        <f t="shared" si="0"/>
        <v>380</v>
      </c>
    </row>
    <row r="6" spans="1:65" ht="15.75" customHeight="1" x14ac:dyDescent="0.25">
      <c r="E6" s="281" t="s">
        <v>6</v>
      </c>
      <c r="F6" s="72">
        <v>3768</v>
      </c>
      <c r="G6" s="72">
        <v>3196</v>
      </c>
      <c r="H6" s="72">
        <v>631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68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ref="BB6:BB8" si="2">SUM(AW6:BA6)</f>
        <v>#DIV/0!</v>
      </c>
      <c r="BC6" s="381"/>
      <c r="BD6" s="192" t="s">
        <v>6</v>
      </c>
      <c r="BE6" s="193">
        <f t="shared" si="0"/>
        <v>0</v>
      </c>
      <c r="BF6" s="193">
        <f t="shared" si="0"/>
        <v>0</v>
      </c>
      <c r="BG6" s="193">
        <f t="shared" si="0"/>
        <v>0</v>
      </c>
      <c r="BH6" s="193">
        <f t="shared" si="0"/>
        <v>0</v>
      </c>
      <c r="BI6" s="193">
        <f t="shared" si="0"/>
        <v>0</v>
      </c>
      <c r="BJ6" s="193">
        <f t="shared" si="0"/>
        <v>0</v>
      </c>
      <c r="BK6" s="193">
        <f t="shared" si="0"/>
        <v>0</v>
      </c>
      <c r="BL6" s="193">
        <f t="shared" si="0"/>
        <v>0</v>
      </c>
      <c r="BM6" s="195">
        <f t="shared" si="0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68"/>
      <c r="AV7" s="274" t="s">
        <v>76</v>
      </c>
      <c r="AW7" s="74">
        <f>ROUNDUP(AW4/$AR$6,0)</f>
        <v>0</v>
      </c>
      <c r="AX7" s="71">
        <f t="shared" ref="AX7:BA7" si="3">ROUNDUP(AX4/$AR$6,0)</f>
        <v>0</v>
      </c>
      <c r="AY7" s="72">
        <f t="shared" si="3"/>
        <v>0</v>
      </c>
      <c r="AZ7" s="131">
        <f t="shared" si="3"/>
        <v>0</v>
      </c>
      <c r="BA7" s="73">
        <f t="shared" si="3"/>
        <v>0</v>
      </c>
      <c r="BB7" s="229">
        <f t="shared" si="2"/>
        <v>0</v>
      </c>
      <c r="BC7" s="381"/>
      <c r="BD7" s="288" t="s">
        <v>4</v>
      </c>
      <c r="BE7" s="130">
        <f t="shared" si="0"/>
        <v>0</v>
      </c>
      <c r="BF7" s="130">
        <f t="shared" si="0"/>
        <v>0</v>
      </c>
      <c r="BG7" s="130">
        <f t="shared" si="0"/>
        <v>0</v>
      </c>
      <c r="BH7" s="130">
        <f t="shared" si="0"/>
        <v>0</v>
      </c>
      <c r="BI7" s="130">
        <f t="shared" si="0"/>
        <v>0</v>
      </c>
      <c r="BJ7" s="130">
        <f t="shared" si="0"/>
        <v>0</v>
      </c>
      <c r="BK7" s="130">
        <f t="shared" si="0"/>
        <v>0</v>
      </c>
      <c r="BL7" s="130">
        <f t="shared" si="0"/>
        <v>0</v>
      </c>
      <c r="BM7" s="196">
        <f t="shared" si="0"/>
        <v>0</v>
      </c>
    </row>
    <row r="8" spans="1:65" ht="15.75" customHeight="1" x14ac:dyDescent="0.25">
      <c r="E8" s="279" t="s">
        <v>3</v>
      </c>
      <c r="F8" s="73">
        <v>974</v>
      </c>
      <c r="G8" s="73">
        <v>893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69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2"/>
        <v>0</v>
      </c>
      <c r="BC8" s="382"/>
      <c r="BD8" s="12" t="s">
        <v>3</v>
      </c>
      <c r="BE8" s="13">
        <f t="shared" si="0"/>
        <v>0</v>
      </c>
      <c r="BF8" s="13">
        <f t="shared" si="0"/>
        <v>0</v>
      </c>
      <c r="BG8" s="13">
        <f t="shared" si="0"/>
        <v>0</v>
      </c>
      <c r="BH8" s="13">
        <f t="shared" si="0"/>
        <v>0</v>
      </c>
      <c r="BI8" s="13">
        <f t="shared" si="0"/>
        <v>0</v>
      </c>
      <c r="BJ8" s="13">
        <f t="shared" si="0"/>
        <v>0</v>
      </c>
      <c r="BK8" s="13">
        <f t="shared" si="0"/>
        <v>0</v>
      </c>
      <c r="BL8" s="13">
        <f t="shared" si="0"/>
        <v>0</v>
      </c>
      <c r="BM8" s="113">
        <f t="shared" si="0"/>
        <v>380</v>
      </c>
    </row>
    <row r="9" spans="1:65" ht="15.75" customHeight="1" x14ac:dyDescent="0.25">
      <c r="E9" s="368" t="s">
        <v>235</v>
      </c>
      <c r="F9" s="376"/>
      <c r="G9" s="376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 t="e">
        <f>AVERAGE(D咢牙!J:J)</f>
        <v>#DIV/0!</v>
      </c>
      <c r="AP9" s="256">
        <f>COUNT(D咢牙!J:J)</f>
        <v>0</v>
      </c>
      <c r="AQ9" s="203" t="e">
        <f>$D$4/AO9</f>
        <v>#DIV/0!</v>
      </c>
      <c r="AR9" s="115">
        <f>AVERAGE(D咢牙!M:M)</f>
        <v>3.1764705882352939</v>
      </c>
      <c r="AS9" s="257">
        <f>COUNT(D咢牙!M:M)</f>
        <v>17</v>
      </c>
      <c r="AT9" s="114">
        <f>$D$5/AR9</f>
        <v>12.592592592592593</v>
      </c>
      <c r="AU9" s="367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>SUM(AW9:BA9)</f>
        <v>0</v>
      </c>
      <c r="BC9" s="380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68" t="s">
        <v>279</v>
      </c>
      <c r="F10" s="376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 t="e">
        <f>AVERAGE(D咢牙!K:K)</f>
        <v>#DIV/0!</v>
      </c>
      <c r="AP10" s="256">
        <f>COUNT(D咢牙!K:K)</f>
        <v>0</v>
      </c>
      <c r="AQ10" s="203" t="e">
        <f>$D$4/AO10</f>
        <v>#DIV/0!</v>
      </c>
      <c r="AR10" s="115">
        <f>AVERAGE(D咢牙!N:N)</f>
        <v>5.117647058823529</v>
      </c>
      <c r="AS10" s="257">
        <f>COUNT(D咢牙!N:N)</f>
        <v>17</v>
      </c>
      <c r="AT10" s="114">
        <f>$D$5/AR10</f>
        <v>7.8160919540229887</v>
      </c>
      <c r="AU10" s="368"/>
      <c r="AV10" s="274" t="s">
        <v>76</v>
      </c>
      <c r="AW10" s="74">
        <f>ROUNDUP(AW9/$AR$7,0)</f>
        <v>0</v>
      </c>
      <c r="AX10" s="71">
        <f t="shared" ref="AX10:BA10" si="4">ROUNDUP(AX9/$AR$6,0)</f>
        <v>0</v>
      </c>
      <c r="AY10" s="72">
        <f t="shared" si="4"/>
        <v>0</v>
      </c>
      <c r="AZ10" s="131">
        <f t="shared" si="4"/>
        <v>0</v>
      </c>
      <c r="BA10" s="73">
        <f t="shared" si="4"/>
        <v>0</v>
      </c>
      <c r="BB10" s="229">
        <f t="shared" ref="BB10:BB16" si="5">SUM(AW10:BA10)</f>
        <v>0</v>
      </c>
      <c r="BC10" s="381"/>
      <c r="BD10" s="286" t="s">
        <v>9</v>
      </c>
      <c r="BE10" s="16">
        <f t="shared" ref="BE10:BM14" si="6">IF(ISBLANK(AE4),0,VLOOKUP(AE4,$I$4:$V$15,10,FALSE))</f>
        <v>0</v>
      </c>
      <c r="BF10" s="16">
        <f t="shared" si="6"/>
        <v>0</v>
      </c>
      <c r="BG10" s="16">
        <f t="shared" si="6"/>
        <v>0</v>
      </c>
      <c r="BH10" s="16">
        <f t="shared" si="6"/>
        <v>0</v>
      </c>
      <c r="BI10" s="16">
        <f t="shared" si="6"/>
        <v>0</v>
      </c>
      <c r="BJ10" s="16">
        <f t="shared" si="6"/>
        <v>0</v>
      </c>
      <c r="BK10" s="16">
        <f t="shared" si="6"/>
        <v>0</v>
      </c>
      <c r="BL10" s="16">
        <f t="shared" si="6"/>
        <v>0</v>
      </c>
      <c r="BM10" s="15">
        <f t="shared" si="6"/>
        <v>300</v>
      </c>
    </row>
    <row r="11" spans="1:65" ht="15.75" customHeight="1" x14ac:dyDescent="0.25">
      <c r="E11" s="361" t="s">
        <v>245</v>
      </c>
      <c r="F11" s="362"/>
      <c r="G11" s="363">
        <v>131058819</v>
      </c>
      <c r="H11" s="363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 t="e">
        <f>AVERAGE(D咢牙!L:L)</f>
        <v>#DIV/0!</v>
      </c>
      <c r="AP11" s="296">
        <f>COUNT(D咢牙!L:L)</f>
        <v>0</v>
      </c>
      <c r="AQ11" s="297" t="e">
        <f>$D$4/AO11</f>
        <v>#DIV/0!</v>
      </c>
      <c r="AR11" s="298">
        <f>AVERAGE(D咢牙!O:O)</f>
        <v>1.9411764705882353</v>
      </c>
      <c r="AS11" s="269">
        <f>COUNT(D咢牙!O:O)</f>
        <v>17</v>
      </c>
      <c r="AT11" s="299">
        <f>$D$5/AR11</f>
        <v>20.606060606060606</v>
      </c>
      <c r="AU11" s="368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5"/>
        <v>0</v>
      </c>
      <c r="BC11" s="381"/>
      <c r="BD11" s="287" t="s">
        <v>7</v>
      </c>
      <c r="BE11" s="33">
        <f t="shared" si="6"/>
        <v>150</v>
      </c>
      <c r="BF11" s="33">
        <f t="shared" si="6"/>
        <v>150</v>
      </c>
      <c r="BG11" s="33">
        <f t="shared" si="6"/>
        <v>150</v>
      </c>
      <c r="BH11" s="33">
        <f t="shared" si="6"/>
        <v>150</v>
      </c>
      <c r="BI11" s="33">
        <f t="shared" si="6"/>
        <v>150</v>
      </c>
      <c r="BJ11" s="33">
        <f t="shared" si="6"/>
        <v>150</v>
      </c>
      <c r="BK11" s="33">
        <f t="shared" si="6"/>
        <v>150</v>
      </c>
      <c r="BL11" s="33">
        <f t="shared" si="6"/>
        <v>150</v>
      </c>
      <c r="BM11" s="194">
        <f t="shared" si="6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68"/>
      <c r="AV12" s="274" t="s">
        <v>116</v>
      </c>
      <c r="AW12" s="74">
        <f>ROUNDUP(AW9/$AR$9,0)</f>
        <v>0</v>
      </c>
      <c r="AX12" s="71">
        <f t="shared" ref="AX12:BA12" si="7">ROUNDUP(AX9/$AR$9,0)</f>
        <v>0</v>
      </c>
      <c r="AY12" s="72">
        <f t="shared" si="7"/>
        <v>0</v>
      </c>
      <c r="AZ12" s="131">
        <f t="shared" si="7"/>
        <v>0</v>
      </c>
      <c r="BA12" s="73">
        <f t="shared" si="7"/>
        <v>0</v>
      </c>
      <c r="BB12" s="229">
        <f t="shared" si="5"/>
        <v>0</v>
      </c>
      <c r="BC12" s="381"/>
      <c r="BD12" s="192" t="s">
        <v>6</v>
      </c>
      <c r="BE12" s="193">
        <f t="shared" si="6"/>
        <v>0</v>
      </c>
      <c r="BF12" s="193">
        <f t="shared" si="6"/>
        <v>0</v>
      </c>
      <c r="BG12" s="193">
        <f t="shared" si="6"/>
        <v>0</v>
      </c>
      <c r="BH12" s="193">
        <f t="shared" si="6"/>
        <v>0</v>
      </c>
      <c r="BI12" s="193">
        <f t="shared" si="6"/>
        <v>0</v>
      </c>
      <c r="BJ12" s="193">
        <f t="shared" si="6"/>
        <v>0</v>
      </c>
      <c r="BK12" s="193">
        <f t="shared" si="6"/>
        <v>0</v>
      </c>
      <c r="BL12" s="193">
        <f t="shared" si="6"/>
        <v>0</v>
      </c>
      <c r="BM12" s="195">
        <f t="shared" si="6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69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5"/>
        <v>0</v>
      </c>
      <c r="BC13" s="381"/>
      <c r="BD13" s="288" t="s">
        <v>4</v>
      </c>
      <c r="BE13" s="130">
        <f t="shared" si="6"/>
        <v>0</v>
      </c>
      <c r="BF13" s="130">
        <f t="shared" si="6"/>
        <v>0</v>
      </c>
      <c r="BG13" s="130">
        <f t="shared" si="6"/>
        <v>0</v>
      </c>
      <c r="BH13" s="130">
        <f t="shared" si="6"/>
        <v>0</v>
      </c>
      <c r="BI13" s="130">
        <f t="shared" si="6"/>
        <v>0</v>
      </c>
      <c r="BJ13" s="130">
        <f t="shared" si="6"/>
        <v>0</v>
      </c>
      <c r="BK13" s="130">
        <f t="shared" si="6"/>
        <v>0</v>
      </c>
      <c r="BL13" s="130">
        <f t="shared" si="6"/>
        <v>0</v>
      </c>
      <c r="BM13" s="196">
        <f t="shared" si="6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67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441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5"/>
        <v>539</v>
      </c>
      <c r="BC14" s="382"/>
      <c r="BD14" s="12" t="s">
        <v>3</v>
      </c>
      <c r="BE14" s="13">
        <f t="shared" si="6"/>
        <v>0</v>
      </c>
      <c r="BF14" s="13">
        <f t="shared" si="6"/>
        <v>0</v>
      </c>
      <c r="BG14" s="13">
        <f t="shared" si="6"/>
        <v>0</v>
      </c>
      <c r="BH14" s="13">
        <f t="shared" si="6"/>
        <v>0</v>
      </c>
      <c r="BI14" s="13">
        <f t="shared" si="6"/>
        <v>0</v>
      </c>
      <c r="BJ14" s="13">
        <f t="shared" si="6"/>
        <v>0</v>
      </c>
      <c r="BK14" s="13">
        <f t="shared" si="6"/>
        <v>0</v>
      </c>
      <c r="BL14" s="13">
        <f t="shared" si="6"/>
        <v>0</v>
      </c>
      <c r="BM14" s="113">
        <f t="shared" si="6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68"/>
      <c r="AV15" s="274" t="s">
        <v>116</v>
      </c>
      <c r="AW15" s="74">
        <f>ROUNDUP(AW14/$AR$10,0)</f>
        <v>10</v>
      </c>
      <c r="AX15" s="71">
        <f t="shared" ref="AX15:BA15" si="8">ROUNDUP(AX14/$AR$10,0)</f>
        <v>87</v>
      </c>
      <c r="AY15" s="72">
        <f t="shared" si="8"/>
        <v>0</v>
      </c>
      <c r="AZ15" s="131">
        <f t="shared" si="8"/>
        <v>0</v>
      </c>
      <c r="BA15" s="73">
        <f t="shared" si="8"/>
        <v>10</v>
      </c>
      <c r="BB15" s="229">
        <f t="shared" si="5"/>
        <v>107</v>
      </c>
      <c r="BC15" s="380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69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870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5"/>
        <v>1070</v>
      </c>
      <c r="BC16" s="381"/>
      <c r="BD16" s="286" t="s">
        <v>9</v>
      </c>
      <c r="BE16" s="16">
        <f t="shared" ref="BE16:BM20" si="9">IF(ISBLANK(AE4),0,VLOOKUP(AE4,$I$4:$V$15,11,FALSE))</f>
        <v>0</v>
      </c>
      <c r="BF16" s="16">
        <f t="shared" si="9"/>
        <v>0</v>
      </c>
      <c r="BG16" s="16">
        <f t="shared" si="9"/>
        <v>0</v>
      </c>
      <c r="BH16" s="16">
        <f t="shared" si="9"/>
        <v>0</v>
      </c>
      <c r="BI16" s="16">
        <f t="shared" si="9"/>
        <v>0</v>
      </c>
      <c r="BJ16" s="16">
        <f t="shared" si="9"/>
        <v>0</v>
      </c>
      <c r="BK16" s="16">
        <f t="shared" si="9"/>
        <v>0</v>
      </c>
      <c r="BL16" s="16">
        <f t="shared" si="9"/>
        <v>0</v>
      </c>
      <c r="BM16" s="15">
        <f t="shared" si="9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1</v>
      </c>
      <c r="AX17" s="392"/>
      <c r="AY17" s="392"/>
      <c r="AZ17" s="392"/>
      <c r="BA17" s="392"/>
      <c r="BB17" s="393"/>
      <c r="BC17" s="381"/>
      <c r="BD17" s="287" t="s">
        <v>7</v>
      </c>
      <c r="BE17" s="33">
        <f t="shared" si="9"/>
        <v>49</v>
      </c>
      <c r="BF17" s="33">
        <f t="shared" si="9"/>
        <v>49</v>
      </c>
      <c r="BG17" s="33">
        <f t="shared" si="9"/>
        <v>49</v>
      </c>
      <c r="BH17" s="33">
        <f t="shared" si="9"/>
        <v>49</v>
      </c>
      <c r="BI17" s="33">
        <f t="shared" si="9"/>
        <v>49</v>
      </c>
      <c r="BJ17" s="33">
        <f t="shared" si="9"/>
        <v>49</v>
      </c>
      <c r="BK17" s="33">
        <f t="shared" si="9"/>
        <v>49</v>
      </c>
      <c r="BL17" s="33">
        <f t="shared" si="9"/>
        <v>49</v>
      </c>
      <c r="BM17" s="194">
        <f t="shared" si="9"/>
        <v>49</v>
      </c>
    </row>
    <row r="18" spans="47:65" ht="15.75" customHeight="1" x14ac:dyDescent="0.25">
      <c r="AU18" s="367" t="s">
        <v>70</v>
      </c>
      <c r="AV18" s="222" t="s">
        <v>229</v>
      </c>
      <c r="AW18" s="389">
        <f>MAX(SUM(BE28:BM32) - H9 + SUM(AB4:AB8),0)</f>
        <v>0</v>
      </c>
      <c r="AX18" s="389"/>
      <c r="AY18" s="389"/>
      <c r="AZ18" s="389"/>
      <c r="BA18" s="389"/>
      <c r="BB18" s="390"/>
      <c r="BC18" s="381"/>
      <c r="BD18" s="192" t="s">
        <v>6</v>
      </c>
      <c r="BE18" s="193">
        <f t="shared" si="9"/>
        <v>0</v>
      </c>
      <c r="BF18" s="193">
        <f t="shared" si="9"/>
        <v>0</v>
      </c>
      <c r="BG18" s="193">
        <f t="shared" si="9"/>
        <v>0</v>
      </c>
      <c r="BH18" s="193">
        <f t="shared" si="9"/>
        <v>0</v>
      </c>
      <c r="BI18" s="193">
        <f t="shared" si="9"/>
        <v>0</v>
      </c>
      <c r="BJ18" s="193">
        <f t="shared" si="9"/>
        <v>0</v>
      </c>
      <c r="BK18" s="193">
        <f t="shared" si="9"/>
        <v>0</v>
      </c>
      <c r="BL18" s="193">
        <f t="shared" si="9"/>
        <v>0</v>
      </c>
      <c r="BM18" s="195">
        <f t="shared" si="9"/>
        <v>49</v>
      </c>
    </row>
    <row r="19" spans="47:65" ht="15.75" customHeight="1" x14ac:dyDescent="0.25">
      <c r="AU19" s="369"/>
      <c r="AV19" s="274" t="s">
        <v>244</v>
      </c>
      <c r="AW19" s="359">
        <f>ROUNDUP(AW18/$AR$11,0)</f>
        <v>0</v>
      </c>
      <c r="AX19" s="359"/>
      <c r="AY19" s="359"/>
      <c r="AZ19" s="359"/>
      <c r="BA19" s="359"/>
      <c r="BB19" s="360"/>
      <c r="BC19" s="381"/>
      <c r="BD19" s="288" t="s">
        <v>4</v>
      </c>
      <c r="BE19" s="130">
        <f t="shared" si="9"/>
        <v>0</v>
      </c>
      <c r="BF19" s="130">
        <f t="shared" si="9"/>
        <v>0</v>
      </c>
      <c r="BG19" s="130">
        <f t="shared" si="9"/>
        <v>0</v>
      </c>
      <c r="BH19" s="130">
        <f t="shared" si="9"/>
        <v>0</v>
      </c>
      <c r="BI19" s="130">
        <f t="shared" si="9"/>
        <v>0</v>
      </c>
      <c r="BJ19" s="130">
        <f t="shared" si="9"/>
        <v>0</v>
      </c>
      <c r="BK19" s="130">
        <f t="shared" si="9"/>
        <v>0</v>
      </c>
      <c r="BL19" s="130">
        <f t="shared" si="9"/>
        <v>0</v>
      </c>
      <c r="BM19" s="196">
        <f t="shared" si="9"/>
        <v>0</v>
      </c>
    </row>
    <row r="20" spans="47:65" ht="15.75" customHeight="1" x14ac:dyDescent="0.25">
      <c r="AU20" s="221" t="s">
        <v>94</v>
      </c>
      <c r="AV20" s="197" t="s">
        <v>229</v>
      </c>
      <c r="AW20" s="383">
        <f>MAX(SUM(BE34:BM38) - G11 + SUM(AC4:AC8),0)</f>
        <v>418941181</v>
      </c>
      <c r="AX20" s="383"/>
      <c r="AY20" s="383"/>
      <c r="AZ20" s="383"/>
      <c r="BA20" s="383"/>
      <c r="BB20" s="384"/>
      <c r="BC20" s="382"/>
      <c r="BD20" s="12" t="s">
        <v>3</v>
      </c>
      <c r="BE20" s="13">
        <f t="shared" si="9"/>
        <v>0</v>
      </c>
      <c r="BF20" s="13">
        <f t="shared" si="9"/>
        <v>0</v>
      </c>
      <c r="BG20" s="13">
        <f t="shared" si="9"/>
        <v>0</v>
      </c>
      <c r="BH20" s="13">
        <f t="shared" si="9"/>
        <v>0</v>
      </c>
      <c r="BI20" s="13">
        <f t="shared" si="9"/>
        <v>0</v>
      </c>
      <c r="BJ20" s="13">
        <f t="shared" si="9"/>
        <v>0</v>
      </c>
      <c r="BK20" s="13">
        <f t="shared" si="9"/>
        <v>0</v>
      </c>
      <c r="BL20" s="13">
        <f t="shared" si="9"/>
        <v>0</v>
      </c>
      <c r="BM20" s="113">
        <f t="shared" si="9"/>
        <v>49</v>
      </c>
    </row>
    <row r="21" spans="47:65" ht="15.75" customHeight="1" x14ac:dyDescent="0.25">
      <c r="BC21" s="380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81"/>
      <c r="BD22" s="286" t="s">
        <v>9</v>
      </c>
      <c r="BE22" s="16">
        <f t="shared" ref="BE22:BM26" si="10">IF(ISBLANK(AE4),0,VLOOKUP(AE4,$I$4:$V$15,12,FALSE))</f>
        <v>0</v>
      </c>
      <c r="BF22" s="16">
        <f t="shared" si="10"/>
        <v>0</v>
      </c>
      <c r="BG22" s="16">
        <f t="shared" si="10"/>
        <v>0</v>
      </c>
      <c r="BH22" s="16">
        <f t="shared" si="10"/>
        <v>0</v>
      </c>
      <c r="BI22" s="16">
        <f t="shared" si="10"/>
        <v>0</v>
      </c>
      <c r="BJ22" s="16">
        <f t="shared" si="10"/>
        <v>0</v>
      </c>
      <c r="BK22" s="16">
        <f t="shared" si="10"/>
        <v>0</v>
      </c>
      <c r="BL22" s="16">
        <f t="shared" si="10"/>
        <v>0</v>
      </c>
      <c r="BM22" s="15">
        <f t="shared" si="10"/>
        <v>15</v>
      </c>
    </row>
    <row r="23" spans="47:65" ht="15.75" customHeight="1" x14ac:dyDescent="0.25">
      <c r="BC23" s="381"/>
      <c r="BD23" s="287" t="s">
        <v>7</v>
      </c>
      <c r="BE23" s="33">
        <f t="shared" si="10"/>
        <v>10</v>
      </c>
      <c r="BF23" s="33">
        <f t="shared" si="10"/>
        <v>10</v>
      </c>
      <c r="BG23" s="33">
        <f t="shared" si="10"/>
        <v>10</v>
      </c>
      <c r="BH23" s="33">
        <f t="shared" si="10"/>
        <v>10</v>
      </c>
      <c r="BI23" s="33">
        <f t="shared" si="10"/>
        <v>10</v>
      </c>
      <c r="BJ23" s="33">
        <f t="shared" si="10"/>
        <v>10</v>
      </c>
      <c r="BK23" s="33">
        <f t="shared" si="10"/>
        <v>10</v>
      </c>
      <c r="BL23" s="33">
        <f t="shared" si="10"/>
        <v>10</v>
      </c>
      <c r="BM23" s="194">
        <f t="shared" si="10"/>
        <v>15</v>
      </c>
    </row>
    <row r="24" spans="47:65" ht="15.75" customHeight="1" x14ac:dyDescent="0.25">
      <c r="BC24" s="381"/>
      <c r="BD24" s="192" t="s">
        <v>6</v>
      </c>
      <c r="BE24" s="193">
        <f t="shared" si="10"/>
        <v>0</v>
      </c>
      <c r="BF24" s="193">
        <f t="shared" si="10"/>
        <v>0</v>
      </c>
      <c r="BG24" s="193">
        <f t="shared" si="10"/>
        <v>0</v>
      </c>
      <c r="BH24" s="193">
        <f t="shared" si="10"/>
        <v>0</v>
      </c>
      <c r="BI24" s="193">
        <f t="shared" si="10"/>
        <v>0</v>
      </c>
      <c r="BJ24" s="193">
        <f t="shared" si="10"/>
        <v>0</v>
      </c>
      <c r="BK24" s="193">
        <f t="shared" si="10"/>
        <v>0</v>
      </c>
      <c r="BL24" s="193">
        <f t="shared" si="10"/>
        <v>0</v>
      </c>
      <c r="BM24" s="195">
        <f t="shared" si="10"/>
        <v>15</v>
      </c>
    </row>
    <row r="25" spans="47:65" ht="15.75" customHeight="1" x14ac:dyDescent="0.25">
      <c r="BC25" s="381"/>
      <c r="BD25" s="288" t="s">
        <v>4</v>
      </c>
      <c r="BE25" s="130">
        <f t="shared" si="10"/>
        <v>0</v>
      </c>
      <c r="BF25" s="130">
        <f t="shared" si="10"/>
        <v>0</v>
      </c>
      <c r="BG25" s="130">
        <f t="shared" si="10"/>
        <v>0</v>
      </c>
      <c r="BH25" s="130">
        <f t="shared" si="10"/>
        <v>0</v>
      </c>
      <c r="BI25" s="130">
        <f t="shared" si="10"/>
        <v>0</v>
      </c>
      <c r="BJ25" s="130">
        <f t="shared" si="10"/>
        <v>0</v>
      </c>
      <c r="BK25" s="130">
        <f t="shared" si="10"/>
        <v>0</v>
      </c>
      <c r="BL25" s="130">
        <f t="shared" si="10"/>
        <v>0</v>
      </c>
      <c r="BM25" s="196">
        <f t="shared" si="10"/>
        <v>0</v>
      </c>
    </row>
    <row r="26" spans="47:65" ht="15.75" customHeight="1" x14ac:dyDescent="0.25">
      <c r="BC26" s="382"/>
      <c r="BD26" s="12" t="s">
        <v>3</v>
      </c>
      <c r="BE26" s="13">
        <f t="shared" si="10"/>
        <v>0</v>
      </c>
      <c r="BF26" s="13">
        <f t="shared" si="10"/>
        <v>0</v>
      </c>
      <c r="BG26" s="13">
        <f t="shared" si="10"/>
        <v>0</v>
      </c>
      <c r="BH26" s="13">
        <f t="shared" si="10"/>
        <v>0</v>
      </c>
      <c r="BI26" s="13">
        <f t="shared" si="10"/>
        <v>0</v>
      </c>
      <c r="BJ26" s="13">
        <f t="shared" si="10"/>
        <v>0</v>
      </c>
      <c r="BK26" s="13">
        <f t="shared" si="10"/>
        <v>0</v>
      </c>
      <c r="BL26" s="13">
        <f t="shared" si="10"/>
        <v>0</v>
      </c>
      <c r="BM26" s="113">
        <f t="shared" si="10"/>
        <v>15</v>
      </c>
    </row>
    <row r="27" spans="47:65" ht="15.75" customHeight="1" x14ac:dyDescent="0.25">
      <c r="BC27" s="380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81"/>
      <c r="BD28" s="286" t="s">
        <v>9</v>
      </c>
      <c r="BE28" s="16">
        <f t="shared" ref="BE28:BM32" si="11">IF(ISBLANK(AE4),0,VLOOKUP(AE4,$I$4:$V$15,13,FALSE))</f>
        <v>0</v>
      </c>
      <c r="BF28" s="16">
        <f t="shared" si="11"/>
        <v>0</v>
      </c>
      <c r="BG28" s="16">
        <f t="shared" si="11"/>
        <v>0</v>
      </c>
      <c r="BH28" s="16">
        <f t="shared" si="11"/>
        <v>0</v>
      </c>
      <c r="BI28" s="16">
        <f t="shared" si="11"/>
        <v>0</v>
      </c>
      <c r="BJ28" s="16">
        <f t="shared" si="11"/>
        <v>0</v>
      </c>
      <c r="BK28" s="16">
        <f t="shared" si="11"/>
        <v>0</v>
      </c>
      <c r="BL28" s="16">
        <f t="shared" si="11"/>
        <v>0</v>
      </c>
      <c r="BM28" s="15">
        <f t="shared" si="11"/>
        <v>35</v>
      </c>
    </row>
    <row r="29" spans="47:65" ht="15.75" customHeight="1" x14ac:dyDescent="0.25">
      <c r="BC29" s="381"/>
      <c r="BD29" s="287" t="s">
        <v>7</v>
      </c>
      <c r="BE29" s="33">
        <f t="shared" si="11"/>
        <v>35</v>
      </c>
      <c r="BF29" s="33">
        <f t="shared" si="11"/>
        <v>35</v>
      </c>
      <c r="BG29" s="33">
        <f t="shared" si="11"/>
        <v>35</v>
      </c>
      <c r="BH29" s="33">
        <f t="shared" si="11"/>
        <v>35</v>
      </c>
      <c r="BI29" s="33">
        <f t="shared" si="11"/>
        <v>35</v>
      </c>
      <c r="BJ29" s="33">
        <f t="shared" si="11"/>
        <v>35</v>
      </c>
      <c r="BK29" s="33">
        <f t="shared" si="11"/>
        <v>35</v>
      </c>
      <c r="BL29" s="33">
        <f t="shared" si="11"/>
        <v>35</v>
      </c>
      <c r="BM29" s="194">
        <f t="shared" si="11"/>
        <v>35</v>
      </c>
    </row>
    <row r="30" spans="47:65" ht="15.75" customHeight="1" x14ac:dyDescent="0.25">
      <c r="BC30" s="381"/>
      <c r="BD30" s="192" t="s">
        <v>6</v>
      </c>
      <c r="BE30" s="193">
        <f t="shared" si="11"/>
        <v>0</v>
      </c>
      <c r="BF30" s="193">
        <f t="shared" si="11"/>
        <v>0</v>
      </c>
      <c r="BG30" s="193">
        <f t="shared" si="11"/>
        <v>0</v>
      </c>
      <c r="BH30" s="193">
        <f t="shared" si="11"/>
        <v>0</v>
      </c>
      <c r="BI30" s="193">
        <f t="shared" si="11"/>
        <v>0</v>
      </c>
      <c r="BJ30" s="193">
        <f t="shared" si="11"/>
        <v>0</v>
      </c>
      <c r="BK30" s="193">
        <f t="shared" si="11"/>
        <v>0</v>
      </c>
      <c r="BL30" s="193">
        <f t="shared" si="11"/>
        <v>0</v>
      </c>
      <c r="BM30" s="195">
        <f t="shared" si="11"/>
        <v>35</v>
      </c>
    </row>
    <row r="31" spans="47:65" ht="15.75" customHeight="1" x14ac:dyDescent="0.25">
      <c r="BC31" s="381"/>
      <c r="BD31" s="288" t="s">
        <v>4</v>
      </c>
      <c r="BE31" s="130">
        <f t="shared" si="11"/>
        <v>0</v>
      </c>
      <c r="BF31" s="130">
        <f t="shared" si="11"/>
        <v>0</v>
      </c>
      <c r="BG31" s="130">
        <f t="shared" si="11"/>
        <v>0</v>
      </c>
      <c r="BH31" s="130">
        <f t="shared" si="11"/>
        <v>0</v>
      </c>
      <c r="BI31" s="130">
        <f t="shared" si="11"/>
        <v>0</v>
      </c>
      <c r="BJ31" s="130">
        <f t="shared" si="11"/>
        <v>0</v>
      </c>
      <c r="BK31" s="130">
        <f t="shared" si="11"/>
        <v>0</v>
      </c>
      <c r="BL31" s="130">
        <f t="shared" si="11"/>
        <v>0</v>
      </c>
      <c r="BM31" s="196">
        <f t="shared" si="11"/>
        <v>0</v>
      </c>
    </row>
    <row r="32" spans="47:65" ht="15.75" customHeight="1" x14ac:dyDescent="0.25">
      <c r="BC32" s="382"/>
      <c r="BD32" s="12" t="s">
        <v>3</v>
      </c>
      <c r="BE32" s="13">
        <f t="shared" si="11"/>
        <v>0</v>
      </c>
      <c r="BF32" s="13">
        <f t="shared" si="11"/>
        <v>0</v>
      </c>
      <c r="BG32" s="13">
        <f t="shared" si="11"/>
        <v>0</v>
      </c>
      <c r="BH32" s="13">
        <f t="shared" si="11"/>
        <v>0</v>
      </c>
      <c r="BI32" s="13">
        <f t="shared" si="11"/>
        <v>0</v>
      </c>
      <c r="BJ32" s="13">
        <f t="shared" si="11"/>
        <v>0</v>
      </c>
      <c r="BK32" s="13">
        <f t="shared" si="11"/>
        <v>0</v>
      </c>
      <c r="BL32" s="13">
        <f t="shared" si="11"/>
        <v>0</v>
      </c>
      <c r="BM32" s="113">
        <f t="shared" si="11"/>
        <v>35</v>
      </c>
    </row>
    <row r="33" spans="55:65" ht="15.75" customHeight="1" x14ac:dyDescent="0.25">
      <c r="BC33" s="380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81"/>
      <c r="BD34" s="286" t="s">
        <v>9</v>
      </c>
      <c r="BE34" s="333">
        <f t="shared" ref="BE34:BM38" si="12">IF(ISBLANK(AE4),0,VLOOKUP(AE4,$I$4:$V$15,14,FALSE))</f>
        <v>0</v>
      </c>
      <c r="BF34" s="333">
        <f t="shared" si="12"/>
        <v>0</v>
      </c>
      <c r="BG34" s="333">
        <f t="shared" si="12"/>
        <v>0</v>
      </c>
      <c r="BH34" s="333">
        <f t="shared" si="12"/>
        <v>0</v>
      </c>
      <c r="BI34" s="333">
        <f t="shared" si="12"/>
        <v>0</v>
      </c>
      <c r="BJ34" s="333">
        <f t="shared" si="12"/>
        <v>0</v>
      </c>
      <c r="BK34" s="333">
        <f t="shared" si="12"/>
        <v>0</v>
      </c>
      <c r="BL34" s="333">
        <f t="shared" si="12"/>
        <v>0</v>
      </c>
      <c r="BM34" s="334">
        <f t="shared" si="12"/>
        <v>52500000</v>
      </c>
    </row>
    <row r="35" spans="55:65" ht="15.75" customHeight="1" x14ac:dyDescent="0.25">
      <c r="BC35" s="381"/>
      <c r="BD35" s="287" t="s">
        <v>7</v>
      </c>
      <c r="BE35" s="335">
        <f t="shared" si="12"/>
        <v>42500000</v>
      </c>
      <c r="BF35" s="335">
        <f t="shared" si="12"/>
        <v>42500000</v>
      </c>
      <c r="BG35" s="335">
        <f t="shared" si="12"/>
        <v>42500000</v>
      </c>
      <c r="BH35" s="335">
        <f t="shared" si="12"/>
        <v>42500000</v>
      </c>
      <c r="BI35" s="335">
        <f t="shared" si="12"/>
        <v>42500000</v>
      </c>
      <c r="BJ35" s="335">
        <f t="shared" si="12"/>
        <v>42500000</v>
      </c>
      <c r="BK35" s="335">
        <f t="shared" si="12"/>
        <v>42500000</v>
      </c>
      <c r="BL35" s="335">
        <f t="shared" si="12"/>
        <v>42500000</v>
      </c>
      <c r="BM35" s="336">
        <f t="shared" si="12"/>
        <v>52500000</v>
      </c>
    </row>
    <row r="36" spans="55:65" ht="15.75" customHeight="1" x14ac:dyDescent="0.25">
      <c r="BC36" s="381"/>
      <c r="BD36" s="192" t="s">
        <v>6</v>
      </c>
      <c r="BE36" s="337">
        <f t="shared" si="12"/>
        <v>0</v>
      </c>
      <c r="BF36" s="337">
        <f t="shared" si="12"/>
        <v>0</v>
      </c>
      <c r="BG36" s="337">
        <f t="shared" si="12"/>
        <v>0</v>
      </c>
      <c r="BH36" s="337">
        <f t="shared" si="12"/>
        <v>0</v>
      </c>
      <c r="BI36" s="337">
        <f t="shared" si="12"/>
        <v>0</v>
      </c>
      <c r="BJ36" s="337">
        <f t="shared" si="12"/>
        <v>0</v>
      </c>
      <c r="BK36" s="337">
        <f t="shared" si="12"/>
        <v>0</v>
      </c>
      <c r="BL36" s="337">
        <f t="shared" si="12"/>
        <v>0</v>
      </c>
      <c r="BM36" s="338">
        <f t="shared" si="12"/>
        <v>52500000</v>
      </c>
    </row>
    <row r="37" spans="55:65" ht="15.75" customHeight="1" x14ac:dyDescent="0.25">
      <c r="BC37" s="381"/>
      <c r="BD37" s="288" t="s">
        <v>4</v>
      </c>
      <c r="BE37" s="339">
        <f t="shared" si="12"/>
        <v>0</v>
      </c>
      <c r="BF37" s="339">
        <f t="shared" si="12"/>
        <v>0</v>
      </c>
      <c r="BG37" s="339">
        <f t="shared" si="12"/>
        <v>0</v>
      </c>
      <c r="BH37" s="339">
        <f t="shared" si="12"/>
        <v>0</v>
      </c>
      <c r="BI37" s="339">
        <f t="shared" si="12"/>
        <v>0</v>
      </c>
      <c r="BJ37" s="339">
        <f t="shared" si="12"/>
        <v>0</v>
      </c>
      <c r="BK37" s="339">
        <f t="shared" si="12"/>
        <v>0</v>
      </c>
      <c r="BL37" s="339">
        <f t="shared" si="12"/>
        <v>0</v>
      </c>
      <c r="BM37" s="340">
        <f t="shared" si="12"/>
        <v>0</v>
      </c>
    </row>
    <row r="38" spans="55:65" ht="15.75" customHeight="1" x14ac:dyDescent="0.25">
      <c r="BC38" s="382"/>
      <c r="BD38" s="12" t="s">
        <v>3</v>
      </c>
      <c r="BE38" s="341">
        <f t="shared" si="12"/>
        <v>0</v>
      </c>
      <c r="BF38" s="341">
        <f t="shared" si="12"/>
        <v>0</v>
      </c>
      <c r="BG38" s="341">
        <f t="shared" si="12"/>
        <v>0</v>
      </c>
      <c r="BH38" s="341">
        <f t="shared" si="12"/>
        <v>0</v>
      </c>
      <c r="BI38" s="341">
        <f t="shared" si="12"/>
        <v>0</v>
      </c>
      <c r="BJ38" s="341">
        <f t="shared" si="12"/>
        <v>0</v>
      </c>
      <c r="BK38" s="341">
        <f t="shared" si="12"/>
        <v>0</v>
      </c>
      <c r="BL38" s="341">
        <f t="shared" si="12"/>
        <v>0</v>
      </c>
      <c r="BM38" s="342">
        <f t="shared" si="12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52" operator="equal">
      <formula>"O"</formula>
    </cfRule>
    <cfRule type="cellIs" dxfId="5" priority="10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5" activePane="bottomLeft" state="frozen"/>
      <selection pane="bottomLeft" activeCell="Q18" sqref="Q18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3:24" x14ac:dyDescent="0.25"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3:24" x14ac:dyDescent="0.25"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3:24" x14ac:dyDescent="0.25"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3:24" x14ac:dyDescent="0.25"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3:24" x14ac:dyDescent="0.25"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3:24" x14ac:dyDescent="0.25"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3:24" x14ac:dyDescent="0.25"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3:24" x14ac:dyDescent="0.25"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3:24" x14ac:dyDescent="0.25"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3:24" x14ac:dyDescent="0.25"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3:24" x14ac:dyDescent="0.25"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3:24" x14ac:dyDescent="0.25"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3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3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3:24" x14ac:dyDescent="0.25">
      <c r="X31" s="81"/>
    </row>
    <row r="32" spans="13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65" t="s">
        <v>262</v>
      </c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404"/>
    </row>
    <row r="2" spans="1:46" ht="15.75" customHeight="1" x14ac:dyDescent="0.25">
      <c r="A2" s="377" t="s">
        <v>62</v>
      </c>
      <c r="B2" s="378"/>
      <c r="C2" s="378"/>
      <c r="D2" s="379"/>
      <c r="E2" s="377" t="s">
        <v>246</v>
      </c>
      <c r="F2" s="378"/>
      <c r="G2" s="378"/>
      <c r="H2" s="378"/>
      <c r="I2" s="378"/>
      <c r="J2" s="378"/>
      <c r="K2" s="378"/>
      <c r="L2" s="379"/>
      <c r="M2" s="377" t="s">
        <v>254</v>
      </c>
      <c r="N2" s="378"/>
      <c r="O2" s="378"/>
      <c r="P2" s="378"/>
      <c r="Q2" s="378"/>
      <c r="R2" s="378"/>
      <c r="S2" s="378"/>
      <c r="T2" s="378"/>
      <c r="U2" s="378"/>
      <c r="V2" s="379"/>
      <c r="W2" s="377" t="s">
        <v>259</v>
      </c>
      <c r="X2" s="378"/>
      <c r="Y2" s="378"/>
      <c r="Z2" s="378"/>
      <c r="AA2" s="379"/>
      <c r="AB2" s="377" t="s">
        <v>232</v>
      </c>
      <c r="AC2" s="378"/>
      <c r="AD2" s="378"/>
      <c r="AE2" s="378"/>
      <c r="AF2" s="378"/>
      <c r="AG2" s="378"/>
      <c r="AH2" s="378"/>
      <c r="AI2" s="379"/>
      <c r="AJ2" s="377" t="s">
        <v>233</v>
      </c>
      <c r="AK2" s="378"/>
      <c r="AL2" s="378"/>
      <c r="AM2" s="378"/>
      <c r="AN2" s="378"/>
      <c r="AO2" s="378"/>
      <c r="AP2" s="378"/>
      <c r="AQ2" s="378"/>
      <c r="AR2" s="378"/>
      <c r="AS2" s="378"/>
      <c r="AT2" s="379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67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>IF(ISBLANK(N4),0,VLOOKUP(N4,$E$4:$L$8,6,FALSE))</f>
        <v>0</v>
      </c>
      <c r="AM4" s="16">
        <f t="shared" ref="AM4:AM8" si="0">IF(ISBLANK(O4),0,VLOOKUP(O4,$E$4:$L$8,6,FALSE))</f>
        <v>0</v>
      </c>
      <c r="AN4" s="16">
        <f t="shared" ref="AN4:AN8" si="1">IF(ISBLANK(P4),0,VLOOKUP(P4,$E$4:$L$8,6,FALSE))</f>
        <v>0</v>
      </c>
      <c r="AO4" s="16">
        <f t="shared" ref="AO4:AO8" si="2">IF(ISBLANK(Q4),0,VLOOKUP(Q4,$E$4:$L$8,6,FALSE))</f>
        <v>0</v>
      </c>
      <c r="AP4" s="16">
        <f t="shared" ref="AP4:AP8" si="3">IF(ISBLANK(R4),0,VLOOKUP(R4,$E$4:$L$8,6,FALSE))</f>
        <v>0</v>
      </c>
      <c r="AQ4" s="16">
        <f t="shared" ref="AQ4:AQ8" si="4">IF(ISBLANK(S4),0,VLOOKUP(S4,$E$4:$L$8,6,FALSE))</f>
        <v>0</v>
      </c>
      <c r="AR4" s="16">
        <f t="shared" ref="AR4:AR8" si="5">IF(ISBLANK(T4),0,VLOOKUP(T4,$E$4:$L$8,6,FALSE))</f>
        <v>0</v>
      </c>
      <c r="AS4" s="16">
        <f t="shared" ref="AS4:AS8" si="6">IF(ISBLANK(U4),0,VLOOKUP(U4,$E$4:$L$8,6,FALSE))</f>
        <v>0</v>
      </c>
      <c r="AT4" s="15">
        <f t="shared" ref="AT4:AT8" si="7">IF(ISBLANK(V4),0,VLOOKUP(V4,$E$4:$L$8,6,FALSE))</f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68"/>
      <c r="AC5" s="240" t="s">
        <v>13</v>
      </c>
      <c r="AD5" s="16">
        <f>ROUNDUP(AD4/$X$4,0)</f>
        <v>0</v>
      </c>
      <c r="AE5" s="33">
        <f t="shared" ref="AE5:AH5" si="8">ROUNDUP(AE4/$X$4,0)</f>
        <v>0</v>
      </c>
      <c r="AF5" s="193">
        <f t="shared" si="8"/>
        <v>0</v>
      </c>
      <c r="AG5" s="130">
        <f t="shared" si="8"/>
        <v>0</v>
      </c>
      <c r="AH5" s="14">
        <f t="shared" si="8"/>
        <v>0</v>
      </c>
      <c r="AI5" s="263">
        <f t="shared" ref="AI5:AI12" si="9">SUM(AD5:AH5)</f>
        <v>0</v>
      </c>
      <c r="AJ5" s="400"/>
      <c r="AK5" s="251" t="s">
        <v>7</v>
      </c>
      <c r="AL5" s="33">
        <f t="shared" ref="AL5:AL8" si="10">IF(ISBLANK(N5),0,VLOOKUP(N5,$E$4:$L$8,6,FALSE))</f>
        <v>0</v>
      </c>
      <c r="AM5" s="33">
        <f t="shared" si="0"/>
        <v>0</v>
      </c>
      <c r="AN5" s="33">
        <f t="shared" si="1"/>
        <v>0</v>
      </c>
      <c r="AO5" s="33">
        <f t="shared" si="2"/>
        <v>0</v>
      </c>
      <c r="AP5" s="33">
        <f t="shared" si="3"/>
        <v>0</v>
      </c>
      <c r="AQ5" s="33">
        <f t="shared" si="4"/>
        <v>0</v>
      </c>
      <c r="AR5" s="33">
        <f t="shared" si="5"/>
        <v>0</v>
      </c>
      <c r="AS5" s="33">
        <f t="shared" si="6"/>
        <v>0</v>
      </c>
      <c r="AT5" s="194">
        <f t="shared" si="7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69"/>
      <c r="AC6" s="224" t="s">
        <v>257</v>
      </c>
      <c r="AD6" s="216">
        <f>ROUNDUP(AD5/4*30,0)</f>
        <v>0</v>
      </c>
      <c r="AE6" s="217">
        <f t="shared" ref="AE6:AH6" si="11">ROUNDUP(AE5/4*30,0)</f>
        <v>0</v>
      </c>
      <c r="AF6" s="218">
        <f t="shared" si="11"/>
        <v>0</v>
      </c>
      <c r="AG6" s="219">
        <f t="shared" si="11"/>
        <v>0</v>
      </c>
      <c r="AH6" s="225">
        <f t="shared" si="11"/>
        <v>0</v>
      </c>
      <c r="AI6" s="264">
        <f t="shared" si="9"/>
        <v>0</v>
      </c>
      <c r="AJ6" s="400"/>
      <c r="AK6" s="192" t="s">
        <v>6</v>
      </c>
      <c r="AL6" s="193">
        <f t="shared" si="10"/>
        <v>0</v>
      </c>
      <c r="AM6" s="193">
        <f t="shared" si="0"/>
        <v>0</v>
      </c>
      <c r="AN6" s="193">
        <f t="shared" si="1"/>
        <v>0</v>
      </c>
      <c r="AO6" s="193">
        <f t="shared" si="2"/>
        <v>0</v>
      </c>
      <c r="AP6" s="193">
        <f t="shared" si="3"/>
        <v>0</v>
      </c>
      <c r="AQ6" s="193">
        <f t="shared" si="4"/>
        <v>0</v>
      </c>
      <c r="AR6" s="193">
        <f t="shared" si="5"/>
        <v>0</v>
      </c>
      <c r="AS6" s="193">
        <f t="shared" si="6"/>
        <v>0</v>
      </c>
      <c r="AT6" s="195">
        <f t="shared" si="7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67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9"/>
        <v>0</v>
      </c>
      <c r="AJ7" s="400"/>
      <c r="AK7" s="252" t="s">
        <v>4</v>
      </c>
      <c r="AL7" s="130">
        <f t="shared" si="10"/>
        <v>0</v>
      </c>
      <c r="AM7" s="130">
        <f t="shared" si="0"/>
        <v>0</v>
      </c>
      <c r="AN7" s="130">
        <f t="shared" si="1"/>
        <v>0</v>
      </c>
      <c r="AO7" s="130">
        <f t="shared" si="2"/>
        <v>0</v>
      </c>
      <c r="AP7" s="130">
        <f t="shared" si="3"/>
        <v>0</v>
      </c>
      <c r="AQ7" s="130">
        <f t="shared" si="4"/>
        <v>0</v>
      </c>
      <c r="AR7" s="130">
        <f t="shared" si="5"/>
        <v>0</v>
      </c>
      <c r="AS7" s="130">
        <f t="shared" si="6"/>
        <v>0</v>
      </c>
      <c r="AT7" s="196">
        <f t="shared" si="7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68"/>
      <c r="AC8" s="240" t="s">
        <v>13</v>
      </c>
      <c r="AD8" s="16">
        <f>ROUNDUP(AD7/$Y$4,0)</f>
        <v>0</v>
      </c>
      <c r="AE8" s="33">
        <f t="shared" ref="AE8:AH8" si="12">ROUNDUP(AE7/$Y$4,0)</f>
        <v>0</v>
      </c>
      <c r="AF8" s="193">
        <f t="shared" si="12"/>
        <v>0</v>
      </c>
      <c r="AG8" s="130">
        <f t="shared" si="12"/>
        <v>0</v>
      </c>
      <c r="AH8" s="14">
        <f t="shared" si="12"/>
        <v>0</v>
      </c>
      <c r="AI8" s="263">
        <f t="shared" si="9"/>
        <v>0</v>
      </c>
      <c r="AJ8" s="401"/>
      <c r="AK8" s="260" t="s">
        <v>3</v>
      </c>
      <c r="AL8" s="261">
        <f t="shared" si="10"/>
        <v>0</v>
      </c>
      <c r="AM8" s="261">
        <f t="shared" si="0"/>
        <v>0</v>
      </c>
      <c r="AN8" s="261">
        <f t="shared" si="1"/>
        <v>0</v>
      </c>
      <c r="AO8" s="261">
        <f t="shared" si="2"/>
        <v>0</v>
      </c>
      <c r="AP8" s="261">
        <f t="shared" si="3"/>
        <v>0</v>
      </c>
      <c r="AQ8" s="261">
        <f t="shared" si="4"/>
        <v>0</v>
      </c>
      <c r="AR8" s="261">
        <f t="shared" si="5"/>
        <v>0</v>
      </c>
      <c r="AS8" s="261">
        <f t="shared" si="6"/>
        <v>0</v>
      </c>
      <c r="AT8" s="262">
        <f t="shared" si="7"/>
        <v>175</v>
      </c>
    </row>
    <row r="9" spans="1:46" ht="15.75" customHeight="1" x14ac:dyDescent="0.25">
      <c r="AB9" s="369"/>
      <c r="AC9" s="224" t="s">
        <v>257</v>
      </c>
      <c r="AD9" s="216">
        <f>ROUNDUP(AD8/4*30,0)</f>
        <v>0</v>
      </c>
      <c r="AE9" s="217">
        <f t="shared" ref="AE9:AH9" si="13">ROUNDUP(AE8/4*30,0)</f>
        <v>0</v>
      </c>
      <c r="AF9" s="218">
        <f t="shared" si="13"/>
        <v>0</v>
      </c>
      <c r="AG9" s="219">
        <f t="shared" si="13"/>
        <v>0</v>
      </c>
      <c r="AH9" s="225">
        <f t="shared" si="13"/>
        <v>0</v>
      </c>
      <c r="AI9" s="264">
        <f t="shared" si="9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67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9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14">IF(ISBLANK(O4),0,VLOOKUP(O4,$E$4:$L$8,7,FALSE))</f>
        <v>0</v>
      </c>
      <c r="AN10" s="16">
        <f t="shared" si="14"/>
        <v>0</v>
      </c>
      <c r="AO10" s="16">
        <f t="shared" si="14"/>
        <v>0</v>
      </c>
      <c r="AP10" s="16">
        <f t="shared" si="14"/>
        <v>0</v>
      </c>
      <c r="AQ10" s="16">
        <f t="shared" si="14"/>
        <v>0</v>
      </c>
      <c r="AR10" s="16">
        <f t="shared" si="14"/>
        <v>0</v>
      </c>
      <c r="AS10" s="16">
        <f t="shared" si="14"/>
        <v>0</v>
      </c>
      <c r="AT10" s="15">
        <f t="shared" si="14"/>
        <v>50</v>
      </c>
    </row>
    <row r="11" spans="1:46" ht="15.75" customHeight="1" x14ac:dyDescent="0.25">
      <c r="AB11" s="368"/>
      <c r="AC11" s="240" t="s">
        <v>13</v>
      </c>
      <c r="AD11" s="16">
        <f>ROUNDUP(AD10/$Z$4,0)</f>
        <v>0</v>
      </c>
      <c r="AE11" s="33">
        <f t="shared" ref="AE11:AH11" si="15">ROUNDUP(AE10/$Z$4,0)</f>
        <v>4</v>
      </c>
      <c r="AF11" s="193">
        <f t="shared" si="15"/>
        <v>0</v>
      </c>
      <c r="AG11" s="130">
        <f t="shared" si="15"/>
        <v>0</v>
      </c>
      <c r="AH11" s="14">
        <f t="shared" si="15"/>
        <v>0</v>
      </c>
      <c r="AI11" s="263">
        <f t="shared" si="9"/>
        <v>4</v>
      </c>
      <c r="AJ11" s="400"/>
      <c r="AK11" s="251" t="s">
        <v>7</v>
      </c>
      <c r="AL11" s="33">
        <f t="shared" ref="AL11:AT11" si="16">IF(ISBLANK(N5),0,VLOOKUP(N5,$E$4:$L$8,7,FALSE))</f>
        <v>0</v>
      </c>
      <c r="AM11" s="33">
        <f t="shared" si="16"/>
        <v>0</v>
      </c>
      <c r="AN11" s="33">
        <f t="shared" si="16"/>
        <v>0</v>
      </c>
      <c r="AO11" s="33">
        <f t="shared" si="16"/>
        <v>0</v>
      </c>
      <c r="AP11" s="33">
        <f t="shared" si="16"/>
        <v>0</v>
      </c>
      <c r="AQ11" s="33">
        <f t="shared" si="16"/>
        <v>0</v>
      </c>
      <c r="AR11" s="33">
        <f t="shared" si="16"/>
        <v>0</v>
      </c>
      <c r="AS11" s="33">
        <f t="shared" si="16"/>
        <v>0</v>
      </c>
      <c r="AT11" s="194">
        <f t="shared" si="16"/>
        <v>50</v>
      </c>
    </row>
    <row r="12" spans="1:46" ht="15.75" customHeight="1" x14ac:dyDescent="0.25">
      <c r="AB12" s="369"/>
      <c r="AC12" s="224" t="s">
        <v>257</v>
      </c>
      <c r="AD12" s="216">
        <f>ROUNDUP(AD11/4*30,0)</f>
        <v>0</v>
      </c>
      <c r="AE12" s="217">
        <f t="shared" ref="AE12:AH12" si="17">ROUNDUP(AE11/4*30,0)</f>
        <v>30</v>
      </c>
      <c r="AF12" s="218">
        <f t="shared" si="17"/>
        <v>0</v>
      </c>
      <c r="AG12" s="219">
        <f t="shared" si="17"/>
        <v>0</v>
      </c>
      <c r="AH12" s="225">
        <f t="shared" si="17"/>
        <v>0</v>
      </c>
      <c r="AI12" s="264">
        <f t="shared" si="9"/>
        <v>30</v>
      </c>
      <c r="AJ12" s="400"/>
      <c r="AK12" s="192" t="s">
        <v>6</v>
      </c>
      <c r="AL12" s="193">
        <f t="shared" ref="AL12:AT12" si="18">IF(ISBLANK(N6),0,VLOOKUP(N6,$E$4:$L$8,7,FALSE))</f>
        <v>0</v>
      </c>
      <c r="AM12" s="193">
        <f t="shared" si="18"/>
        <v>0</v>
      </c>
      <c r="AN12" s="193">
        <f t="shared" si="18"/>
        <v>0</v>
      </c>
      <c r="AO12" s="193">
        <f t="shared" si="18"/>
        <v>0</v>
      </c>
      <c r="AP12" s="193">
        <f t="shared" si="18"/>
        <v>0</v>
      </c>
      <c r="AQ12" s="193">
        <f t="shared" si="18"/>
        <v>0</v>
      </c>
      <c r="AR12" s="193">
        <f t="shared" si="18"/>
        <v>0</v>
      </c>
      <c r="AS12" s="193">
        <f t="shared" si="18"/>
        <v>0</v>
      </c>
      <c r="AT12" s="195">
        <f t="shared" si="18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19">IF(ISBLANK(N7),0,VLOOKUP(N7,$E$4:$L$8,7,FALSE))</f>
        <v>0</v>
      </c>
      <c r="AM13" s="130">
        <f t="shared" si="19"/>
        <v>0</v>
      </c>
      <c r="AN13" s="130">
        <f t="shared" si="19"/>
        <v>0</v>
      </c>
      <c r="AO13" s="130">
        <f t="shared" si="19"/>
        <v>0</v>
      </c>
      <c r="AP13" s="130">
        <f t="shared" si="19"/>
        <v>0</v>
      </c>
      <c r="AQ13" s="130">
        <f t="shared" si="19"/>
        <v>0</v>
      </c>
      <c r="AR13" s="130">
        <f t="shared" si="19"/>
        <v>0</v>
      </c>
      <c r="AS13" s="130">
        <f t="shared" si="19"/>
        <v>0</v>
      </c>
      <c r="AT13" s="196">
        <f t="shared" si="19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20">IF(ISBLANK(N8),0,VLOOKUP(N8,$E$4:$L$8,7,FALSE))</f>
        <v>0</v>
      </c>
      <c r="AM14" s="261">
        <f t="shared" si="20"/>
        <v>0</v>
      </c>
      <c r="AN14" s="261">
        <f t="shared" si="20"/>
        <v>0</v>
      </c>
      <c r="AO14" s="261">
        <f t="shared" si="20"/>
        <v>0</v>
      </c>
      <c r="AP14" s="261">
        <f t="shared" si="20"/>
        <v>0</v>
      </c>
      <c r="AQ14" s="261">
        <f t="shared" si="20"/>
        <v>0</v>
      </c>
      <c r="AR14" s="261">
        <f t="shared" si="20"/>
        <v>0</v>
      </c>
      <c r="AS14" s="261">
        <f t="shared" si="20"/>
        <v>0</v>
      </c>
      <c r="AT14" s="262">
        <f t="shared" si="20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21">IF(ISBLANK(O4),0,VLOOKUP(O4,$E$4:$L$8,8,FALSE))</f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5">
        <f t="shared" si="21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22">IF(ISBLANK(N5),0,VLOOKUP(N5,$E$4:$L$8,8,FALSE))</f>
        <v>0</v>
      </c>
      <c r="AM17" s="33">
        <f t="shared" si="22"/>
        <v>0</v>
      </c>
      <c r="AN17" s="33">
        <f t="shared" si="22"/>
        <v>0</v>
      </c>
      <c r="AO17" s="33">
        <f t="shared" si="22"/>
        <v>0</v>
      </c>
      <c r="AP17" s="33">
        <f t="shared" si="22"/>
        <v>0</v>
      </c>
      <c r="AQ17" s="33">
        <f t="shared" si="22"/>
        <v>0</v>
      </c>
      <c r="AR17" s="33">
        <f t="shared" si="22"/>
        <v>0</v>
      </c>
      <c r="AS17" s="33">
        <f t="shared" si="22"/>
        <v>0</v>
      </c>
      <c r="AT17" s="194">
        <f t="shared" si="22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23">IF(ISBLANK(N6),0,VLOOKUP(N6,$E$4:$L$8,8,FALSE))</f>
        <v>0</v>
      </c>
      <c r="AM18" s="193">
        <f t="shared" si="23"/>
        <v>0</v>
      </c>
      <c r="AN18" s="193">
        <f t="shared" si="23"/>
        <v>0</v>
      </c>
      <c r="AO18" s="193">
        <f t="shared" si="23"/>
        <v>0</v>
      </c>
      <c r="AP18" s="193">
        <f t="shared" si="23"/>
        <v>0</v>
      </c>
      <c r="AQ18" s="193">
        <f t="shared" si="23"/>
        <v>0</v>
      </c>
      <c r="AR18" s="193">
        <f t="shared" si="23"/>
        <v>0</v>
      </c>
      <c r="AS18" s="193">
        <f t="shared" si="23"/>
        <v>0</v>
      </c>
      <c r="AT18" s="195">
        <f t="shared" si="23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24">IF(ISBLANK(N7),0,VLOOKUP(N7,$E$4:$L$8,8,FALSE))</f>
        <v>0</v>
      </c>
      <c r="AM19" s="130">
        <f t="shared" si="24"/>
        <v>0</v>
      </c>
      <c r="AN19" s="130">
        <f t="shared" si="24"/>
        <v>0</v>
      </c>
      <c r="AO19" s="130">
        <f t="shared" si="24"/>
        <v>0</v>
      </c>
      <c r="AP19" s="130">
        <f t="shared" si="24"/>
        <v>0</v>
      </c>
      <c r="AQ19" s="130">
        <f t="shared" si="24"/>
        <v>0</v>
      </c>
      <c r="AR19" s="130">
        <f t="shared" si="24"/>
        <v>0</v>
      </c>
      <c r="AS19" s="130">
        <f t="shared" si="24"/>
        <v>0</v>
      </c>
      <c r="AT19" s="196">
        <f t="shared" si="24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25">IF(ISBLANK(N8),0,VLOOKUP(N8,$E$4:$L$8,8,FALSE))</f>
        <v>0</v>
      </c>
      <c r="AM20" s="261">
        <f t="shared" si="25"/>
        <v>0</v>
      </c>
      <c r="AN20" s="261">
        <f t="shared" si="25"/>
        <v>0</v>
      </c>
      <c r="AO20" s="261">
        <f t="shared" si="25"/>
        <v>0</v>
      </c>
      <c r="AP20" s="261">
        <f t="shared" si="25"/>
        <v>0</v>
      </c>
      <c r="AQ20" s="261">
        <f t="shared" si="25"/>
        <v>0</v>
      </c>
      <c r="AR20" s="261">
        <f t="shared" si="25"/>
        <v>0</v>
      </c>
      <c r="AS20" s="261">
        <f t="shared" si="25"/>
        <v>0</v>
      </c>
      <c r="AT20" s="262">
        <f t="shared" si="25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88"/>
  <sheetViews>
    <sheetView tabSelected="1" topLeftCell="A169" workbookViewId="0">
      <selection activeCell="N187" sqref="N187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18457.212416311624</v>
      </c>
      <c r="F3" s="97" cm="1">
        <f t="array" ref="F3">SUMIF($H6:$H99999,"&gt;0") / SCOUT_DAYS_FROM_EARLIEST * 30</f>
        <v>54176.895922093732</v>
      </c>
      <c r="G3" s="97"/>
      <c r="H3" s="97" cm="1">
        <f t="array" ref="H3">(SUMIF($F6:$F99999,"&gt;0") + SUMIF($H6:$H99999,"&gt;0")) / SCOUT_DAYS_FROM_EARLIEST * 30</f>
        <v>72634.108338405349</v>
      </c>
      <c r="I3" s="97" cm="1">
        <f t="array" ref="I3">(SUMIF($F6:$F99999,"&lt;0") + SUMIF($H6:$H99999,"&lt;0")) / SCOUT_DAYS_FROM_EARLIEST * 30</f>
        <v>-78005.842970176498</v>
      </c>
      <c r="J3" s="97">
        <f>H3+I3</f>
        <v>-5371.734631771149</v>
      </c>
      <c r="L3" s="10" cm="1">
        <f t="array" ref="L3">SUM(L6:L99999) / SCOUT_DAYS_FROM_EARLIEST * 30</f>
        <v>58735.727328058434</v>
      </c>
      <c r="M3" s="100" cm="1">
        <f t="array" ref="M3">SUM(M6:M99999) / SCOUT_DAYS_FROM_EARLIEST * 30</f>
        <v>1095.2647595861229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6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IFERROR(G6 - _xlfn.XLOOKUP(A6-31, $A$6:$A$14999,G$6:G$14999,"",-1,2),NA())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IFERROR(G44 - _xlfn.XLOOKUP(A44-31, $A$6:$A$14999,G$6:G$14999,"",-1,2),NA())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" si="16">C74-C73</f>
        <v>6340</v>
      </c>
      <c r="G74" s="86">
        <f>SUMIF(F$6:F74,"&gt;0")</f>
        <v>61780</v>
      </c>
      <c r="H74" s="86">
        <f t="shared" ref="H74" si="17">D74-D73</f>
        <v>590</v>
      </c>
      <c r="I74" s="86">
        <f t="shared" si="15"/>
        <v>6930</v>
      </c>
      <c r="J74" s="91">
        <f t="shared" ref="J74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ref="F75" si="19">C75-C74</f>
        <v>550</v>
      </c>
      <c r="G75" s="86">
        <f>SUMIF(F$6:F75,"&gt;0")</f>
        <v>62330</v>
      </c>
      <c r="H75" s="86">
        <f t="shared" ref="H75" si="20">D75-D74</f>
        <v>-430</v>
      </c>
      <c r="I75" s="86">
        <f t="shared" si="15"/>
        <v>120</v>
      </c>
      <c r="J75" s="91">
        <f t="shared" ref="J75" si="21">I75/4200*80</f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ref="F76" si="22">C76-C75</f>
        <v>-12790</v>
      </c>
      <c r="G76" s="86">
        <f>SUMIF(F$6:F76,"&gt;0")</f>
        <v>62330</v>
      </c>
      <c r="H76" s="86">
        <f t="shared" ref="H76" si="23">D76-D75</f>
        <v>-105</v>
      </c>
      <c r="I76" s="86">
        <f t="shared" si="15"/>
        <v>-12895</v>
      </c>
      <c r="J76" s="91">
        <f t="shared" ref="J76" si="24">I76/4200*80</f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ref="F77" si="25">C77-C76</f>
        <v>625</v>
      </c>
      <c r="G77" s="86">
        <f>SUMIF(F$6:F77,"&gt;0")</f>
        <v>62955</v>
      </c>
      <c r="H77" s="86">
        <f t="shared" ref="H77" si="26">D77-D76</f>
        <v>40</v>
      </c>
      <c r="I77" s="86">
        <f t="shared" si="15"/>
        <v>665</v>
      </c>
      <c r="J77" s="91">
        <f t="shared" ref="J77" si="27">I77/4200*80</f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 t="shared" ref="E78" si="28">SUM(C78:D78)</f>
        <v>8339</v>
      </c>
      <c r="F78" s="86">
        <f t="shared" ref="F78" si="29">C78-C77</f>
        <v>250</v>
      </c>
      <c r="G78" s="86">
        <f>SUMIF(F$6:F78,"&gt;0")</f>
        <v>63205</v>
      </c>
      <c r="H78" s="86">
        <f t="shared" ref="H78" si="30">D78-D77</f>
        <v>20</v>
      </c>
      <c r="I78" s="86">
        <f t="shared" si="15"/>
        <v>270</v>
      </c>
      <c r="J78" s="91">
        <f t="shared" ref="J78" si="31">I78/4200*80</f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 t="shared" ref="E79" si="32">SUM(C79:D79)</f>
        <v>8484</v>
      </c>
      <c r="F79" s="86">
        <f t="shared" ref="F79" si="33">C79-C78</f>
        <v>125</v>
      </c>
      <c r="G79" s="86">
        <f>SUMIF(F$6:F79,"&gt;0")</f>
        <v>63330</v>
      </c>
      <c r="H79" s="86">
        <f t="shared" ref="H79" si="34">D79-D78</f>
        <v>20</v>
      </c>
      <c r="I79" s="86">
        <f t="shared" si="15"/>
        <v>145</v>
      </c>
      <c r="J79" s="91">
        <f t="shared" ref="J79" si="35">I79/4200*80</f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36">SUM(C80:D80)</f>
        <v>7579</v>
      </c>
      <c r="F80" s="86">
        <f t="shared" ref="F80" si="37">C80-C79</f>
        <v>175</v>
      </c>
      <c r="G80" s="86">
        <f>SUMIF(F$6:F80,"&gt;0")</f>
        <v>63505</v>
      </c>
      <c r="H80" s="86">
        <f t="shared" ref="H80" si="38">D80-D79</f>
        <v>-1080</v>
      </c>
      <c r="I80" s="86">
        <f t="shared" si="15"/>
        <v>-905</v>
      </c>
      <c r="J80" s="91">
        <f t="shared" ref="J80" si="39">I80/4200*80</f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36"/>
        <v>8479</v>
      </c>
      <c r="F81" s="86">
        <f t="shared" ref="F81" si="40">C81-C80</f>
        <v>350</v>
      </c>
      <c r="G81" s="86">
        <f>SUMIF(F$6:F81,"&gt;0")</f>
        <v>63855</v>
      </c>
      <c r="H81" s="86">
        <f t="shared" ref="H81" si="41">D81-D80</f>
        <v>550</v>
      </c>
      <c r="I81" s="86">
        <f t="shared" si="15"/>
        <v>900</v>
      </c>
      <c r="J81" s="91">
        <f t="shared" ref="J81" si="42">I81/4200*80</f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36"/>
        <v>8949</v>
      </c>
      <c r="F82" s="86">
        <f t="shared" ref="F82:F84" si="43">C82-C81</f>
        <v>450</v>
      </c>
      <c r="G82" s="86">
        <f>SUMIF(F$6:F82,"&gt;0")</f>
        <v>64305</v>
      </c>
      <c r="H82" s="86">
        <f>D82-D81</f>
        <v>20</v>
      </c>
      <c r="I82" s="86">
        <f t="shared" si="15"/>
        <v>470</v>
      </c>
      <c r="J82" s="91">
        <f t="shared" ref="J82" si="44">I82/4200*80</f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36"/>
        <v>9069</v>
      </c>
      <c r="F83" s="86">
        <f t="shared" si="43"/>
        <v>250</v>
      </c>
      <c r="G83" s="86">
        <f>SUMIF(F$6:F83,"&gt;0")</f>
        <v>64555</v>
      </c>
      <c r="H83" s="86">
        <f>D83-D82</f>
        <v>-130</v>
      </c>
      <c r="I83" s="86">
        <f t="shared" si="15"/>
        <v>120</v>
      </c>
      <c r="J83" s="91">
        <f t="shared" ref="J83" si="45">I83/4200*80</f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36"/>
        <v>10219</v>
      </c>
      <c r="F84" s="86">
        <f t="shared" si="43"/>
        <v>1110</v>
      </c>
      <c r="G84" s="86">
        <f>SUMIF(F$6:F84,"&gt;0")</f>
        <v>65665</v>
      </c>
      <c r="H84" s="86">
        <f>D84-D83</f>
        <v>40</v>
      </c>
      <c r="I84" s="86">
        <f t="shared" si="15"/>
        <v>1150</v>
      </c>
      <c r="J84" s="91">
        <f t="shared" ref="J84" si="46">I84/4200*80</f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36"/>
        <v>10989</v>
      </c>
      <c r="F85" s="86">
        <f t="shared" ref="F85" si="47">C85-C84</f>
        <v>225</v>
      </c>
      <c r="G85" s="86">
        <f>SUMIF(F$6:F85,"&gt;0")</f>
        <v>65890</v>
      </c>
      <c r="H85" s="86">
        <f t="shared" ref="H85" si="48">D85-D84</f>
        <v>545</v>
      </c>
      <c r="I85" s="86">
        <f t="shared" si="15"/>
        <v>770</v>
      </c>
      <c r="J85" s="91">
        <f t="shared" ref="J85" si="49">I85/4200*80</f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36"/>
        <v>11099</v>
      </c>
      <c r="F86" s="86">
        <f t="shared" ref="F86" si="50">C86-C85</f>
        <v>60</v>
      </c>
      <c r="G86" s="86">
        <f>SUMIF(F$6:F86,"&gt;0")</f>
        <v>65950</v>
      </c>
      <c r="H86" s="86">
        <f t="shared" ref="H86" si="51">D86-D85</f>
        <v>50</v>
      </c>
      <c r="I86" s="86">
        <f t="shared" si="15"/>
        <v>110</v>
      </c>
      <c r="J86" s="91">
        <f t="shared" ref="J86" si="52">I86/4200*80</f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36"/>
        <v>11574</v>
      </c>
      <c r="F87" s="86">
        <f t="shared" ref="F87" si="53">C87-C86</f>
        <v>435</v>
      </c>
      <c r="G87" s="86">
        <f>SUMIF(F$6:F87,"&gt;0")</f>
        <v>66385</v>
      </c>
      <c r="H87" s="86">
        <f t="shared" ref="H87" si="54">D87-D86</f>
        <v>40</v>
      </c>
      <c r="I87" s="86">
        <f t="shared" si="15"/>
        <v>475</v>
      </c>
      <c r="J87" s="91">
        <f t="shared" ref="J87" si="55">I87/4200*80</f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36"/>
        <v>11714</v>
      </c>
      <c r="F88" s="86">
        <f t="shared" ref="F88" si="56">C88-C87</f>
        <v>120</v>
      </c>
      <c r="G88" s="86">
        <f>SUMIF(F$6:F88,"&gt;0")</f>
        <v>66505</v>
      </c>
      <c r="H88" s="86">
        <f t="shared" ref="H88" si="57">D88-D87</f>
        <v>20</v>
      </c>
      <c r="I88" s="86">
        <f t="shared" si="15"/>
        <v>140</v>
      </c>
      <c r="J88" s="91">
        <f t="shared" ref="J88" si="58">I88/4200*80</f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36"/>
        <v>12094</v>
      </c>
      <c r="F89" s="86">
        <f t="shared" ref="F89" si="59">C89-C88</f>
        <v>360</v>
      </c>
      <c r="G89" s="86">
        <f>SUMIF(F$6:F89,"&gt;0")</f>
        <v>66865</v>
      </c>
      <c r="H89" s="86">
        <f t="shared" ref="H89" si="60">D89-D88</f>
        <v>20</v>
      </c>
      <c r="I89" s="86">
        <f t="shared" ref="I89" si="61">SUM(F89,H89)</f>
        <v>380</v>
      </c>
      <c r="J89" s="91">
        <f t="shared" ref="J89" si="62">I89/4200*80</f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36"/>
        <v>14134</v>
      </c>
      <c r="F90" s="86">
        <f t="shared" ref="F90" si="63">C90-C89</f>
        <v>2050</v>
      </c>
      <c r="G90" s="86">
        <f>SUMIF(F$6:F90,"&gt;0")</f>
        <v>68915</v>
      </c>
      <c r="H90" s="86">
        <f t="shared" ref="H90" si="64">D90-D89</f>
        <v>-10</v>
      </c>
      <c r="I90" s="86">
        <f t="shared" ref="I90" si="65">SUM(F90,H90)</f>
        <v>2040</v>
      </c>
      <c r="J90" s="91">
        <f t="shared" ref="J90" si="66">I90/4200*80</f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36"/>
        <v>140959</v>
      </c>
      <c r="F91" s="86">
        <f t="shared" ref="F91" si="67">C91-C90</f>
        <v>400</v>
      </c>
      <c r="G91" s="86">
        <f>SUMIF(F$6:F91,"&gt;0")</f>
        <v>69315</v>
      </c>
      <c r="H91" s="86">
        <f t="shared" ref="H91" si="68">D91-D90</f>
        <v>126425</v>
      </c>
      <c r="I91" s="86">
        <f t="shared" ref="I91" si="69">SUM(F91,H91)</f>
        <v>126825</v>
      </c>
      <c r="J91" s="91">
        <f t="shared" ref="J91" si="70">I91/4200*80</f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36"/>
        <v>124829</v>
      </c>
      <c r="F92" s="86">
        <f t="shared" ref="F92" si="71">C92-C91</f>
        <v>-10750</v>
      </c>
      <c r="G92" s="86">
        <f>SUMIF(F$6:F92,"&gt;0")</f>
        <v>69315</v>
      </c>
      <c r="H92" s="86">
        <f t="shared" ref="H92" si="72">D92-D91</f>
        <v>-5380</v>
      </c>
      <c r="I92" s="86">
        <f t="shared" ref="I92" si="73">SUM(F92,H92)</f>
        <v>-16130</v>
      </c>
      <c r="J92" s="91">
        <f t="shared" ref="J92" si="74">I92/4200*80</f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36"/>
        <v>130179</v>
      </c>
      <c r="F93" s="86">
        <f t="shared" ref="F93" si="75">C93-C92</f>
        <v>4845</v>
      </c>
      <c r="G93" s="86">
        <f>SUMIF(F$6:F93,"&gt;0")</f>
        <v>74160</v>
      </c>
      <c r="H93" s="86">
        <f t="shared" ref="H93" si="76">D93-D92</f>
        <v>505</v>
      </c>
      <c r="I93" s="86">
        <f t="shared" ref="I93" si="77">SUM(F93,H93)</f>
        <v>5350</v>
      </c>
      <c r="J93" s="91">
        <f t="shared" ref="J93" si="78">I93/4200*80</f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36"/>
        <v>130724</v>
      </c>
      <c r="F94" s="86">
        <f t="shared" ref="F94" si="79">C94-C93</f>
        <v>525</v>
      </c>
      <c r="G94" s="86">
        <f>SUMIF(F$6:F94,"&gt;0")</f>
        <v>74685</v>
      </c>
      <c r="H94" s="86">
        <f t="shared" ref="H94" si="80">D94-D93</f>
        <v>20</v>
      </c>
      <c r="I94" s="86">
        <f t="shared" ref="I94" si="81">SUM(F94,H94)</f>
        <v>545</v>
      </c>
      <c r="J94" s="91">
        <f t="shared" ref="J94" si="82">I94/4200*80</f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96" si="83">SUM(C95:D95)</f>
        <v>131374</v>
      </c>
      <c r="F95" s="86">
        <f t="shared" ref="F95" si="84">C95-C94</f>
        <v>600</v>
      </c>
      <c r="G95" s="86">
        <f>SUMIF(F$6:F95,"&gt;0")</f>
        <v>75285</v>
      </c>
      <c r="H95" s="86">
        <f t="shared" ref="H95" si="85">D95-D94</f>
        <v>50</v>
      </c>
      <c r="I95" s="86">
        <f t="shared" ref="I95" si="86">SUM(F95,H95)</f>
        <v>650</v>
      </c>
      <c r="J95" s="91">
        <f t="shared" ref="J95" si="87">I95/4200*80</f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83"/>
        <v>116549</v>
      </c>
      <c r="F96" s="86">
        <f t="shared" ref="F96" si="88">C96-C95</f>
        <v>125</v>
      </c>
      <c r="G96" s="86">
        <f>SUMIF(F$6:F96,"&gt;0")</f>
        <v>75410</v>
      </c>
      <c r="H96" s="86">
        <f t="shared" ref="H96" si="89">D96-D95</f>
        <v>-14950</v>
      </c>
      <c r="I96" s="86">
        <f t="shared" ref="I96" si="90">SUM(F96,H96)</f>
        <v>-14825</v>
      </c>
      <c r="J96" s="91">
        <f t="shared" ref="J96" si="91">I96/4200*80</f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ref="E97" si="92">SUM(C97:D97)</f>
        <v>118375</v>
      </c>
      <c r="F97" s="86">
        <f t="shared" ref="F97" si="93">C97-C96</f>
        <v>1650</v>
      </c>
      <c r="G97" s="86">
        <f>SUMIF(F$6:F97,"&gt;0")</f>
        <v>77060</v>
      </c>
      <c r="H97" s="86">
        <f t="shared" ref="H97" si="94">D97-D96</f>
        <v>176</v>
      </c>
      <c r="I97" s="86">
        <f t="shared" ref="I97" si="95">SUM(F97,H97)</f>
        <v>1826</v>
      </c>
      <c r="J97" s="91">
        <f t="shared" ref="J97" si="96">I97/4200*80</f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ref="E98" si="97">SUM(C98:D98)</f>
        <v>119050</v>
      </c>
      <c r="F98" s="86">
        <f t="shared" ref="F98" si="98">C98-C97</f>
        <v>725</v>
      </c>
      <c r="G98" s="86">
        <f>SUMIF(F$6:F98,"&gt;0")</f>
        <v>77785</v>
      </c>
      <c r="H98" s="86">
        <f t="shared" ref="H98" si="99">D98-D97</f>
        <v>-50</v>
      </c>
      <c r="I98" s="86">
        <f t="shared" ref="I98" si="100">SUM(F98,H98)</f>
        <v>675</v>
      </c>
      <c r="J98" s="91">
        <f t="shared" ref="J98" si="101">I98/4200*80</f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ref="E99" si="102">SUM(C99:D99)</f>
        <v>119575</v>
      </c>
      <c r="F99" s="86">
        <f t="shared" ref="F99" si="103">C99-C98</f>
        <v>475</v>
      </c>
      <c r="G99" s="86">
        <f>SUMIF(F$6:F99,"&gt;0")</f>
        <v>78260</v>
      </c>
      <c r="H99" s="86">
        <f t="shared" ref="H99" si="104">D99-D98</f>
        <v>50</v>
      </c>
      <c r="I99" s="86">
        <f t="shared" ref="I99" si="105">SUM(F99,H99)</f>
        <v>525</v>
      </c>
      <c r="J99" s="91">
        <f t="shared" ref="J99" si="106">I99/4200*80</f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ref="E100:E101" si="107">SUM(C100:D100)</f>
        <v>118340</v>
      </c>
      <c r="F100" s="86">
        <f t="shared" ref="F100" si="108">C100-C99</f>
        <v>500</v>
      </c>
      <c r="G100" s="86">
        <f>SUMIF(F$6:F100,"&gt;0")</f>
        <v>78760</v>
      </c>
      <c r="H100" s="86">
        <f t="shared" ref="H100" si="109">D100-D99</f>
        <v>-1735</v>
      </c>
      <c r="I100" s="86">
        <f t="shared" ref="I100" si="110">SUM(F100,H100)</f>
        <v>-1235</v>
      </c>
      <c r="J100" s="91">
        <f t="shared" ref="J100" si="111">I100/4200*80</f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107"/>
        <v>100805</v>
      </c>
      <c r="F101" s="86">
        <f t="shared" ref="F101" si="112">C101-C100</f>
        <v>-8945</v>
      </c>
      <c r="G101" s="86">
        <f>SUMIF(F$6:F101,"&gt;0")</f>
        <v>78760</v>
      </c>
      <c r="H101" s="86">
        <f t="shared" ref="H101" si="113">D101-D100</f>
        <v>-8590</v>
      </c>
      <c r="I101" s="86">
        <f t="shared" ref="I101" si="114">SUM(F101,H101)</f>
        <v>-17535</v>
      </c>
      <c r="J101" s="91">
        <f t="shared" ref="J101" si="115">I101/4200*80</f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116">SUM(C102:D102)</f>
        <v>157125</v>
      </c>
      <c r="F102" s="86">
        <f t="shared" ref="F102" si="117">C102-C101</f>
        <v>100</v>
      </c>
      <c r="G102" s="86">
        <f>SUMIF(F$6:F102,"&gt;0")</f>
        <v>78860</v>
      </c>
      <c r="H102" s="86">
        <f t="shared" ref="H102" si="118">D102-D101</f>
        <v>56220</v>
      </c>
      <c r="I102" s="86">
        <f t="shared" ref="I102" si="119">SUM(F102,H102)</f>
        <v>56320</v>
      </c>
      <c r="J102" s="91">
        <f t="shared" ref="J102" si="120">I102/4200*80</f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116"/>
        <v>157775</v>
      </c>
      <c r="F103" s="86">
        <f t="shared" ref="F103" si="121">C103-C102</f>
        <v>100</v>
      </c>
      <c r="G103" s="86">
        <f>SUMIF(F$6:F103,"&gt;0")</f>
        <v>78960</v>
      </c>
      <c r="H103" s="86">
        <f t="shared" ref="H103" si="122">D103-D102</f>
        <v>550</v>
      </c>
      <c r="I103" s="86">
        <f t="shared" ref="I103" si="123">SUM(F103,H103)</f>
        <v>650</v>
      </c>
      <c r="J103" s="91">
        <f t="shared" ref="J103" si="124">I103/4200*80</f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116"/>
        <v>158020</v>
      </c>
      <c r="F104" s="86">
        <f t="shared" ref="F104" si="125">C104-C103</f>
        <v>225</v>
      </c>
      <c r="G104" s="86">
        <f>SUMIF(F$6:F104,"&gt;0")</f>
        <v>79185</v>
      </c>
      <c r="H104" s="86">
        <f t="shared" ref="H104" si="126">D104-D103</f>
        <v>20</v>
      </c>
      <c r="I104" s="86">
        <f t="shared" ref="I104" si="127">SUM(F104,H104)</f>
        <v>245</v>
      </c>
      <c r="J104" s="91">
        <f t="shared" ref="J104" si="128">I104/4200*80</f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116"/>
        <v>157810</v>
      </c>
      <c r="F105" s="86">
        <f t="shared" ref="F105" si="129">C105-C104</f>
        <v>200</v>
      </c>
      <c r="G105" s="86">
        <f>SUMIF(F$6:F105,"&gt;0")</f>
        <v>79385</v>
      </c>
      <c r="H105" s="86">
        <f t="shared" ref="H105" si="130">D105-D104</f>
        <v>-410</v>
      </c>
      <c r="I105" s="86">
        <f t="shared" ref="I105" si="131">SUM(F105,H105)</f>
        <v>-210</v>
      </c>
      <c r="J105" s="91">
        <f t="shared" ref="J105" si="132">I105/4200*80</f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116"/>
        <v>157985</v>
      </c>
      <c r="F106" s="86">
        <f t="shared" ref="F106" si="133">C106-C105</f>
        <v>100</v>
      </c>
      <c r="G106" s="86">
        <f>SUMIF(F$6:F106,"&gt;0")</f>
        <v>79485</v>
      </c>
      <c r="H106" s="86">
        <f t="shared" ref="H106" si="134">D106-D105</f>
        <v>75</v>
      </c>
      <c r="I106" s="86">
        <f t="shared" ref="I106" si="135">SUM(F106,H106)</f>
        <v>175</v>
      </c>
      <c r="J106" s="91">
        <f t="shared" ref="J106" si="136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116"/>
        <v>158240</v>
      </c>
      <c r="F107" s="86">
        <f t="shared" ref="F107" si="137">C107-C106</f>
        <v>325</v>
      </c>
      <c r="G107" s="86">
        <f>SUMIF(F$6:F107,"&gt;0")</f>
        <v>79810</v>
      </c>
      <c r="H107" s="86">
        <f t="shared" ref="H107" si="138">D107-D106</f>
        <v>-70</v>
      </c>
      <c r="I107" s="86">
        <f t="shared" ref="I107" si="139">SUM(F107,H107)</f>
        <v>255</v>
      </c>
      <c r="J107" s="91">
        <f t="shared" ref="J107" si="140">I107/4200*80</f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116"/>
        <v>159320</v>
      </c>
      <c r="F108" s="86">
        <f t="shared" ref="F108" si="141">C108-C107</f>
        <v>500</v>
      </c>
      <c r="G108" s="86">
        <f>SUMIF(F$6:F108,"&gt;0")</f>
        <v>80310</v>
      </c>
      <c r="H108" s="86">
        <f t="shared" ref="H108" si="142">D108-D107</f>
        <v>580</v>
      </c>
      <c r="I108" s="86">
        <f t="shared" ref="I108" si="143">SUM(F108,H108)</f>
        <v>1080</v>
      </c>
      <c r="J108" s="91">
        <f t="shared" ref="J108" si="144">I108/4200*80</f>
        <v>20.571428571428569</v>
      </c>
      <c r="K108" s="86">
        <f t="shared" ref="K108:K140" si="145">IFERROR(G108 - _xlfn.XLOOKUP(A108-31, $A$6:$A$14999,G$6:G$14999,"",-1,2),NA())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116"/>
        <v>159770</v>
      </c>
      <c r="F109" s="86">
        <f t="shared" ref="F109" si="146">C109-C108</f>
        <v>400</v>
      </c>
      <c r="G109" s="86">
        <f>SUMIF(F$6:F109,"&gt;0")</f>
        <v>80710</v>
      </c>
      <c r="H109" s="86">
        <f t="shared" ref="H109" si="147">D109-D108</f>
        <v>50</v>
      </c>
      <c r="I109" s="86">
        <f t="shared" ref="I109" si="148">SUM(F109,H109)</f>
        <v>450</v>
      </c>
      <c r="J109" s="91">
        <f t="shared" ref="J109" si="149">I109/4200*80</f>
        <v>8.5714285714285712</v>
      </c>
      <c r="K109" s="86">
        <f t="shared" si="145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116"/>
        <v>160020</v>
      </c>
      <c r="F110" s="86">
        <f t="shared" ref="F110" si="150">C110-C109</f>
        <v>200</v>
      </c>
      <c r="G110" s="86">
        <f>SUMIF(F$6:F110,"&gt;0")</f>
        <v>80910</v>
      </c>
      <c r="H110" s="86">
        <f t="shared" ref="H110" si="151">D110-D109</f>
        <v>50</v>
      </c>
      <c r="I110" s="86">
        <f t="shared" ref="I110" si="152">SUM(F110,H110)</f>
        <v>250</v>
      </c>
      <c r="J110" s="91">
        <f t="shared" ref="J110" si="153">I110/4200*80</f>
        <v>4.7619047619047619</v>
      </c>
      <c r="K110" s="86">
        <f t="shared" si="145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116"/>
        <v>160120</v>
      </c>
      <c r="F111" s="86">
        <f t="shared" ref="F111" si="154">C111-C110</f>
        <v>100</v>
      </c>
      <c r="G111" s="86">
        <f>SUMIF(F$6:F111,"&gt;0")</f>
        <v>81010</v>
      </c>
      <c r="H111" s="86">
        <f t="shared" ref="H111" si="155">D111-D110</f>
        <v>0</v>
      </c>
      <c r="I111" s="86">
        <f t="shared" ref="I111" si="156">SUM(F111,H111)</f>
        <v>100</v>
      </c>
      <c r="J111" s="91">
        <f t="shared" ref="J111" si="157">I111/4200*80</f>
        <v>1.9047619047619047</v>
      </c>
      <c r="K111" s="86">
        <f t="shared" si="145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116"/>
        <v>162245</v>
      </c>
      <c r="F112" s="86">
        <f t="shared" ref="F112" si="158">C112-C111</f>
        <v>1380</v>
      </c>
      <c r="G112" s="86">
        <f>SUMIF(F$6:F112,"&gt;0")</f>
        <v>82390</v>
      </c>
      <c r="H112" s="86">
        <f t="shared" ref="H112" si="159">D112-D111</f>
        <v>745</v>
      </c>
      <c r="I112" s="86">
        <f t="shared" ref="I112" si="160">SUM(F112,H112)</f>
        <v>2125</v>
      </c>
      <c r="J112" s="91">
        <f t="shared" ref="J112" si="161">I112/4200*80</f>
        <v>40.476190476190474</v>
      </c>
      <c r="K112" s="86">
        <f t="shared" si="145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116"/>
        <v>126325</v>
      </c>
      <c r="F113" s="86">
        <f t="shared" ref="F113" si="162">C113-C112</f>
        <v>-3490</v>
      </c>
      <c r="G113" s="86">
        <f>SUMIF(F$6:F113,"&gt;0")</f>
        <v>82390</v>
      </c>
      <c r="H113" s="86">
        <f t="shared" ref="H113" si="163">D113-D112</f>
        <v>-32430</v>
      </c>
      <c r="I113" s="86">
        <f t="shared" ref="I113" si="164">SUM(F113,H113)</f>
        <v>-35920</v>
      </c>
      <c r="J113" s="91">
        <f t="shared" ref="J113" si="165">I113/4200*80</f>
        <v>-684.19047619047615</v>
      </c>
      <c r="K113" s="86">
        <f t="shared" si="145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116"/>
        <v>127665</v>
      </c>
      <c r="F114" s="86">
        <f t="shared" ref="F114" si="166">C114-C113</f>
        <v>1190</v>
      </c>
      <c r="G114" s="86">
        <f>SUMIF(F$6:F114,"&gt;0")</f>
        <v>83580</v>
      </c>
      <c r="H114" s="86">
        <f t="shared" ref="H114" si="167">D114-D113</f>
        <v>150</v>
      </c>
      <c r="I114" s="86">
        <f t="shared" ref="I114" si="168">SUM(F114,H114)</f>
        <v>1340</v>
      </c>
      <c r="J114" s="91">
        <f t="shared" ref="J114" si="169">I114/4200*80</f>
        <v>25.523809523809522</v>
      </c>
      <c r="K114" s="86">
        <f t="shared" si="145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116"/>
        <v>128775</v>
      </c>
      <c r="F115" s="86">
        <f t="shared" ref="F115" si="170">C115-C114</f>
        <v>1060</v>
      </c>
      <c r="G115" s="86">
        <f>SUMIF(F$6:F115,"&gt;0")</f>
        <v>84640</v>
      </c>
      <c r="H115" s="86">
        <f t="shared" ref="H115" si="171">D115-D114</f>
        <v>50</v>
      </c>
      <c r="I115" s="86">
        <f t="shared" ref="I115" si="172">SUM(F115,H115)</f>
        <v>1110</v>
      </c>
      <c r="J115" s="91">
        <f t="shared" ref="J115" si="173">I115/4200*80</f>
        <v>21.142857142857142</v>
      </c>
      <c r="K115" s="86">
        <f t="shared" si="145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116"/>
        <v>130955</v>
      </c>
      <c r="F116" s="86">
        <f t="shared" ref="F116" si="174">C116-C115</f>
        <v>2025</v>
      </c>
      <c r="G116" s="86">
        <f>SUMIF(F$6:F116,"&gt;0")</f>
        <v>86665</v>
      </c>
      <c r="H116" s="86">
        <f t="shared" ref="H116" si="175">D116-D115</f>
        <v>155</v>
      </c>
      <c r="I116" s="86">
        <f t="shared" ref="I116" si="176">SUM(F116,H116)</f>
        <v>2180</v>
      </c>
      <c r="J116" s="91">
        <f t="shared" ref="J116" si="177">I116/4200*80</f>
        <v>41.523809523809526</v>
      </c>
      <c r="K116" s="86">
        <f t="shared" si="145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116"/>
        <v>132945</v>
      </c>
      <c r="F117" s="86">
        <f t="shared" ref="F117" si="178">C117-C116</f>
        <v>2000</v>
      </c>
      <c r="G117" s="86">
        <f>SUMIF(F$6:F117,"&gt;0")</f>
        <v>88665</v>
      </c>
      <c r="H117" s="86">
        <f t="shared" ref="H117" si="179">D117-D116</f>
        <v>-10</v>
      </c>
      <c r="I117" s="86">
        <f t="shared" ref="I117" si="180">SUM(F117,H117)</f>
        <v>1990</v>
      </c>
      <c r="J117" s="91">
        <f t="shared" ref="J117" si="181">I117/4200*80</f>
        <v>37.904761904761905</v>
      </c>
      <c r="K117" s="86">
        <f t="shared" si="145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116"/>
        <v>134260</v>
      </c>
      <c r="F118" s="86">
        <f t="shared" ref="F118" si="182">C118-C117</f>
        <v>1325</v>
      </c>
      <c r="G118" s="86">
        <f>SUMIF(F$6:F118,"&gt;0")</f>
        <v>89990</v>
      </c>
      <c r="H118" s="86">
        <f t="shared" ref="H118" si="183">D118-D117</f>
        <v>-10</v>
      </c>
      <c r="I118" s="86">
        <f t="shared" ref="I118" si="184">SUM(F118,H118)</f>
        <v>1315</v>
      </c>
      <c r="J118" s="91">
        <f t="shared" ref="J118" si="185">I118/4200*80</f>
        <v>25.047619047619047</v>
      </c>
      <c r="K118" s="86">
        <f t="shared" si="145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116"/>
        <v>134960</v>
      </c>
      <c r="F119" s="86">
        <f t="shared" ref="F119" si="186">C119-C118</f>
        <v>650</v>
      </c>
      <c r="G119" s="86">
        <f>SUMIF(F$6:F119,"&gt;0")</f>
        <v>90640</v>
      </c>
      <c r="H119" s="86">
        <f t="shared" ref="H119" si="187">D119-D118</f>
        <v>50</v>
      </c>
      <c r="I119" s="86">
        <f t="shared" ref="I119" si="188">SUM(F119,H119)</f>
        <v>700</v>
      </c>
      <c r="J119" s="91">
        <f t="shared" ref="J119" si="189">I119/4200*80</f>
        <v>13.333333333333332</v>
      </c>
      <c r="K119" s="86">
        <f t="shared" si="14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116"/>
        <v>135465</v>
      </c>
      <c r="F120" s="86">
        <f t="shared" ref="F120" si="190">C120-C119</f>
        <v>375</v>
      </c>
      <c r="G120" s="86">
        <f>SUMIF(F$6:F120,"&gt;0")</f>
        <v>91015</v>
      </c>
      <c r="H120" s="86">
        <f t="shared" ref="H120" si="191">D120-D119</f>
        <v>130</v>
      </c>
      <c r="I120" s="86">
        <f t="shared" ref="I120" si="192">SUM(F120,H120)</f>
        <v>505</v>
      </c>
      <c r="J120" s="91">
        <f t="shared" ref="J120" si="193">I120/4200*80</f>
        <v>9.6190476190476186</v>
      </c>
      <c r="K120" s="86">
        <f t="shared" si="145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116"/>
        <v>135340</v>
      </c>
      <c r="F121" s="86">
        <f t="shared" ref="F121" si="194">C121-C120</f>
        <v>25</v>
      </c>
      <c r="G121" s="86">
        <f>SUMIF(F$6:F121,"&gt;0")</f>
        <v>91040</v>
      </c>
      <c r="H121" s="86">
        <f t="shared" ref="H121" si="195">D121-D120</f>
        <v>-150</v>
      </c>
      <c r="I121" s="86">
        <f t="shared" ref="I121" si="196">SUM(F121,H121)</f>
        <v>-125</v>
      </c>
      <c r="J121" s="91">
        <f t="shared" ref="J121" si="197">I121/4200*80</f>
        <v>-2.3809523809523809</v>
      </c>
      <c r="K121" s="86">
        <f t="shared" si="145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116"/>
        <v>136415</v>
      </c>
      <c r="F122" s="86">
        <f t="shared" ref="F122" si="198">C122-C121</f>
        <v>650</v>
      </c>
      <c r="G122" s="86">
        <f>SUMIF(F$6:F122,"&gt;0")</f>
        <v>91690</v>
      </c>
      <c r="H122" s="86">
        <f t="shared" ref="H122" si="199">D122-D121</f>
        <v>425</v>
      </c>
      <c r="I122" s="86">
        <f t="shared" ref="I122" si="200">SUM(F122,H122)</f>
        <v>1075</v>
      </c>
      <c r="J122" s="91">
        <f t="shared" ref="J122" si="201">I122/4200*80</f>
        <v>20.476190476190474</v>
      </c>
      <c r="K122" s="86">
        <f t="shared" si="14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116"/>
        <v>137330</v>
      </c>
      <c r="F123" s="86">
        <f t="shared" ref="F123:F124" si="202">C123-C122</f>
        <v>1925</v>
      </c>
      <c r="G123" s="86">
        <f>SUMIF(F$6:F123,"&gt;0")</f>
        <v>93615</v>
      </c>
      <c r="H123" s="86">
        <f t="shared" ref="H123:H124" si="203">D123-D122</f>
        <v>-1010</v>
      </c>
      <c r="I123" s="86">
        <f t="shared" ref="I123:I124" si="204">SUM(F123,H123)</f>
        <v>915</v>
      </c>
      <c r="J123" s="91">
        <f t="shared" ref="J123:J124" si="205">I123/4200*80</f>
        <v>17.428571428571431</v>
      </c>
      <c r="K123" s="86">
        <f t="shared" si="145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06">SUM(C124:D124)</f>
        <v>121730</v>
      </c>
      <c r="F124" s="86">
        <f t="shared" si="202"/>
        <v>-12000</v>
      </c>
      <c r="G124" s="86">
        <f>SUMIF(F$6:F124,"&gt;0")</f>
        <v>93615</v>
      </c>
      <c r="H124" s="86">
        <f t="shared" si="203"/>
        <v>-3600</v>
      </c>
      <c r="I124" s="86">
        <f t="shared" si="204"/>
        <v>-15600</v>
      </c>
      <c r="J124" s="91">
        <f t="shared" si="205"/>
        <v>-297.14285714285717</v>
      </c>
      <c r="K124" s="86">
        <f t="shared" si="145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06"/>
        <v>123960</v>
      </c>
      <c r="F125" s="86">
        <f t="shared" ref="F125" si="207">C125-C124</f>
        <v>910</v>
      </c>
      <c r="G125" s="86">
        <f>SUMIF(F$6:F125,"&gt;0")</f>
        <v>94525</v>
      </c>
      <c r="H125" s="86">
        <f t="shared" ref="H125" si="208">D125-D124</f>
        <v>1320</v>
      </c>
      <c r="I125" s="86">
        <f t="shared" ref="I125" si="209">SUM(F125,H125)</f>
        <v>2230</v>
      </c>
      <c r="J125" s="91">
        <f t="shared" ref="J125" si="210">I125/4200*80</f>
        <v>42.476190476190474</v>
      </c>
      <c r="K125" s="86">
        <f t="shared" si="145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06"/>
        <v>124435</v>
      </c>
      <c r="F126" s="86">
        <f t="shared" ref="F126" si="211">C126-C125</f>
        <v>425</v>
      </c>
      <c r="G126" s="86">
        <f>SUMIF(F$6:F126,"&gt;0")</f>
        <v>94950</v>
      </c>
      <c r="H126" s="86">
        <f t="shared" ref="H126" si="212">D126-D125</f>
        <v>50</v>
      </c>
      <c r="I126" s="86">
        <f t="shared" ref="I126" si="213">SUM(F126,H126)</f>
        <v>475</v>
      </c>
      <c r="J126" s="91">
        <f t="shared" ref="J126" si="214">I126/4200*80</f>
        <v>9.0476190476190474</v>
      </c>
      <c r="K126" s="86">
        <f t="shared" si="145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06"/>
        <v>123990</v>
      </c>
      <c r="F127" s="86">
        <f t="shared" ref="F127" si="215">C127-C126</f>
        <v>525</v>
      </c>
      <c r="G127" s="86">
        <f>SUMIF(F$6:F127,"&gt;0")</f>
        <v>95475</v>
      </c>
      <c r="H127" s="86">
        <f t="shared" ref="H127" si="216">D127-D126</f>
        <v>-970</v>
      </c>
      <c r="I127" s="86">
        <f t="shared" ref="I127" si="217">SUM(F127,H127)</f>
        <v>-445</v>
      </c>
      <c r="J127" s="91">
        <f t="shared" ref="J127" si="218">I127/4200*80</f>
        <v>-8.4761904761904763</v>
      </c>
      <c r="K127" s="86">
        <f t="shared" si="14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06"/>
        <v>124040</v>
      </c>
      <c r="F128" s="86">
        <f t="shared" ref="F128" si="219">C128-C127</f>
        <v>0</v>
      </c>
      <c r="G128" s="86">
        <f>SUMIF(F$6:F128,"&gt;0")</f>
        <v>95475</v>
      </c>
      <c r="H128" s="86">
        <f t="shared" ref="H128" si="220">D128-D127</f>
        <v>50</v>
      </c>
      <c r="I128" s="86">
        <f t="shared" ref="I128" si="221">SUM(F128,H128)</f>
        <v>50</v>
      </c>
      <c r="J128" s="91">
        <f t="shared" ref="J128" si="222">I128/4200*80</f>
        <v>0.95238095238095233</v>
      </c>
      <c r="K128" s="86">
        <f t="shared" si="145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06"/>
        <v>125170</v>
      </c>
      <c r="F129" s="86">
        <f t="shared" ref="F129" si="223">C129-C128</f>
        <v>600</v>
      </c>
      <c r="G129" s="86">
        <f>SUMIF(F$6:F129,"&gt;0")</f>
        <v>96075</v>
      </c>
      <c r="H129" s="86">
        <f t="shared" ref="H129" si="224">D129-D128</f>
        <v>530</v>
      </c>
      <c r="I129" s="86">
        <f t="shared" ref="I129" si="225">SUM(F129,H129)</f>
        <v>1130</v>
      </c>
      <c r="J129" s="91">
        <f t="shared" ref="J129" si="226">I129/4200*80</f>
        <v>21.523809523809522</v>
      </c>
      <c r="K129" s="86">
        <f t="shared" si="145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06"/>
        <v>126245</v>
      </c>
      <c r="F130" s="86">
        <f t="shared" ref="F130" si="227">C130-C129</f>
        <v>400</v>
      </c>
      <c r="G130" s="86">
        <f>SUMIF(F$6:F130,"&gt;0")</f>
        <v>96475</v>
      </c>
      <c r="H130" s="86">
        <f t="shared" ref="H130" si="228">D130-D129</f>
        <v>675</v>
      </c>
      <c r="I130" s="86">
        <f t="shared" ref="I130" si="229">SUM(F130,H130)</f>
        <v>1075</v>
      </c>
      <c r="J130" s="91">
        <f t="shared" ref="J130" si="230">I130/4200*80</f>
        <v>20.476190476190474</v>
      </c>
      <c r="K130" s="86">
        <f t="shared" si="145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06"/>
        <v>126395</v>
      </c>
      <c r="F131" s="86">
        <f t="shared" ref="F131" si="231">C131-C130</f>
        <v>100</v>
      </c>
      <c r="G131" s="86">
        <f>SUMIF(F$6:F131,"&gt;0")</f>
        <v>96575</v>
      </c>
      <c r="H131" s="86">
        <f t="shared" ref="H131" si="232">D131-D130</f>
        <v>50</v>
      </c>
      <c r="I131" s="86">
        <f t="shared" ref="I131" si="233">SUM(F131,H131)</f>
        <v>150</v>
      </c>
      <c r="J131" s="91">
        <f t="shared" ref="J131" si="234">I131/4200*80</f>
        <v>2.8571428571428568</v>
      </c>
      <c r="K131" s="86">
        <f t="shared" si="14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06"/>
        <v>126620</v>
      </c>
      <c r="F132" s="86">
        <f t="shared" ref="F132" si="235">C132-C131</f>
        <v>175</v>
      </c>
      <c r="G132" s="86">
        <f>SUMIF(F$6:F132,"&gt;0")</f>
        <v>96750</v>
      </c>
      <c r="H132" s="86">
        <f t="shared" ref="H132" si="236">D132-D131</f>
        <v>50</v>
      </c>
      <c r="I132" s="86">
        <f t="shared" ref="I132" si="237">SUM(F132,H132)</f>
        <v>225</v>
      </c>
      <c r="J132" s="91">
        <f t="shared" ref="J132" si="238">I132/4200*80</f>
        <v>4.2857142857142856</v>
      </c>
      <c r="K132" s="86">
        <f t="shared" si="145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06"/>
        <v>128170</v>
      </c>
      <c r="F133" s="86">
        <f t="shared" ref="F133" si="239">C133-C132</f>
        <v>1370</v>
      </c>
      <c r="G133" s="86">
        <f>SUMIF(F$6:F133,"&gt;0")</f>
        <v>98120</v>
      </c>
      <c r="H133" s="86">
        <f t="shared" ref="H133" si="240">D133-D132</f>
        <v>180</v>
      </c>
      <c r="I133" s="86">
        <f t="shared" ref="I133" si="241">SUM(F133,H133)</f>
        <v>1550</v>
      </c>
      <c r="J133" s="91">
        <f t="shared" ref="J133" si="242">I133/4200*80</f>
        <v>29.523809523809526</v>
      </c>
      <c r="K133" s="86">
        <f t="shared" si="145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06"/>
        <v>118540</v>
      </c>
      <c r="F134" s="86">
        <f t="shared" ref="F134" si="243">C134-C133</f>
        <v>-4800</v>
      </c>
      <c r="G134" s="86">
        <f>SUMIF(F$6:F134,"&gt;0")</f>
        <v>98120</v>
      </c>
      <c r="H134" s="86">
        <f t="shared" ref="H134" si="244">D134-D133</f>
        <v>-4830</v>
      </c>
      <c r="I134" s="86">
        <f t="shared" ref="I134" si="245">SUM(F134,H134)</f>
        <v>-9630</v>
      </c>
      <c r="J134" s="91">
        <f t="shared" ref="J134" si="246">I134/4200*80</f>
        <v>-183.42857142857142</v>
      </c>
      <c r="K134" s="86">
        <f t="shared" si="145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8" si="247">SUM(C135:D135)</f>
        <v>118650</v>
      </c>
      <c r="F135" s="86">
        <f t="shared" ref="F135" si="248">C135-C134</f>
        <v>60</v>
      </c>
      <c r="G135" s="86">
        <f>SUMIF(F$6:F135,"&gt;0")</f>
        <v>98180</v>
      </c>
      <c r="H135" s="86">
        <f t="shared" ref="H135" si="249">D135-D134</f>
        <v>50</v>
      </c>
      <c r="I135" s="86">
        <f t="shared" ref="I135" si="250">SUM(F135,H135)</f>
        <v>110</v>
      </c>
      <c r="J135" s="91">
        <f t="shared" ref="J135" si="251">I135/4200*80</f>
        <v>2.0952380952380953</v>
      </c>
      <c r="K135" s="86">
        <f t="shared" si="145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47"/>
        <v>119040</v>
      </c>
      <c r="F136" s="86">
        <f t="shared" ref="F136" si="252">C136-C135</f>
        <v>290</v>
      </c>
      <c r="G136" s="86">
        <f>SUMIF(F$6:F136,"&gt;0")</f>
        <v>98470</v>
      </c>
      <c r="H136" s="86">
        <f t="shared" ref="H136" si="253">D136-D135</f>
        <v>100</v>
      </c>
      <c r="I136" s="86">
        <f t="shared" ref="I136" si="254">SUM(F136,H136)</f>
        <v>390</v>
      </c>
      <c r="J136" s="91">
        <f t="shared" ref="J136" si="255">I136/4200*80</f>
        <v>7.4285714285714288</v>
      </c>
      <c r="K136" s="86">
        <f t="shared" si="145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47"/>
        <v>128030</v>
      </c>
      <c r="F137" s="86">
        <f t="shared" ref="F137" si="256">C137-C136</f>
        <v>440</v>
      </c>
      <c r="G137" s="86">
        <f>SUMIF(F$6:F137,"&gt;0")</f>
        <v>98910</v>
      </c>
      <c r="H137" s="86">
        <f t="shared" ref="H137" si="257">D137-D136</f>
        <v>8550</v>
      </c>
      <c r="I137" s="86">
        <f t="shared" ref="I137" si="258">SUM(F137,H137)</f>
        <v>8990</v>
      </c>
      <c r="J137" s="91">
        <f t="shared" ref="J137" si="259">I137/4200*80</f>
        <v>171.23809523809524</v>
      </c>
      <c r="K137" s="86">
        <f t="shared" si="145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47"/>
        <v>131530</v>
      </c>
      <c r="F138" s="86">
        <f t="shared" ref="F138" si="260">C138-C137</f>
        <v>3450</v>
      </c>
      <c r="G138" s="86">
        <f>SUMIF(F$6:F138,"&gt;0")</f>
        <v>102360</v>
      </c>
      <c r="H138" s="86">
        <f t="shared" ref="H138" si="261">D138-D137</f>
        <v>50</v>
      </c>
      <c r="I138" s="86">
        <f t="shared" ref="I138" si="262">SUM(F138,H138)</f>
        <v>3500</v>
      </c>
      <c r="J138" s="91">
        <f t="shared" ref="J138" si="263">I138/4200*80</f>
        <v>66.666666666666671</v>
      </c>
      <c r="K138" s="86">
        <f t="shared" si="145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47"/>
        <v>131235</v>
      </c>
      <c r="F139" s="86">
        <f t="shared" ref="F139" si="264">C139-C138</f>
        <v>125</v>
      </c>
      <c r="G139" s="86">
        <f>SUMIF(F$6:F139,"&gt;0")</f>
        <v>102485</v>
      </c>
      <c r="H139" s="86">
        <f t="shared" ref="H139" si="265">D139-D138</f>
        <v>-420</v>
      </c>
      <c r="I139" s="86">
        <f t="shared" ref="I139" si="266">SUM(F139,H139)</f>
        <v>-295</v>
      </c>
      <c r="J139" s="91">
        <f t="shared" ref="J139" si="267">I139/4200*80</f>
        <v>-5.6190476190476186</v>
      </c>
      <c r="K139" s="86">
        <f t="shared" si="145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47"/>
        <v>131935</v>
      </c>
      <c r="F140" s="86">
        <f t="shared" ref="F140" si="268">C140-C139</f>
        <v>650</v>
      </c>
      <c r="G140" s="86">
        <f>SUMIF(F$6:F140,"&gt;0")</f>
        <v>103135</v>
      </c>
      <c r="H140" s="86">
        <f t="shared" ref="H140" si="269">D140-D139</f>
        <v>50</v>
      </c>
      <c r="I140" s="86">
        <f t="shared" ref="I140" si="270">SUM(F140,H140)</f>
        <v>700</v>
      </c>
      <c r="J140" s="91">
        <f t="shared" ref="J140" si="271">I140/4200*80</f>
        <v>13.333333333333332</v>
      </c>
      <c r="K140" s="86">
        <f t="shared" si="145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47"/>
        <v>142660</v>
      </c>
      <c r="F141" s="86">
        <f t="shared" ref="F141" si="272">C141-C140</f>
        <v>225</v>
      </c>
      <c r="G141" s="86">
        <f>SUMIF(F$6:F141,"&gt;0")</f>
        <v>103360</v>
      </c>
      <c r="H141" s="86">
        <f t="shared" ref="H141" si="273">D141-D140</f>
        <v>10500</v>
      </c>
      <c r="I141" s="86">
        <f t="shared" ref="I141" si="274">SUM(F141,H141)</f>
        <v>10725</v>
      </c>
      <c r="J141" s="91">
        <f t="shared" ref="J141" si="275">I141/4200*80</f>
        <v>204.28571428571428</v>
      </c>
      <c r="K141" s="86">
        <f t="shared" ref="K141" si="276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47"/>
        <v>143910</v>
      </c>
      <c r="F142" s="86">
        <f t="shared" ref="F142" si="277">C142-C141</f>
        <v>1150</v>
      </c>
      <c r="G142" s="86">
        <f>SUMIF(F$6:F142,"&gt;0")</f>
        <v>104510</v>
      </c>
      <c r="H142" s="86">
        <f t="shared" ref="H142" si="278">D142-D141</f>
        <v>100</v>
      </c>
      <c r="I142" s="86">
        <f t="shared" ref="I142" si="279">SUM(F142,H142)</f>
        <v>1250</v>
      </c>
      <c r="J142" s="91">
        <f t="shared" ref="J142" si="280">I142/4200*80</f>
        <v>23.80952380952381</v>
      </c>
      <c r="K142" s="86">
        <f t="shared" ref="K142" si="281">IFERROR(G142 - _xlfn.XLOOKUP(A142-31, $A$6:$A$14999,G$6:G$14999,"",-1,2),NA())</f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47"/>
        <v>144385</v>
      </c>
      <c r="F143" s="86">
        <f t="shared" ref="F143" si="282">C143-C142</f>
        <v>425</v>
      </c>
      <c r="G143" s="86">
        <f>SUMIF(F$6:F143,"&gt;0")</f>
        <v>104935</v>
      </c>
      <c r="H143" s="86">
        <f t="shared" ref="H143" si="283">D143-D142</f>
        <v>50</v>
      </c>
      <c r="I143" s="86">
        <f t="shared" ref="I143" si="284">SUM(F143,H143)</f>
        <v>475</v>
      </c>
      <c r="J143" s="91">
        <f t="shared" ref="J143" si="285">I143/4200*80</f>
        <v>9.0476190476190474</v>
      </c>
      <c r="K143" s="86">
        <f t="shared" ref="K143" si="286">IFERROR(G143 - _xlfn.XLOOKUP(A143-31, $A$6:$A$14999,G$6:G$14999,"",-1,2),NA())</f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47"/>
        <v>144565</v>
      </c>
      <c r="F144" s="86">
        <f t="shared" ref="F144" si="287">C144-C143</f>
        <v>100</v>
      </c>
      <c r="G144" s="86">
        <f>SUMIF(F$6:F144,"&gt;0")</f>
        <v>105035</v>
      </c>
      <c r="H144" s="86">
        <f t="shared" ref="H144" si="288">D144-D143</f>
        <v>80</v>
      </c>
      <c r="I144" s="86">
        <f t="shared" ref="I144" si="289">SUM(F144,H144)</f>
        <v>180</v>
      </c>
      <c r="J144" s="91">
        <f t="shared" ref="J144" si="290">I144/4200*80</f>
        <v>3.4285714285714288</v>
      </c>
      <c r="K144" s="86">
        <f t="shared" ref="K144" si="291">IFERROR(G144 - _xlfn.XLOOKUP(A144-31, $A$6:$A$14999,G$6:G$14999,"",-1,2),NA())</f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47"/>
        <v>147485</v>
      </c>
      <c r="F145" s="86">
        <f t="shared" ref="F145" si="292">C145-C144</f>
        <v>2775</v>
      </c>
      <c r="G145" s="86">
        <f>SUMIF(F$6:F145,"&gt;0")</f>
        <v>107810</v>
      </c>
      <c r="H145" s="86">
        <f t="shared" ref="H145" si="293">D145-D144</f>
        <v>145</v>
      </c>
      <c r="I145" s="86">
        <f t="shared" ref="I145" si="294">SUM(F145,H145)</f>
        <v>2920</v>
      </c>
      <c r="J145" s="91">
        <f t="shared" ref="J145" si="295">I145/4200*80</f>
        <v>55.61904761904762</v>
      </c>
      <c r="K145" s="86">
        <f t="shared" ref="K145" si="296">IFERROR(G145 - _xlfn.XLOOKUP(A145-31, $A$6:$A$14999,G$6:G$14999,"",-1,2),NA())</f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47"/>
        <v>103050</v>
      </c>
      <c r="F146" s="86">
        <f t="shared" ref="F146" si="297">C146-C145</f>
        <v>-8850</v>
      </c>
      <c r="G146" s="86">
        <f>SUMIF(F$6:F146,"&gt;0")</f>
        <v>107810</v>
      </c>
      <c r="H146" s="86">
        <f t="shared" ref="H146" si="298">D146-D145</f>
        <v>-35585</v>
      </c>
      <c r="I146" s="86">
        <f t="shared" ref="I146" si="299">SUM(F146,H146)</f>
        <v>-44435</v>
      </c>
      <c r="J146" s="91">
        <f t="shared" ref="J146" si="300">I146/4200*80</f>
        <v>-846.38095238095229</v>
      </c>
      <c r="K146" s="86">
        <f t="shared" ref="K146" si="301">IFERROR(G146 - _xlfn.XLOOKUP(A146-31, $A$6:$A$14999,G$6:G$14999,"",-1,2),NA())</f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47"/>
        <v>100635</v>
      </c>
      <c r="F147" s="86">
        <f t="shared" ref="F147" si="302">C147-C146</f>
        <v>325</v>
      </c>
      <c r="G147" s="86">
        <f>SUMIF(F$6:F147,"&gt;0")</f>
        <v>108135</v>
      </c>
      <c r="H147" s="86">
        <f t="shared" ref="H147" si="303">D147-D146</f>
        <v>-2740</v>
      </c>
      <c r="I147" s="86">
        <f t="shared" ref="I147" si="304">SUM(F147,H147)</f>
        <v>-2415</v>
      </c>
      <c r="J147" s="91">
        <f t="shared" ref="J147" si="305">I147/4200*80</f>
        <v>-46</v>
      </c>
      <c r="K147" s="86">
        <f t="shared" ref="K147" si="306">IFERROR(G147 - _xlfn.XLOOKUP(A147-31, $A$6:$A$14999,G$6:G$14999,"",-1,2),NA())</f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47"/>
        <v>101210</v>
      </c>
      <c r="F148" s="86">
        <f t="shared" ref="F148" si="307">C148-C147</f>
        <v>655</v>
      </c>
      <c r="G148" s="86">
        <f>SUMIF(F$6:F148,"&gt;0")</f>
        <v>108790</v>
      </c>
      <c r="H148" s="86">
        <f t="shared" ref="H148" si="308">D148-D147</f>
        <v>-80</v>
      </c>
      <c r="I148" s="86">
        <f t="shared" ref="I148" si="309">SUM(F148,H148)</f>
        <v>575</v>
      </c>
      <c r="J148" s="91">
        <f t="shared" ref="J148" si="310">I148/4200*80</f>
        <v>10.952380952380953</v>
      </c>
      <c r="K148" s="86">
        <f t="shared" ref="K148" si="311">IFERROR(G148 - _xlfn.XLOOKUP(A148-31, $A$6:$A$14999,G$6:G$14999,"",-1,2),NA())</f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47"/>
        <v>101360</v>
      </c>
      <c r="F149" s="86">
        <f t="shared" ref="F149" si="312">C149-C148</f>
        <v>100</v>
      </c>
      <c r="G149" s="86">
        <f>SUMIF(F$6:F149,"&gt;0")</f>
        <v>108890</v>
      </c>
      <c r="H149" s="86">
        <f t="shared" ref="H149" si="313">D149-D148</f>
        <v>50</v>
      </c>
      <c r="I149" s="86">
        <f t="shared" ref="I149" si="314">SUM(F149,H149)</f>
        <v>150</v>
      </c>
      <c r="J149" s="91">
        <f t="shared" ref="J149" si="315">I149/4200*80</f>
        <v>2.8571428571428568</v>
      </c>
      <c r="K149" s="86">
        <f t="shared" ref="K149" si="316">IFERROR(G149 - _xlfn.XLOOKUP(A149-31, $A$6:$A$14999,G$6:G$14999,"",-1,2),NA())</f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47"/>
        <v>101510</v>
      </c>
      <c r="F150" s="86">
        <f t="shared" ref="F150" si="317">C150-C149</f>
        <v>100</v>
      </c>
      <c r="G150" s="86">
        <f>SUMIF(F$6:F150,"&gt;0")</f>
        <v>108990</v>
      </c>
      <c r="H150" s="86">
        <f t="shared" ref="H150" si="318">D150-D149</f>
        <v>50</v>
      </c>
      <c r="I150" s="86">
        <f t="shared" ref="I150" si="319">SUM(F150,H150)</f>
        <v>150</v>
      </c>
      <c r="J150" s="91">
        <f t="shared" ref="J150" si="320">I150/4200*80</f>
        <v>2.8571428571428568</v>
      </c>
      <c r="K150" s="86">
        <f t="shared" ref="K150" si="321">IFERROR(G150 - _xlfn.XLOOKUP(A150-31, $A$6:$A$14999,G$6:G$14999,"",-1,2),NA())</f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47"/>
        <v>176065</v>
      </c>
      <c r="F151" s="86">
        <f t="shared" ref="F151" si="322">C151-C150</f>
        <v>400</v>
      </c>
      <c r="G151" s="86">
        <f>SUMIF(F$6:F151,"&gt;0")</f>
        <v>109390</v>
      </c>
      <c r="H151" s="86">
        <f t="shared" ref="H151" si="323">D151-D150</f>
        <v>74155</v>
      </c>
      <c r="I151" s="86">
        <f t="shared" ref="I151" si="324">SUM(F151,H151)</f>
        <v>74555</v>
      </c>
      <c r="J151" s="91">
        <f t="shared" ref="J151" si="325">I151/4200*80</f>
        <v>1420.0952380952381</v>
      </c>
      <c r="K151" s="86">
        <f t="shared" ref="K151" si="326">IFERROR(G151 - _xlfn.XLOOKUP(A151-31, $A$6:$A$14999,G$6:G$14999,"",-1,2),NA())</f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47"/>
        <v>176940</v>
      </c>
      <c r="F152" s="86">
        <f t="shared" ref="F152" si="327">C152-C151</f>
        <v>300</v>
      </c>
      <c r="G152" s="86">
        <f>SUMIF(F$6:F152,"&gt;0")</f>
        <v>109690</v>
      </c>
      <c r="H152" s="86">
        <f t="shared" ref="H152" si="328">D152-D151</f>
        <v>575</v>
      </c>
      <c r="I152" s="86">
        <f t="shared" ref="I152" si="329">SUM(F152,H152)</f>
        <v>875</v>
      </c>
      <c r="J152" s="91">
        <f t="shared" ref="J152" si="330">I152/4200*80</f>
        <v>16.666666666666668</v>
      </c>
      <c r="K152" s="86">
        <f t="shared" ref="K152" si="331">IFERROR(G152 - _xlfn.XLOOKUP(A152-31, $A$6:$A$14999,G$6:G$14999,"",-1,2),NA())</f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47"/>
        <v>177365</v>
      </c>
      <c r="F153" s="86">
        <f t="shared" ref="F153" si="332">C153-C152</f>
        <v>375</v>
      </c>
      <c r="G153" s="86">
        <f>SUMIF(F$6:F153,"&gt;0")</f>
        <v>110065</v>
      </c>
      <c r="H153" s="86">
        <f t="shared" ref="H153" si="333">D153-D152</f>
        <v>50</v>
      </c>
      <c r="I153" s="86">
        <f t="shared" ref="I153" si="334">SUM(F153,H153)</f>
        <v>425</v>
      </c>
      <c r="J153" s="91">
        <f t="shared" ref="J153" si="335">I153/4200*80</f>
        <v>8.0952380952380949</v>
      </c>
      <c r="K153" s="86">
        <f t="shared" ref="K153" si="336">IFERROR(G153 - _xlfn.XLOOKUP(A153-31, $A$6:$A$14999,G$6:G$14999,"",-1,2),NA())</f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47"/>
        <v>177465</v>
      </c>
      <c r="F154" s="86">
        <f t="shared" ref="F154" si="337">C154-C153</f>
        <v>50</v>
      </c>
      <c r="G154" s="86">
        <f>SUMIF(F$6:F154,"&gt;0")</f>
        <v>110115</v>
      </c>
      <c r="H154" s="86">
        <f t="shared" ref="H154" si="338">D154-D153</f>
        <v>50</v>
      </c>
      <c r="I154" s="86">
        <f t="shared" ref="I154" si="339">SUM(F154,H154)</f>
        <v>100</v>
      </c>
      <c r="J154" s="91">
        <f t="shared" ref="J154" si="340">I154/4200*80</f>
        <v>1.9047619047619047</v>
      </c>
      <c r="K154" s="86">
        <f t="shared" ref="K154" si="341">IFERROR(G154 - _xlfn.XLOOKUP(A154-31, $A$6:$A$14999,G$6:G$14999,"",-1,2),NA())</f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47"/>
        <v>177115</v>
      </c>
      <c r="F155" s="86">
        <f t="shared" ref="F155" si="342">C155-C154</f>
        <v>100</v>
      </c>
      <c r="G155" s="86">
        <f>SUMIF(F$6:F155,"&gt;0")</f>
        <v>110215</v>
      </c>
      <c r="H155" s="86">
        <f t="shared" ref="H155" si="343">D155-D154</f>
        <v>-450</v>
      </c>
      <c r="I155" s="86">
        <f t="shared" ref="I155" si="344">SUM(F155,H155)</f>
        <v>-350</v>
      </c>
      <c r="J155" s="91">
        <f t="shared" ref="J155" si="345">I155/4200*80</f>
        <v>-6.6666666666666661</v>
      </c>
      <c r="K155" s="86">
        <f t="shared" ref="K155" si="346">IFERROR(G155 - _xlfn.XLOOKUP(A155-31, $A$6:$A$14999,G$6:G$14999,"",-1,2),NA())</f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47"/>
        <v>178625</v>
      </c>
      <c r="F156" s="86">
        <f t="shared" ref="F156" si="347">C156-C155</f>
        <v>880</v>
      </c>
      <c r="G156" s="86">
        <f>SUMIF(F$6:F156,"&gt;0")</f>
        <v>111095</v>
      </c>
      <c r="H156" s="86">
        <f t="shared" ref="H156" si="348">D156-D155</f>
        <v>630</v>
      </c>
      <c r="I156" s="86">
        <f t="shared" ref="I156" si="349">SUM(F156,H156)</f>
        <v>1510</v>
      </c>
      <c r="J156" s="91">
        <f t="shared" ref="J156" si="350">I156/4200*80</f>
        <v>28.761904761904763</v>
      </c>
      <c r="K156" s="86">
        <f t="shared" ref="K156" si="351">IFERROR(G156 - _xlfn.XLOOKUP(A156-31, $A$6:$A$14999,G$6:G$14999,"",-1,2),NA())</f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47"/>
        <v>131795</v>
      </c>
      <c r="F157" s="86">
        <f t="shared" ref="F157" si="352">C157-C156</f>
        <v>-3600</v>
      </c>
      <c r="G157" s="86">
        <f>SUMIF(F$6:F157,"&gt;0")</f>
        <v>111095</v>
      </c>
      <c r="H157" s="86">
        <f t="shared" ref="H157" si="353">D157-D156</f>
        <v>-43230</v>
      </c>
      <c r="I157" s="86">
        <f t="shared" ref="I157" si="354">SUM(F157,H157)</f>
        <v>-46830</v>
      </c>
      <c r="J157" s="91">
        <f t="shared" ref="J157" si="355">I157/4200*80</f>
        <v>-892</v>
      </c>
      <c r="K157" s="86">
        <f t="shared" ref="K157" si="356">IFERROR(G157 - _xlfn.XLOOKUP(A157-31, $A$6:$A$14999,G$6:G$14999,"",-1,2),NA())</f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47"/>
        <v>131905</v>
      </c>
      <c r="F158" s="86">
        <f t="shared" ref="F158" si="357">C158-C157</f>
        <v>60</v>
      </c>
      <c r="G158" s="86">
        <f>SUMIF(F$6:F158,"&gt;0")</f>
        <v>111155</v>
      </c>
      <c r="H158" s="86">
        <f t="shared" ref="H158" si="358">D158-D157</f>
        <v>50</v>
      </c>
      <c r="I158" s="86">
        <f t="shared" ref="I158" si="359">SUM(F158,H158)</f>
        <v>110</v>
      </c>
      <c r="J158" s="91">
        <f t="shared" ref="J158" si="360">I158/4200*80</f>
        <v>2.0952380952380953</v>
      </c>
      <c r="K158" s="86">
        <f t="shared" ref="K158" si="361">IFERROR(G158 - _xlfn.XLOOKUP(A158-31, $A$6:$A$14999,G$6:G$14999,"",-1,2),NA())</f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47"/>
        <v>132585</v>
      </c>
      <c r="F159" s="86">
        <f t="shared" ref="F159" si="362">C159-C158</f>
        <v>580</v>
      </c>
      <c r="G159" s="86">
        <f>SUMIF(F$6:F159,"&gt;0")</f>
        <v>111735</v>
      </c>
      <c r="H159" s="86">
        <f t="shared" ref="H159" si="363">D159-D158</f>
        <v>100</v>
      </c>
      <c r="I159" s="86">
        <f t="shared" ref="I159" si="364">SUM(F159,H159)</f>
        <v>680</v>
      </c>
      <c r="J159" s="91">
        <f t="shared" ref="J159" si="365">I159/4200*80</f>
        <v>12.952380952380953</v>
      </c>
      <c r="K159" s="86">
        <f t="shared" ref="K159" si="366">IFERROR(G159 - _xlfn.XLOOKUP(A159-31, $A$6:$A$14999,G$6:G$14999,"",-1,2),NA())</f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47"/>
        <v>132995</v>
      </c>
      <c r="F160" s="86">
        <f t="shared" ref="F160" si="367">C160-C159</f>
        <v>360</v>
      </c>
      <c r="G160" s="86">
        <f>SUMIF(F$6:F160,"&gt;0")</f>
        <v>112095</v>
      </c>
      <c r="H160" s="86">
        <f t="shared" ref="H160" si="368">D160-D159</f>
        <v>50</v>
      </c>
      <c r="I160" s="86">
        <f t="shared" ref="I160" si="369">SUM(F160,H160)</f>
        <v>410</v>
      </c>
      <c r="J160" s="91">
        <f t="shared" ref="J160" si="370">I160/4200*80</f>
        <v>7.8095238095238093</v>
      </c>
      <c r="K160" s="86">
        <f t="shared" ref="K160" si="371">IFERROR(G160 - _xlfn.XLOOKUP(A160-31, $A$6:$A$14999,G$6:G$14999,"",-1,2),NA())</f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47"/>
        <v>133465</v>
      </c>
      <c r="F161" s="86">
        <f t="shared" ref="F161" si="372">C161-C160</f>
        <v>420</v>
      </c>
      <c r="G161" s="86">
        <f>SUMIF(F$6:F161,"&gt;0")</f>
        <v>112515</v>
      </c>
      <c r="H161" s="86">
        <f t="shared" ref="H161" si="373">D161-D160</f>
        <v>50</v>
      </c>
      <c r="I161" s="86">
        <f t="shared" ref="I161" si="374">SUM(F161,H161)</f>
        <v>470</v>
      </c>
      <c r="J161" s="91">
        <f t="shared" ref="J161" si="375">I161/4200*80</f>
        <v>8.9523809523809526</v>
      </c>
      <c r="K161" s="86">
        <f t="shared" ref="K161" si="376">IFERROR(G161 - _xlfn.XLOOKUP(A161-31, $A$6:$A$14999,G$6:G$14999,"",-1,2),NA())</f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47"/>
        <v>133105</v>
      </c>
      <c r="F162" s="86">
        <f t="shared" ref="F162" si="377">C162-C161</f>
        <v>60</v>
      </c>
      <c r="G162" s="86">
        <f>SUMIF(F$6:F162,"&gt;0")</f>
        <v>112575</v>
      </c>
      <c r="H162" s="86">
        <f t="shared" ref="H162" si="378">D162-D161</f>
        <v>-420</v>
      </c>
      <c r="I162" s="86">
        <f t="shared" ref="I162" si="379">SUM(F162,H162)</f>
        <v>-360</v>
      </c>
      <c r="J162" s="91">
        <f t="shared" ref="J162" si="380">I162/4200*80</f>
        <v>-6.8571428571428577</v>
      </c>
      <c r="K162" s="86">
        <f t="shared" ref="K162" si="381">IFERROR(G162 - _xlfn.XLOOKUP(A162-31, $A$6:$A$14999,G$6:G$14999,"",-1,2),NA())</f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47"/>
        <v>133215</v>
      </c>
      <c r="F163" s="86">
        <f t="shared" ref="F163" si="382">C163-C162</f>
        <v>60</v>
      </c>
      <c r="G163" s="86">
        <f>SUMIF(F$6:F163,"&gt;0")</f>
        <v>112635</v>
      </c>
      <c r="H163" s="86">
        <f t="shared" ref="H163" si="383">D163-D162</f>
        <v>50</v>
      </c>
      <c r="I163" s="86">
        <f t="shared" ref="I163" si="384">SUM(F163,H163)</f>
        <v>110</v>
      </c>
      <c r="J163" s="91">
        <f t="shared" ref="J163" si="385">I163/4200*80</f>
        <v>2.0952380952380953</v>
      </c>
      <c r="K163" s="86">
        <f t="shared" ref="K163" si="386">IFERROR(G163 - _xlfn.XLOOKUP(A163-31, $A$6:$A$14999,G$6:G$14999,"",-1,2),NA())</f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47"/>
        <v>133325</v>
      </c>
      <c r="F164" s="86">
        <f t="shared" ref="F164" si="387">C164-C163</f>
        <v>60</v>
      </c>
      <c r="G164" s="86">
        <f>SUMIF(F$6:F164,"&gt;0")</f>
        <v>112695</v>
      </c>
      <c r="H164" s="86">
        <f t="shared" ref="H164" si="388">D164-D163</f>
        <v>50</v>
      </c>
      <c r="I164" s="86">
        <f t="shared" ref="I164" si="389">SUM(F164,H164)</f>
        <v>110</v>
      </c>
      <c r="J164" s="91">
        <f t="shared" ref="J164" si="390">I164/4200*80</f>
        <v>2.0952380952380953</v>
      </c>
      <c r="K164" s="86">
        <f t="shared" ref="K164" si="391">IFERROR(G164 - _xlfn.XLOOKUP(A164-31, $A$6:$A$14999,G$6:G$14999,"",-1,2),NA())</f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47"/>
        <v>135475</v>
      </c>
      <c r="F165" s="86">
        <f t="shared" ref="F165" si="392">C165-C164</f>
        <v>1575</v>
      </c>
      <c r="G165" s="86">
        <f>SUMIF(F$6:F165,"&gt;0")</f>
        <v>114270</v>
      </c>
      <c r="H165" s="86">
        <f t="shared" ref="H165" si="393">D165-D164</f>
        <v>575</v>
      </c>
      <c r="I165" s="86">
        <f t="shared" ref="I165" si="394">SUM(F165,H165)</f>
        <v>2150</v>
      </c>
      <c r="J165" s="91">
        <f t="shared" ref="J165" si="395">I165/4200*80</f>
        <v>40.952380952380949</v>
      </c>
      <c r="K165" s="86">
        <f t="shared" ref="K165" si="396">IFERROR(G165 - _xlfn.XLOOKUP(A165-31, $A$6:$A$14999,G$6:G$14999,"",-1,2),NA())</f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47"/>
        <v>136075</v>
      </c>
      <c r="F166" s="86">
        <f t="shared" ref="F166" si="397">C166-C165</f>
        <v>550</v>
      </c>
      <c r="G166" s="86">
        <f>SUMIF(F$6:F166,"&gt;0")</f>
        <v>114820</v>
      </c>
      <c r="H166" s="86">
        <f t="shared" ref="H166" si="398">D166-D165</f>
        <v>50</v>
      </c>
      <c r="I166" s="86">
        <f t="shared" ref="I166" si="399">SUM(F166,H166)</f>
        <v>600</v>
      </c>
      <c r="J166" s="91">
        <f t="shared" ref="J166" si="400">I166/4200*80</f>
        <v>11.428571428571427</v>
      </c>
      <c r="K166" s="86">
        <f t="shared" ref="K166" si="401">IFERROR(G166 - _xlfn.XLOOKUP(A166-31, $A$6:$A$14999,G$6:G$14999,"",-1,2),NA())</f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47"/>
        <v>136375</v>
      </c>
      <c r="F167" s="86">
        <f t="shared" ref="F167" si="402">C167-C166</f>
        <v>250</v>
      </c>
      <c r="G167" s="86">
        <f>SUMIF(F$6:F167,"&gt;0")</f>
        <v>115070</v>
      </c>
      <c r="H167" s="86">
        <f t="shared" ref="H167" si="403">D167-D166</f>
        <v>50</v>
      </c>
      <c r="I167" s="86">
        <f t="shared" ref="I167" si="404">SUM(F167,H167)</f>
        <v>300</v>
      </c>
      <c r="J167" s="91">
        <f t="shared" ref="J167" si="405">I167/4200*80</f>
        <v>5.7142857142857135</v>
      </c>
      <c r="K167" s="86">
        <f t="shared" ref="K167" si="406">IFERROR(G167 - _xlfn.XLOOKUP(A167-31, $A$6:$A$14999,G$6:G$14999,"",-1,2),NA())</f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47"/>
        <v>136530</v>
      </c>
      <c r="F168" s="86">
        <f t="shared" ref="F168" si="407">C168-C167</f>
        <v>175</v>
      </c>
      <c r="G168" s="86">
        <f>SUMIF(F$6:F168,"&gt;0")</f>
        <v>115245</v>
      </c>
      <c r="H168" s="86">
        <f t="shared" ref="H168" si="408">D168-D167</f>
        <v>-20</v>
      </c>
      <c r="I168" s="86">
        <f t="shared" ref="I168" si="409">SUM(F168,H168)</f>
        <v>155</v>
      </c>
      <c r="J168" s="91">
        <f t="shared" ref="J168" si="410">I168/4200*80</f>
        <v>2.9523809523809526</v>
      </c>
      <c r="K168" s="86">
        <f t="shared" ref="K168" si="411">IFERROR(G168 - _xlfn.XLOOKUP(A168-31, $A$6:$A$14999,G$6:G$14999,"",-1,2),NA())</f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47"/>
        <v>144015</v>
      </c>
      <c r="F169" s="86">
        <f t="shared" ref="F169" si="412">C169-C168</f>
        <v>1365</v>
      </c>
      <c r="G169" s="86">
        <f>SUMIF(F$6:F169,"&gt;0")</f>
        <v>116610</v>
      </c>
      <c r="H169" s="86">
        <f t="shared" ref="H169" si="413">D169-D168</f>
        <v>6120</v>
      </c>
      <c r="I169" s="86">
        <f t="shared" ref="I169" si="414">SUM(F169,H169)</f>
        <v>7485</v>
      </c>
      <c r="J169" s="91">
        <f t="shared" ref="J169" si="415">I169/4200*80</f>
        <v>142.57142857142858</v>
      </c>
      <c r="K169" s="86">
        <f t="shared" ref="K169" si="416">IFERROR(G169 - _xlfn.XLOOKUP(A169-31, $A$6:$A$14999,G$6:G$14999,"",-1,2),NA())</f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47"/>
        <v>140100</v>
      </c>
      <c r="F170" s="86">
        <f t="shared" ref="F170" si="417">C170-C169</f>
        <v>385</v>
      </c>
      <c r="G170" s="86">
        <f>SUMIF(F$6:F170,"&gt;0")</f>
        <v>116995</v>
      </c>
      <c r="H170" s="86">
        <f t="shared" ref="H170" si="418">D170-D169</f>
        <v>-4300</v>
      </c>
      <c r="I170" s="86">
        <f t="shared" ref="I170" si="419">SUM(F170,H170)</f>
        <v>-3915</v>
      </c>
      <c r="J170" s="91">
        <f t="shared" ref="J170" si="420">I170/4200*80</f>
        <v>-74.571428571428569</v>
      </c>
      <c r="K170" s="86">
        <f t="shared" ref="K170" si="421">IFERROR(G170 - _xlfn.XLOOKUP(A170-31, $A$6:$A$14999,G$6:G$14999,"",-1,2),NA())</f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47"/>
        <v>137350</v>
      </c>
      <c r="F171" s="86">
        <f t="shared" ref="F171" si="422">C171-C170</f>
        <v>-2750</v>
      </c>
      <c r="G171" s="86">
        <f>SUMIF(F$6:F171,"&gt;0")</f>
        <v>116995</v>
      </c>
      <c r="H171" s="86">
        <f t="shared" ref="H171" si="423">D171-D170</f>
        <v>0</v>
      </c>
      <c r="I171" s="86">
        <f t="shared" ref="I171" si="424">SUM(F171,H171)</f>
        <v>-2750</v>
      </c>
      <c r="J171" s="91">
        <f t="shared" ref="J171" si="425">I171/4200*80</f>
        <v>-52.38095238095238</v>
      </c>
      <c r="K171" s="86">
        <f t="shared" ref="K171" si="426">IFERROR(G171 - _xlfn.XLOOKUP(A171-31, $A$6:$A$14999,G$6:G$14999,"",-1,2),NA())</f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47"/>
        <v>144950</v>
      </c>
      <c r="F172" s="86">
        <f t="shared" ref="F172" si="427">C172-C171</f>
        <v>650</v>
      </c>
      <c r="G172" s="86">
        <f>SUMIF(F$6:F172,"&gt;0")</f>
        <v>117645</v>
      </c>
      <c r="H172" s="86">
        <f t="shared" ref="H172" si="428">D172-D171</f>
        <v>6950</v>
      </c>
      <c r="I172" s="86">
        <f t="shared" ref="I172" si="429">SUM(F172,H172)</f>
        <v>7600</v>
      </c>
      <c r="J172" s="91">
        <f t="shared" ref="J172" si="430">I172/4200*80</f>
        <v>144.76190476190476</v>
      </c>
      <c r="K172" s="86">
        <f t="shared" ref="K172" si="431">IFERROR(G172 - _xlfn.XLOOKUP(A172-31, $A$6:$A$14999,G$6:G$14999,"",-1,2),NA())</f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47"/>
        <v>140270</v>
      </c>
      <c r="F173" s="86">
        <f t="shared" ref="F173" si="432">C173-C172</f>
        <v>-4310</v>
      </c>
      <c r="G173" s="86">
        <f>SUMIF(F$6:F173,"&gt;0")</f>
        <v>117645</v>
      </c>
      <c r="H173" s="86">
        <f t="shared" ref="H173" si="433">D173-D172</f>
        <v>-370</v>
      </c>
      <c r="I173" s="86">
        <f t="shared" ref="I173" si="434">SUM(F173,H173)</f>
        <v>-4680</v>
      </c>
      <c r="J173" s="91">
        <f t="shared" ref="J173" si="435">I173/4200*80</f>
        <v>-89.142857142857139</v>
      </c>
      <c r="K173" s="86">
        <f t="shared" ref="K173" si="436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47"/>
        <v>137410</v>
      </c>
      <c r="F174" s="86">
        <f t="shared" ref="F174" si="437">C174-C173</f>
        <v>-90</v>
      </c>
      <c r="G174" s="86">
        <f>SUMIF(F$6:F174,"&gt;0")</f>
        <v>117645</v>
      </c>
      <c r="H174" s="86">
        <f t="shared" ref="H174" si="438">D174-D173</f>
        <v>-2770</v>
      </c>
      <c r="I174" s="86">
        <f t="shared" ref="I174" si="439">SUM(F174,H174)</f>
        <v>-2860</v>
      </c>
      <c r="J174" s="91">
        <f t="shared" ref="J174" si="440">I174/4200*80</f>
        <v>-54.476190476190482</v>
      </c>
      <c r="K174" s="86">
        <f t="shared" ref="K174" si="441">IFERROR(G174 - _xlfn.XLOOKUP(A174-31, $A$6:$A$14999,G$6:G$14999,"",-1,2),NA())</f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47"/>
        <v>145640</v>
      </c>
      <c r="F175" s="86">
        <f t="shared" ref="F175" si="442">C175-C174</f>
        <v>200</v>
      </c>
      <c r="G175" s="86">
        <f>SUMIF(F$6:F175,"&gt;0")</f>
        <v>117845</v>
      </c>
      <c r="H175" s="86">
        <f t="shared" ref="H175" si="443">D175-D174</f>
        <v>8030</v>
      </c>
      <c r="I175" s="86">
        <f t="shared" ref="I175" si="444">SUM(F175,H175)</f>
        <v>8230</v>
      </c>
      <c r="J175" s="91">
        <f t="shared" ref="J175" si="445">I175/4200*80</f>
        <v>156.76190476190476</v>
      </c>
      <c r="K175" s="86">
        <f t="shared" ref="K175" si="446">IFERROR(G175 - _xlfn.XLOOKUP(A175-31, $A$6:$A$14999,G$6:G$14999,"",-1,2),NA())</f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47"/>
        <v>117930</v>
      </c>
      <c r="F176" s="86">
        <f t="shared" ref="F176:F178" si="447">C176-C175</f>
        <v>710</v>
      </c>
      <c r="G176" s="86">
        <f>SUMIF(F$6:F176,"&gt;0")</f>
        <v>118555</v>
      </c>
      <c r="H176" s="86">
        <f t="shared" ref="H176:H178" si="448">D176-D175</f>
        <v>-28420</v>
      </c>
      <c r="I176" s="86">
        <f t="shared" ref="I176:I178" si="449">SUM(F176,H176)</f>
        <v>-27710</v>
      </c>
      <c r="J176" s="91">
        <f t="shared" ref="J176:J178" si="450">I176/4200*80</f>
        <v>-527.80952380952374</v>
      </c>
      <c r="K176" s="86">
        <f t="shared" ref="K176:K178" si="451">IFERROR(G176 - _xlfn.XLOOKUP(A176-31, $A$6:$A$14999,G$6:G$14999,"",-1,2),NA())</f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47"/>
        <v>117840</v>
      </c>
      <c r="F177" s="86">
        <f t="shared" si="447"/>
        <v>-90</v>
      </c>
      <c r="G177" s="86">
        <f>SUMIF(F$6:F177,"&gt;0")</f>
        <v>118555</v>
      </c>
      <c r="H177" s="86">
        <f t="shared" si="448"/>
        <v>0</v>
      </c>
      <c r="I177" s="86">
        <f t="shared" si="449"/>
        <v>-90</v>
      </c>
      <c r="J177" s="91">
        <f t="shared" si="450"/>
        <v>-1.7142857142857144</v>
      </c>
      <c r="K177" s="86">
        <f t="shared" si="451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47"/>
        <v>118840</v>
      </c>
      <c r="F178" s="86">
        <f t="shared" si="447"/>
        <v>1000</v>
      </c>
      <c r="G178" s="86">
        <f>SUMIF(F$6:F178,"&gt;0")</f>
        <v>119555</v>
      </c>
      <c r="H178" s="86">
        <f t="shared" si="448"/>
        <v>0</v>
      </c>
      <c r="I178" s="86">
        <f t="shared" si="449"/>
        <v>1000</v>
      </c>
      <c r="J178" s="91">
        <f t="shared" si="450"/>
        <v>19.047619047619047</v>
      </c>
      <c r="K178" s="86">
        <f t="shared" si="451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47"/>
        <v>116380</v>
      </c>
      <c r="F179" s="86">
        <f t="shared" ref="F179" si="452">C179-C178</f>
        <v>-680</v>
      </c>
      <c r="G179" s="86">
        <f>SUMIF(F$6:F179,"&gt;0")</f>
        <v>119555</v>
      </c>
      <c r="H179" s="86">
        <f t="shared" ref="H179" si="453">D179-D178</f>
        <v>-1780</v>
      </c>
      <c r="I179" s="86">
        <f t="shared" ref="I179" si="454">SUM(F179,H179)</f>
        <v>-2460</v>
      </c>
      <c r="J179" s="91">
        <f t="shared" ref="J179" si="455">I179/4200*80</f>
        <v>-46.857142857142861</v>
      </c>
      <c r="K179" s="86">
        <f t="shared" ref="K179" si="456">IFERROR(G179 - _xlfn.XLOOKUP(A179-31, $A$6:$A$14999,G$6:G$14999,"",-1,2),NA())</f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47"/>
        <v>118940</v>
      </c>
      <c r="F180" s="86">
        <f t="shared" ref="F180" si="457">C180-C179</f>
        <v>2540</v>
      </c>
      <c r="G180" s="86">
        <f>SUMIF(F$6:F180,"&gt;0")</f>
        <v>122095</v>
      </c>
      <c r="H180" s="86">
        <f t="shared" ref="H180" si="458">D180-D179</f>
        <v>20</v>
      </c>
      <c r="I180" s="86">
        <f t="shared" ref="I180" si="459">SUM(F180,H180)</f>
        <v>2560</v>
      </c>
      <c r="J180" s="91">
        <f t="shared" ref="J180" si="460">I180/4200*80</f>
        <v>48.761904761904766</v>
      </c>
      <c r="K180" s="86">
        <f t="shared" ref="K180" si="461">IFERROR(G180 - _xlfn.XLOOKUP(A180-31, $A$6:$A$14999,G$6:G$14999,"",-1,2),NA())</f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47"/>
        <v>119085</v>
      </c>
      <c r="F181" s="86">
        <f t="shared" ref="F181" si="462">C181-C180</f>
        <v>125</v>
      </c>
      <c r="G181" s="86">
        <f>SUMIF(F$6:F181,"&gt;0")</f>
        <v>122220</v>
      </c>
      <c r="H181" s="86">
        <f t="shared" ref="H181" si="463">D181-D180</f>
        <v>20</v>
      </c>
      <c r="I181" s="86">
        <f t="shared" ref="I181" si="464">SUM(F181,H181)</f>
        <v>145</v>
      </c>
      <c r="J181" s="91">
        <f t="shared" ref="J181" si="465">I181/4200*80</f>
        <v>2.7619047619047619</v>
      </c>
      <c r="K181" s="86">
        <f t="shared" ref="K181" si="466">IFERROR(G181 - _xlfn.XLOOKUP(A181-31, $A$6:$A$14999,G$6:G$14999,"",-1,2),NA())</f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47"/>
        <v>119205</v>
      </c>
      <c r="F182" s="86">
        <f t="shared" ref="F182" si="467">C182-C181</f>
        <v>100</v>
      </c>
      <c r="G182" s="86">
        <f>SUMIF(F$6:F182,"&gt;0")</f>
        <v>122320</v>
      </c>
      <c r="H182" s="86">
        <f t="shared" ref="H182" si="468">D182-D181</f>
        <v>20</v>
      </c>
      <c r="I182" s="86">
        <f t="shared" ref="I182" si="469">SUM(F182,H182)</f>
        <v>120</v>
      </c>
      <c r="J182" s="91">
        <f t="shared" ref="J182" si="470">I182/4200*80</f>
        <v>2.2857142857142856</v>
      </c>
      <c r="K182" s="86">
        <f t="shared" ref="K182" si="471">IFERROR(G182 - _xlfn.XLOOKUP(A182-31, $A$6:$A$14999,G$6:G$14999,"",-1,2),NA())</f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47"/>
        <v>120205</v>
      </c>
      <c r="F183" s="86">
        <f t="shared" ref="F183" si="472">C183-C182</f>
        <v>1000</v>
      </c>
      <c r="G183" s="86">
        <f>SUMIF(F$6:F183,"&gt;0")</f>
        <v>123320</v>
      </c>
      <c r="H183" s="86">
        <f t="shared" ref="H183" si="473">D183-D182</f>
        <v>0</v>
      </c>
      <c r="I183" s="86">
        <f t="shared" ref="I183" si="474">SUM(F183,H183)</f>
        <v>1000</v>
      </c>
      <c r="J183" s="91">
        <f t="shared" ref="J183" si="475">I183/4200*80</f>
        <v>19.047619047619047</v>
      </c>
      <c r="K183" s="86">
        <f t="shared" ref="K183" si="476">IFERROR(G183 - _xlfn.XLOOKUP(A183-31, $A$6:$A$14999,G$6:G$14999,"",-1,2),NA())</f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47"/>
        <v>93775</v>
      </c>
      <c r="F184" s="86">
        <f t="shared" ref="F184" si="477">C184-C183</f>
        <v>-1200</v>
      </c>
      <c r="G184" s="86">
        <f>SUMIF(F$6:F184,"&gt;0")</f>
        <v>123320</v>
      </c>
      <c r="H184" s="86">
        <f t="shared" ref="H184" si="478">D184-D183</f>
        <v>-25230</v>
      </c>
      <c r="I184" s="86">
        <f t="shared" ref="I184" si="479">SUM(F184,H184)</f>
        <v>-26430</v>
      </c>
      <c r="J184" s="91">
        <f t="shared" ref="J184" si="480">I184/4200*80</f>
        <v>-503.42857142857144</v>
      </c>
      <c r="K184" s="86">
        <f t="shared" ref="K184" si="481">IFERROR(G184 - _xlfn.XLOOKUP(A184-31, $A$6:$A$14999,G$6:G$14999,"",-1,2),NA())</f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47"/>
        <v>96835</v>
      </c>
      <c r="F185" s="86">
        <f t="shared" ref="F185:F186" si="482">C185-C184</f>
        <v>2460</v>
      </c>
      <c r="G185" s="86">
        <f>SUMIF(F$6:F185,"&gt;0")</f>
        <v>125780</v>
      </c>
      <c r="H185" s="86">
        <f t="shared" ref="H185:H186" si="483">D185-D184</f>
        <v>600</v>
      </c>
      <c r="I185" s="86">
        <f t="shared" ref="I185:I186" si="484">SUM(F185,H185)</f>
        <v>3060</v>
      </c>
      <c r="J185" s="91">
        <f t="shared" ref="J185:J186" si="485">I185/4200*80</f>
        <v>58.285714285714285</v>
      </c>
      <c r="K185" s="86">
        <f t="shared" ref="K185:K186" si="486">IFERROR(G185 - _xlfn.XLOOKUP(A185-31, $A$6:$A$14999,G$6:G$14999,"",-1,2),NA())</f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47"/>
        <v>93535</v>
      </c>
      <c r="F186" s="86">
        <f t="shared" si="482"/>
        <v>-3300</v>
      </c>
      <c r="G186" s="86">
        <f>SUMIF(F$6:F186,"&gt;0")</f>
        <v>125780</v>
      </c>
      <c r="H186" s="86">
        <f t="shared" si="483"/>
        <v>0</v>
      </c>
      <c r="I186" s="86">
        <f t="shared" si="484"/>
        <v>-3300</v>
      </c>
      <c r="J186" s="91">
        <f t="shared" si="485"/>
        <v>-62.857142857142854</v>
      </c>
      <c r="K186" s="86">
        <f t="shared" si="486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47"/>
        <v>94130</v>
      </c>
      <c r="F187" s="86">
        <f t="shared" ref="F187" si="487">C187-C186</f>
        <v>575</v>
      </c>
      <c r="G187" s="86">
        <f>SUMIF(F$6:F187,"&gt;0")</f>
        <v>126355</v>
      </c>
      <c r="H187" s="86">
        <f t="shared" ref="H187" si="488">D187-D186</f>
        <v>20</v>
      </c>
      <c r="I187" s="86">
        <f t="shared" ref="I187" si="489">SUM(F187,H187)</f>
        <v>595</v>
      </c>
      <c r="J187" s="91">
        <f t="shared" ref="J187" si="490">I187/4200*80</f>
        <v>11.333333333333332</v>
      </c>
      <c r="K187" s="86">
        <f t="shared" ref="K187" si="491">IFERROR(G187 - _xlfn.XLOOKUP(A187-31, $A$6:$A$14999,G$6:G$14999,"",-1,2),NA())</f>
        <v>17365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47"/>
        <v>89475</v>
      </c>
      <c r="F188" s="86">
        <f t="shared" ref="F188" si="492">C188-C187</f>
        <v>-3425</v>
      </c>
      <c r="G188" s="86">
        <f>SUMIF(F$6:F188,"&gt;0")</f>
        <v>126355</v>
      </c>
      <c r="H188" s="86">
        <f t="shared" ref="H188" si="493">D188-D187</f>
        <v>-1230</v>
      </c>
      <c r="I188" s="86">
        <f t="shared" ref="I188" si="494">SUM(F188,H188)</f>
        <v>-4655</v>
      </c>
      <c r="J188" s="91">
        <f t="shared" ref="J188" si="495">I188/4200*80</f>
        <v>-88.666666666666671</v>
      </c>
      <c r="K188" s="86">
        <f t="shared" ref="K188" si="496">IFERROR(G188 - _xlfn.XLOOKUP(A188-31, $A$6:$A$14999,G$6:G$14999,"",-1,2),NA())</f>
        <v>16965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2"/>
  <sheetViews>
    <sheetView workbookViewId="0">
      <selection activeCell="F22" sqref="F22:J22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" si="4">C5-C4</f>
        <v>1</v>
      </c>
      <c r="G5" s="86">
        <f t="shared" ref="G5" si="5">D5-D4</f>
        <v>0</v>
      </c>
      <c r="H5" s="86">
        <f t="shared" ref="H5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ref="F6" si="7">C6-C5</f>
        <v>12</v>
      </c>
      <c r="G6" s="86">
        <f t="shared" ref="G6" si="8">D6-D5</f>
        <v>1</v>
      </c>
      <c r="H6" s="86">
        <f t="shared" ref="H6" si="9">E6-E5</f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ref="F7" si="10">C7-C6</f>
        <v>6</v>
      </c>
      <c r="G7" s="86">
        <f t="shared" ref="G7" si="11">D7-D6</f>
        <v>0</v>
      </c>
      <c r="H7" s="86">
        <f t="shared" ref="H7" si="12">E7-E6</f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ref="F8" si="13">C8-C7</f>
        <v>3</v>
      </c>
      <c r="G8" s="86">
        <f t="shared" ref="G8" si="14">D8-D7</f>
        <v>0</v>
      </c>
      <c r="H8" s="86">
        <f t="shared" ref="H8" si="15">E8-E7</f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ref="F9" si="16">C9-C8</f>
        <v>3</v>
      </c>
      <c r="G9" s="86">
        <f t="shared" ref="G9" si="17">D9-D8</f>
        <v>0</v>
      </c>
      <c r="H9" s="86">
        <f t="shared" ref="H9" si="18">E9-E8</f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ref="F10" si="19">C10-C9</f>
        <v>4</v>
      </c>
      <c r="G10" s="86">
        <f t="shared" ref="G10" si="20">D10-D9</f>
        <v>1</v>
      </c>
      <c r="H10" s="86">
        <f t="shared" ref="H10" si="21">E10-E9</f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ref="F11" si="22">C11-C10</f>
        <v>5</v>
      </c>
      <c r="G11" s="86">
        <f t="shared" ref="G11" si="23">D11-D10</f>
        <v>1</v>
      </c>
      <c r="H11" s="86">
        <f t="shared" ref="H11" si="24">E11-E10</f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ref="F12" si="25">C12-C11</f>
        <v>1</v>
      </c>
      <c r="G12" s="86">
        <f t="shared" ref="G12" si="26">D12-D11</f>
        <v>0</v>
      </c>
      <c r="H12" s="86">
        <f t="shared" ref="H12" si="27">E12-E11</f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ref="F13" si="28">C13-C12</f>
        <v>4</v>
      </c>
      <c r="G13" s="86">
        <f t="shared" ref="G13" si="29">D13-D12</f>
        <v>0</v>
      </c>
      <c r="H13" s="86">
        <f t="shared" ref="H13" si="30">E13-E12</f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ref="F14" si="31">C14-C13</f>
        <v>1</v>
      </c>
      <c r="G14" s="86">
        <f t="shared" ref="G14" si="32">D14-D13</f>
        <v>0</v>
      </c>
      <c r="H14" s="86">
        <f t="shared" ref="H14" si="33">E14-E13</f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ref="F15:F16" si="34">C15-C14</f>
        <v>-49</v>
      </c>
      <c r="G15" s="86">
        <f t="shared" ref="G15:G16" si="35">D15-D14</f>
        <v>-3</v>
      </c>
      <c r="H15" s="86">
        <f t="shared" ref="H15:H16" si="36">E15-E14</f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2" si="37">C16+D16*10</f>
        <v>19</v>
      </c>
      <c r="F16" s="86">
        <f t="shared" si="34"/>
        <v>9</v>
      </c>
      <c r="G16" s="86">
        <f t="shared" si="35"/>
        <v>1</v>
      </c>
      <c r="H16" s="86">
        <f t="shared" si="36"/>
        <v>19</v>
      </c>
      <c r="I16" s="84">
        <f t="shared" ref="I16:I22" si="3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37"/>
        <v>39</v>
      </c>
      <c r="F17" s="86">
        <f t="shared" ref="F17" si="39">C17-C16</f>
        <v>20</v>
      </c>
      <c r="G17" s="86">
        <f t="shared" ref="G17" si="40">D17-D16</f>
        <v>0</v>
      </c>
      <c r="H17" s="86">
        <f t="shared" ref="H17" si="41">E17-E16</f>
        <v>20</v>
      </c>
      <c r="I17" s="84">
        <f t="shared" si="3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37"/>
        <v>44</v>
      </c>
      <c r="F18" s="86">
        <f t="shared" ref="F18" si="42">C18-C17</f>
        <v>5</v>
      </c>
      <c r="G18" s="86">
        <f t="shared" ref="G18" si="43">D18-D17</f>
        <v>0</v>
      </c>
      <c r="H18" s="86">
        <f t="shared" ref="H18" si="44">E18-E17</f>
        <v>5</v>
      </c>
      <c r="I18" s="84">
        <f t="shared" si="3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37"/>
        <v>47</v>
      </c>
      <c r="F19" s="86">
        <f t="shared" ref="F19" si="45">C19-C18</f>
        <v>3</v>
      </c>
      <c r="G19" s="86">
        <f t="shared" ref="G19" si="46">D19-D18</f>
        <v>0</v>
      </c>
      <c r="H19" s="86">
        <f t="shared" ref="H19" si="47">E19-E18</f>
        <v>3</v>
      </c>
      <c r="I19" s="84">
        <f t="shared" si="3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37"/>
        <v>1</v>
      </c>
      <c r="F20" s="86">
        <f t="shared" ref="F20" si="48">C20-C19</f>
        <v>-36</v>
      </c>
      <c r="G20" s="86">
        <f t="shared" ref="G20" si="49">D20-D19</f>
        <v>-1</v>
      </c>
      <c r="H20" s="86">
        <f t="shared" ref="H20" si="50">E20-E19</f>
        <v>-46</v>
      </c>
      <c r="I20" s="84">
        <f t="shared" si="3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37"/>
        <v>2</v>
      </c>
      <c r="F21" s="86">
        <f t="shared" ref="F21" si="51">C21-C20</f>
        <v>1</v>
      </c>
      <c r="G21" s="86">
        <f t="shared" ref="G21" si="52">D21-D20</f>
        <v>0</v>
      </c>
      <c r="H21" s="86">
        <f t="shared" ref="H21" si="53">E21-E20</f>
        <v>1</v>
      </c>
      <c r="I21" s="84">
        <f t="shared" si="38"/>
        <v>240</v>
      </c>
      <c r="J21" s="86">
        <f t="shared" ref="J21" si="54"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37"/>
        <v>3</v>
      </c>
      <c r="F22" s="86">
        <f t="shared" ref="F22" si="55">C22-C21</f>
        <v>1</v>
      </c>
      <c r="G22" s="86">
        <f t="shared" ref="G22" si="56">D22-D21</f>
        <v>0</v>
      </c>
      <c r="H22" s="86">
        <f t="shared" ref="H22" si="57">E22-E21</f>
        <v>1</v>
      </c>
      <c r="I22" s="84">
        <f t="shared" si="38"/>
        <v>360</v>
      </c>
      <c r="J22" s="86">
        <f t="shared" ref="J22" si="58">I22-I21</f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28.392668306140141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-362 D 20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-365 D 11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-374 D 06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-379 D 18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-366 D 07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-160 D 16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-258 D 16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-311 D 10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-327 D 16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-347 D 05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-359 D 06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-383 D 20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-362 D 22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-368 D 14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-372 D 23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-379 D 19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-381 D 16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-376 D 11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-350 D 17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-339 D 16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-355 D 22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-354 D 23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-365 D 20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-357 D 13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-361 D 12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-361 D 22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-357 D 07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-358 D 15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-370 D 06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-357 D 21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-359 D 04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-369 D 14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-360 D 02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-359 D 08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-369 D 03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-360 D 05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-359 D 15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-349 D 15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-360 D 11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-360 D 05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-348 D 10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-361 D 06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-357 D 13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-355 D 08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-361 D 14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-360 D 02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-362 D 12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-361 D 22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-360 D 22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-369 D 02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-362 D 04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-361 D 07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-374 D 01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-362 D 16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-362 D 07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-364 D 22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-361 D 14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-359 D 10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-365 D 14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-360 D 12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-360 D 03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-351 D 09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-360 D 06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-361 D 09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-350 D 10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-359 D 13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-358 D 16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-347 D 12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-358 D 12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-358 D 21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-335 D 23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-358 D 10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-359 D 03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-339 D 09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-358 D 01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-359 D 08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-345 D 06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-358 D 05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-359 D 21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-351 D 11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-358 D 08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-360 D 10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-343 D 20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-359 D 17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-358 D 13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-360 D 08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-359 D 18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-359 D 11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-360 D 09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-359 D 20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-359 D 20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-345 D 01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-359 D 05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-358 D 12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-353 D 12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-359 D 18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-359 D 17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-371 D 00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-360 D 22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-361 D 20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-370 D 09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-361 D 03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-360 D 22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-374 D 11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-361 D 22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-361 D 19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-379 D 13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-362 D 14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-363 D 07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-382 D 04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-363 D 23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-364 D 05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-383 D 11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-364 D 23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-364 D 09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-390 D 17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-366 D 10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-364 D 22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-390 D 20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-367 D 11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-365 D 10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-391 D 02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-368 D 11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-365 D 17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-391 D 21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-369 D 06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-366 D 06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-392 D 06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-370 D 07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-366 D 13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-390 D 21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-370 D 20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-366 D 14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-390 D 23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-371 D 19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-366 D 22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-391 D 05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-372 D 07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-367 D 03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-386 D 04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-372 D 09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-366 D 10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-383 D 18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-372 D 16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-366 D 16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-383 D 02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-373 D 00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-367 D 00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-377 D 13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-373 D 21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-367 D 13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-380 D 08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-374 D 08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-368 D 02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-382 D 10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-374 D 23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-368 D 17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-385 D 09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-375 D 20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-369 D 04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-391 D 13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-377 D 11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-369 D 17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-395 D 01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-379 D 03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-371 D 00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-394 D 16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-380 D 06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-371 D 10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-393 D 08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-380 D 18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-371 D 16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-393 D 05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-381 D 05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-371 D 22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-393 D 02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-382 D 05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-372 D 01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-393 D 03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-382 D 14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-372 D 05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-389 D 20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-382 D 19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-372 D 07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-383 D 10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-384 D 19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-372 D 18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-383 D 05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-385 D 13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-372 D 22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-382 D 19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-385 D 16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-372 D 23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-383 D 05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-386 D 10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-373 D 04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-381 D 00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-387 D 21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-373 D 04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-381 D 02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-387 D 21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-373 D 19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-382 D 15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-387 D 17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-374 D 02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-383 D 17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-388 D 03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-374 D 10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-388 D 10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-388 D 04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-375 D 02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-388 D 15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-388 D 03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-375 D 05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-378 D 23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-387 D 15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-374 D 08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-376 D 22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-387 D 09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-374 D 12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-375 D 07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-387 D 07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-375 D 04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-387 D 06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-387 D 06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-376 D 06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-389 D 16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-387 D 05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-376 D 10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-393 D 01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-387 D 03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-377 D 00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-392 D 11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-387 D 03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-377 D 04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-392 D 06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-387 D 05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-377 D 06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-392 D 10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-387 D 08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-377 D 13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-392 D 13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-387 D 10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-377 D 15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-379 D 03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-386 D 11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-376 D 11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-355 D 20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-385 D 18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-376 D 14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-359 D 09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-385 D 13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-376 D 21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-364 D 06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-385 D 11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-377 D 00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-373 D 08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-385 D 05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-377 D 04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-387 D 10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-385 D 02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-377 D 10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-387 D 23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-385 D 02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-377 D 13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-388 D 07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-385 D 01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-377 D 15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-389 D 17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-385 D 04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-377 D 23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-390 D 06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-385 D 08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-378 D 03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-386 D 08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-385 D 00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-377 D 15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-379 D 20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-384 D 22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-377 D 16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-376 D 15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-384 D 19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-377 D 15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-376 D 16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-384 D 17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-377 D 17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-340 D 02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-383 D 11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-376 D 09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-361 D 14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-383 D 06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-377 D 06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-393 D 16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-383 D 06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-378 D 21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-325 D 14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-378 D 12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-376 D 21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-334 D 07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-376 D 15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-376 D 09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-339 D 19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-375 D 22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-376 D 11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-372 D 13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-375 D 12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-376 D 11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-382 D 08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-374 D 22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-377 D 00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-377 D 19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-373 D 20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-376 D 15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-375 D 23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-374 D 14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-377 D 01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-378 D 11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-375 D 06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-377 D 03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-381 D 02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-375 D 16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-376 D 23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-380 D 15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-376 D 18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-377 D 09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-381 D 02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-376 D 05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-377 D 05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-381 D 21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-376 D 21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-377 D 12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-378 D 01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-377 D 04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-377 D 08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-380 D 18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-377 D 16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-377 D 14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-381 D 21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-380 D 16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-378 D 03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-381 D 12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-380 D 17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-378 D 03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-380 D 14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-380 D 15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-378 D 01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-379 D 05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-380 D 08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-378 D 05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-378 D 09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-379 D 16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-378 D 01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-378 D 13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-379 D 15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-378 D 04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-379 D 06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-379 D 13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-378 D 07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-380 D 00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-379 D 14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-378 D 08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-373 D 12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-379 D 01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-377 D 22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-373 D 08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-378 D 14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-378 D 00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-373 D 11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-378 D 09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-377 D 22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-374 D 23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-378 D 08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-378 D 00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-378 D 15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-378 D 08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-378 D 01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-379 D 04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-378 D 09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-378 D 03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-379 D 21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-378 D 10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-378 D 04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-377 D 11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-378 D 03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-377 D 21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-382 D 12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-378 D 04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-378 D 07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-381 D 22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-378 D 06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-378 D 05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-379 D 23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-378 D 03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-378 D 02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-379 D 17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-378 D 05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-378 D 04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-378 D 08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-378 D 12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-378 D 09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-381 D 13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-378 D 19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-378 D 13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-382 D 06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-378 D 23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-378 D 14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-381 D 05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-378 D 21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-378 D 10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-381 D 21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-378 D 23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-378 D 11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-380 D 14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-379 D 02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-378 D 13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-379 D 16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-379 D 05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-378 D 15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-380 D 06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-379 D 12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-378 D 18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-382 D 00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-379 D 16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-378 D 18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-379 D 00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-379 D 16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-378 D 16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-379 D 03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-379 D 18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-378 D 18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-379 D 21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-380 D 01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-378 D 23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-380 D 05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-380 D 04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-378 D 22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-381 D 09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-380 D 06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-378 D 23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-380 D 18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-380 D 11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-379 D 00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-380 D 01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-380 D 13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-379 D 01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-378 D 16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-380 D 14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-379 D 00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-379 D 02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-380 D 14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-379 D 02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-379 D 08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-380 D 16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-379 D 03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-379 D 08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-380 D 15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-379 D 02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-379 D 16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-380 D 16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-379 D 05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-379 D 21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-380 D 16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-379 D 05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-379 D 22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-380 D 15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-379 D 04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-378 D 18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-380 D 11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-379 D 02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-379 D 23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-380 D 14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-379 D 08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-381 D 13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-380 D 17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-379 D 11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-381 D 06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-380 D 15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-379 D 10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-381 D 08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-380 D 16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-379 D 11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-382 D 09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-380 D 18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-379 D 14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-382 D 13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-380 D 19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-379 D 16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-382 D 15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-380 D 23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-379 D 20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-383 D 02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-381 D 01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-379 D 21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-380 D 01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-380 D 17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-379 D 12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-376 D 20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-380 D 17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-379 D 14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-376 D 16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-380 D 18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-379 D 16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-377 D 10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-380 D 18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-379 D 16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-378 D 02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-380 D 19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-379 D 17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-377 D 06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-380 D 12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-379 D 11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-378 D 16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-380 D 12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-379 D 12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-376 D 01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-380 D 07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-379 D 10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-376 D 20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-380 D 07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-379 D 11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-377 D 14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-380 D 07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-379 D 12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-378 D 05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-380 D 07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-379 D 13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-378 D 16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-380 D 07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-379 D 14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-379 D 10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-380 D 08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-379 D 16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-381 D 05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-380 D 09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-379 D 17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-379 D 23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-380 D 02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-379 D 10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-379 D 16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-380 D 02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-379 D 11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-380 D 12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-380 D 08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-379 D 20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-380 D 23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-380 D 06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-379 D 18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-381 D 03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-380 D 08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-379 D 20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-382 D 01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-380 D 10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-379 D 22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-382 D 01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-380 D 12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-380 D 00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-382 D 05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-380 D 14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-380 D 01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-382 D 12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-380 D 18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-380 D 05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-382 D 16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-380 D 20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-380 D 08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-383 D 04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-381 D 01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-380 D 12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-383 D 05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-381 D 03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-380 D 14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-383 D 06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-381 D 05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-380 D 15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-383 D 17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-381 D 13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-380 D 22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-383 D 15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-381 D 14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-380 D 23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-384 D 07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-382 D 08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-381 D 19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-384 D 10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-382 D 13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-381 D 23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-384 D 11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-382 D 18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-382 D 02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-384 D 12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-382 D 21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-382 D 05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-384 D 12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-383 D 03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-382 D 10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-384 D 12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-383 D 04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-382 D 11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-384 D 00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-383 D 10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-382 D 20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5">
        <v>43677.583333333336</v>
      </c>
      <c r="C1" s="425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5">
        <v>43688.583333333336</v>
      </c>
      <c r="C2" s="42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4" t="str">
        <f ca="1">IF(NOW() &gt; $B$2,"",(NOW()-$B$1)/($B$2-$B$1))</f>
        <v/>
      </c>
      <c r="H2" s="424"/>
      <c r="I2" s="424"/>
      <c r="J2" s="424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6" t="s">
        <v>26</v>
      </c>
      <c r="C5" s="426"/>
      <c r="D5" s="427" t="s">
        <v>44</v>
      </c>
      <c r="E5" s="427"/>
      <c r="F5" s="427" t="s">
        <v>28</v>
      </c>
      <c r="G5" s="427"/>
      <c r="H5" s="427" t="s">
        <v>31</v>
      </c>
      <c r="I5" s="427"/>
      <c r="J5" s="391" t="s">
        <v>42</v>
      </c>
      <c r="K5" s="391"/>
      <c r="L5" s="428" t="s">
        <v>43</v>
      </c>
      <c r="M5" s="428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2020-10-08T06:05:53Z</dcterms:modified>
</cp:coreProperties>
</file>