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f98139d4bac41f/文件/DL/dragalia-data-track/"/>
    </mc:Choice>
  </mc:AlternateContent>
  <xr:revisionPtr revIDLastSave="232" documentId="8_{2A78382D-3BA1-40C4-AD86-F9FBEB6A76F0}" xr6:coauthVersionLast="43" xr6:coauthVersionMax="43" xr10:uidLastSave="{E02B05D9-F992-4E17-B58C-460231C56888}"/>
  <bookViews>
    <workbookView xWindow="9735" yWindow="1905" windowWidth="18255" windowHeight="11550" firstSheet="2" activeTab="2" xr2:uid="{D0E79A60-AC9E-4AFD-A74C-CCE50AE0356B}"/>
  </bookViews>
  <sheets>
    <sheet name="Raid" sheetId="16" r:id="rId1"/>
    <sheet name="R速度" sheetId="30" r:id="rId2"/>
    <sheet name="迎擊" sheetId="18" r:id="rId3"/>
    <sheet name="D迎擊" sheetId="7" r:id="rId4"/>
    <sheet name="龍煉-護符" sheetId="19" r:id="rId5"/>
    <sheet name="D龍煉-護符" sheetId="4" r:id="rId6"/>
    <sheet name="虛空" sheetId="21" r:id="rId7"/>
    <sheet name="D虛空" sheetId="15" r:id="rId8"/>
    <sheet name="爪草" sheetId="22" r:id="rId9"/>
    <sheet name="D爪草" sheetId="23" r:id="rId10"/>
    <sheet name="真龍" sheetId="20" r:id="rId11"/>
    <sheet name="D真龍" sheetId="9" state="hidden" r:id="rId12"/>
    <sheet name="D真火" sheetId="10" state="hidden" r:id="rId13"/>
    <sheet name="D真水" sheetId="11" r:id="rId14"/>
    <sheet name="D真風" sheetId="14" state="hidden" r:id="rId15"/>
    <sheet name="D真光" sheetId="13" state="hidden" r:id="rId16"/>
    <sheet name="D真暗" sheetId="12" state="hidden" r:id="rId17"/>
  </sheets>
  <definedNames>
    <definedName name="BOOST_PRICE" comment="Price to boost the building. Unit is Diams/Time.">BOOST_UNIT_DIAMS/BOOST_UNIT_TIME</definedName>
    <definedName name="BOOST_UNIT_DIAMS" comment="The count of diamantiums of a unit which is used for calculating the cost of boosting the building speed.">1</definedName>
    <definedName name="BOOST_UNIT_TIME" comment="The time period of a unit which is used for calculating the cost of boosting the building speed.">0.00833333333333333</definedName>
    <definedName name="CLOVER_EXP_GAMES">SUM(D爪草!$B$4:$B$1048576)</definedName>
    <definedName name="CLOVER_EXP_SUM">SUM(D爪草!$A$4:$A$1048576)</definedName>
    <definedName name="CLOVER_RUBY_GAMES">SUM(D爪草!$D$4:$D$1048576)</definedName>
    <definedName name="CLOVER_RUBY_SUM">SUM(D爪草!$C$4:$C$1048576)</definedName>
    <definedName name="CLOVER_RUIN_GAMES">SUM(D爪草!$F$4:$F$1048576)</definedName>
    <definedName name="CLOVER_RUIN_SUM">SUM(D爪草!$E$4:$E$1048576)</definedName>
    <definedName name="DATA_DRAG_ACCU_EXP">'D龍煉-護符'!$G$2:$G$101</definedName>
    <definedName name="DATA_DRAG_LV_EXP">'D龍煉-護符'!$F$2:$F$101</definedName>
    <definedName name="DATA_DRAGON_EXP">'D龍煉-護符'!$A:$A</definedName>
    <definedName name="DATA_DRAGON_PLAYS">'D龍煉-護符'!$B:$B</definedName>
    <definedName name="DATA_HDRAG_HBRUN" comment="Raw drop data of High Brunhilda">D真火!$1:$1048576</definedName>
    <definedName name="DATA_HDRAG_HJUP" comment="Raw drop data of High Jupiter">D真光!$1:$1048576</definedName>
    <definedName name="DATA_HDRAG_HMERC" comment="Raw drop data of High Mercury">D真水!$1:$1048576</definedName>
    <definedName name="DATA_HDRAG_HMID" comment="Raw drop data of High Midgarsormr">D真風!$1:$1048576</definedName>
    <definedName name="DATA_HDRAG_HZOD" comment="Raw drop data of High Zodiac">D真暗!$1:$1048576</definedName>
    <definedName name="DATA_HDRAGS_BUILDING" comment="Table of orbs required for upgrading the building of high dragons.">D真龍!$A$2:$A$32</definedName>
    <definedName name="DATA_HDRAGS_DRAGON" comment="Table of orbs required for limit breaking the high dragons.">D真龍!$C$2:$C$7</definedName>
    <definedName name="DATA_HDRAGS_TALON">D真龍!$B$2:$B$31</definedName>
    <definedName name="DATA_IO" comment="Raw data for building Imperial Onslaught related facilities.">D迎擊!$AM$3:$AV$37</definedName>
    <definedName name="DATA_IO_EXTRA_EXCHANGED_BIG">(迎擊!$K$3,迎擊!$K$5,迎擊!$K$7,迎擊!$K$9,迎擊!$K$11)</definedName>
    <definedName name="DATA_IO_EXTRA_EXCHANGED_SMALL">(迎擊!$K$2,迎擊!$K$4,迎擊!$K$6,迎擊!$K$8,迎擊!$K$10)</definedName>
    <definedName name="DATA_IO_OWNED_BIG">(迎擊!$C$3,迎擊!$C$5,迎擊!$C$7,迎擊!$C$9,迎擊!$C$11)</definedName>
    <definedName name="DATA_IO_OWNED_SMALL">(迎擊!$C$2,迎擊!$C$4,迎擊!$C$6,迎擊!$C$8,迎擊!$C$10)</definedName>
    <definedName name="DATA_WYRM_ACCU_EXP">'D龍煉-護符'!$J$2:$J$101</definedName>
    <definedName name="DATA_WYRM_LV_EXP">'D龍煉-護符'!$I$2:$I$101</definedName>
    <definedName name="DRACOLITH_TALON">D爪草!$O$3:$O$22</definedName>
    <definedName name="DRACOLITH_TALON_MAX">MAX(DRACOLITH_TALON)</definedName>
    <definedName name="DRAGEXP_L" comment="Experience points of a large dragon fruit.">3500</definedName>
    <definedName name="DRAGEXP_M" comment="Experience points of a medium dragon fruit.">1000</definedName>
    <definedName name="DRAGEXP_S" comment="Experience points of a small dragon fruit.">150</definedName>
    <definedName name="DRAGON_EXP_100">'D龍煉-護符'!$G$101</definedName>
    <definedName name="DRAGON_EXP_60">'D龍煉-護符'!$G$61</definedName>
    <definedName name="DRAGON_EXP_80">'D龍煉-護符'!$G$81</definedName>
    <definedName name="HDRAG_HAS_REC_HBRUN" comment="Has the record of High Brunhilda or not.">COUNTA(DATA_HDRAG_HBRUN) &gt; 0</definedName>
    <definedName name="HDRAG_HAS_REC_HJUP" comment="Has the record of High Jupiter or not.">COUNTA(DATA_HDRAG_HJUP) &gt; 0</definedName>
    <definedName name="HDRAG_HAS_REC_HMERC" comment="Has the record of High Mercury or not.">COUNTA(DATA_HDRAG_HMERC) &gt; 0</definedName>
    <definedName name="HDRAG_HAS_REC_HMID" comment="Has the record of High Midgarsormr or not.">COUNTA(DATA_HDRAG_HMID) &gt; 0</definedName>
    <definedName name="HDRAG_HAS_REC_HZOD" comment="Has the record of High Zodiac or not.">COUNTA(DATA_HDRAG_HZOD) &gt; 0</definedName>
    <definedName name="HDRAG_MAX_ALL" comment="Value of required orbs for maxing all high dragons related objects.">HDRAG_MAX_BUILDING + HDRAG_MAX_DRAGON</definedName>
    <definedName name="HDRAG_MAX_BUILDING" comment="Value of orbs required for maxing the building of the high dragons.">MAX(DATA_HDRAGS_BUILDING)</definedName>
    <definedName name="HDRAG_MAX_DRAGON" comment="Value of orbs required for maxing the limit break of the high dragons.">MAX(DATA_HDRAGS_DRAGON)</definedName>
    <definedName name="HDRAG_MAX_DRAGON_BLD_16" comment="Value of required orbs for max limit break the dragon and upgrade the building to Lv.16.">MAX(DATA_HDRAGS_DRAGON)+INDEX(DATA_HDRAGS_BUILDING,16)</definedName>
    <definedName name="HDRAG_MAX_TALON">MAX(DATA_HDRAGS_TALON)</definedName>
    <definedName name="IO_EXCHANGE_BIG_TO_SMALL" comment="Exchange rate of big elemental emblem to small elemental emblem. (Small/1 Big)">3</definedName>
    <definedName name="IO_EXCHANGE_SMALL_TO_BIG" comment="Exchange rate of small elemental emblem to big elemental emblem. (Big/1 Small)">1/6</definedName>
    <definedName name="IO_WEAPON_434">250</definedName>
    <definedName name="IO_WEAPON_530">200</definedName>
    <definedName name="RAID_DATA_BLAZONS">Raid!$C$7:'Raid'!$D$197</definedName>
    <definedName name="RAID_DATA_GOLD_EMBLEMS">Raid!$B$7:'Raid'!$C$197</definedName>
    <definedName name="RAID_DATA_PAST_HOURS">Raid!#REF!:'Raid'!$B$197</definedName>
    <definedName name="RAID_GOAL_BLAZON">Raid!$L$3</definedName>
    <definedName name="RAID_GOAL_EMBLEM">Raid!$L$2</definedName>
    <definedName name="RAID_TIME_DURATION">Raid!$F$2</definedName>
    <definedName name="RAID_TIME_END">Raid!$B$2</definedName>
    <definedName name="RAID_TIME_START">Raid!$B$1</definedName>
    <definedName name="TALON_R3_CLOVER">SUM(D爪草!$G$4:$G$1048576)</definedName>
    <definedName name="TALON_R3_TALON">SUM(D爪草!$H$4:$H$1048576)</definedName>
    <definedName name="TALON_R4_CLOVER">SUM(D爪草!$I$4:$I$1048576)</definedName>
    <definedName name="TALON_R4_TALON">SUM(D爪草!$J$4:$J$1048576)</definedName>
    <definedName name="TALON_R5_CLOVER">SUM(D爪草!$K$4:$K$1048576)</definedName>
    <definedName name="TALON_R5_TALON">SUM(D爪草!$L$4:$L$1048576)</definedName>
    <definedName name="VOID_DARK_GOLEM_GAMES">SUM(D虛空!$AO:$AO)</definedName>
    <definedName name="VOID_DARK_GOLEM_GOLD">SUM(D虛空!$AP:$AP)</definedName>
    <definedName name="VOID_DARK_GOLEM_SILVER">SUM(D虛空!$AQ:$AQ)</definedName>
    <definedName name="VOID_DARK_GOLEM_SILVER2">SUM(D虛空!$AR:$AR)</definedName>
    <definedName name="VOID_DARK_GOLEM_SPEC">SUM(D虛空!$AS:$AS)</definedName>
    <definedName name="VOID_DARK_MTCORE_GAMES">SUM(D虛空!$AJ:$AJ)</definedName>
    <definedName name="VOID_DARK_MTCORE_GOLD">SUM(D虛空!$AK:$AK)</definedName>
    <definedName name="VOID_DARK_MTCORE_SILVER">SUM(D虛空!$AL:$AL)</definedName>
    <definedName name="VOID_DARK_MTCORE_SILVER2">SUM(D虛空!$AM:$AM)</definedName>
    <definedName name="VOID_DARK_MTCORE_SPEC">SUM(D虛空!$AN:$AN)</definedName>
    <definedName name="VOID_FIRE_AGNI_GAMES">SUM(D虛空!$K:$K)</definedName>
    <definedName name="VOID_FIRE_AGNI_GOLD">SUM(D虛空!$L:$L)</definedName>
    <definedName name="VOID_FIRE_AGNI_SILVER">SUM(D虛空!$M:$M)</definedName>
    <definedName name="VOID_FIRE_AGNI_SILVER2">SUM(D虛空!$N:$N)</definedName>
    <definedName name="VOID_FIRE_AGNI_SPEC">SUM(D虛空!$O:$O)</definedName>
    <definedName name="VOID_FIRE_GHOST_GAMES">SUM(D虛空!$F:$F)</definedName>
    <definedName name="VOID_FIRE_GHOST_GOLD">SUM(D虛空!$G:$G)</definedName>
    <definedName name="VOID_FIRE_GHOST_SILVER">SUM(D虛空!$H:$H)</definedName>
    <definedName name="VOID_FIRE_GHOST_SILVER2">SUM(D虛空!$I:$I)</definedName>
    <definedName name="VOID_FIRE_GHOST_SPEC">SUM(D虛空!$J:$J)</definedName>
    <definedName name="VOID_FIRE_GOLEM_GAMES">SUM(D虛空!$A:$A)</definedName>
    <definedName name="VOID_FIRE_GOLEM_GOLD">SUM(D虛空!$B:$B)</definedName>
    <definedName name="VOID_FIRE_GOLEM_SILVER">SUM(D虛空!$C:$C)</definedName>
    <definedName name="VOID_FIRE_GOLEM_SILVER2">SUM(D虛空!$D:$D)</definedName>
    <definedName name="VOID_FIRE_GOLEM_SPEC">SUM(D虛空!$E:$E)</definedName>
    <definedName name="VOID_LIGHT_MUSH_GAMES">SUM(D虛空!$AE:$AE)</definedName>
    <definedName name="VOID_LIGHT_MUSH_GOLD">SUM(D虛空!$AF:$AF)</definedName>
    <definedName name="VOID_LIGHT_MUSH_SILVER">SUM(D虛空!$AG:$AG)</definedName>
    <definedName name="VOID_LIGHT_MUSH_SILVER2">SUM(D虛空!$AH:$AH)</definedName>
    <definedName name="VOID_LIGHT_MUSH_SPEC">SUM(D虛空!$AI:$AI)</definedName>
    <definedName name="VOID_WATER_HERMIT_GAMES">SUM(D虛空!$P:$P)</definedName>
    <definedName name="VOID_WATER_HERMIT_GOLD">SUM(D虛空!$Q:$Q)</definedName>
    <definedName name="VOID_WATER_HERMIT_SILVER">SUM(D虛空!$R:$R)</definedName>
    <definedName name="VOID_WATER_HERMIT_SILVER2">SUM(D虛空!$S:$S)</definedName>
    <definedName name="VOID_WATER_HERMIT_SPEC">SUM(D虛空!$T:$T)</definedName>
    <definedName name="VOID_WATER_POSEIDON_GAMES">SUM(D虛空!$U:$U)</definedName>
    <definedName name="VOID_WATER_POSEIDON_GOLD">SUM(D虛空!$V:$V)</definedName>
    <definedName name="VOID_WATER_POSEIDON_SILVER">SUM(D虛空!$W:$W)</definedName>
    <definedName name="VOID_WATER_POSEIDON_SILVER2">SUM(D虛空!$X:$X)</definedName>
    <definedName name="VOID_WATER_POSEIDON_SPEC">SUM(D虛空!$Y:$Y)</definedName>
    <definedName name="VOID_WIND_WYVERN_GAMES">SUM(D虛空!$Z:$Z)</definedName>
    <definedName name="VOID_WIND_WYVERN_GOLD">SUM(D虛空!$AA:$AA)</definedName>
    <definedName name="VOID_WIND_WYVERN_SILVER">SUM(D虛空!$AB:$AB)</definedName>
    <definedName name="VOID_WIND_WYVERN_SILVER2">SUM(D虛空!$AC:$AC)</definedName>
    <definedName name="VOID_WIND_WYVERN_SPEC">SUM(D虛空!$AD:$AD)</definedName>
    <definedName name="WINGS_CONSUME_DRAGON" comment="Count of wings needed for a Dragon's Trial (Master).">2</definedName>
    <definedName name="WINGS_CONSUME_IO" comment="Count of wings needed for an Imperial Onslaught (Master).">2</definedName>
    <definedName name="WINGS_CONSUME_VOID" comment="Count of wings needed for a Void.">2</definedName>
    <definedName name="WINGS_RECOVER_DIAMS" comment="Diamantiums needed for recovering the wings.">50</definedName>
    <definedName name="WINGS_RECOVER_NUM" comment="Count of wings can be recovered at once.">12</definedName>
    <definedName name="WYRM_EXP_100">'D龍煉-護符'!$J$101</definedName>
    <definedName name="WYRM_EXP_60">'D龍煉-護符'!$J$61</definedName>
    <definedName name="WYRM_EXP_80">'D龍煉-護符'!$J$81</definedName>
    <definedName name="WYRMEXP_L">3500</definedName>
    <definedName name="WYRMEXP_M">1000</definedName>
    <definedName name="WYRMEXP_S">500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F16" i="18" l="1"/>
  <c r="AF15" i="18"/>
  <c r="AF14" i="18"/>
  <c r="AF13" i="18"/>
  <c r="AF12" i="18"/>
  <c r="AF11" i="18"/>
  <c r="AF10" i="18"/>
  <c r="AF9" i="18"/>
  <c r="Z10" i="18"/>
  <c r="Z9" i="18"/>
  <c r="AV37" i="7"/>
  <c r="AV36" i="7"/>
  <c r="AV35" i="7"/>
  <c r="AV34" i="7"/>
  <c r="AV33" i="7"/>
  <c r="AV32" i="7"/>
  <c r="AV31" i="7"/>
  <c r="AV30" i="7"/>
  <c r="AV29" i="7"/>
  <c r="AV28" i="7"/>
  <c r="AV27" i="7"/>
  <c r="AV26" i="7"/>
  <c r="AV25" i="7"/>
  <c r="AV24" i="7"/>
  <c r="AV23" i="7"/>
  <c r="AV22" i="7"/>
  <c r="AV21" i="7"/>
  <c r="AV20" i="7"/>
  <c r="AV19" i="7"/>
  <c r="AV18" i="7"/>
  <c r="AV17" i="7"/>
  <c r="AV16" i="7"/>
  <c r="AV15" i="7"/>
  <c r="AV14" i="7"/>
  <c r="AV13" i="7"/>
  <c r="AV12" i="7"/>
  <c r="AV11" i="7"/>
  <c r="AV10" i="7"/>
  <c r="AV9" i="7"/>
  <c r="AV8" i="7"/>
  <c r="AV7" i="7"/>
  <c r="AV6" i="7"/>
  <c r="AV5" i="7"/>
  <c r="AV4" i="7"/>
  <c r="AV3" i="7"/>
  <c r="AU37" i="7"/>
  <c r="AU36" i="7"/>
  <c r="AU35" i="7"/>
  <c r="AU34" i="7"/>
  <c r="AU33" i="7"/>
  <c r="AU32" i="7"/>
  <c r="AU31" i="7"/>
  <c r="AU30" i="7"/>
  <c r="AU29" i="7"/>
  <c r="AU28" i="7"/>
  <c r="AU27" i="7"/>
  <c r="AU26" i="7"/>
  <c r="AU25" i="7"/>
  <c r="AU24" i="7"/>
  <c r="AU23" i="7"/>
  <c r="AU22" i="7"/>
  <c r="AU21" i="7"/>
  <c r="AU20" i="7"/>
  <c r="AU19" i="7"/>
  <c r="AU18" i="7"/>
  <c r="AU17" i="7"/>
  <c r="AU16" i="7"/>
  <c r="AU15" i="7"/>
  <c r="AU14" i="7"/>
  <c r="AU13" i="7"/>
  <c r="AU12" i="7"/>
  <c r="AU11" i="7"/>
  <c r="AU10" i="7"/>
  <c r="AU9" i="7"/>
  <c r="AU8" i="7"/>
  <c r="AU7" i="7"/>
  <c r="AU6" i="7"/>
  <c r="AU5" i="7"/>
  <c r="AU4" i="7"/>
  <c r="AU3" i="7"/>
  <c r="AT37" i="7"/>
  <c r="AS37" i="7"/>
  <c r="AR37" i="7"/>
  <c r="AQ37" i="7"/>
  <c r="AP37" i="7"/>
  <c r="AO37" i="7"/>
  <c r="AN37" i="7"/>
  <c r="AT36" i="7"/>
  <c r="AS36" i="7"/>
  <c r="AR36" i="7"/>
  <c r="AQ36" i="7"/>
  <c r="AP36" i="7"/>
  <c r="AO36" i="7"/>
  <c r="AN36" i="7"/>
  <c r="AT35" i="7"/>
  <c r="AS35" i="7"/>
  <c r="AR35" i="7"/>
  <c r="AQ35" i="7"/>
  <c r="AP35" i="7"/>
  <c r="AO35" i="7"/>
  <c r="AN35" i="7"/>
  <c r="AT34" i="7"/>
  <c r="AS34" i="7"/>
  <c r="AR34" i="7"/>
  <c r="AQ34" i="7"/>
  <c r="AP34" i="7"/>
  <c r="AO34" i="7"/>
  <c r="AN34" i="7"/>
  <c r="AT33" i="7"/>
  <c r="AS33" i="7"/>
  <c r="AR33" i="7"/>
  <c r="AQ33" i="7"/>
  <c r="AP33" i="7"/>
  <c r="AO33" i="7"/>
  <c r="AN33" i="7"/>
  <c r="AT32" i="7"/>
  <c r="AS32" i="7"/>
  <c r="AR32" i="7"/>
  <c r="AQ32" i="7"/>
  <c r="AP32" i="7"/>
  <c r="AO32" i="7"/>
  <c r="AN32" i="7"/>
  <c r="AT31" i="7"/>
  <c r="AS31" i="7"/>
  <c r="AR31" i="7"/>
  <c r="AQ31" i="7"/>
  <c r="AP31" i="7"/>
  <c r="AO31" i="7"/>
  <c r="AN31" i="7"/>
  <c r="AT30" i="7"/>
  <c r="AS30" i="7"/>
  <c r="AR30" i="7"/>
  <c r="AQ30" i="7"/>
  <c r="AP30" i="7"/>
  <c r="AO30" i="7"/>
  <c r="AN30" i="7"/>
  <c r="AT29" i="7"/>
  <c r="AS29" i="7"/>
  <c r="AR29" i="7"/>
  <c r="AQ29" i="7"/>
  <c r="AP29" i="7"/>
  <c r="AO29" i="7"/>
  <c r="AN29" i="7"/>
  <c r="AT28" i="7"/>
  <c r="AS28" i="7"/>
  <c r="AR28" i="7"/>
  <c r="AQ28" i="7"/>
  <c r="AP28" i="7"/>
  <c r="AO28" i="7"/>
  <c r="AN28" i="7"/>
  <c r="AT27" i="7"/>
  <c r="AS27" i="7"/>
  <c r="AR27" i="7"/>
  <c r="AQ27" i="7"/>
  <c r="AP27" i="7"/>
  <c r="AO27" i="7"/>
  <c r="AN27" i="7"/>
  <c r="AT26" i="7"/>
  <c r="AS26" i="7"/>
  <c r="AR26" i="7"/>
  <c r="AQ26" i="7"/>
  <c r="AP26" i="7"/>
  <c r="AO26" i="7"/>
  <c r="AN26" i="7"/>
  <c r="AT25" i="7"/>
  <c r="AS25" i="7"/>
  <c r="AR25" i="7"/>
  <c r="AQ25" i="7"/>
  <c r="AP25" i="7"/>
  <c r="AO25" i="7"/>
  <c r="AN25" i="7"/>
  <c r="AT24" i="7"/>
  <c r="AS24" i="7"/>
  <c r="AR24" i="7"/>
  <c r="AQ24" i="7"/>
  <c r="AP24" i="7"/>
  <c r="AO24" i="7"/>
  <c r="AN24" i="7"/>
  <c r="AT23" i="7"/>
  <c r="AS23" i="7"/>
  <c r="AR23" i="7"/>
  <c r="AQ23" i="7"/>
  <c r="AP23" i="7"/>
  <c r="AO23" i="7"/>
  <c r="AN23" i="7"/>
  <c r="AT22" i="7"/>
  <c r="AS22" i="7"/>
  <c r="AR22" i="7"/>
  <c r="AQ22" i="7"/>
  <c r="AP22" i="7"/>
  <c r="AO22" i="7"/>
  <c r="AN22" i="7"/>
  <c r="AT21" i="7"/>
  <c r="AS21" i="7"/>
  <c r="AR21" i="7"/>
  <c r="AQ21" i="7"/>
  <c r="AP21" i="7"/>
  <c r="AO21" i="7"/>
  <c r="AN21" i="7"/>
  <c r="AT20" i="7"/>
  <c r="AS20" i="7"/>
  <c r="AR20" i="7"/>
  <c r="AQ20" i="7"/>
  <c r="AP20" i="7"/>
  <c r="AO20" i="7"/>
  <c r="AN20" i="7"/>
  <c r="AT19" i="7"/>
  <c r="AS19" i="7"/>
  <c r="AR19" i="7"/>
  <c r="AQ19" i="7"/>
  <c r="AP19" i="7"/>
  <c r="AO19" i="7"/>
  <c r="AN19" i="7"/>
  <c r="AT18" i="7"/>
  <c r="AS18" i="7"/>
  <c r="AR18" i="7"/>
  <c r="AQ18" i="7"/>
  <c r="AP18" i="7"/>
  <c r="AO18" i="7"/>
  <c r="AN18" i="7"/>
  <c r="AT17" i="7"/>
  <c r="AS17" i="7"/>
  <c r="AR17" i="7"/>
  <c r="AQ17" i="7"/>
  <c r="AP17" i="7"/>
  <c r="AO17" i="7"/>
  <c r="AN17" i="7"/>
  <c r="AT16" i="7"/>
  <c r="AS16" i="7"/>
  <c r="AR16" i="7"/>
  <c r="AQ16" i="7"/>
  <c r="AP16" i="7"/>
  <c r="AO16" i="7"/>
  <c r="AN16" i="7"/>
  <c r="AT15" i="7"/>
  <c r="AS15" i="7"/>
  <c r="AR15" i="7"/>
  <c r="AQ15" i="7"/>
  <c r="AP15" i="7"/>
  <c r="AO15" i="7"/>
  <c r="AN15" i="7"/>
  <c r="AT14" i="7"/>
  <c r="AS14" i="7"/>
  <c r="AR14" i="7"/>
  <c r="AQ14" i="7"/>
  <c r="AP14" i="7"/>
  <c r="AO14" i="7"/>
  <c r="AN14" i="7"/>
  <c r="AT13" i="7"/>
  <c r="AS13" i="7"/>
  <c r="AR13" i="7"/>
  <c r="AQ13" i="7"/>
  <c r="AP13" i="7"/>
  <c r="AO13" i="7"/>
  <c r="AN13" i="7"/>
  <c r="AT12" i="7"/>
  <c r="AS12" i="7"/>
  <c r="AR12" i="7"/>
  <c r="AQ12" i="7"/>
  <c r="AP12" i="7"/>
  <c r="AO12" i="7"/>
  <c r="AN12" i="7"/>
  <c r="AT11" i="7"/>
  <c r="AS11" i="7"/>
  <c r="AR11" i="7"/>
  <c r="AQ11" i="7"/>
  <c r="AP11" i="7"/>
  <c r="AO11" i="7"/>
  <c r="AN11" i="7"/>
  <c r="AT10" i="7"/>
  <c r="AS10" i="7"/>
  <c r="AR10" i="7"/>
  <c r="AQ10" i="7"/>
  <c r="AP10" i="7"/>
  <c r="AO10" i="7"/>
  <c r="AN10" i="7"/>
  <c r="AT9" i="7"/>
  <c r="AS9" i="7"/>
  <c r="AR9" i="7"/>
  <c r="AQ9" i="7"/>
  <c r="AP9" i="7"/>
  <c r="AO9" i="7"/>
  <c r="AN9" i="7"/>
  <c r="AT8" i="7"/>
  <c r="AS8" i="7"/>
  <c r="AR8" i="7"/>
  <c r="AQ8" i="7"/>
  <c r="AP8" i="7"/>
  <c r="AO8" i="7"/>
  <c r="AN8" i="7"/>
  <c r="AT7" i="7"/>
  <c r="AS7" i="7"/>
  <c r="AR7" i="7"/>
  <c r="AQ7" i="7"/>
  <c r="AP7" i="7"/>
  <c r="AO7" i="7"/>
  <c r="AN7" i="7"/>
  <c r="AT6" i="7"/>
  <c r="AS6" i="7"/>
  <c r="AR6" i="7"/>
  <c r="AQ6" i="7"/>
  <c r="AP6" i="7"/>
  <c r="AO6" i="7"/>
  <c r="AN6" i="7"/>
  <c r="AT5" i="7"/>
  <c r="AS5" i="7"/>
  <c r="AR5" i="7"/>
  <c r="AQ5" i="7"/>
  <c r="AP5" i="7"/>
  <c r="AO5" i="7"/>
  <c r="AN5" i="7"/>
  <c r="AT4" i="7"/>
  <c r="AS4" i="7"/>
  <c r="AR4" i="7"/>
  <c r="AQ4" i="7"/>
  <c r="AP4" i="7"/>
  <c r="AO4" i="7"/>
  <c r="AN4" i="7"/>
  <c r="AT3" i="7"/>
  <c r="AS3" i="7"/>
  <c r="AR3" i="7"/>
  <c r="AQ3" i="7"/>
  <c r="AP3" i="7"/>
  <c r="AO3" i="7"/>
  <c r="AN3" i="7"/>
  <c r="AA16" i="18" l="1"/>
  <c r="F6" i="21"/>
  <c r="E6" i="21"/>
  <c r="D6" i="21"/>
  <c r="C6" i="21"/>
  <c r="B6" i="21"/>
  <c r="G77" i="16"/>
  <c r="K77" i="16"/>
  <c r="M77" i="16"/>
  <c r="I77" i="16"/>
  <c r="O77" i="16" s="1"/>
  <c r="H77" i="16"/>
  <c r="N77" i="16" s="1"/>
  <c r="F77" i="16"/>
  <c r="J77" i="16"/>
  <c r="L77" i="16" s="1"/>
  <c r="E77" i="16"/>
  <c r="D77" i="16"/>
  <c r="I76" i="16"/>
  <c r="O76" i="16" s="1"/>
  <c r="H76" i="16"/>
  <c r="N76" i="16" s="1"/>
  <c r="G76" i="16"/>
  <c r="K76" i="16"/>
  <c r="M76" i="16"/>
  <c r="F76" i="16"/>
  <c r="J76" i="16" s="1"/>
  <c r="L76" i="16" s="1"/>
  <c r="E76" i="16"/>
  <c r="D76" i="16"/>
  <c r="F75" i="16"/>
  <c r="J75" i="16" s="1"/>
  <c r="L75" i="16" s="1"/>
  <c r="I75" i="16"/>
  <c r="O75" i="16" s="1"/>
  <c r="H75" i="16"/>
  <c r="N75" i="16" s="1"/>
  <c r="G75" i="16"/>
  <c r="K75" i="16"/>
  <c r="M75" i="16"/>
  <c r="E75" i="16"/>
  <c r="D75" i="16"/>
  <c r="F2" i="16"/>
  <c r="F74" i="16"/>
  <c r="J74" i="16" s="1"/>
  <c r="L74" i="16" s="1"/>
  <c r="G74" i="16"/>
  <c r="K74" i="16"/>
  <c r="M74" i="16"/>
  <c r="G73" i="16"/>
  <c r="K73" i="16"/>
  <c r="M73" i="16"/>
  <c r="F73" i="16"/>
  <c r="J73" i="16"/>
  <c r="L73" i="16" s="1"/>
  <c r="G72" i="16"/>
  <c r="K72" i="16"/>
  <c r="M72" i="16"/>
  <c r="F72" i="16"/>
  <c r="J72" i="16" s="1"/>
  <c r="L72" i="16" s="1"/>
  <c r="G71" i="16"/>
  <c r="K71" i="16"/>
  <c r="M71" i="16"/>
  <c r="F70" i="16"/>
  <c r="J70" i="16" s="1"/>
  <c r="L70" i="16" s="1"/>
  <c r="G68" i="16"/>
  <c r="K68" i="16"/>
  <c r="M68" i="16"/>
  <c r="F68" i="16"/>
  <c r="J68" i="16" s="1"/>
  <c r="L68" i="16" s="1"/>
  <c r="G67" i="16"/>
  <c r="K67" i="16"/>
  <c r="M67" i="16"/>
  <c r="F67" i="16"/>
  <c r="J67" i="16" s="1"/>
  <c r="L67" i="16" s="1"/>
  <c r="F71" i="16"/>
  <c r="J71" i="16" s="1"/>
  <c r="L71" i="16" s="1"/>
  <c r="G66" i="16"/>
  <c r="K66" i="16"/>
  <c r="M66" i="16"/>
  <c r="F66" i="16"/>
  <c r="J66" i="16" s="1"/>
  <c r="L66" i="16" s="1"/>
  <c r="A7" i="16"/>
  <c r="F52" i="16"/>
  <c r="J52" i="16" s="1"/>
  <c r="L52" i="16" s="1"/>
  <c r="G51" i="16"/>
  <c r="K51" i="16"/>
  <c r="M51" i="16"/>
  <c r="F51" i="16"/>
  <c r="J51" i="16" s="1"/>
  <c r="L51" i="16" s="1"/>
  <c r="F7" i="16"/>
  <c r="J7" i="16" s="1"/>
  <c r="L7" i="16" s="1"/>
  <c r="F41" i="16"/>
  <c r="J41" i="16" s="1"/>
  <c r="L41" i="16" s="1"/>
  <c r="G37" i="16"/>
  <c r="K37" i="16"/>
  <c r="M37" i="16"/>
  <c r="G43" i="16"/>
  <c r="K43" i="16"/>
  <c r="M43" i="16"/>
  <c r="G47" i="16"/>
  <c r="K47" i="16"/>
  <c r="M47" i="16"/>
  <c r="F47" i="16"/>
  <c r="J47" i="16" s="1"/>
  <c r="L47" i="16" s="1"/>
  <c r="F46" i="16"/>
  <c r="J46" i="16" s="1"/>
  <c r="L46" i="16" s="1"/>
  <c r="G45" i="16"/>
  <c r="K45" i="16"/>
  <c r="M45" i="16"/>
  <c r="F45" i="16"/>
  <c r="J45" i="16" s="1"/>
  <c r="L45" i="16" s="1"/>
  <c r="F44" i="16"/>
  <c r="J44" i="16" s="1"/>
  <c r="L44" i="16" s="1"/>
  <c r="G40" i="16"/>
  <c r="K40" i="16"/>
  <c r="M40" i="16"/>
  <c r="F40" i="16"/>
  <c r="J40" i="16" s="1"/>
  <c r="L40" i="16" s="1"/>
  <c r="G20" i="16"/>
  <c r="K20" i="16"/>
  <c r="M20" i="16"/>
  <c r="G18" i="16"/>
  <c r="K18" i="16"/>
  <c r="M18" i="16"/>
  <c r="F15" i="16"/>
  <c r="J15" i="16" s="1"/>
  <c r="L15" i="16" s="1"/>
  <c r="B20" i="19"/>
  <c r="B18" i="19"/>
  <c r="B19" i="19"/>
  <c r="D2" i="16"/>
  <c r="F3" i="21"/>
  <c r="C3" i="21"/>
  <c r="F11" i="21"/>
  <c r="D11" i="21"/>
  <c r="F10" i="21"/>
  <c r="B10" i="21"/>
  <c r="B9" i="21"/>
  <c r="F8" i="21"/>
  <c r="D8" i="21"/>
  <c r="B8" i="21"/>
  <c r="B7" i="21"/>
  <c r="B4" i="21"/>
  <c r="I17" i="22"/>
  <c r="J17" i="22"/>
  <c r="K17" i="22" s="1"/>
  <c r="I16" i="22"/>
  <c r="J16" i="22"/>
  <c r="I18" i="22"/>
  <c r="J18" i="22"/>
  <c r="K18" i="22"/>
  <c r="J19" i="22"/>
  <c r="J20" i="22"/>
  <c r="J8" i="22"/>
  <c r="J9" i="22"/>
  <c r="J10" i="22"/>
  <c r="J11" i="22"/>
  <c r="J12" i="22"/>
  <c r="J13" i="22"/>
  <c r="K10" i="22"/>
  <c r="K11" i="22"/>
  <c r="K12" i="22"/>
  <c r="K9" i="22"/>
  <c r="C5" i="22"/>
  <c r="C3" i="22"/>
  <c r="C4" i="22"/>
  <c r="P4" i="7"/>
  <c r="AE9" i="7"/>
  <c r="AG9" i="7"/>
  <c r="AI9" i="7"/>
  <c r="M9" i="7"/>
  <c r="F3" i="22"/>
  <c r="I3" i="22"/>
  <c r="F4" i="22"/>
  <c r="I4" i="22"/>
  <c r="K19" i="22"/>
  <c r="K20" i="22"/>
  <c r="F5" i="22"/>
  <c r="I5" i="22"/>
  <c r="B5" i="22"/>
  <c r="B4" i="22"/>
  <c r="B3" i="22"/>
  <c r="I20" i="22"/>
  <c r="I19" i="22"/>
  <c r="B8" i="19"/>
  <c r="B6" i="19"/>
  <c r="AI8" i="7"/>
  <c r="AG8" i="7"/>
  <c r="AE8" i="7"/>
  <c r="P3" i="7"/>
  <c r="M8" i="7"/>
  <c r="G40" i="20"/>
  <c r="O40" i="20"/>
  <c r="P40" i="20"/>
  <c r="G39" i="20"/>
  <c r="O39" i="20"/>
  <c r="P39" i="20"/>
  <c r="C4" i="9"/>
  <c r="C5" i="9"/>
  <c r="G6" i="20"/>
  <c r="L5" i="20"/>
  <c r="F6" i="20"/>
  <c r="B6" i="20"/>
  <c r="F7" i="20"/>
  <c r="N24" i="20"/>
  <c r="C6" i="20"/>
  <c r="C7" i="20"/>
  <c r="D6" i="20"/>
  <c r="D7" i="20"/>
  <c r="D24" i="20"/>
  <c r="E6" i="20"/>
  <c r="E7" i="20"/>
  <c r="G4" i="20"/>
  <c r="C4" i="20"/>
  <c r="B4" i="20"/>
  <c r="L4" i="20"/>
  <c r="S4" i="20" s="1"/>
  <c r="E4" i="20"/>
  <c r="N4" i="20"/>
  <c r="D4" i="20"/>
  <c r="F4" i="20"/>
  <c r="G2" i="20"/>
  <c r="C2" i="20"/>
  <c r="B2" i="20"/>
  <c r="C3" i="20"/>
  <c r="C22" i="20"/>
  <c r="L3" i="20"/>
  <c r="K22" i="20"/>
  <c r="F2" i="20"/>
  <c r="F3" i="20"/>
  <c r="N22" i="20"/>
  <c r="E2" i="20"/>
  <c r="E3" i="20"/>
  <c r="D2" i="20"/>
  <c r="D3" i="20"/>
  <c r="G33" i="20"/>
  <c r="O33" i="20"/>
  <c r="P33" i="20"/>
  <c r="G32" i="20"/>
  <c r="O32" i="20"/>
  <c r="P32" i="20"/>
  <c r="G26" i="20"/>
  <c r="O26" i="20"/>
  <c r="P26" i="20"/>
  <c r="G25" i="20"/>
  <c r="O25" i="20"/>
  <c r="P25" i="20"/>
  <c r="G19" i="20"/>
  <c r="O19" i="20"/>
  <c r="P19" i="20"/>
  <c r="G18" i="20"/>
  <c r="O18" i="20"/>
  <c r="P18" i="20"/>
  <c r="K39" i="20"/>
  <c r="L39" i="20"/>
  <c r="M39" i="20"/>
  <c r="N39" i="20"/>
  <c r="K40" i="20"/>
  <c r="L40" i="20"/>
  <c r="M40" i="20"/>
  <c r="N40" i="20"/>
  <c r="K18" i="20"/>
  <c r="L18" i="20"/>
  <c r="M18" i="20"/>
  <c r="N18" i="20"/>
  <c r="K19" i="20"/>
  <c r="L19" i="20"/>
  <c r="M19" i="20"/>
  <c r="N19" i="20"/>
  <c r="K33" i="20"/>
  <c r="K32" i="20"/>
  <c r="N26" i="20"/>
  <c r="N25" i="20"/>
  <c r="M26" i="20"/>
  <c r="M25" i="20"/>
  <c r="L26" i="20"/>
  <c r="L25" i="20"/>
  <c r="K26" i="20"/>
  <c r="K25" i="20"/>
  <c r="P7" i="20"/>
  <c r="P6" i="20"/>
  <c r="O7" i="20"/>
  <c r="N33" i="20"/>
  <c r="L33" i="20"/>
  <c r="O6" i="20"/>
  <c r="N32" i="20"/>
  <c r="L32" i="20"/>
  <c r="M32" i="20"/>
  <c r="L6" i="20"/>
  <c r="S6" i="20"/>
  <c r="N6" i="20"/>
  <c r="C11" i="21"/>
  <c r="E10" i="21"/>
  <c r="F9" i="21"/>
  <c r="E9" i="21"/>
  <c r="C9" i="21"/>
  <c r="F7" i="21"/>
  <c r="C7" i="21"/>
  <c r="D7" i="21"/>
  <c r="F5" i="21"/>
  <c r="B5" i="21"/>
  <c r="F4" i="21"/>
  <c r="D4" i="21"/>
  <c r="D9" i="21"/>
  <c r="B3" i="21"/>
  <c r="V4" i="7"/>
  <c r="S10" i="7"/>
  <c r="AE7" i="7"/>
  <c r="AG7" i="7"/>
  <c r="AI7" i="7"/>
  <c r="D11" i="18"/>
  <c r="D10" i="18"/>
  <c r="D9" i="18"/>
  <c r="D8" i="18"/>
  <c r="D7" i="18"/>
  <c r="D6" i="18"/>
  <c r="D5" i="18"/>
  <c r="D4" i="18"/>
  <c r="D3" i="18"/>
  <c r="D2" i="18"/>
  <c r="E11" i="18"/>
  <c r="E10" i="18"/>
  <c r="E9" i="18"/>
  <c r="E8" i="18"/>
  <c r="E7" i="18"/>
  <c r="E6" i="18"/>
  <c r="E5" i="18"/>
  <c r="E4" i="18"/>
  <c r="E3" i="18"/>
  <c r="E2" i="18"/>
  <c r="T9" i="18"/>
  <c r="AI6" i="7"/>
  <c r="AG6" i="7"/>
  <c r="AE6" i="7"/>
  <c r="V3" i="7"/>
  <c r="S9" i="18"/>
  <c r="AB5" i="7"/>
  <c r="AB4" i="7"/>
  <c r="AB3" i="7"/>
  <c r="S9" i="7"/>
  <c r="Y10" i="7"/>
  <c r="AI5" i="7"/>
  <c r="AG5" i="7"/>
  <c r="AG3" i="7"/>
  <c r="AG4" i="7"/>
  <c r="T14" i="18"/>
  <c r="S15" i="18"/>
  <c r="F15" i="18"/>
  <c r="N15" i="18" s="1"/>
  <c r="AE5" i="7"/>
  <c r="Y3" i="7"/>
  <c r="Y4" i="7"/>
  <c r="Y5" i="7"/>
  <c r="Y6" i="7"/>
  <c r="Y7" i="7"/>
  <c r="Y8" i="7"/>
  <c r="Y9" i="7"/>
  <c r="T10" i="18"/>
  <c r="S10" i="18"/>
  <c r="F3" i="18"/>
  <c r="I3" i="18" s="1"/>
  <c r="J3" i="18" s="1"/>
  <c r="F5" i="18"/>
  <c r="F7" i="18"/>
  <c r="I7" i="18" s="1"/>
  <c r="J7" i="18" s="1"/>
  <c r="F9" i="18"/>
  <c r="F11" i="18"/>
  <c r="T5" i="18"/>
  <c r="S5" i="18"/>
  <c r="H9" i="18"/>
  <c r="H3" i="18"/>
  <c r="T3" i="18"/>
  <c r="S3" i="18"/>
  <c r="T7" i="18"/>
  <c r="S7" i="18"/>
  <c r="T11" i="18"/>
  <c r="S11" i="18" s="1"/>
  <c r="H5" i="18"/>
  <c r="F6" i="18"/>
  <c r="H6" i="18"/>
  <c r="F10" i="18"/>
  <c r="A3" i="7"/>
  <c r="A4" i="7"/>
  <c r="A5" i="7"/>
  <c r="S2" i="18"/>
  <c r="T2" i="18"/>
  <c r="G3" i="7"/>
  <c r="S4" i="18" s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T4" i="18"/>
  <c r="M3" i="7"/>
  <c r="M4" i="7"/>
  <c r="M5" i="7"/>
  <c r="M6" i="7"/>
  <c r="M7" i="7"/>
  <c r="T6" i="18"/>
  <c r="S3" i="7"/>
  <c r="S4" i="7"/>
  <c r="S5" i="7"/>
  <c r="S6" i="7"/>
  <c r="S7" i="7"/>
  <c r="S8" i="7"/>
  <c r="T8" i="18"/>
  <c r="S8" i="18"/>
  <c r="F2" i="18"/>
  <c r="H2" i="18"/>
  <c r="H4" i="18"/>
  <c r="H8" i="18"/>
  <c r="H10" i="18"/>
  <c r="F4" i="18"/>
  <c r="I4" i="18" s="1"/>
  <c r="J4" i="18" s="1"/>
  <c r="F8" i="18"/>
  <c r="I8" i="18" s="1"/>
  <c r="J8" i="18" s="1"/>
  <c r="AE4" i="7"/>
  <c r="AI4" i="7"/>
  <c r="H7" i="18"/>
  <c r="H11" i="18"/>
  <c r="AI3" i="7"/>
  <c r="F16" i="18"/>
  <c r="I16" i="18" s="1"/>
  <c r="AE3" i="7"/>
  <c r="S14" i="18" s="1"/>
  <c r="F14" i="18"/>
  <c r="N14" i="18" s="1"/>
  <c r="R16" i="18"/>
  <c r="H15" i="18"/>
  <c r="H16" i="18"/>
  <c r="H14" i="18"/>
  <c r="AC5" i="18"/>
  <c r="V6" i="18"/>
  <c r="Y6" i="18" s="1"/>
  <c r="Y5" i="18"/>
  <c r="AB5" i="18"/>
  <c r="AA5" i="18"/>
  <c r="Z5" i="18"/>
  <c r="K6" i="19"/>
  <c r="P3" i="19"/>
  <c r="P2" i="19"/>
  <c r="K5" i="19"/>
  <c r="N6" i="21"/>
  <c r="H6" i="21"/>
  <c r="K6" i="21"/>
  <c r="M6" i="21"/>
  <c r="L6" i="21"/>
  <c r="G2" i="16"/>
  <c r="E2" i="16"/>
  <c r="G9" i="19"/>
  <c r="F8" i="19"/>
  <c r="F11" i="19"/>
  <c r="F40" i="20"/>
  <c r="E40" i="20"/>
  <c r="D40" i="20"/>
  <c r="C40" i="20"/>
  <c r="F39" i="20"/>
  <c r="E39" i="20"/>
  <c r="D39" i="20"/>
  <c r="C39" i="20"/>
  <c r="F33" i="20"/>
  <c r="E33" i="20"/>
  <c r="D33" i="20"/>
  <c r="C33" i="20"/>
  <c r="F32" i="20"/>
  <c r="E32" i="20"/>
  <c r="D32" i="20"/>
  <c r="C32" i="20"/>
  <c r="F26" i="20"/>
  <c r="E26" i="20"/>
  <c r="D26" i="20"/>
  <c r="C26" i="20"/>
  <c r="F25" i="20"/>
  <c r="E25" i="20"/>
  <c r="D25" i="20"/>
  <c r="C25" i="20"/>
  <c r="F19" i="20"/>
  <c r="E19" i="20"/>
  <c r="D19" i="20"/>
  <c r="C19" i="20"/>
  <c r="F18" i="20"/>
  <c r="E18" i="20"/>
  <c r="D18" i="20"/>
  <c r="C18" i="20"/>
  <c r="F11" i="20"/>
  <c r="E11" i="20"/>
  <c r="D11" i="20"/>
  <c r="C11" i="20"/>
  <c r="F10" i="20"/>
  <c r="E10" i="20"/>
  <c r="D10" i="20"/>
  <c r="C10" i="20"/>
  <c r="B10" i="20"/>
  <c r="F9" i="20"/>
  <c r="E9" i="20"/>
  <c r="D9" i="20"/>
  <c r="C9" i="20"/>
  <c r="F8" i="20"/>
  <c r="E8" i="20"/>
  <c r="D8" i="20"/>
  <c r="C8" i="20"/>
  <c r="B8" i="20"/>
  <c r="L7" i="20"/>
  <c r="N7" i="20"/>
  <c r="S5" i="20"/>
  <c r="AG16" i="18"/>
  <c r="AE16" i="18"/>
  <c r="Y16" i="18"/>
  <c r="AG15" i="18"/>
  <c r="AE15" i="18"/>
  <c r="Y15" i="18"/>
  <c r="AG14" i="18"/>
  <c r="AE14" i="18"/>
  <c r="Y14" i="18"/>
  <c r="AG13" i="18"/>
  <c r="AE13" i="18"/>
  <c r="Y13" i="18"/>
  <c r="AG12" i="18"/>
  <c r="AE12" i="18"/>
  <c r="Y12" i="18"/>
  <c r="AG11" i="18"/>
  <c r="AE11" i="18"/>
  <c r="Y11" i="18"/>
  <c r="AG10" i="18"/>
  <c r="AE10" i="18"/>
  <c r="Y10" i="18"/>
  <c r="AG9" i="18"/>
  <c r="AE9" i="18"/>
  <c r="Y9" i="18"/>
  <c r="G8" i="20"/>
  <c r="G10" i="20"/>
  <c r="C12" i="18"/>
  <c r="C13" i="18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S3" i="20"/>
  <c r="E11" i="21"/>
  <c r="M33" i="20"/>
  <c r="K8" i="22"/>
  <c r="C10" i="21"/>
  <c r="D10" i="21"/>
  <c r="D5" i="21"/>
  <c r="E5" i="21"/>
  <c r="Q6" i="20"/>
  <c r="C5" i="21"/>
  <c r="L22" i="20"/>
  <c r="E22" i="20"/>
  <c r="M22" i="20"/>
  <c r="D22" i="20"/>
  <c r="B7" i="19"/>
  <c r="F3" i="19"/>
  <c r="B9" i="19"/>
  <c r="B10" i="19"/>
  <c r="F4" i="19"/>
  <c r="F5" i="19"/>
  <c r="C4" i="21"/>
  <c r="C8" i="21"/>
  <c r="E8" i="21"/>
  <c r="E4" i="21"/>
  <c r="F15" i="19"/>
  <c r="B21" i="19"/>
  <c r="B22" i="19"/>
  <c r="F16" i="19"/>
  <c r="F17" i="19"/>
  <c r="G7" i="16"/>
  <c r="K7" i="16"/>
  <c r="M7" i="16"/>
  <c r="G9" i="16"/>
  <c r="K9" i="16"/>
  <c r="M9" i="16"/>
  <c r="G28" i="16"/>
  <c r="K28" i="16"/>
  <c r="M28" i="16"/>
  <c r="F36" i="16"/>
  <c r="J36" i="16" s="1"/>
  <c r="L36" i="16" s="1"/>
  <c r="F24" i="16"/>
  <c r="J24" i="16" s="1"/>
  <c r="L24" i="16" s="1"/>
  <c r="G26" i="16"/>
  <c r="K26" i="16"/>
  <c r="M26" i="16"/>
  <c r="G31" i="16"/>
  <c r="K31" i="16"/>
  <c r="M31" i="16"/>
  <c r="F29" i="16"/>
  <c r="J29" i="16" s="1"/>
  <c r="L29" i="16" s="1"/>
  <c r="F25" i="16"/>
  <c r="J25" i="16" s="1"/>
  <c r="L25" i="16" s="1"/>
  <c r="G23" i="16"/>
  <c r="K23" i="16"/>
  <c r="M23" i="16"/>
  <c r="F30" i="16"/>
  <c r="J30" i="16" s="1"/>
  <c r="L30" i="16" s="1"/>
  <c r="G27" i="16"/>
  <c r="K27" i="16"/>
  <c r="M27" i="16"/>
  <c r="F28" i="16"/>
  <c r="J28" i="16" s="1"/>
  <c r="L28" i="16" s="1"/>
  <c r="F10" i="16"/>
  <c r="J10" i="16" s="1"/>
  <c r="L10" i="16" s="1"/>
  <c r="F19" i="16"/>
  <c r="J19" i="16" s="1"/>
  <c r="L19" i="16" s="1"/>
  <c r="F31" i="16"/>
  <c r="J31" i="16" s="1"/>
  <c r="L31" i="16" s="1"/>
  <c r="F11" i="16"/>
  <c r="J11" i="16" s="1"/>
  <c r="L11" i="16" s="1"/>
  <c r="G36" i="16"/>
  <c r="K36" i="16"/>
  <c r="M36" i="16"/>
  <c r="F8" i="16"/>
  <c r="J8" i="16" s="1"/>
  <c r="L8" i="16" s="1"/>
  <c r="G34" i="16"/>
  <c r="K34" i="16"/>
  <c r="M34" i="16"/>
  <c r="F32" i="16"/>
  <c r="J32" i="16" s="1"/>
  <c r="L32" i="16" s="1"/>
  <c r="F35" i="16"/>
  <c r="J35" i="16" s="1"/>
  <c r="L35" i="16" s="1"/>
  <c r="F14" i="16"/>
  <c r="J14" i="16" s="1"/>
  <c r="L14" i="16" s="1"/>
  <c r="F38" i="16"/>
  <c r="J38" i="16" s="1"/>
  <c r="L38" i="16" s="1"/>
  <c r="G35" i="16"/>
  <c r="K35" i="16"/>
  <c r="M35" i="16"/>
  <c r="G22" i="16"/>
  <c r="K22" i="16"/>
  <c r="M22" i="16"/>
  <c r="G17" i="16"/>
  <c r="K17" i="16"/>
  <c r="M17" i="16"/>
  <c r="G13" i="16"/>
  <c r="K13" i="16"/>
  <c r="M13" i="16"/>
  <c r="G16" i="16"/>
  <c r="K16" i="16"/>
  <c r="M16" i="16"/>
  <c r="G19" i="16"/>
  <c r="K19" i="16"/>
  <c r="M19" i="16"/>
  <c r="G10" i="16"/>
  <c r="K10" i="16"/>
  <c r="M10" i="16"/>
  <c r="G15" i="16"/>
  <c r="K15" i="16"/>
  <c r="M15" i="16"/>
  <c r="G41" i="16"/>
  <c r="K41" i="16"/>
  <c r="M41" i="16"/>
  <c r="G30" i="16"/>
  <c r="K30" i="16"/>
  <c r="M30" i="16"/>
  <c r="G38" i="16"/>
  <c r="K38" i="16"/>
  <c r="M38" i="16"/>
  <c r="F42" i="16"/>
  <c r="J42" i="16" s="1"/>
  <c r="L42" i="16" s="1"/>
  <c r="G33" i="16"/>
  <c r="K33" i="16"/>
  <c r="M33" i="16"/>
  <c r="F13" i="16"/>
  <c r="J13" i="16" s="1"/>
  <c r="L13" i="16" s="1"/>
  <c r="F16" i="16"/>
  <c r="J16" i="16" s="1"/>
  <c r="L16" i="16" s="1"/>
  <c r="F23" i="16"/>
  <c r="J23" i="16" s="1"/>
  <c r="L23" i="16" s="1"/>
  <c r="G11" i="16"/>
  <c r="K11" i="16"/>
  <c r="M11" i="16"/>
  <c r="F17" i="16"/>
  <c r="J17" i="16" s="1"/>
  <c r="L17" i="16" s="1"/>
  <c r="F26" i="16"/>
  <c r="J26" i="16" s="1"/>
  <c r="L26" i="16" s="1"/>
  <c r="G42" i="16"/>
  <c r="K42" i="16"/>
  <c r="M42" i="16"/>
  <c r="F39" i="16"/>
  <c r="J39" i="16" s="1"/>
  <c r="L39" i="16" s="1"/>
  <c r="F12" i="16"/>
  <c r="J12" i="16" s="1"/>
  <c r="L12" i="16" s="1"/>
  <c r="F18" i="16"/>
  <c r="J18" i="16" s="1"/>
  <c r="L18" i="16" s="1"/>
  <c r="F27" i="16"/>
  <c r="J27" i="16" s="1"/>
  <c r="L27" i="16" s="1"/>
  <c r="G32" i="16"/>
  <c r="K32" i="16"/>
  <c r="M32" i="16"/>
  <c r="F33" i="16"/>
  <c r="J33" i="16" s="1"/>
  <c r="L33" i="16" s="1"/>
  <c r="G24" i="16"/>
  <c r="K24" i="16"/>
  <c r="M24" i="16"/>
  <c r="G12" i="16"/>
  <c r="K12" i="16"/>
  <c r="M12" i="16"/>
  <c r="G39" i="16"/>
  <c r="K39" i="16"/>
  <c r="M39" i="16"/>
  <c r="G21" i="16"/>
  <c r="K21" i="16"/>
  <c r="M21" i="16"/>
  <c r="F34" i="16"/>
  <c r="J34" i="16" s="1"/>
  <c r="L34" i="16" s="1"/>
  <c r="F20" i="16"/>
  <c r="J20" i="16" s="1"/>
  <c r="L20" i="16" s="1"/>
  <c r="G25" i="16"/>
  <c r="K25" i="16"/>
  <c r="M25" i="16"/>
  <c r="G8" i="16"/>
  <c r="K8" i="16"/>
  <c r="M8" i="16"/>
  <c r="G14" i="16"/>
  <c r="K14" i="16"/>
  <c r="M14" i="16"/>
  <c r="F21" i="16"/>
  <c r="J21" i="16" s="1"/>
  <c r="L21" i="16" s="1"/>
  <c r="G29" i="16"/>
  <c r="K29" i="16"/>
  <c r="M29" i="16"/>
  <c r="F9" i="16"/>
  <c r="J9" i="16" s="1"/>
  <c r="L9" i="16" s="1"/>
  <c r="F37" i="16"/>
  <c r="J37" i="16" s="1"/>
  <c r="L37" i="16" s="1"/>
  <c r="L24" i="20"/>
  <c r="S6" i="18"/>
  <c r="K16" i="22"/>
  <c r="O22" i="20"/>
  <c r="E3" i="21"/>
  <c r="D3" i="21"/>
  <c r="G65" i="16"/>
  <c r="K65" i="16"/>
  <c r="M65" i="16"/>
  <c r="G60" i="16"/>
  <c r="K60" i="16"/>
  <c r="M60" i="16"/>
  <c r="F56" i="16"/>
  <c r="J56" i="16" s="1"/>
  <c r="L56" i="16" s="1"/>
  <c r="F65" i="16"/>
  <c r="J65" i="16" s="1"/>
  <c r="L65" i="16" s="1"/>
  <c r="F60" i="16"/>
  <c r="J60" i="16" s="1"/>
  <c r="L60" i="16" s="1"/>
  <c r="G55" i="16"/>
  <c r="K55" i="16"/>
  <c r="M55" i="16"/>
  <c r="G59" i="16"/>
  <c r="K59" i="16"/>
  <c r="M59" i="16"/>
  <c r="G64" i="16"/>
  <c r="K64" i="16"/>
  <c r="M64" i="16"/>
  <c r="F55" i="16"/>
  <c r="J55" i="16" s="1"/>
  <c r="L55" i="16" s="1"/>
  <c r="F64" i="16"/>
  <c r="J64" i="16" s="1"/>
  <c r="L64" i="16" s="1"/>
  <c r="F59" i="16"/>
  <c r="J59" i="16" s="1"/>
  <c r="L59" i="16" s="1"/>
  <c r="G54" i="16"/>
  <c r="K54" i="16"/>
  <c r="M54" i="16"/>
  <c r="F63" i="16"/>
  <c r="J63" i="16" s="1"/>
  <c r="L63" i="16" s="1"/>
  <c r="G58" i="16"/>
  <c r="K58" i="16"/>
  <c r="M58" i="16"/>
  <c r="G53" i="16"/>
  <c r="K53" i="16"/>
  <c r="M53" i="16"/>
  <c r="G63" i="16"/>
  <c r="K63" i="16"/>
  <c r="M63" i="16"/>
  <c r="F54" i="16"/>
  <c r="J54" i="16" s="1"/>
  <c r="L54" i="16" s="1"/>
  <c r="G62" i="16"/>
  <c r="K62" i="16"/>
  <c r="M62" i="16"/>
  <c r="F57" i="16"/>
  <c r="J57" i="16" s="1"/>
  <c r="L57" i="16" s="1"/>
  <c r="F61" i="16"/>
  <c r="J61" i="16" s="1"/>
  <c r="L61" i="16" s="1"/>
  <c r="F62" i="16"/>
  <c r="J62" i="16"/>
  <c r="L62" i="16" s="1"/>
  <c r="F58" i="16"/>
  <c r="J58" i="16"/>
  <c r="L58" i="16" s="1"/>
  <c r="F53" i="16"/>
  <c r="J53" i="16" s="1"/>
  <c r="L53" i="16" s="1"/>
  <c r="G61" i="16"/>
  <c r="K61" i="16"/>
  <c r="M61" i="16"/>
  <c r="G56" i="16"/>
  <c r="K56" i="16"/>
  <c r="M56" i="16"/>
  <c r="G57" i="16"/>
  <c r="K57" i="16"/>
  <c r="M57" i="16"/>
  <c r="F49" i="16"/>
  <c r="J49" i="16" s="1"/>
  <c r="L49" i="16" s="1"/>
  <c r="G49" i="16"/>
  <c r="K49" i="16"/>
  <c r="M49" i="16"/>
  <c r="F50" i="16"/>
  <c r="J50" i="16" s="1"/>
  <c r="L50" i="16" s="1"/>
  <c r="G52" i="16"/>
  <c r="K52" i="16"/>
  <c r="M52" i="16"/>
  <c r="F22" i="16"/>
  <c r="J22" i="16" s="1"/>
  <c r="L22" i="16" s="1"/>
  <c r="G44" i="16"/>
  <c r="K44" i="16"/>
  <c r="M44" i="16"/>
  <c r="G46" i="16"/>
  <c r="K46" i="16"/>
  <c r="M46" i="16"/>
  <c r="F43" i="16"/>
  <c r="J43" i="16" s="1"/>
  <c r="L43" i="16" s="1"/>
  <c r="G50" i="16"/>
  <c r="K50" i="16"/>
  <c r="M50" i="16"/>
  <c r="G48" i="16"/>
  <c r="K48" i="16"/>
  <c r="M48" i="16"/>
  <c r="N5" i="19"/>
  <c r="F24" i="20"/>
  <c r="E24" i="20"/>
  <c r="M24" i="20"/>
  <c r="C6" i="9"/>
  <c r="Q7" i="20"/>
  <c r="S7" i="20"/>
  <c r="S16" i="18"/>
  <c r="C24" i="20"/>
  <c r="G24" i="20"/>
  <c r="K24" i="20"/>
  <c r="O24" i="20"/>
  <c r="P24" i="20"/>
  <c r="F69" i="16"/>
  <c r="J69" i="16" s="1"/>
  <c r="L69" i="16" s="1"/>
  <c r="G69" i="16"/>
  <c r="K69" i="16"/>
  <c r="M69" i="16"/>
  <c r="F22" i="20"/>
  <c r="G22" i="20"/>
  <c r="P22" i="20"/>
  <c r="G70" i="16"/>
  <c r="K70" i="16"/>
  <c r="M70" i="16"/>
  <c r="F48" i="16"/>
  <c r="J48" i="16" s="1"/>
  <c r="L48" i="16" s="1"/>
  <c r="F10" i="19"/>
  <c r="F12" i="19"/>
  <c r="C7" i="9"/>
  <c r="F17" i="20"/>
  <c r="D17" i="20"/>
  <c r="F29" i="20"/>
  <c r="C29" i="20"/>
  <c r="D36" i="20"/>
  <c r="F15" i="20"/>
  <c r="E31" i="20"/>
  <c r="E38" i="20"/>
  <c r="T7" i="20"/>
  <c r="F36" i="20"/>
  <c r="N3" i="20"/>
  <c r="N5" i="20"/>
  <c r="F38" i="20"/>
  <c r="C36" i="20"/>
  <c r="R7" i="20"/>
  <c r="D15" i="20"/>
  <c r="C31" i="20"/>
  <c r="E36" i="20"/>
  <c r="E17" i="20"/>
  <c r="D29" i="20"/>
  <c r="E29" i="20"/>
  <c r="G29" i="20"/>
  <c r="D38" i="20"/>
  <c r="R6" i="20"/>
  <c r="C15" i="20"/>
  <c r="F31" i="20"/>
  <c r="E15" i="20"/>
  <c r="D31" i="20"/>
  <c r="T6" i="20"/>
  <c r="C38" i="20"/>
  <c r="C17" i="20"/>
  <c r="G17" i="20"/>
  <c r="G38" i="20"/>
  <c r="P3" i="20"/>
  <c r="M15" i="20"/>
  <c r="Q3" i="20"/>
  <c r="T3" i="20"/>
  <c r="K15" i="20"/>
  <c r="L15" i="20"/>
  <c r="N15" i="20"/>
  <c r="O15" i="20"/>
  <c r="R3" i="20"/>
  <c r="O3" i="20"/>
  <c r="G15" i="20"/>
  <c r="G36" i="20"/>
  <c r="G31" i="20"/>
  <c r="N17" i="20"/>
  <c r="Q5" i="20"/>
  <c r="T5" i="20"/>
  <c r="K17" i="20"/>
  <c r="L17" i="20"/>
  <c r="M17" i="20"/>
  <c r="O17" i="20"/>
  <c r="P17" i="20"/>
  <c r="P5" i="20"/>
  <c r="O5" i="20"/>
  <c r="R5" i="20"/>
  <c r="N38" i="20"/>
  <c r="K38" i="20"/>
  <c r="L38" i="20"/>
  <c r="M38" i="20"/>
  <c r="O38" i="20"/>
  <c r="P38" i="20"/>
  <c r="P15" i="20"/>
  <c r="K36" i="20"/>
  <c r="L36" i="20"/>
  <c r="M36" i="20"/>
  <c r="N36" i="20"/>
  <c r="O36" i="20"/>
  <c r="P36" i="20"/>
  <c r="K29" i="20"/>
  <c r="N29" i="20"/>
  <c r="M29" i="20"/>
  <c r="L29" i="20"/>
  <c r="M31" i="20"/>
  <c r="L31" i="20"/>
  <c r="K31" i="20"/>
  <c r="N31" i="20"/>
  <c r="O31" i="20"/>
  <c r="P31" i="20"/>
  <c r="O29" i="20"/>
  <c r="P29" i="20"/>
  <c r="K7" i="21"/>
  <c r="L7" i="21"/>
  <c r="M7" i="21"/>
  <c r="N7" i="21"/>
  <c r="B11" i="21"/>
  <c r="F13" i="21"/>
  <c r="E13" i="21"/>
  <c r="E7" i="21"/>
  <c r="C13" i="21"/>
  <c r="B13" i="21"/>
  <c r="D13" i="21"/>
  <c r="I65" i="16"/>
  <c r="I67" i="16"/>
  <c r="E10" i="16"/>
  <c r="H51" i="16"/>
  <c r="E18" i="16"/>
  <c r="E12" i="16"/>
  <c r="H39" i="16"/>
  <c r="H20" i="16"/>
  <c r="E66" i="16"/>
  <c r="E61" i="16"/>
  <c r="D51" i="16"/>
  <c r="H63" i="16"/>
  <c r="D73" i="16"/>
  <c r="I27" i="16"/>
  <c r="E38" i="16"/>
  <c r="I68" i="16"/>
  <c r="H43" i="16"/>
  <c r="H8" i="16"/>
  <c r="H61" i="16"/>
  <c r="H40" i="16"/>
  <c r="H55" i="16"/>
  <c r="E40" i="16"/>
  <c r="H48" i="16"/>
  <c r="E14" i="16"/>
  <c r="H38" i="16"/>
  <c r="D18" i="16"/>
  <c r="I26" i="16"/>
  <c r="E57" i="16"/>
  <c r="I48" i="16"/>
  <c r="D53" i="16"/>
  <c r="I64" i="16"/>
  <c r="E41" i="16"/>
  <c r="D66" i="16"/>
  <c r="E33" i="16"/>
  <c r="D17" i="16"/>
  <c r="E48" i="16"/>
  <c r="I54" i="16"/>
  <c r="I41" i="16"/>
  <c r="D45" i="16"/>
  <c r="I13" i="16"/>
  <c r="I52" i="16"/>
  <c r="E43" i="16"/>
  <c r="I40" i="16"/>
  <c r="E47" i="16"/>
  <c r="H69" i="16"/>
  <c r="H41" i="16"/>
  <c r="I53" i="16"/>
  <c r="E52" i="16"/>
  <c r="I17" i="16"/>
  <c r="D72" i="16"/>
  <c r="H47" i="16"/>
  <c r="E54" i="16"/>
  <c r="D47" i="16"/>
  <c r="I10" i="16"/>
  <c r="E46" i="16"/>
  <c r="E49" i="16"/>
  <c r="D49" i="16"/>
  <c r="H42" i="16"/>
  <c r="H44" i="16"/>
  <c r="E30" i="16"/>
  <c r="D35" i="16"/>
  <c r="E64" i="16"/>
  <c r="I44" i="16"/>
  <c r="E70" i="16"/>
  <c r="E74" i="16"/>
  <c r="I23" i="16"/>
  <c r="E71" i="16"/>
  <c r="D9" i="16"/>
  <c r="I32" i="16"/>
  <c r="D19" i="16"/>
  <c r="I22" i="16"/>
  <c r="D48" i="16"/>
  <c r="I69" i="16"/>
  <c r="H34" i="16"/>
  <c r="E60" i="16"/>
  <c r="E44" i="16"/>
  <c r="I70" i="16"/>
  <c r="H31" i="16"/>
  <c r="H70" i="16"/>
  <c r="D27" i="16"/>
  <c r="I25" i="16"/>
  <c r="I42" i="16"/>
  <c r="D13" i="16"/>
  <c r="I8" i="16"/>
  <c r="I73" i="16"/>
  <c r="D67" i="16"/>
  <c r="H13" i="16"/>
  <c r="D29" i="16"/>
  <c r="E23" i="16"/>
  <c r="I49" i="16"/>
  <c r="D68" i="16"/>
  <c r="D55" i="16"/>
  <c r="H18" i="16"/>
  <c r="D41" i="16"/>
  <c r="H71" i="16"/>
  <c r="H11" i="16"/>
  <c r="E73" i="16"/>
  <c r="E63" i="16"/>
  <c r="E59" i="16"/>
  <c r="E53" i="16"/>
  <c r="D58" i="16"/>
  <c r="H60" i="16"/>
  <c r="D23" i="16"/>
  <c r="I31" i="16"/>
  <c r="I38" i="16"/>
  <c r="D59" i="16"/>
  <c r="I19" i="16"/>
  <c r="H53" i="16"/>
  <c r="H19" i="16"/>
  <c r="E35" i="16"/>
  <c r="E31" i="16"/>
  <c r="H12" i="16"/>
  <c r="D71" i="16"/>
  <c r="I74" i="16"/>
  <c r="E62" i="16"/>
  <c r="E37" i="16"/>
  <c r="D21" i="16"/>
  <c r="H49" i="16"/>
  <c r="H62" i="16"/>
  <c r="E9" i="16"/>
  <c r="H27" i="16"/>
  <c r="D46" i="16"/>
  <c r="D34" i="16"/>
  <c r="D57" i="16"/>
  <c r="H35" i="16"/>
  <c r="E39" i="16"/>
  <c r="H58" i="16"/>
  <c r="E32" i="16"/>
  <c r="E29" i="16"/>
  <c r="I45" i="16"/>
  <c r="D31" i="16"/>
  <c r="I39" i="16"/>
  <c r="E16" i="16"/>
  <c r="H25" i="16"/>
  <c r="D42" i="16"/>
  <c r="I50" i="16"/>
  <c r="I29" i="16"/>
  <c r="E19" i="16"/>
  <c r="E34" i="16"/>
  <c r="D10" i="16"/>
  <c r="D38" i="16"/>
  <c r="H16" i="16"/>
  <c r="D14" i="16"/>
  <c r="D63" i="16"/>
  <c r="E27" i="16"/>
  <c r="I36" i="16"/>
  <c r="D61" i="16"/>
  <c r="I30" i="16"/>
  <c r="E42" i="16"/>
  <c r="E22" i="16"/>
  <c r="H72" i="16"/>
  <c r="I12" i="16"/>
  <c r="I60" i="16"/>
  <c r="E50" i="16"/>
  <c r="I18" i="16"/>
  <c r="E68" i="16"/>
  <c r="D65" i="16"/>
  <c r="E69" i="16"/>
  <c r="D56" i="16"/>
  <c r="I21" i="16"/>
  <c r="H30" i="16"/>
  <c r="E20" i="16"/>
  <c r="I46" i="16"/>
  <c r="D40" i="16"/>
  <c r="I43" i="16"/>
  <c r="E8" i="16"/>
  <c r="I24" i="16"/>
  <c r="H64" i="16"/>
  <c r="E67" i="16"/>
  <c r="D69" i="16"/>
  <c r="E28" i="16"/>
  <c r="I9" i="16"/>
  <c r="H65" i="16"/>
  <c r="H32" i="16"/>
  <c r="I57" i="16"/>
  <c r="D36" i="16"/>
  <c r="E36" i="16"/>
  <c r="H14" i="16"/>
  <c r="H68" i="16"/>
  <c r="H15" i="16"/>
  <c r="D16" i="16"/>
  <c r="D39" i="16"/>
  <c r="I11" i="16"/>
  <c r="D24" i="16"/>
  <c r="H23" i="16"/>
  <c r="E24" i="16"/>
  <c r="I62" i="16"/>
  <c r="I7" i="16"/>
  <c r="H46" i="16"/>
  <c r="H9" i="16"/>
  <c r="D22" i="16"/>
  <c r="I37" i="16"/>
  <c r="D44" i="16"/>
  <c r="H74" i="16"/>
  <c r="H67" i="16"/>
  <c r="E72" i="16"/>
  <c r="D32" i="16"/>
  <c r="H29" i="16"/>
  <c r="I16" i="16"/>
  <c r="I28" i="16"/>
  <c r="D50" i="16"/>
  <c r="E55" i="16"/>
  <c r="I58" i="16"/>
  <c r="D15" i="16"/>
  <c r="E17" i="16"/>
  <c r="D8" i="16"/>
  <c r="H73" i="16"/>
  <c r="H17" i="16"/>
  <c r="D37" i="16"/>
  <c r="I66" i="16"/>
  <c r="I47" i="16"/>
  <c r="D25" i="16"/>
  <c r="D52" i="16"/>
  <c r="E51" i="16"/>
  <c r="I61" i="16"/>
  <c r="H10" i="16"/>
  <c r="H56" i="16"/>
  <c r="D30" i="16"/>
  <c r="E11" i="16"/>
  <c r="H28" i="16"/>
  <c r="D12" i="16"/>
  <c r="D33" i="16"/>
  <c r="I35" i="16"/>
  <c r="D70" i="16"/>
  <c r="E21" i="16"/>
  <c r="E26" i="16"/>
  <c r="D20" i="16"/>
  <c r="E13" i="16"/>
  <c r="H24" i="16"/>
  <c r="I71" i="16"/>
  <c r="H37" i="16"/>
  <c r="I14" i="16"/>
  <c r="E58" i="16"/>
  <c r="E25" i="16"/>
  <c r="H54" i="16"/>
  <c r="D26" i="16"/>
  <c r="E65" i="16"/>
  <c r="H22" i="16"/>
  <c r="D7" i="16"/>
  <c r="I20" i="16"/>
  <c r="D64" i="16"/>
  <c r="E45" i="16"/>
  <c r="E56" i="16"/>
  <c r="H21" i="16"/>
  <c r="D43" i="16"/>
  <c r="E7" i="16"/>
  <c r="I56" i="16"/>
  <c r="H50" i="16"/>
  <c r="H26" i="16"/>
  <c r="D60" i="16"/>
  <c r="H66" i="16"/>
  <c r="I55" i="16"/>
  <c r="I59" i="16"/>
  <c r="H59" i="16"/>
  <c r="I34" i="16"/>
  <c r="I51" i="16"/>
  <c r="I33" i="16"/>
  <c r="H36" i="16"/>
  <c r="E15" i="16"/>
  <c r="D74" i="16"/>
  <c r="H45" i="16"/>
  <c r="I15" i="16"/>
  <c r="D11" i="16"/>
  <c r="H52" i="16"/>
  <c r="D54" i="16"/>
  <c r="I72" i="16"/>
  <c r="H33" i="16"/>
  <c r="H57" i="16"/>
  <c r="I63" i="16"/>
  <c r="D62" i="16"/>
  <c r="D28" i="16"/>
  <c r="H7" i="16"/>
  <c r="H12" i="18" l="1"/>
  <c r="N2" i="18"/>
  <c r="I2" i="18"/>
  <c r="N10" i="18"/>
  <c r="I10" i="18"/>
  <c r="J10" i="18" s="1"/>
  <c r="N11" i="18"/>
  <c r="G11" i="18" s="1"/>
  <c r="O11" i="18" s="1"/>
  <c r="I11" i="18"/>
  <c r="J11" i="18" s="1"/>
  <c r="N6" i="18"/>
  <c r="G6" i="18" s="1"/>
  <c r="O6" i="18" s="1"/>
  <c r="I6" i="18"/>
  <c r="J6" i="18" s="1"/>
  <c r="N9" i="18"/>
  <c r="P9" i="18" s="1"/>
  <c r="I9" i="18"/>
  <c r="J9" i="18" s="1"/>
  <c r="N5" i="18"/>
  <c r="P5" i="18" s="1"/>
  <c r="I5" i="18"/>
  <c r="J5" i="18" s="1"/>
  <c r="N7" i="18"/>
  <c r="G7" i="18" s="1"/>
  <c r="O7" i="18" s="1"/>
  <c r="AA11" i="18"/>
  <c r="AA14" i="18"/>
  <c r="AA9" i="18"/>
  <c r="AA12" i="18"/>
  <c r="AA15" i="18"/>
  <c r="AA10" i="18"/>
  <c r="AA13" i="18"/>
  <c r="H13" i="18"/>
  <c r="F13" i="18"/>
  <c r="G14" i="18"/>
  <c r="O14" i="18" s="1"/>
  <c r="I15" i="18"/>
  <c r="G15" i="18"/>
  <c r="O15" i="18" s="1"/>
  <c r="N16" i="18"/>
  <c r="G16" i="18" s="1"/>
  <c r="O16" i="18" s="1"/>
  <c r="I14" i="18"/>
  <c r="N8" i="18"/>
  <c r="G8" i="18" s="1"/>
  <c r="O8" i="18" s="1"/>
  <c r="P14" i="18"/>
  <c r="R14" i="18" s="1"/>
  <c r="P15" i="18"/>
  <c r="R15" i="18" s="1"/>
  <c r="T12" i="18"/>
  <c r="S12" i="18" s="1"/>
  <c r="T13" i="18"/>
  <c r="S13" i="18" s="1"/>
  <c r="AC6" i="18"/>
  <c r="Z6" i="18"/>
  <c r="AA6" i="18"/>
  <c r="AB6" i="18"/>
  <c r="P4" i="20"/>
  <c r="O4" i="20"/>
  <c r="C5" i="20"/>
  <c r="C30" i="20" s="1"/>
  <c r="R4" i="20"/>
  <c r="J21" i="22"/>
  <c r="J23" i="22" s="1"/>
  <c r="J5" i="22" s="1"/>
  <c r="F5" i="20"/>
  <c r="N23" i="20" s="1"/>
  <c r="D5" i="20"/>
  <c r="D16" i="20" s="1"/>
  <c r="E5" i="20"/>
  <c r="E30" i="20" s="1"/>
  <c r="C37" i="20"/>
  <c r="Q4" i="20"/>
  <c r="T4" i="20" s="1"/>
  <c r="O47" i="16"/>
  <c r="N34" i="16"/>
  <c r="O32" i="16"/>
  <c r="N14" i="16"/>
  <c r="O35" i="16"/>
  <c r="N61" i="16"/>
  <c r="O10" i="16"/>
  <c r="N27" i="16"/>
  <c r="N50" i="16"/>
  <c r="O52" i="16"/>
  <c r="N69" i="16"/>
  <c r="O23" i="16"/>
  <c r="O41" i="16"/>
  <c r="N59" i="16"/>
  <c r="N38" i="16"/>
  <c r="O22" i="16"/>
  <c r="N46" i="16"/>
  <c r="O57" i="16"/>
  <c r="O71" i="16"/>
  <c r="N74" i="16"/>
  <c r="N73" i="16"/>
  <c r="O34" i="16"/>
  <c r="O24" i="16"/>
  <c r="O56" i="16"/>
  <c r="O14" i="16"/>
  <c r="N58" i="16"/>
  <c r="O72" i="16"/>
  <c r="O13" i="16"/>
  <c r="N60" i="16"/>
  <c r="O11" i="16"/>
  <c r="N71" i="16"/>
  <c r="O45" i="16"/>
  <c r="N12" i="16"/>
  <c r="O39" i="16"/>
  <c r="N19" i="16"/>
  <c r="N21" i="16"/>
  <c r="O69" i="16"/>
  <c r="O25" i="16"/>
  <c r="O59" i="16"/>
  <c r="N67" i="16"/>
  <c r="O38" i="16"/>
  <c r="O49" i="16"/>
  <c r="O74" i="16"/>
  <c r="O29" i="16"/>
  <c r="N45" i="16"/>
  <c r="N53" i="16"/>
  <c r="N11" i="16"/>
  <c r="N8" i="16"/>
  <c r="N70" i="16"/>
  <c r="O65" i="16"/>
  <c r="N20" i="16"/>
  <c r="N16" i="16"/>
  <c r="N55" i="16"/>
  <c r="N33" i="16"/>
  <c r="N65" i="16"/>
  <c r="O27" i="16"/>
  <c r="N57" i="16"/>
  <c r="O48" i="16"/>
  <c r="N66" i="16"/>
  <c r="N52" i="16"/>
  <c r="N41" i="16"/>
  <c r="N24" i="16"/>
  <c r="N17" i="16"/>
  <c r="N25" i="16"/>
  <c r="N18" i="16"/>
  <c r="N51" i="16"/>
  <c r="O62" i="16"/>
  <c r="N72" i="16"/>
  <c r="N9" i="16"/>
  <c r="O9" i="16"/>
  <c r="O31" i="16"/>
  <c r="N35" i="16"/>
  <c r="O26" i="16"/>
  <c r="O61" i="16"/>
  <c r="N64" i="16"/>
  <c r="N44" i="16"/>
  <c r="O55" i="16"/>
  <c r="O15" i="16"/>
  <c r="N68" i="16"/>
  <c r="N10" i="16"/>
  <c r="N47" i="16"/>
  <c r="N32" i="16"/>
  <c r="O37" i="16"/>
  <c r="O54" i="16"/>
  <c r="O68" i="16"/>
  <c r="N39" i="16"/>
  <c r="O66" i="16"/>
  <c r="N54" i="16"/>
  <c r="N22" i="16"/>
  <c r="O40" i="16"/>
  <c r="O33" i="16"/>
  <c r="O60" i="16"/>
  <c r="N43" i="16"/>
  <c r="N13" i="16"/>
  <c r="O58" i="16"/>
  <c r="O18" i="16"/>
  <c r="O28" i="16"/>
  <c r="N49" i="16"/>
  <c r="N15" i="16"/>
  <c r="N36" i="16"/>
  <c r="N62" i="16"/>
  <c r="O44" i="16"/>
  <c r="O8" i="16"/>
  <c r="O73" i="16"/>
  <c r="O20" i="16"/>
  <c r="O63" i="16"/>
  <c r="O30" i="16"/>
  <c r="O50" i="16"/>
  <c r="O51" i="16"/>
  <c r="O36" i="16"/>
  <c r="N26" i="16"/>
  <c r="O19" i="16"/>
  <c r="N31" i="16"/>
  <c r="O43" i="16"/>
  <c r="O17" i="16"/>
  <c r="O46" i="16"/>
  <c r="O12" i="16"/>
  <c r="N56" i="16"/>
  <c r="O42" i="16"/>
  <c r="O21" i="16"/>
  <c r="O16" i="16"/>
  <c r="N42" i="16"/>
  <c r="N28" i="16"/>
  <c r="N40" i="16"/>
  <c r="N37" i="16"/>
  <c r="O64" i="16"/>
  <c r="N23" i="16"/>
  <c r="O7" i="16"/>
  <c r="N29" i="16"/>
  <c r="N63" i="16"/>
  <c r="O70" i="16"/>
  <c r="N7" i="16"/>
  <c r="N30" i="16"/>
  <c r="N48" i="16"/>
  <c r="O67" i="16"/>
  <c r="O53" i="16"/>
  <c r="P2" i="18"/>
  <c r="G2" i="18"/>
  <c r="P10" i="18"/>
  <c r="G10" i="18"/>
  <c r="O10" i="18" s="1"/>
  <c r="F12" i="18"/>
  <c r="N3" i="18"/>
  <c r="N4" i="18"/>
  <c r="P11" i="18" l="1"/>
  <c r="G9" i="18"/>
  <c r="O9" i="18" s="1"/>
  <c r="P6" i="18"/>
  <c r="K5" i="18"/>
  <c r="G5" i="18"/>
  <c r="O5" i="18" s="1"/>
  <c r="J2" i="18"/>
  <c r="K2" i="18"/>
  <c r="P7" i="18"/>
  <c r="K3" i="18"/>
  <c r="P16" i="18"/>
  <c r="K4" i="18"/>
  <c r="P8" i="18"/>
  <c r="Q8" i="18"/>
  <c r="R8" i="18" s="1"/>
  <c r="Q6" i="18"/>
  <c r="R6" i="18" s="1"/>
  <c r="Q10" i="18"/>
  <c r="R10" i="18" s="1"/>
  <c r="Q2" i="18"/>
  <c r="R2" i="18" s="1"/>
  <c r="Q7" i="18"/>
  <c r="R7" i="18" s="1"/>
  <c r="Q5" i="18"/>
  <c r="R5" i="18" s="1"/>
  <c r="Q9" i="18"/>
  <c r="R9" i="18" s="1"/>
  <c r="Q11" i="18"/>
  <c r="R11" i="18" s="1"/>
  <c r="L30" i="20"/>
  <c r="D30" i="20"/>
  <c r="L23" i="20"/>
  <c r="L37" i="20"/>
  <c r="K3" i="22"/>
  <c r="L16" i="20"/>
  <c r="D37" i="20"/>
  <c r="D23" i="20"/>
  <c r="E37" i="20"/>
  <c r="M30" i="20"/>
  <c r="M16" i="20"/>
  <c r="M23" i="20"/>
  <c r="F30" i="20"/>
  <c r="F37" i="20"/>
  <c r="E23" i="20"/>
  <c r="F16" i="20"/>
  <c r="F23" i="20"/>
  <c r="K37" i="20"/>
  <c r="K23" i="20"/>
  <c r="K30" i="20"/>
  <c r="K16" i="20"/>
  <c r="N37" i="20"/>
  <c r="C23" i="20"/>
  <c r="N30" i="20"/>
  <c r="C16" i="20"/>
  <c r="N16" i="20"/>
  <c r="O16" i="20" s="1"/>
  <c r="E16" i="20"/>
  <c r="J3" i="22"/>
  <c r="K5" i="22"/>
  <c r="J4" i="22"/>
  <c r="K4" i="22"/>
  <c r="M37" i="20"/>
  <c r="K9" i="18"/>
  <c r="J13" i="18"/>
  <c r="I13" i="18"/>
  <c r="Q4" i="18"/>
  <c r="R4" i="18" s="1"/>
  <c r="P4" i="18"/>
  <c r="G4" i="18"/>
  <c r="O4" i="18" s="1"/>
  <c r="O2" i="18"/>
  <c r="K6" i="18"/>
  <c r="N12" i="18"/>
  <c r="Q3" i="18"/>
  <c r="R3" i="18" s="1"/>
  <c r="P3" i="18"/>
  <c r="G3" i="18"/>
  <c r="N13" i="18"/>
  <c r="K7" i="18"/>
  <c r="I12" i="18"/>
  <c r="K10" i="18"/>
  <c r="K11" i="18"/>
  <c r="K8" i="18"/>
  <c r="L5" i="18" l="1"/>
  <c r="K13" i="18"/>
  <c r="L4" i="18"/>
  <c r="G12" i="18"/>
  <c r="O12" i="18" s="1"/>
  <c r="M4" i="18"/>
  <c r="J12" i="18"/>
  <c r="G37" i="20"/>
  <c r="G30" i="20"/>
  <c r="O37" i="20"/>
  <c r="P12" i="18"/>
  <c r="O23" i="20"/>
  <c r="O30" i="20"/>
  <c r="G23" i="20"/>
  <c r="G16" i="20"/>
  <c r="P16" i="20" s="1"/>
  <c r="G13" i="18"/>
  <c r="O13" i="18" s="1"/>
  <c r="O3" i="18"/>
  <c r="L11" i="18"/>
  <c r="M11" i="18"/>
  <c r="M10" i="18"/>
  <c r="L10" i="18"/>
  <c r="K12" i="18"/>
  <c r="R12" i="18"/>
  <c r="M9" i="18"/>
  <c r="L9" i="18"/>
  <c r="M5" i="18"/>
  <c r="Q12" i="18"/>
  <c r="M2" i="18"/>
  <c r="L2" i="18"/>
  <c r="L7" i="18"/>
  <c r="M7" i="18"/>
  <c r="L3" i="18"/>
  <c r="M8" i="18"/>
  <c r="L8" i="18"/>
  <c r="L6" i="18"/>
  <c r="M6" i="18"/>
  <c r="M3" i="18"/>
  <c r="P37" i="20" l="1"/>
  <c r="P30" i="20"/>
  <c r="P23" i="20"/>
</calcChain>
</file>

<file path=xl/sharedStrings.xml><?xml version="1.0" encoding="utf-8"?>
<sst xmlns="http://schemas.openxmlformats.org/spreadsheetml/2006/main" count="665" uniqueCount="185">
  <si>
    <t>STR %</t>
  </si>
  <si>
    <t>HP %</t>
  </si>
  <si>
    <t>短劍</t>
  </si>
  <si>
    <t>魔杖</t>
  </si>
  <si>
    <t>法杖</t>
  </si>
  <si>
    <t>斧</t>
  </si>
  <si>
    <t>總</t>
  </si>
  <si>
    <t>刀</t>
  </si>
  <si>
    <t>暗</t>
  </si>
  <si>
    <t>光</t>
  </si>
  <si>
    <t>槍</t>
  </si>
  <si>
    <t>風</t>
  </si>
  <si>
    <t>水</t>
  </si>
  <si>
    <t>弓</t>
  </si>
  <si>
    <t>火</t>
  </si>
  <si>
    <t>銀章</t>
  </si>
  <si>
    <t>金牌</t>
  </si>
  <si>
    <t>銀牌</t>
  </si>
  <si>
    <t>銅牌</t>
  </si>
  <si>
    <t>Lv</t>
  </si>
  <si>
    <t>單手劍</t>
  </si>
  <si>
    <t>強化%</t>
  </si>
  <si>
    <t>武器種</t>
  </si>
  <si>
    <t>需時</t>
  </si>
  <si>
    <t>等量鑽</t>
  </si>
  <si>
    <t>時間</t>
  </si>
  <si>
    <t>擁有</t>
  </si>
  <si>
    <t>需求</t>
  </si>
  <si>
    <t>進度</t>
  </si>
  <si>
    <t>場次</t>
  </si>
  <si>
    <t>場</t>
  </si>
  <si>
    <t>鑽</t>
  </si>
  <si>
    <t>平均</t>
  </si>
  <si>
    <t>樣本數</t>
  </si>
  <si>
    <t>真火</t>
  </si>
  <si>
    <t>真風</t>
  </si>
  <si>
    <t>掉落2</t>
  </si>
  <si>
    <t>掉落3</t>
  </si>
  <si>
    <t>掉落4</t>
  </si>
  <si>
    <t>掉落5</t>
  </si>
  <si>
    <t>滿龍</t>
  </si>
  <si>
    <t>滿建築</t>
  </si>
  <si>
    <t>滿龍+滿建築</t>
  </si>
  <si>
    <t>Building</t>
  </si>
  <si>
    <t>LB</t>
  </si>
  <si>
    <t>總計</t>
  </si>
  <si>
    <t>真水</t>
  </si>
  <si>
    <t>真光</t>
  </si>
  <si>
    <t>真暗</t>
  </si>
  <si>
    <t>建築</t>
  </si>
  <si>
    <t>等級</t>
  </si>
  <si>
    <t>突破</t>
  </si>
  <si>
    <t>龍</t>
  </si>
  <si>
    <t>已有</t>
  </si>
  <si>
    <t>總需求</t>
  </si>
  <si>
    <t>全滿</t>
  </si>
  <si>
    <t>翼</t>
  </si>
  <si>
    <t>前</t>
  </si>
  <si>
    <t>後</t>
  </si>
  <si>
    <t>小</t>
  </si>
  <si>
    <t>中</t>
  </si>
  <si>
    <t>大</t>
  </si>
  <si>
    <t>等量經驗</t>
  </si>
  <si>
    <t>經驗/場</t>
  </si>
  <si>
    <t>數量</t>
  </si>
  <si>
    <t>經驗</t>
  </si>
  <si>
    <t>預扣</t>
  </si>
  <si>
    <t>下級經驗</t>
  </si>
  <si>
    <t>存量</t>
  </si>
  <si>
    <t>可滿100</t>
  </si>
  <si>
    <t>100等</t>
  </si>
  <si>
    <t>建築資料</t>
  </si>
  <si>
    <t>等級經驗</t>
  </si>
  <si>
    <t>累積經驗</t>
  </si>
  <si>
    <t>額外</t>
  </si>
  <si>
    <t>場次(全)</t>
  </si>
  <si>
    <t>獲得經驗</t>
  </si>
  <si>
    <t>金</t>
  </si>
  <si>
    <t>銀</t>
  </si>
  <si>
    <t>掉落</t>
  </si>
  <si>
    <t>掉落/場</t>
  </si>
  <si>
    <t>屬性限定</t>
  </si>
  <si>
    <t>數量/場</t>
  </si>
  <si>
    <t>場/數量</t>
  </si>
  <si>
    <t>銀2</t>
  </si>
  <si>
    <t>活動開始時間</t>
  </si>
  <si>
    <t>活動結束時間</t>
  </si>
  <si>
    <t>活動時長</t>
  </si>
  <si>
    <t>已經過時間</t>
  </si>
  <si>
    <t>目前進度</t>
  </si>
  <si>
    <t>目標</t>
  </si>
  <si>
    <t>預期進度</t>
  </si>
  <si>
    <t>金章</t>
  </si>
  <si>
    <t>戰貨</t>
  </si>
  <si>
    <t>最後預估</t>
  </si>
  <si>
    <t>剩餘時長</t>
  </si>
  <si>
    <t>火巨像</t>
  </si>
  <si>
    <t>光菇菇</t>
  </si>
  <si>
    <t>風雷鳥</t>
  </si>
  <si>
    <t>暗蠍獅</t>
  </si>
  <si>
    <t>暗巨像</t>
  </si>
  <si>
    <t>毛</t>
  </si>
  <si>
    <t>大章</t>
  </si>
  <si>
    <t>小章</t>
  </si>
  <si>
    <t/>
  </si>
  <si>
    <t>剩餘</t>
  </si>
  <si>
    <t>已得</t>
  </si>
  <si>
    <t>總需</t>
  </si>
  <si>
    <t>530/434</t>
  </si>
  <si>
    <t>預扣後</t>
  </si>
  <si>
    <t>預扣總</t>
  </si>
  <si>
    <t>龍之試煉</t>
  </si>
  <si>
    <t>量</t>
  </si>
  <si>
    <t>金幣</t>
  </si>
  <si>
    <t>銀幣</t>
  </si>
  <si>
    <t>銅幣</t>
  </si>
  <si>
    <t>60等</t>
  </si>
  <si>
    <t>80等</t>
  </si>
  <si>
    <t>交換總量</t>
  </si>
  <si>
    <t>滿龍+建築16等</t>
  </si>
  <si>
    <t>排位</t>
  </si>
  <si>
    <t>差異</t>
  </si>
  <si>
    <t>火幽靈</t>
  </si>
  <si>
    <t>水老頭</t>
  </si>
  <si>
    <t>阿格尼</t>
  </si>
  <si>
    <t>星期一</t>
  </si>
  <si>
    <t>星期二</t>
  </si>
  <si>
    <t>星期三</t>
  </si>
  <si>
    <t>星期四</t>
  </si>
  <si>
    <t>星期五</t>
  </si>
  <si>
    <t>星期六</t>
  </si>
  <si>
    <t>星期日</t>
  </si>
  <si>
    <t>O</t>
  </si>
  <si>
    <t>C</t>
  </si>
  <si>
    <t>場次需求</t>
  </si>
  <si>
    <t>16滿龍</t>
  </si>
  <si>
    <t>金錢</t>
  </si>
  <si>
    <t>幸運草</t>
  </si>
  <si>
    <t>龍爪石</t>
  </si>
  <si>
    <t>爪/草</t>
  </si>
  <si>
    <t>★3</t>
  </si>
  <si>
    <t>★4</t>
  </si>
  <si>
    <t>★5</t>
  </si>
  <si>
    <t>成長</t>
  </si>
  <si>
    <t>遺跡</t>
  </si>
  <si>
    <t>龍泣碑</t>
  </si>
  <si>
    <t>需求龍爪</t>
  </si>
  <si>
    <t>真火塔</t>
  </si>
  <si>
    <t>真風塔</t>
  </si>
  <si>
    <t>真水塔</t>
  </si>
  <si>
    <t>真光塔</t>
  </si>
  <si>
    <t>真暗塔</t>
  </si>
  <si>
    <t>火龍泣碑</t>
  </si>
  <si>
    <t>風龍泣碑</t>
  </si>
  <si>
    <t>水龍泣碑</t>
  </si>
  <si>
    <t>光龍泣碑</t>
  </si>
  <si>
    <t>暗龍泣碑</t>
  </si>
  <si>
    <t>草</t>
  </si>
  <si>
    <t>爪</t>
  </si>
  <si>
    <t>餵食</t>
  </si>
  <si>
    <t>龍爪</t>
  </si>
  <si>
    <t>Talon</t>
  </si>
  <si>
    <t>擁有數量</t>
  </si>
  <si>
    <t>換算進度</t>
  </si>
  <si>
    <t>換算爪</t>
  </si>
  <si>
    <t>爪需求</t>
  </si>
  <si>
    <t>總計場次</t>
  </si>
  <si>
    <t>屬性特殊</t>
  </si>
  <si>
    <t>屬性稀有</t>
  </si>
  <si>
    <t>特殊</t>
  </si>
  <si>
    <t>稀有</t>
  </si>
  <si>
    <t>風蘑菇</t>
  </si>
  <si>
    <t>特殊2</t>
  </si>
  <si>
    <t>暗幽靈</t>
  </si>
  <si>
    <t>護符</t>
  </si>
  <si>
    <t>經過時長</t>
  </si>
  <si>
    <t>預估目標差距</t>
  </si>
  <si>
    <t>預期進度差距</t>
  </si>
  <si>
    <t>預期進度差距%</t>
  </si>
  <si>
    <t>預估日差</t>
  </si>
  <si>
    <t>速度 (每日)</t>
  </si>
  <si>
    <t>水波波</t>
  </si>
  <si>
    <t>萊</t>
  </si>
  <si>
    <t>建築資料 - 逆算</t>
  </si>
  <si>
    <t>時間 (HR)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</si>
</sst>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\L\v\ General"/>
    <numFmt numFmtId="165" formatCode="General\ \%"/>
    <numFmt numFmtId="166" formatCode="0.0000"/>
    <numFmt numFmtId="167" formatCode="d\ \D\ hh\ \H"/>
    <numFmt numFmtId="168" formatCode="0.0%"/>
    <numFmt numFmtId="169" formatCode="0.00000"/>
    <numFmt numFmtId="170" formatCode="0.000"/>
    <numFmt numFmtId="171" formatCode="0.0,\ &quot;K&quot;"/>
    <numFmt numFmtId="172" formatCode="[h]\ \H"/>
    <numFmt numFmtId="173" formatCode="mm\-dd\ hh:mm"/>
    <numFmt numFmtId="174" formatCode="[Color50]\+0.0,\ &quot;K&quot;;[Red]\-0.0,\ &quot;K&quot;"/>
    <numFmt numFmtId="175" formatCode="0.0000%"/>
    <numFmt numFmtId="176" formatCode="[&gt;3][h]\ \H;[&lt;=3][h]\ \H\ mm\ \M"/>
    <numFmt numFmtId="177" formatCode="[hh]\ \H"/>
    <numFmt numFmtId="178" formatCode="[Color50]\+0.00%;[Red]\-0.00%"/>
    <numFmt numFmtId="179" formatCode="0.00,\ &quot;K&quot;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onsolas"/>
      <family val="3"/>
    </font>
    <font>
      <b/>
      <sz val="16"/>
      <name val="Consolas"/>
      <family val="3"/>
    </font>
    <font>
      <b/>
      <sz val="12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6"/>
      <color theme="1"/>
      <name val="Consolas"/>
      <family val="3"/>
    </font>
    <font>
      <b/>
      <sz val="14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B9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D7F3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9C9C9"/>
        <bgColor indexed="64"/>
      </patternFill>
    </fill>
  </fills>
  <borders count="18">
    <border>
      <left/>
      <right/>
      <top/>
      <bottom/>
      <diagonal/>
    </border>
    <border>
      <left style="thick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ck">
        <color theme="2" tint="-9.9978637043366805E-2"/>
      </left>
      <right/>
      <top style="thin">
        <color theme="2" tint="-9.9978637043366805E-2"/>
      </top>
      <bottom/>
      <diagonal/>
    </border>
    <border>
      <left/>
      <right style="thick">
        <color theme="2" tint="-9.9978637043366805E-2"/>
      </right>
      <top style="thin">
        <color theme="2" tint="-9.9978637043366805E-2"/>
      </top>
      <bottom/>
      <diagonal/>
    </border>
    <border diagonalDown="1">
      <left/>
      <right/>
      <top/>
      <bottom/>
      <diagonal style="thin">
        <color auto="1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8">
    <xf numFmtId="0" fontId="0" fillId="0" borderId="0" xfId="0"/>
    <xf numFmtId="0" fontId="0" fillId="0" borderId="0" xfId="0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166" fontId="0" fillId="7" borderId="0" xfId="0" applyNumberFormat="1" applyFill="1" applyAlignment="1">
      <alignment horizontal="center" vertical="center"/>
    </xf>
    <xf numFmtId="166" fontId="0" fillId="4" borderId="0" xfId="0" applyNumberFormat="1" applyFill="1" applyAlignment="1">
      <alignment horizontal="center" vertical="center"/>
    </xf>
    <xf numFmtId="167" fontId="3" fillId="3" borderId="1" xfId="0" applyNumberFormat="1" applyFont="1" applyFill="1" applyBorder="1" applyAlignment="1">
      <alignment horizontal="center" vertical="center"/>
    </xf>
    <xf numFmtId="165" fontId="0" fillId="8" borderId="2" xfId="0" applyNumberFormat="1" applyFill="1" applyBorder="1" applyAlignment="1">
      <alignment horizontal="center" vertical="center"/>
    </xf>
    <xf numFmtId="165" fontId="0" fillId="7" borderId="2" xfId="0" applyNumberFormat="1" applyFill="1" applyBorder="1" applyAlignment="1">
      <alignment horizontal="center" vertical="center"/>
    </xf>
    <xf numFmtId="165" fontId="0" fillId="6" borderId="2" xfId="0" applyNumberFormat="1" applyFill="1" applyBorder="1" applyAlignment="1">
      <alignment horizontal="center" vertical="center"/>
    </xf>
    <xf numFmtId="165" fontId="0" fillId="5" borderId="2" xfId="0" applyNumberFormat="1" applyFill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170" fontId="4" fillId="0" borderId="0" xfId="0" applyNumberFormat="1" applyFon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72" fontId="0" fillId="0" borderId="0" xfId="1" applyNumberFormat="1" applyFont="1" applyAlignment="1">
      <alignment horizontal="center" vertical="center"/>
    </xf>
    <xf numFmtId="171" fontId="0" fillId="0" borderId="0" xfId="1" applyNumberFormat="1" applyFont="1" applyAlignment="1">
      <alignment horizontal="center" vertical="center"/>
    </xf>
    <xf numFmtId="174" fontId="0" fillId="0" borderId="0" xfId="1" applyNumberFormat="1" applyFont="1" applyAlignment="1">
      <alignment horizontal="center" vertical="center"/>
    </xf>
    <xf numFmtId="173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3" fontId="0" fillId="0" borderId="0" xfId="0" applyNumberForma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66" fontId="0" fillId="8" borderId="0" xfId="0" applyNumberFormat="1" applyFill="1" applyBorder="1" applyAlignment="1">
      <alignment horizontal="center" vertical="center"/>
    </xf>
    <xf numFmtId="166" fontId="0" fillId="7" borderId="0" xfId="0" applyNumberFormat="1" applyFill="1" applyBorder="1" applyAlignment="1">
      <alignment horizontal="center" vertical="center"/>
    </xf>
    <xf numFmtId="166" fontId="0" fillId="6" borderId="0" xfId="0" applyNumberFormat="1" applyFill="1" applyBorder="1" applyAlignment="1">
      <alignment horizontal="center" vertical="center"/>
    </xf>
    <xf numFmtId="166" fontId="0" fillId="5" borderId="0" xfId="0" applyNumberFormat="1" applyFill="1" applyBorder="1" applyAlignment="1">
      <alignment horizontal="center" vertical="center"/>
    </xf>
    <xf numFmtId="166" fontId="0" fillId="4" borderId="0" xfId="0" applyNumberForma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8" borderId="0" xfId="0" applyNumberFormat="1" applyFill="1" applyBorder="1" applyAlignment="1">
      <alignment horizontal="center" vertical="center"/>
    </xf>
    <xf numFmtId="0" fontId="0" fillId="7" borderId="0" xfId="0" applyNumberFormat="1" applyFill="1" applyBorder="1" applyAlignment="1">
      <alignment horizontal="center" vertical="center"/>
    </xf>
    <xf numFmtId="0" fontId="0" fillId="6" borderId="0" xfId="0" applyNumberFormat="1" applyFill="1" applyBorder="1" applyAlignment="1">
      <alignment horizontal="center" vertical="center"/>
    </xf>
    <xf numFmtId="0" fontId="0" fillId="5" borderId="0" xfId="0" applyNumberFormat="1" applyFill="1" applyBorder="1" applyAlignment="1">
      <alignment horizontal="center" vertical="center"/>
    </xf>
    <xf numFmtId="0" fontId="0" fillId="4" borderId="0" xfId="0" applyNumberForma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65" fontId="9" fillId="3" borderId="0" xfId="0" applyNumberFormat="1" applyFont="1" applyFill="1" applyAlignment="1">
      <alignment horizontal="center" vertical="center"/>
    </xf>
    <xf numFmtId="164" fontId="2" fillId="8" borderId="0" xfId="0" applyNumberFormat="1" applyFont="1" applyFill="1" applyAlignment="1">
      <alignment horizontal="center" vertical="center"/>
    </xf>
    <xf numFmtId="164" fontId="2" fillId="7" borderId="0" xfId="0" applyNumberFormat="1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7" fontId="0" fillId="8" borderId="1" xfId="0" applyNumberFormat="1" applyFont="1" applyFill="1" applyBorder="1" applyAlignment="1">
      <alignment horizontal="center" vertical="center"/>
    </xf>
    <xf numFmtId="177" fontId="0" fillId="8" borderId="1" xfId="0" applyNumberFormat="1" applyFill="1" applyBorder="1" applyAlignment="1">
      <alignment horizontal="center" vertical="center"/>
    </xf>
    <xf numFmtId="177" fontId="0" fillId="7" borderId="1" xfId="0" applyNumberFormat="1" applyFill="1" applyBorder="1" applyAlignment="1">
      <alignment horizontal="center" vertical="center"/>
    </xf>
    <xf numFmtId="177" fontId="0" fillId="6" borderId="1" xfId="0" applyNumberFormat="1" applyFill="1" applyBorder="1" applyAlignment="1">
      <alignment horizontal="center" vertical="center"/>
    </xf>
    <xf numFmtId="177" fontId="0" fillId="5" borderId="1" xfId="0" applyNumberFormat="1" applyFill="1" applyBorder="1" applyAlignment="1">
      <alignment horizontal="center" vertical="center"/>
    </xf>
    <xf numFmtId="177" fontId="0" fillId="4" borderId="1" xfId="0" applyNumberForma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20" fillId="3" borderId="0" xfId="0" applyFont="1" applyFill="1" applyBorder="1" applyAlignment="1">
      <alignment horizontal="center" vertical="center"/>
    </xf>
    <xf numFmtId="168" fontId="0" fillId="8" borderId="0" xfId="1" applyNumberFormat="1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168" fontId="0" fillId="10" borderId="0" xfId="1" applyNumberFormat="1" applyFon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168" fontId="0" fillId="11" borderId="0" xfId="1" applyNumberFormat="1" applyFon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168" fontId="0" fillId="12" borderId="0" xfId="1" applyNumberFormat="1" applyFont="1" applyFill="1" applyBorder="1" applyAlignment="1">
      <alignment horizontal="center" vertical="center"/>
    </xf>
    <xf numFmtId="168" fontId="0" fillId="4" borderId="0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0" fillId="8" borderId="0" xfId="0" applyFont="1" applyFill="1" applyBorder="1" applyAlignment="1">
      <alignment horizontal="center" vertical="center"/>
    </xf>
    <xf numFmtId="0" fontId="0" fillId="10" borderId="0" xfId="0" applyFont="1" applyFill="1" applyBorder="1" applyAlignment="1">
      <alignment horizontal="center" vertical="center"/>
    </xf>
    <xf numFmtId="0" fontId="0" fillId="11" borderId="0" xfId="0" applyFon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22" fillId="8" borderId="0" xfId="0" applyFont="1" applyFill="1" applyBorder="1" applyAlignment="1">
      <alignment horizontal="center" vertical="center"/>
    </xf>
    <xf numFmtId="0" fontId="22" fillId="10" borderId="0" xfId="0" applyFont="1" applyFill="1" applyBorder="1" applyAlignment="1">
      <alignment horizontal="center" vertical="center"/>
    </xf>
    <xf numFmtId="0" fontId="22" fillId="11" borderId="0" xfId="0" applyFont="1" applyFill="1" applyBorder="1" applyAlignment="1">
      <alignment horizontal="center" vertical="center"/>
    </xf>
    <xf numFmtId="0" fontId="22" fillId="12" borderId="0" xfId="0" applyFont="1" applyFill="1" applyBorder="1" applyAlignment="1">
      <alignment horizontal="center" vertical="center"/>
    </xf>
    <xf numFmtId="0" fontId="22" fillId="4" borderId="0" xfId="0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66" fontId="3" fillId="7" borderId="0" xfId="0" applyNumberFormat="1" applyFont="1" applyFill="1" applyBorder="1" applyAlignment="1">
      <alignment horizontal="center" vertical="center"/>
    </xf>
    <xf numFmtId="166" fontId="3" fillId="6" borderId="0" xfId="0" applyNumberFormat="1" applyFont="1" applyFill="1" applyBorder="1" applyAlignment="1">
      <alignment horizontal="center" vertical="center"/>
    </xf>
    <xf numFmtId="166" fontId="3" fillId="5" borderId="0" xfId="0" applyNumberFormat="1" applyFont="1" applyFill="1" applyBorder="1" applyAlignment="1">
      <alignment horizontal="center" vertical="center"/>
    </xf>
    <xf numFmtId="166" fontId="3" fillId="4" borderId="0" xfId="0" applyNumberFormat="1" applyFont="1" applyFill="1" applyBorder="1" applyAlignment="1">
      <alignment horizontal="center" vertical="center"/>
    </xf>
    <xf numFmtId="10" fontId="7" fillId="0" borderId="0" xfId="1" applyNumberFormat="1" applyFont="1" applyAlignment="1">
      <alignment horizontal="center" vertical="center"/>
    </xf>
    <xf numFmtId="166" fontId="3" fillId="17" borderId="0" xfId="0" applyNumberFormat="1" applyFont="1" applyFill="1" applyAlignment="1">
      <alignment horizontal="center" vertical="center"/>
    </xf>
    <xf numFmtId="166" fontId="3" fillId="18" borderId="0" xfId="0" applyNumberFormat="1" applyFont="1" applyFill="1" applyAlignment="1">
      <alignment horizontal="center" vertical="center"/>
    </xf>
    <xf numFmtId="166" fontId="0" fillId="18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3" fillId="19" borderId="0" xfId="0" applyNumberFormat="1" applyFont="1" applyFill="1" applyAlignment="1">
      <alignment horizontal="center" vertical="center"/>
    </xf>
    <xf numFmtId="166" fontId="0" fillId="19" borderId="0" xfId="0" applyNumberFormat="1" applyFill="1" applyAlignment="1">
      <alignment horizontal="center" vertical="center"/>
    </xf>
    <xf numFmtId="1" fontId="3" fillId="5" borderId="0" xfId="0" applyNumberFormat="1" applyFont="1" applyFill="1" applyBorder="1" applyAlignment="1">
      <alignment horizontal="center" vertical="center"/>
    </xf>
    <xf numFmtId="1" fontId="0" fillId="5" borderId="0" xfId="0" applyNumberForma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1" fontId="0" fillId="6" borderId="0" xfId="0" applyNumberFormat="1" applyFill="1" applyBorder="1" applyAlignment="1">
      <alignment horizontal="center" vertical="center"/>
    </xf>
    <xf numFmtId="1" fontId="3" fillId="7" borderId="0" xfId="0" applyNumberFormat="1" applyFont="1" applyFill="1" applyAlignment="1">
      <alignment horizontal="center" vertical="center"/>
    </xf>
    <xf numFmtId="1" fontId="0" fillId="8" borderId="0" xfId="0" applyNumberFormat="1" applyFill="1" applyBorder="1" applyAlignment="1">
      <alignment horizontal="center" vertical="center"/>
    </xf>
    <xf numFmtId="166" fontId="3" fillId="7" borderId="0" xfId="0" applyNumberFormat="1" applyFont="1" applyFill="1" applyAlignment="1">
      <alignment horizontal="center" vertical="center"/>
    </xf>
    <xf numFmtId="166" fontId="3" fillId="8" borderId="0" xfId="0" applyNumberFormat="1" applyFont="1" applyFill="1" applyBorder="1" applyAlignment="1">
      <alignment horizontal="center" vertical="center"/>
    </xf>
    <xf numFmtId="166" fontId="3" fillId="8" borderId="0" xfId="0" applyNumberFormat="1" applyFont="1" applyFill="1" applyAlignment="1">
      <alignment horizontal="center" vertical="center"/>
    </xf>
    <xf numFmtId="166" fontId="0" fillId="17" borderId="0" xfId="0" applyNumberFormat="1" applyFill="1" applyAlignment="1">
      <alignment horizontal="center" vertical="center"/>
    </xf>
    <xf numFmtId="1" fontId="3" fillId="8" borderId="0" xfId="0" applyNumberFormat="1" applyFont="1" applyFill="1" applyAlignment="1">
      <alignment horizontal="center" vertical="center"/>
    </xf>
    <xf numFmtId="1" fontId="3" fillId="7" borderId="0" xfId="0" applyNumberFormat="1" applyFont="1" applyFill="1" applyBorder="1" applyAlignment="1">
      <alignment horizontal="center" vertical="center"/>
    </xf>
    <xf numFmtId="1" fontId="0" fillId="7" borderId="0" xfId="0" applyNumberFormat="1" applyFill="1" applyBorder="1" applyAlignment="1">
      <alignment horizontal="center" vertical="center"/>
    </xf>
    <xf numFmtId="1" fontId="3" fillId="4" borderId="0" xfId="0" applyNumberFormat="1" applyFont="1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1" fontId="3" fillId="17" borderId="0" xfId="0" applyNumberFormat="1" applyFont="1" applyFill="1" applyAlignment="1">
      <alignment horizontal="center" vertical="center"/>
    </xf>
    <xf numFmtId="1" fontId="0" fillId="17" borderId="0" xfId="0" applyNumberFormat="1" applyFill="1" applyAlignment="1">
      <alignment horizontal="center" vertical="center"/>
    </xf>
    <xf numFmtId="1" fontId="3" fillId="18" borderId="0" xfId="0" applyNumberFormat="1" applyFont="1" applyFill="1" applyAlignment="1">
      <alignment horizontal="center" vertical="center"/>
    </xf>
    <xf numFmtId="1" fontId="0" fillId="18" borderId="0" xfId="0" applyNumberFormat="1" applyFill="1" applyAlignment="1">
      <alignment horizontal="center" vertical="center"/>
    </xf>
    <xf numFmtId="1" fontId="3" fillId="19" borderId="0" xfId="0" applyNumberFormat="1" applyFont="1" applyFill="1" applyAlignment="1">
      <alignment horizontal="center" vertical="center"/>
    </xf>
    <xf numFmtId="1" fontId="0" fillId="19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0" borderId="0" xfId="0" applyFont="1" applyFill="1" applyBorder="1" applyAlignment="1">
      <alignment horizontal="center" vertical="center"/>
    </xf>
    <xf numFmtId="0" fontId="24" fillId="20" borderId="0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71" fontId="2" fillId="0" borderId="0" xfId="0" applyNumberFormat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21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1" fontId="0" fillId="17" borderId="6" xfId="0" applyNumberForma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68" fontId="0" fillId="17" borderId="6" xfId="1" applyNumberFormat="1" applyFont="1" applyFill="1" applyBorder="1" applyAlignment="1">
      <alignment horizontal="center" vertical="center"/>
    </xf>
    <xf numFmtId="10" fontId="0" fillId="0" borderId="6" xfId="1" applyNumberFormat="1" applyFont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1" fontId="0" fillId="8" borderId="6" xfId="0" applyNumberFormat="1" applyFill="1" applyBorder="1" applyAlignment="1">
      <alignment horizontal="center" vertical="center"/>
    </xf>
    <xf numFmtId="166" fontId="0" fillId="8" borderId="6" xfId="0" applyNumberFormat="1" applyFill="1" applyBorder="1" applyAlignment="1">
      <alignment horizontal="center" vertical="center"/>
    </xf>
    <xf numFmtId="1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66" fontId="0" fillId="3" borderId="0" xfId="0" applyNumberForma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1" fontId="0" fillId="18" borderId="8" xfId="0" applyNumberFormat="1" applyFill="1" applyBorder="1" applyAlignment="1">
      <alignment horizontal="center" vertical="center"/>
    </xf>
    <xf numFmtId="1" fontId="5" fillId="2" borderId="8" xfId="0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68" fontId="0" fillId="18" borderId="8" xfId="1" applyNumberFormat="1" applyFont="1" applyFill="1" applyBorder="1" applyAlignment="1">
      <alignment horizontal="center" vertical="center"/>
    </xf>
    <xf numFmtId="10" fontId="0" fillId="0" borderId="8" xfId="1" applyNumberFormat="1" applyFont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1" fontId="0" fillId="8" borderId="8" xfId="0" applyNumberFormat="1" applyFill="1" applyBorder="1" applyAlignment="1">
      <alignment horizontal="center" vertical="center"/>
    </xf>
    <xf numFmtId="166" fontId="0" fillId="8" borderId="8" xfId="0" applyNumberFormat="1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1" fontId="26" fillId="0" borderId="13" xfId="0" applyNumberFormat="1" applyFont="1" applyBorder="1" applyAlignment="1">
      <alignment horizontal="center" vertical="center"/>
    </xf>
    <xf numFmtId="1" fontId="8" fillId="2" borderId="13" xfId="0" applyNumberFormat="1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1" fontId="0" fillId="7" borderId="8" xfId="0" applyNumberFormat="1" applyFill="1" applyBorder="1" applyAlignment="1">
      <alignment horizontal="center" vertical="center"/>
    </xf>
    <xf numFmtId="166" fontId="0" fillId="7" borderId="8" xfId="0" applyNumberForma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1" fontId="0" fillId="7" borderId="6" xfId="0" applyNumberFormat="1" applyFill="1" applyBorder="1" applyAlignment="1">
      <alignment horizontal="center" vertical="center"/>
    </xf>
    <xf numFmtId="166" fontId="0" fillId="7" borderId="6" xfId="0" applyNumberForma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1" fontId="0" fillId="6" borderId="8" xfId="0" applyNumberFormat="1" applyFill="1" applyBorder="1" applyAlignment="1">
      <alignment horizontal="center" vertical="center"/>
    </xf>
    <xf numFmtId="166" fontId="0" fillId="6" borderId="8" xfId="0" applyNumberForma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1" fontId="0" fillId="6" borderId="6" xfId="0" applyNumberFormat="1" applyFill="1" applyBorder="1" applyAlignment="1">
      <alignment horizontal="center" vertical="center"/>
    </xf>
    <xf numFmtId="166" fontId="0" fillId="6" borderId="6" xfId="0" applyNumberFormat="1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1" fontId="0" fillId="5" borderId="8" xfId="0" applyNumberFormat="1" applyFill="1" applyBorder="1" applyAlignment="1">
      <alignment horizontal="center" vertical="center"/>
    </xf>
    <xf numFmtId="166" fontId="0" fillId="5" borderId="8" xfId="0" applyNumberForma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" fontId="0" fillId="5" borderId="6" xfId="0" applyNumberFormat="1" applyFill="1" applyBorder="1" applyAlignment="1">
      <alignment horizontal="center" vertical="center"/>
    </xf>
    <xf numFmtId="166" fontId="0" fillId="5" borderId="6" xfId="0" applyNumberForma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" fontId="0" fillId="4" borderId="8" xfId="0" applyNumberForma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" fontId="0" fillId="4" borderId="6" xfId="0" applyNumberForma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" fontId="27" fillId="0" borderId="8" xfId="0" applyNumberFormat="1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166" fontId="0" fillId="3" borderId="8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1" fontId="27" fillId="0" borderId="6" xfId="0" applyNumberFormat="1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66" fontId="0" fillId="3" borderId="6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3" fillId="10" borderId="15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3" fillId="10" borderId="16" xfId="0" applyFont="1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3" fillId="11" borderId="15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3" fillId="11" borderId="16" xfId="0" applyFont="1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3" fillId="12" borderId="16" xfId="0" applyFont="1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9" borderId="0" xfId="0" applyFill="1" applyBorder="1" applyAlignment="1">
      <alignment horizontal="center" vertical="center"/>
    </xf>
    <xf numFmtId="0" fontId="0" fillId="19" borderId="17" xfId="0" applyFill="1" applyBorder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3" fillId="22" borderId="0" xfId="0" applyFont="1" applyFill="1" applyAlignment="1">
      <alignment horizontal="center" vertical="center"/>
    </xf>
    <xf numFmtId="166" fontId="0" fillId="22" borderId="0" xfId="0" applyNumberFormat="1" applyFill="1" applyAlignment="1">
      <alignment horizontal="center" vertical="center"/>
    </xf>
    <xf numFmtId="166" fontId="0" fillId="14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14" borderId="0" xfId="0" applyNumberFormat="1" applyFill="1" applyAlignment="1">
      <alignment horizontal="center" vertical="center"/>
    </xf>
    <xf numFmtId="2" fontId="0" fillId="13" borderId="0" xfId="0" applyNumberForma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0" fillId="14" borderId="0" xfId="0" applyNumberFormat="1" applyFill="1" applyAlignment="1">
      <alignment horizontal="center" vertical="center"/>
    </xf>
    <xf numFmtId="0" fontId="0" fillId="13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8" xfId="0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3" fillId="0" borderId="0" xfId="1" applyNumberFormat="1" applyFont="1" applyAlignment="1">
      <alignment horizontal="center" vertical="center"/>
    </xf>
    <xf numFmtId="178" fontId="0" fillId="0" borderId="0" xfId="1" applyNumberFormat="1" applyFont="1" applyAlignment="1">
      <alignment horizontal="center" vertical="center"/>
    </xf>
    <xf numFmtId="171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7" fontId="3" fillId="0" borderId="0" xfId="1" applyNumberFormat="1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5" fontId="0" fillId="0" borderId="0" xfId="1" applyNumberFormat="1" applyFont="1" applyAlignment="1">
      <alignment horizontal="center" vertical="center"/>
    </xf>
    <xf numFmtId="173" fontId="2" fillId="0" borderId="0" xfId="0" applyNumberFormat="1" applyFont="1" applyAlignment="1">
      <alignment horizontal="center" vertical="center"/>
    </xf>
    <xf numFmtId="171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0" fillId="3" borderId="8" xfId="0" applyNumberFormat="1" applyFill="1" applyBorder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6" fillId="9" borderId="10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66" fontId="3" fillId="8" borderId="0" xfId="0" applyNumberFormat="1" applyFont="1" applyFill="1" applyAlignment="1">
      <alignment horizontal="center" vertical="center"/>
    </xf>
    <xf numFmtId="166" fontId="3" fillId="19" borderId="0" xfId="0" applyNumberFormat="1" applyFont="1" applyFill="1" applyAlignment="1">
      <alignment horizontal="center" vertical="center"/>
    </xf>
    <xf numFmtId="0" fontId="13" fillId="21" borderId="0" xfId="0" applyFont="1" applyFill="1" applyAlignment="1">
      <alignment horizontal="center" vertical="center"/>
    </xf>
    <xf numFmtId="166" fontId="3" fillId="17" borderId="0" xfId="0" applyNumberFormat="1" applyFont="1" applyFill="1" applyAlignment="1">
      <alignment horizontal="center" vertical="center"/>
    </xf>
    <xf numFmtId="166" fontId="3" fillId="18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6" fontId="3" fillId="6" borderId="0" xfId="0" applyNumberFormat="1" applyFont="1" applyFill="1" applyAlignment="1">
      <alignment horizontal="center" vertical="center"/>
    </xf>
    <xf numFmtId="166" fontId="3" fillId="7" borderId="0" xfId="0" applyNumberFormat="1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3" fillId="4" borderId="0" xfId="0" applyNumberFormat="1" applyFont="1" applyFill="1" applyAlignment="1">
      <alignment horizontal="center" vertical="center"/>
    </xf>
    <xf numFmtId="166" fontId="3" fillId="5" borderId="0" xfId="0" applyNumberFormat="1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170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9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9" fontId="7" fillId="4" borderId="0" xfId="0" applyNumberFormat="1" applyFont="1" applyFill="1" applyAlignment="1">
      <alignment horizontal="center" vertical="center"/>
    </xf>
    <xf numFmtId="169" fontId="7" fillId="12" borderId="0" xfId="0" applyNumberFormat="1" applyFont="1" applyFill="1" applyAlignment="1">
      <alignment horizontal="center" vertical="center"/>
    </xf>
    <xf numFmtId="169" fontId="7" fillId="11" borderId="0" xfId="0" applyNumberFormat="1" applyFont="1" applyFill="1" applyAlignment="1">
      <alignment horizontal="center" vertical="center"/>
    </xf>
    <xf numFmtId="169" fontId="7" fillId="10" borderId="0" xfId="0" applyNumberFormat="1" applyFont="1" applyFill="1" applyAlignment="1">
      <alignment horizontal="center" vertical="center"/>
    </xf>
    <xf numFmtId="169" fontId="7" fillId="8" borderId="0" xfId="0" applyNumberFormat="1" applyFont="1" applyFill="1" applyAlignment="1">
      <alignment horizontal="center" vertical="center"/>
    </xf>
    <xf numFmtId="10" fontId="16" fillId="0" borderId="0" xfId="1" applyNumberFormat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7" fillId="12" borderId="0" xfId="0" applyFon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7" fillId="11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/>
    <xf numFmtId="0" fontId="0" fillId="0" borderId="0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2CC"/>
      <color rgb="FFCD7F32"/>
      <color rgb="FFFFC000"/>
      <color rgb="FFC9C9C9"/>
      <color rgb="FFD0B9FF"/>
      <color rgb="FFDDEBF7"/>
      <color rgb="FFE2EFDA"/>
      <color rgb="FFFFBDBD"/>
      <color rgb="FFD0C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theme" Target="theme/theme1.xml"/><Relationship Id="rId3" Type="http://schemas.openxmlformats.org/officeDocument/2006/relationships/worksheet" Target="worksheets/sheet2.xml"/><Relationship Id="rId21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10" Type="http://schemas.openxmlformats.org/officeDocument/2006/relationships/worksheet" Target="worksheets/sheet9.xml"/><Relationship Id="rId19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金章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Raid!$A$7:$A$2000</c:f>
              <c:numCache>
                <c:formatCode>mm\-dd\ hh:mm</c:formatCode>
                <c:ptCount val="1994"/>
                <c:pt idx="0">
                  <c:v>43615.958333333336</c:v>
                </c:pt>
                <c:pt idx="1">
                  <c:v>43616.736805555556</c:v>
                </c:pt>
                <c:pt idx="2">
                  <c:v>43616.955555555556</c:v>
                </c:pt>
                <c:pt idx="3">
                  <c:v>43617.246527777781</c:v>
                </c:pt>
                <c:pt idx="4">
                  <c:v>43617.380555555559</c:v>
                </c:pt>
                <c:pt idx="5">
                  <c:v>43617.78125</c:v>
                </c:pt>
                <c:pt idx="6">
                  <c:v>43618.545432523148</c:v>
                </c:pt>
                <c:pt idx="7">
                  <c:v>43618.988888888889</c:v>
                </c:pt>
                <c:pt idx="8">
                  <c:v>43619.179166666669</c:v>
                </c:pt>
                <c:pt idx="9">
                  <c:v>43619.252083333333</c:v>
                </c:pt>
                <c:pt idx="10">
                  <c:v>43619.332638888889</c:v>
                </c:pt>
                <c:pt idx="11">
                  <c:v>43619.607638888891</c:v>
                </c:pt>
                <c:pt idx="12">
                  <c:v>43619.763194444444</c:v>
                </c:pt>
                <c:pt idx="13">
                  <c:v>43619.771527777775</c:v>
                </c:pt>
                <c:pt idx="14">
                  <c:v>43619.80972222222</c:v>
                </c:pt>
                <c:pt idx="15">
                  <c:v>43620.181250000001</c:v>
                </c:pt>
                <c:pt idx="16">
                  <c:v>43620.304861111108</c:v>
                </c:pt>
                <c:pt idx="17">
                  <c:v>43620.422222222223</c:v>
                </c:pt>
                <c:pt idx="18">
                  <c:v>43620.497916666667</c:v>
                </c:pt>
                <c:pt idx="19">
                  <c:v>43620.541666666664</c:v>
                </c:pt>
                <c:pt idx="20">
                  <c:v>43620.66544837963</c:v>
                </c:pt>
                <c:pt idx="21">
                  <c:v>43620.71597222222</c:v>
                </c:pt>
                <c:pt idx="22">
                  <c:v>43620.734027777777</c:v>
                </c:pt>
                <c:pt idx="23">
                  <c:v>43621.160416666666</c:v>
                </c:pt>
                <c:pt idx="24">
                  <c:v>43621.26666666667</c:v>
                </c:pt>
                <c:pt idx="25">
                  <c:v>43621.324999999997</c:v>
                </c:pt>
                <c:pt idx="26">
                  <c:v>43621.406944444447</c:v>
                </c:pt>
                <c:pt idx="27">
                  <c:v>43621.465277777781</c:v>
                </c:pt>
                <c:pt idx="28">
                  <c:v>43621.530555555553</c:v>
                </c:pt>
                <c:pt idx="29">
                  <c:v>43621.604166666664</c:v>
                </c:pt>
                <c:pt idx="30">
                  <c:v>43621.697222222225</c:v>
                </c:pt>
                <c:pt idx="31">
                  <c:v>43621.783333333333</c:v>
                </c:pt>
                <c:pt idx="32">
                  <c:v>43621.851388888892</c:v>
                </c:pt>
                <c:pt idx="33">
                  <c:v>43622.289583333331</c:v>
                </c:pt>
                <c:pt idx="34">
                  <c:v>43622.459722222222</c:v>
                </c:pt>
                <c:pt idx="35">
                  <c:v>43622.626388888886</c:v>
                </c:pt>
                <c:pt idx="36">
                  <c:v>43622.776388888888</c:v>
                </c:pt>
                <c:pt idx="37">
                  <c:v>43622.855555555558</c:v>
                </c:pt>
                <c:pt idx="38">
                  <c:v>43622.938194444447</c:v>
                </c:pt>
                <c:pt idx="39">
                  <c:v>43623.32708333333</c:v>
                </c:pt>
                <c:pt idx="40">
                  <c:v>43623.374305555553</c:v>
                </c:pt>
                <c:pt idx="41">
                  <c:v>43623.431250000001</c:v>
                </c:pt>
                <c:pt idx="42">
                  <c:v>43623.589583333334</c:v>
                </c:pt>
                <c:pt idx="43">
                  <c:v>43623.697916666664</c:v>
                </c:pt>
                <c:pt idx="44">
                  <c:v>43623.772916666669</c:v>
                </c:pt>
                <c:pt idx="45">
                  <c:v>43623.84652777778</c:v>
                </c:pt>
                <c:pt idx="46">
                  <c:v>43624.335416666669</c:v>
                </c:pt>
                <c:pt idx="47">
                  <c:v>43624.399305555555</c:v>
                </c:pt>
                <c:pt idx="48">
                  <c:v>43624.479166666664</c:v>
                </c:pt>
                <c:pt idx="49">
                  <c:v>43624.588888888888</c:v>
                </c:pt>
                <c:pt idx="50">
                  <c:v>43624.649305555555</c:v>
                </c:pt>
                <c:pt idx="51">
                  <c:v>43624.708333333336</c:v>
                </c:pt>
                <c:pt idx="52">
                  <c:v>43625.165277777778</c:v>
                </c:pt>
                <c:pt idx="53">
                  <c:v>43625.26666666667</c:v>
                </c:pt>
                <c:pt idx="54">
                  <c:v>43625.375694444447</c:v>
                </c:pt>
                <c:pt idx="55">
                  <c:v>43625.46597222222</c:v>
                </c:pt>
                <c:pt idx="56">
                  <c:v>43625.575694444444</c:v>
                </c:pt>
                <c:pt idx="57">
                  <c:v>43625.673611111109</c:v>
                </c:pt>
                <c:pt idx="58">
                  <c:v>43625.754166666666</c:v>
                </c:pt>
                <c:pt idx="59">
                  <c:v>43626.319444444445</c:v>
                </c:pt>
                <c:pt idx="60">
                  <c:v>43626.42291666667</c:v>
                </c:pt>
                <c:pt idx="61">
                  <c:v>43626.762499999997</c:v>
                </c:pt>
                <c:pt idx="62">
                  <c:v>43626.822222222225</c:v>
                </c:pt>
                <c:pt idx="63">
                  <c:v>43626.831944444442</c:v>
                </c:pt>
                <c:pt idx="64">
                  <c:v>43627.319444444445</c:v>
                </c:pt>
                <c:pt idx="65">
                  <c:v>43627.425000000003</c:v>
                </c:pt>
                <c:pt idx="66">
                  <c:v>43627.511111111111</c:v>
                </c:pt>
                <c:pt idx="67">
                  <c:v>43627.714583333334</c:v>
                </c:pt>
              </c:numCache>
            </c:numRef>
          </c:xVal>
          <c:yVal>
            <c:numRef>
              <c:f>Raid!$D$7:$D$2000</c:f>
              <c:numCache>
                <c:formatCode>0.00,\ "K"</c:formatCode>
                <c:ptCount val="1994"/>
                <c:pt idx="0">
                  <c:v>0</c:v>
                </c:pt>
                <c:pt idx="1">
                  <c:v>1940.9812667305721</c:v>
                </c:pt>
                <c:pt idx="2">
                  <c:v>6463.4018985726971</c:v>
                </c:pt>
                <c:pt idx="3">
                  <c:v>9850.5934213236469</c:v>
                </c:pt>
                <c:pt idx="4">
                  <c:v>11748.195966941488</c:v>
                </c:pt>
                <c:pt idx="5">
                  <c:v>11572.041923753724</c:v>
                </c:pt>
                <c:pt idx="6">
                  <c:v>8647.9515459508821</c:v>
                </c:pt>
                <c:pt idx="7">
                  <c:v>8665.988407123863</c:v>
                </c:pt>
                <c:pt idx="8">
                  <c:v>8528.8400407057889</c:v>
                </c:pt>
                <c:pt idx="9">
                  <c:v>8725.1097223481866</c:v>
                </c:pt>
                <c:pt idx="10">
                  <c:v>8956.720267682058</c:v>
                </c:pt>
                <c:pt idx="11">
                  <c:v>9694.8829453509297</c:v>
                </c:pt>
                <c:pt idx="12">
                  <c:v>10443.487009448789</c:v>
                </c:pt>
                <c:pt idx="13">
                  <c:v>10777.772802228477</c:v>
                </c:pt>
                <c:pt idx="14">
                  <c:v>11085.605804651083</c:v>
                </c:pt>
                <c:pt idx="15">
                  <c:v>10871.108312869543</c:v>
                </c:pt>
                <c:pt idx="16">
                  <c:v>11039.532524912865</c:v>
                </c:pt>
                <c:pt idx="17">
                  <c:v>11920.625462856537</c:v>
                </c:pt>
                <c:pt idx="18">
                  <c:v>12315.534215398546</c:v>
                </c:pt>
                <c:pt idx="19">
                  <c:v>12692.763811724297</c:v>
                </c:pt>
                <c:pt idx="20">
                  <c:v>13245.166121282635</c:v>
                </c:pt>
                <c:pt idx="21">
                  <c:v>13739.982198260273</c:v>
                </c:pt>
                <c:pt idx="22">
                  <c:v>14163.897454926002</c:v>
                </c:pt>
                <c:pt idx="23">
                  <c:v>16395.015020878051</c:v>
                </c:pt>
                <c:pt idx="24">
                  <c:v>16517.704126981705</c:v>
                </c:pt>
                <c:pt idx="25">
                  <c:v>16571.222123845047</c:v>
                </c:pt>
                <c:pt idx="26">
                  <c:v>16703.523648430171</c:v>
                </c:pt>
                <c:pt idx="27">
                  <c:v>16872.459511680619</c:v>
                </c:pt>
                <c:pt idx="28">
                  <c:v>17058.787617678456</c:v>
                </c:pt>
                <c:pt idx="29">
                  <c:v>18791.7110567706</c:v>
                </c:pt>
                <c:pt idx="30">
                  <c:v>18989.796344159302</c:v>
                </c:pt>
                <c:pt idx="31">
                  <c:v>19126.043858746456</c:v>
                </c:pt>
                <c:pt idx="32">
                  <c:v>19298.654826051486</c:v>
                </c:pt>
                <c:pt idx="33">
                  <c:v>19430.960852810185</c:v>
                </c:pt>
                <c:pt idx="34">
                  <c:v>19504.26850892009</c:v>
                </c:pt>
                <c:pt idx="35">
                  <c:v>19756.798367855255</c:v>
                </c:pt>
                <c:pt idx="36">
                  <c:v>20280.131590798097</c:v>
                </c:pt>
                <c:pt idx="37">
                  <c:v>20639.076902637647</c:v>
                </c:pt>
                <c:pt idx="38">
                  <c:v>20818.732905627559</c:v>
                </c:pt>
                <c:pt idx="39">
                  <c:v>21078.270251496047</c:v>
                </c:pt>
                <c:pt idx="40">
                  <c:v>21037.818071979495</c:v>
                </c:pt>
                <c:pt idx="41">
                  <c:v>20792.408056118718</c:v>
                </c:pt>
                <c:pt idx="42">
                  <c:v>20549.157869886985</c:v>
                </c:pt>
                <c:pt idx="43">
                  <c:v>20609.978791091544</c:v>
                </c:pt>
                <c:pt idx="44">
                  <c:v>21081.211779381349</c:v>
                </c:pt>
                <c:pt idx="45">
                  <c:v>21180.902314772142</c:v>
                </c:pt>
                <c:pt idx="46">
                  <c:v>21238.791580992973</c:v>
                </c:pt>
                <c:pt idx="47">
                  <c:v>20973.853985800579</c:v>
                </c:pt>
                <c:pt idx="48">
                  <c:v>20582.807123612274</c:v>
                </c:pt>
                <c:pt idx="49">
                  <c:v>20579.491894401952</c:v>
                </c:pt>
                <c:pt idx="50">
                  <c:v>20659.704362637247</c:v>
                </c:pt>
                <c:pt idx="51">
                  <c:v>20681.445297061364</c:v>
                </c:pt>
                <c:pt idx="52">
                  <c:v>20378.607309381801</c:v>
                </c:pt>
                <c:pt idx="53">
                  <c:v>20206.904523993897</c:v>
                </c:pt>
                <c:pt idx="54">
                  <c:v>20253.401532692995</c:v>
                </c:pt>
                <c:pt idx="55">
                  <c:v>20070.913557552321</c:v>
                </c:pt>
                <c:pt idx="56">
                  <c:v>20081.319504945801</c:v>
                </c:pt>
                <c:pt idx="57">
                  <c:v>20052.117491570873</c:v>
                </c:pt>
                <c:pt idx="58">
                  <c:v>20233.182353329201</c:v>
                </c:pt>
                <c:pt idx="59">
                  <c:v>19533.260665473688</c:v>
                </c:pt>
                <c:pt idx="60">
                  <c:v>19148.790743804708</c:v>
                </c:pt>
                <c:pt idx="61">
                  <c:v>18472.284100181048</c:v>
                </c:pt>
                <c:pt idx="62">
                  <c:v>18437.664565573981</c:v>
                </c:pt>
                <c:pt idx="63">
                  <c:v>18491.489605471539</c:v>
                </c:pt>
                <c:pt idx="64">
                  <c:v>18132.005847256896</c:v>
                </c:pt>
                <c:pt idx="65">
                  <c:v>17769.243638982869</c:v>
                </c:pt>
                <c:pt idx="66">
                  <c:v>17441.474795132119</c:v>
                </c:pt>
                <c:pt idx="67">
                  <c:v>17665.412300147229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81-44ED-98C9-73CA36EC4E2C}"/>
            </c:ext>
          </c:extLst>
        </c:ser>
        <c:ser>
          <c:idx val="1"/>
          <c:order val="1"/>
          <c:tx>
            <c:v>戰貨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Raid!$A$7:$A$2000</c:f>
              <c:numCache>
                <c:formatCode>mm\-dd\ hh:mm</c:formatCode>
                <c:ptCount val="1994"/>
                <c:pt idx="0">
                  <c:v>43615.958333333336</c:v>
                </c:pt>
                <c:pt idx="1">
                  <c:v>43616.736805555556</c:v>
                </c:pt>
                <c:pt idx="2">
                  <c:v>43616.955555555556</c:v>
                </c:pt>
                <c:pt idx="3">
                  <c:v>43617.246527777781</c:v>
                </c:pt>
                <c:pt idx="4">
                  <c:v>43617.380555555559</c:v>
                </c:pt>
                <c:pt idx="5">
                  <c:v>43617.78125</c:v>
                </c:pt>
                <c:pt idx="6">
                  <c:v>43618.545432523148</c:v>
                </c:pt>
                <c:pt idx="7">
                  <c:v>43618.988888888889</c:v>
                </c:pt>
                <c:pt idx="8">
                  <c:v>43619.179166666669</c:v>
                </c:pt>
                <c:pt idx="9">
                  <c:v>43619.252083333333</c:v>
                </c:pt>
                <c:pt idx="10">
                  <c:v>43619.332638888889</c:v>
                </c:pt>
                <c:pt idx="11">
                  <c:v>43619.607638888891</c:v>
                </c:pt>
                <c:pt idx="12">
                  <c:v>43619.763194444444</c:v>
                </c:pt>
                <c:pt idx="13">
                  <c:v>43619.771527777775</c:v>
                </c:pt>
                <c:pt idx="14">
                  <c:v>43619.80972222222</c:v>
                </c:pt>
                <c:pt idx="15">
                  <c:v>43620.181250000001</c:v>
                </c:pt>
                <c:pt idx="16">
                  <c:v>43620.304861111108</c:v>
                </c:pt>
                <c:pt idx="17">
                  <c:v>43620.422222222223</c:v>
                </c:pt>
                <c:pt idx="18">
                  <c:v>43620.497916666667</c:v>
                </c:pt>
                <c:pt idx="19">
                  <c:v>43620.541666666664</c:v>
                </c:pt>
                <c:pt idx="20">
                  <c:v>43620.66544837963</c:v>
                </c:pt>
                <c:pt idx="21">
                  <c:v>43620.71597222222</c:v>
                </c:pt>
                <c:pt idx="22">
                  <c:v>43620.734027777777</c:v>
                </c:pt>
                <c:pt idx="23">
                  <c:v>43621.160416666666</c:v>
                </c:pt>
                <c:pt idx="24">
                  <c:v>43621.26666666667</c:v>
                </c:pt>
                <c:pt idx="25">
                  <c:v>43621.324999999997</c:v>
                </c:pt>
                <c:pt idx="26">
                  <c:v>43621.406944444447</c:v>
                </c:pt>
                <c:pt idx="27">
                  <c:v>43621.465277777781</c:v>
                </c:pt>
                <c:pt idx="28">
                  <c:v>43621.530555555553</c:v>
                </c:pt>
                <c:pt idx="29">
                  <c:v>43621.604166666664</c:v>
                </c:pt>
                <c:pt idx="30">
                  <c:v>43621.697222222225</c:v>
                </c:pt>
                <c:pt idx="31">
                  <c:v>43621.783333333333</c:v>
                </c:pt>
                <c:pt idx="32">
                  <c:v>43621.851388888892</c:v>
                </c:pt>
                <c:pt idx="33">
                  <c:v>43622.289583333331</c:v>
                </c:pt>
                <c:pt idx="34">
                  <c:v>43622.459722222222</c:v>
                </c:pt>
                <c:pt idx="35">
                  <c:v>43622.626388888886</c:v>
                </c:pt>
                <c:pt idx="36">
                  <c:v>43622.776388888888</c:v>
                </c:pt>
                <c:pt idx="37">
                  <c:v>43622.855555555558</c:v>
                </c:pt>
                <c:pt idx="38">
                  <c:v>43622.938194444447</c:v>
                </c:pt>
                <c:pt idx="39">
                  <c:v>43623.32708333333</c:v>
                </c:pt>
                <c:pt idx="40">
                  <c:v>43623.374305555553</c:v>
                </c:pt>
                <c:pt idx="41">
                  <c:v>43623.431250000001</c:v>
                </c:pt>
                <c:pt idx="42">
                  <c:v>43623.589583333334</c:v>
                </c:pt>
                <c:pt idx="43">
                  <c:v>43623.697916666664</c:v>
                </c:pt>
                <c:pt idx="44">
                  <c:v>43623.772916666669</c:v>
                </c:pt>
                <c:pt idx="45">
                  <c:v>43623.84652777778</c:v>
                </c:pt>
                <c:pt idx="46">
                  <c:v>43624.335416666669</c:v>
                </c:pt>
                <c:pt idx="47">
                  <c:v>43624.399305555555</c:v>
                </c:pt>
                <c:pt idx="48">
                  <c:v>43624.479166666664</c:v>
                </c:pt>
                <c:pt idx="49">
                  <c:v>43624.588888888888</c:v>
                </c:pt>
                <c:pt idx="50">
                  <c:v>43624.649305555555</c:v>
                </c:pt>
                <c:pt idx="51">
                  <c:v>43624.708333333336</c:v>
                </c:pt>
                <c:pt idx="52">
                  <c:v>43625.165277777778</c:v>
                </c:pt>
                <c:pt idx="53">
                  <c:v>43625.26666666667</c:v>
                </c:pt>
                <c:pt idx="54">
                  <c:v>43625.375694444447</c:v>
                </c:pt>
                <c:pt idx="55">
                  <c:v>43625.46597222222</c:v>
                </c:pt>
                <c:pt idx="56">
                  <c:v>43625.575694444444</c:v>
                </c:pt>
                <c:pt idx="57">
                  <c:v>43625.673611111109</c:v>
                </c:pt>
                <c:pt idx="58">
                  <c:v>43625.754166666666</c:v>
                </c:pt>
                <c:pt idx="59">
                  <c:v>43626.319444444445</c:v>
                </c:pt>
                <c:pt idx="60">
                  <c:v>43626.42291666667</c:v>
                </c:pt>
                <c:pt idx="61">
                  <c:v>43626.762499999997</c:v>
                </c:pt>
                <c:pt idx="62">
                  <c:v>43626.822222222225</c:v>
                </c:pt>
                <c:pt idx="63">
                  <c:v>43626.831944444442</c:v>
                </c:pt>
                <c:pt idx="64">
                  <c:v>43627.319444444445</c:v>
                </c:pt>
                <c:pt idx="65">
                  <c:v>43627.425000000003</c:v>
                </c:pt>
                <c:pt idx="66">
                  <c:v>43627.511111111111</c:v>
                </c:pt>
                <c:pt idx="67">
                  <c:v>43627.714583333334</c:v>
                </c:pt>
              </c:numCache>
            </c:numRef>
          </c:xVal>
          <c:yVal>
            <c:numRef>
              <c:f>Raid!$E$7:$E$2000</c:f>
              <c:numCache>
                <c:formatCode>0.00,\ "K"</c:formatCode>
                <c:ptCount val="1994"/>
                <c:pt idx="0">
                  <c:v>0</c:v>
                </c:pt>
                <c:pt idx="1">
                  <c:v>1791.9714540629702</c:v>
                </c:pt>
                <c:pt idx="2">
                  <c:v>5120.4909124322303</c:v>
                </c:pt>
                <c:pt idx="3">
                  <c:v>7718.814995418672</c:v>
                </c:pt>
                <c:pt idx="4">
                  <c:v>9664.5217440683318</c:v>
                </c:pt>
                <c:pt idx="5">
                  <c:v>9749.6589679708723</c:v>
                </c:pt>
                <c:pt idx="6">
                  <c:v>7376.9328334682968</c:v>
                </c:pt>
                <c:pt idx="7">
                  <c:v>7308.2662877192906</c:v>
                </c:pt>
                <c:pt idx="8">
                  <c:v>7263.688072630981</c:v>
                </c:pt>
                <c:pt idx="9">
                  <c:v>7429.5813863093463</c:v>
                </c:pt>
                <c:pt idx="10">
                  <c:v>7620.1211908876448</c:v>
                </c:pt>
                <c:pt idx="11">
                  <c:v>8116.7154826787673</c:v>
                </c:pt>
                <c:pt idx="12">
                  <c:v>8741.2847021095477</c:v>
                </c:pt>
                <c:pt idx="13">
                  <c:v>9010.9960322304942</c:v>
                </c:pt>
                <c:pt idx="14">
                  <c:v>9248.532651033609</c:v>
                </c:pt>
                <c:pt idx="15">
                  <c:v>9026.7981555731803</c:v>
                </c:pt>
                <c:pt idx="16">
                  <c:v>9059.4330585546577</c:v>
                </c:pt>
                <c:pt idx="17">
                  <c:v>9554.1630332861205</c:v>
                </c:pt>
                <c:pt idx="18">
                  <c:v>9835.3230314507146</c:v>
                </c:pt>
                <c:pt idx="19">
                  <c:v>10088.683615147513</c:v>
                </c:pt>
                <c:pt idx="20">
                  <c:v>10456.704079903433</c:v>
                </c:pt>
                <c:pt idx="21">
                  <c:v>10787.134713418836</c:v>
                </c:pt>
                <c:pt idx="22">
                  <c:v>11067.000307829274</c:v>
                </c:pt>
                <c:pt idx="23">
                  <c:v>12674.760467977336</c:v>
                </c:pt>
                <c:pt idx="24">
                  <c:v>12732.142863772562</c:v>
                </c:pt>
                <c:pt idx="25">
                  <c:v>12775.368151483326</c:v>
                </c:pt>
                <c:pt idx="26">
                  <c:v>12875.61797140542</c:v>
                </c:pt>
                <c:pt idx="27">
                  <c:v>12975.304764742825</c:v>
                </c:pt>
                <c:pt idx="28">
                  <c:v>13109.602701103746</c:v>
                </c:pt>
                <c:pt idx="29">
                  <c:v>14368.316720393208</c:v>
                </c:pt>
                <c:pt idx="30">
                  <c:v>14508.516786205799</c:v>
                </c:pt>
                <c:pt idx="31">
                  <c:v>14620.228509879124</c:v>
                </c:pt>
                <c:pt idx="32">
                  <c:v>14753.357691796065</c:v>
                </c:pt>
                <c:pt idx="33">
                  <c:v>14705.406105236058</c:v>
                </c:pt>
                <c:pt idx="34">
                  <c:v>14746.184056847991</c:v>
                </c:pt>
                <c:pt idx="35">
                  <c:v>14902.396121611984</c:v>
                </c:pt>
                <c:pt idx="36">
                  <c:v>15304.707495679628</c:v>
                </c:pt>
                <c:pt idx="37">
                  <c:v>15612.418842481762</c:v>
                </c:pt>
                <c:pt idx="38">
                  <c:v>15748.976199527959</c:v>
                </c:pt>
                <c:pt idx="39">
                  <c:v>15935.842043412013</c:v>
                </c:pt>
                <c:pt idx="40">
                  <c:v>15880.25447113779</c:v>
                </c:pt>
                <c:pt idx="41">
                  <c:v>15711.307331732938</c:v>
                </c:pt>
                <c:pt idx="42">
                  <c:v>15543.048600059465</c:v>
                </c:pt>
                <c:pt idx="43">
                  <c:v>15567.829971608448</c:v>
                </c:pt>
                <c:pt idx="44">
                  <c:v>15857.579627996602</c:v>
                </c:pt>
                <c:pt idx="45">
                  <c:v>15931.959316137569</c:v>
                </c:pt>
                <c:pt idx="46">
                  <c:v>15853.052317175676</c:v>
                </c:pt>
                <c:pt idx="47">
                  <c:v>15656.678196883227</c:v>
                </c:pt>
                <c:pt idx="48">
                  <c:v>15345.674822462874</c:v>
                </c:pt>
                <c:pt idx="49">
                  <c:v>15271.954143824707</c:v>
                </c:pt>
                <c:pt idx="50">
                  <c:v>15279.203470056949</c:v>
                </c:pt>
                <c:pt idx="51">
                  <c:v>15289.583680617721</c:v>
                </c:pt>
                <c:pt idx="52">
                  <c:v>15033.515714452893</c:v>
                </c:pt>
                <c:pt idx="53">
                  <c:v>14897.048990368914</c:v>
                </c:pt>
                <c:pt idx="54">
                  <c:v>14906.097022133335</c:v>
                </c:pt>
                <c:pt idx="55">
                  <c:v>14724.518427887362</c:v>
                </c:pt>
                <c:pt idx="56">
                  <c:v>14762.630340523765</c:v>
                </c:pt>
                <c:pt idx="57">
                  <c:v>14740.875116242256</c:v>
                </c:pt>
                <c:pt idx="58">
                  <c:v>14874.647383807069</c:v>
                </c:pt>
                <c:pt idx="59">
                  <c:v>14353.02732175408</c:v>
                </c:pt>
                <c:pt idx="60">
                  <c:v>13961.64539744295</c:v>
                </c:pt>
                <c:pt idx="61">
                  <c:v>13478.422380726204</c:v>
                </c:pt>
                <c:pt idx="62">
                  <c:v>13466.093406437914</c:v>
                </c:pt>
                <c:pt idx="63">
                  <c:v>13516.52291099037</c:v>
                </c:pt>
                <c:pt idx="64">
                  <c:v>13266.247990540538</c:v>
                </c:pt>
                <c:pt idx="65">
                  <c:v>13046.827670897412</c:v>
                </c:pt>
                <c:pt idx="66">
                  <c:v>12835.242932198684</c:v>
                </c:pt>
                <c:pt idx="67">
                  <c:v>12931.054397275468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81-44ED-98C9-73CA36EC4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20544"/>
        <c:axId val="838420872"/>
      </c:scatterChart>
      <c:valAx>
        <c:axId val="8384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872"/>
        <c:crosses val="autoZero"/>
        <c:crossBetween val="midCat"/>
        <c:majorUnit val="1"/>
      </c:valAx>
      <c:valAx>
        <c:axId val="83842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,\ &quot;K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D6823A-50EA-4E56-884D-8AFFBDE3838A}">
  <sheetPr>
    <tabColor rgb="FFFFF2CC"/>
  </sheetPr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40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A5112-3370-47C6-B0FA-98F468FF77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47385-ECEF-4EFC-B1CD-4CC17E531B40}">
  <sheetPr>
    <tabColor rgb="FFFFF2CC"/>
  </sheetPr>
  <dimension ref="A1:P97"/>
  <sheetViews>
    <sheetView workbookViewId="0">
      <pane xSplit="1" ySplit="6" topLeftCell="B60" activePane="bottomRight" state="frozen"/>
      <selection activeCell="J58" sqref="J58"/>
      <selection pane="topRight" activeCell="G1" sqref="G1"/>
      <selection pane="bottomLeft" activeCell="A57" sqref="A57"/>
      <selection pane="bottomRight" activeCell="A75" sqref="A75"/>
    </sheetView>
  </sheetViews>
  <sheetFormatPr defaultColWidth="9.140625" defaultRowHeight="15" x14ac:dyDescent="0.25"/>
  <cols>
    <col min="1" max="1" width="14" style="35" customWidth="1"/>
    <col min="2" max="2" width="9.140625" style="351" customWidth="1"/>
    <col min="3" max="3" width="9.140625" style="29"/>
    <col min="4" max="4" width="9.140625" style="368"/>
    <col min="5" max="5" width="9.5703125" style="21" bestFit="1" customWidth="1"/>
    <col min="6" max="6" width="9.28515625" style="21" bestFit="1" customWidth="1"/>
    <col min="7" max="12" width="9.140625" style="1"/>
    <col min="13" max="14" width="9.140625" style="360" customWidth="1"/>
    <col min="15" max="16384" width="9.140625" style="1"/>
  </cols>
  <sheetData>
    <row r="1" spans="1:15" x14ac:dyDescent="0.25">
      <c r="A1" s="33" t="s">
        <v>85</v>
      </c>
      <c r="B1" s="376">
        <v>43615.958333333336</v>
      </c>
      <c r="C1" s="376"/>
      <c r="D1" s="366" t="s">
        <v>175</v>
      </c>
      <c r="E1" s="364" t="s">
        <v>95</v>
      </c>
      <c r="F1" s="364" t="s">
        <v>87</v>
      </c>
      <c r="G1" s="374" t="s">
        <v>88</v>
      </c>
      <c r="H1" s="374"/>
      <c r="I1" s="374"/>
      <c r="J1" s="374"/>
      <c r="K1" s="33"/>
      <c r="L1" s="363" t="s">
        <v>90</v>
      </c>
      <c r="M1" s="363"/>
    </row>
    <row r="2" spans="1:15" x14ac:dyDescent="0.25">
      <c r="A2" s="33" t="s">
        <v>86</v>
      </c>
      <c r="B2" s="376">
        <v>43627.958333333336</v>
      </c>
      <c r="C2" s="376"/>
      <c r="D2" s="367" t="str">
        <f ca="1">IF(RAID_TIME_END-NOW()&lt;0,"",NOW()-RAID_TIME_START)</f>
        <v/>
      </c>
      <c r="E2" s="36" t="str">
        <f ca="1">IF(RAID_TIME_END-NOW()&lt;0,"",RAID_TIME_END-NOW())</f>
        <v/>
      </c>
      <c r="F2" s="30">
        <f>B2-B1</f>
        <v>12</v>
      </c>
      <c r="G2" s="375" t="str">
        <f ca="1">IF(NOW() &gt; $B$2,"",(NOW()-$B$1)/($B$2-$B$1))</f>
        <v/>
      </c>
      <c r="H2" s="375"/>
      <c r="I2" s="375"/>
      <c r="J2" s="375"/>
      <c r="K2" s="33" t="s">
        <v>92</v>
      </c>
      <c r="L2" s="165">
        <v>200000</v>
      </c>
    </row>
    <row r="3" spans="1:15" x14ac:dyDescent="0.25">
      <c r="A3" s="33" t="s">
        <v>179</v>
      </c>
      <c r="B3" s="351">
        <v>3</v>
      </c>
      <c r="D3" s="367"/>
      <c r="F3" s="365"/>
      <c r="G3" s="365"/>
      <c r="H3" s="365"/>
      <c r="I3" s="365"/>
      <c r="J3" s="365"/>
      <c r="K3" s="33" t="s">
        <v>93</v>
      </c>
      <c r="L3" s="165">
        <v>150000</v>
      </c>
    </row>
    <row r="5" spans="1:15" x14ac:dyDescent="0.25">
      <c r="A5" s="33"/>
      <c r="B5" s="377" t="s">
        <v>89</v>
      </c>
      <c r="C5" s="377"/>
      <c r="D5" s="378" t="s">
        <v>180</v>
      </c>
      <c r="E5" s="378"/>
      <c r="F5" s="378" t="s">
        <v>91</v>
      </c>
      <c r="G5" s="378"/>
      <c r="H5" s="378" t="s">
        <v>94</v>
      </c>
      <c r="I5" s="378"/>
      <c r="J5" s="374" t="s">
        <v>177</v>
      </c>
      <c r="K5" s="374"/>
      <c r="L5" s="379" t="s">
        <v>178</v>
      </c>
      <c r="M5" s="379"/>
      <c r="N5" s="374" t="s">
        <v>176</v>
      </c>
      <c r="O5" s="374"/>
    </row>
    <row r="6" spans="1:15" x14ac:dyDescent="0.25">
      <c r="A6" s="33" t="s">
        <v>25</v>
      </c>
      <c r="B6" s="34" t="s">
        <v>92</v>
      </c>
      <c r="C6" s="34" t="s">
        <v>93</v>
      </c>
      <c r="D6" s="369" t="s">
        <v>92</v>
      </c>
      <c r="E6" s="369" t="s">
        <v>93</v>
      </c>
      <c r="F6" s="34" t="s">
        <v>92</v>
      </c>
      <c r="G6" s="34" t="s">
        <v>93</v>
      </c>
      <c r="H6" s="353" t="s">
        <v>92</v>
      </c>
      <c r="I6" s="353" t="s">
        <v>93</v>
      </c>
      <c r="J6" s="353" t="s">
        <v>92</v>
      </c>
      <c r="K6" s="353" t="s">
        <v>93</v>
      </c>
      <c r="L6" s="361" t="s">
        <v>92</v>
      </c>
      <c r="M6" s="361" t="s">
        <v>93</v>
      </c>
      <c r="N6" s="353" t="s">
        <v>92</v>
      </c>
      <c r="O6" s="353" t="s">
        <v>93</v>
      </c>
    </row>
    <row r="7" spans="1:15" x14ac:dyDescent="0.25">
      <c r="A7" s="35">
        <f>RAID_TIME_START</f>
        <v>43615.958333333336</v>
      </c>
      <c r="B7" s="29">
        <v>0</v>
      </c>
      <c r="C7" s="29">
        <v>0</v>
      </c>
      <c r="D7" s="370" t="str">
        <f ca="1">IFERROR(IF(ISBLANK($A7),"-",SLOPE(INDIRECT("B" &amp; _xlfn.IFNA(MATCH($A7-$B$3,$A:$A,1),7)):B7,INDIRECT("A" &amp; _xlfn.IFNA(MATCH($A7-$B$3,$A:$A,1),7)):$A7)),"-")</f>
        <v>-</v>
      </c>
      <c r="E7" s="370" t="str">
        <f ca="1">IFERROR(IF(ISBLANK($A7),"-",SLOPE(INDIRECT("C" &amp; _xlfn.IFNA(MATCH($A7-$B$3,$A:$A,1),7)):C7,INDIRECT("A" &amp; _xlfn.IFNA(MATCH($A7-$B$3,$A:$A,1),7)):$A7)),"-")</f>
        <v>-</v>
      </c>
      <c r="F7" s="31" t="str">
        <f t="shared" ref="F7:F70" si="0">IF($A7&gt;RAID_TIME_START,$L$2*($A7-RAID_TIME_START)/$F$2,"-")</f>
        <v>-</v>
      </c>
      <c r="G7" s="31" t="str">
        <f t="shared" ref="G7:G70" si="1">IF($A7&gt;RAID_TIME_START,$L$3*($A7-RAID_TIME_START)/$F$2,"-")</f>
        <v>-</v>
      </c>
      <c r="H7" s="31" t="str">
        <f ca="1">IFERROR(IF(ISBLANK($A7),"-",_xlfn.FORECAST.LINEAR(RAID_TIME_END,INDIRECT("B" &amp; _xlfn.IFNA(MATCH($A7-$B$3,$A:$A,1),7)):B7,INDIRECT("A" &amp; _xlfn.IFNA(MATCH($A7-$B$3,$A:$A,1),7)):$A7)),"-")</f>
        <v>-</v>
      </c>
      <c r="I7" s="31" t="str">
        <f ca="1">IFERROR(IF(ISBLANK($A7),"-",_xlfn.FORECAST.LINEAR(RAID_TIME_END,INDIRECT("C" &amp; _xlfn.IFNA(MATCH($A7-$B$3,$A:$A,1),7)):C7,INDIRECT("A" &amp; _xlfn.IFNA(MATCH($A7-$B$3,$A:$A,1),7)):$A7)),"-")</f>
        <v>-</v>
      </c>
      <c r="J7" s="32" t="str">
        <f t="shared" ref="J7:J38" si="2">IFERROR(B7-F7,"-")</f>
        <v>-</v>
      </c>
      <c r="K7" s="32" t="str">
        <f t="shared" ref="K7:K38" si="3">IFERROR(C7-G7,"-")</f>
        <v>-</v>
      </c>
      <c r="L7" s="362" t="str">
        <f>IFERROR(J7/F7,"-")</f>
        <v>-</v>
      </c>
      <c r="M7" s="362" t="str">
        <f>IFERROR(K7/G7,"-")</f>
        <v>-</v>
      </c>
      <c r="N7" s="32" t="str">
        <f t="shared" ref="N7:N47" ca="1" si="4">IFERROR(H7 - RAID_GOAL_EMBLEM,"-")</f>
        <v>-</v>
      </c>
      <c r="O7" s="32" t="str">
        <f t="shared" ref="O7:O47" ca="1" si="5">IFERROR(I7 - RAID_GOAL_BLAZON,"-")</f>
        <v>-</v>
      </c>
    </row>
    <row r="8" spans="1:15" x14ac:dyDescent="0.25">
      <c r="A8" s="35">
        <v>43616.736805555556</v>
      </c>
      <c r="B8" s="29">
        <v>1511</v>
      </c>
      <c r="C8" s="29">
        <v>1395</v>
      </c>
      <c r="D8" s="370">
        <f ca="1">IFERROR(IF(ISBLANK($A8),"-",SLOPE(INDIRECT("B" &amp; _xlfn.IFNA(MATCH($A8-$B$3,$A:$A,1),7)):B8,INDIRECT("A" &amp; _xlfn.IFNA(MATCH($A8-$B$3,$A:$A,1),7)):$A8)),"-")</f>
        <v>1940.9812667305721</v>
      </c>
      <c r="E8" s="370">
        <f ca="1">IFERROR(IF(ISBLANK($A8),"-",SLOPE(INDIRECT("C" &amp; _xlfn.IFNA(MATCH($A8-$B$3,$A:$A,1),7)):C8,INDIRECT("A" &amp; _xlfn.IFNA(MATCH($A8-$B$3,$A:$A,1),7)):$A8)),"-")</f>
        <v>1791.9714540629702</v>
      </c>
      <c r="F8" s="31">
        <f t="shared" si="0"/>
        <v>12974.537037007394</v>
      </c>
      <c r="G8" s="31">
        <f t="shared" si="1"/>
        <v>9730.9027777555457</v>
      </c>
      <c r="H8" s="31">
        <f ca="1">IFERROR(IF(ISBLANK($A8),"-",_xlfn.FORECAST.LINEAR(RAID_TIME_END,INDIRECT("B" &amp; _xlfn.IFNA(MATCH($A8-$B$3,$A:$A,1),7)):B8,INDIRECT("A" &amp; _xlfn.IFNA(MATCH($A8-$B$3,$A:$A,1),7)):$A8)),"-")</f>
        <v>23291.775200769305</v>
      </c>
      <c r="I8" s="31">
        <f ca="1">IFERROR(IF(ISBLANK($A8),"-",_xlfn.FORECAST.LINEAR(RAID_TIME_END,INDIRECT("C" &amp; _xlfn.IFNA(MATCH($A8-$B$3,$A:$A,1),7)):C8,INDIRECT("A" &amp; _xlfn.IFNA(MATCH($A8-$B$3,$A:$A,1),7)):$A8)),"-")</f>
        <v>21503.657448753715</v>
      </c>
      <c r="J8" s="32">
        <f t="shared" si="2"/>
        <v>-11463.537037007394</v>
      </c>
      <c r="K8" s="32">
        <f t="shared" si="3"/>
        <v>-8335.9027777555457</v>
      </c>
      <c r="L8" s="362">
        <f t="shared" ref="L8:L47" si="6">IFERROR(J8/F8,"-")</f>
        <v>-0.88354112399616569</v>
      </c>
      <c r="M8" s="362">
        <f t="shared" ref="M8:M47" si="7">IFERROR(K8/G8,"-")</f>
        <v>-0.85664228367496242</v>
      </c>
      <c r="N8" s="32">
        <f t="shared" ca="1" si="4"/>
        <v>-176708.22479923069</v>
      </c>
      <c r="O8" s="32">
        <f t="shared" ca="1" si="5"/>
        <v>-128496.34255124629</v>
      </c>
    </row>
    <row r="9" spans="1:15" x14ac:dyDescent="0.25">
      <c r="A9" s="35">
        <v>43616.955555555556</v>
      </c>
      <c r="B9" s="29">
        <v>8066</v>
      </c>
      <c r="C9" s="29">
        <v>6299</v>
      </c>
      <c r="D9" s="370">
        <f ca="1">IFERROR(IF(ISBLANK($A9),"-",SLOPE(INDIRECT("B" &amp; _xlfn.IFNA(MATCH($A9-$B$3,$A:$A,1),7)):B9,INDIRECT("A" &amp; _xlfn.IFNA(MATCH($A9-$B$3,$A:$A,1),7)):$A9)),"-")</f>
        <v>6463.4018985726971</v>
      </c>
      <c r="E9" s="370">
        <f ca="1">IFERROR(IF(ISBLANK($A9),"-",SLOPE(INDIRECT("C" &amp; _xlfn.IFNA(MATCH($A9-$B$3,$A:$A,1),7)):C9,INDIRECT("A" &amp; _xlfn.IFNA(MATCH($A9-$B$3,$A:$A,1),7)):$A9)),"-")</f>
        <v>5120.4909124322303</v>
      </c>
      <c r="F9" s="31">
        <f t="shared" si="0"/>
        <v>16620.370370340726</v>
      </c>
      <c r="G9" s="31">
        <f t="shared" si="1"/>
        <v>12465.277777755546</v>
      </c>
      <c r="H9" s="31">
        <f ca="1">IFERROR(IF(ISBLANK($A9),"-",_xlfn.FORECAST.LINEAR(RAID_TIME_END,INDIRECT("B" &amp; _xlfn.IFNA(MATCH($A9-$B$3,$A:$A,1),7)):B9,INDIRECT("A" &amp; _xlfn.IFNA(MATCH($A9-$B$3,$A:$A,1),7)):$A9)),"-")</f>
        <v>76927.480501651764</v>
      </c>
      <c r="I9" s="31">
        <f ca="1">IFERROR(IF(ISBLANK($A9),"-",_xlfn.FORECAST.LINEAR(RAID_TIME_END,INDIRECT("C" &amp; _xlfn.IFNA(MATCH($A9-$B$3,$A:$A,1),7)):C9,INDIRECT("A" &amp; _xlfn.IFNA(MATCH($A9-$B$3,$A:$A,1),7)):$A9)),"-")</f>
        <v>60979.748527139425</v>
      </c>
      <c r="J9" s="32">
        <f t="shared" si="2"/>
        <v>-8554.3703703407264</v>
      </c>
      <c r="K9" s="32">
        <f t="shared" si="3"/>
        <v>-6166.2777777555457</v>
      </c>
      <c r="L9" s="362">
        <f t="shared" si="6"/>
        <v>-0.51469192200470548</v>
      </c>
      <c r="M9" s="362">
        <f t="shared" si="7"/>
        <v>-0.49467632311887588</v>
      </c>
      <c r="N9" s="32">
        <f t="shared" ca="1" si="4"/>
        <v>-123072.51949834824</v>
      </c>
      <c r="O9" s="32">
        <f t="shared" ca="1" si="5"/>
        <v>-89020.251472860575</v>
      </c>
    </row>
    <row r="10" spans="1:15" x14ac:dyDescent="0.25">
      <c r="A10" s="35">
        <v>43617.246527777781</v>
      </c>
      <c r="B10" s="29">
        <v>13615</v>
      </c>
      <c r="C10" s="29">
        <v>10673</v>
      </c>
      <c r="D10" s="370">
        <f ca="1">IFERROR(IF(ISBLANK($A10),"-",SLOPE(INDIRECT("B" &amp; _xlfn.IFNA(MATCH($A10-$B$3,$A:$A,1),7)):B10,INDIRECT("A" &amp; _xlfn.IFNA(MATCH($A10-$B$3,$A:$A,1),7)):$A10)),"-")</f>
        <v>9850.5934213236469</v>
      </c>
      <c r="E10" s="370">
        <f ca="1">IFERROR(IF(ISBLANK($A10),"-",SLOPE(INDIRECT("C" &amp; _xlfn.IFNA(MATCH($A10-$B$3,$A:$A,1),7)):C10,INDIRECT("A" &amp; _xlfn.IFNA(MATCH($A10-$B$3,$A:$A,1),7)):$A10)),"-")</f>
        <v>7718.814995418672</v>
      </c>
      <c r="F10" s="31">
        <f t="shared" si="0"/>
        <v>21469.90740742088</v>
      </c>
      <c r="G10" s="31">
        <f t="shared" si="1"/>
        <v>16102.430555565661</v>
      </c>
      <c r="H10" s="31">
        <f ca="1">IFERROR(IF(ISBLANK($A10),"-",_xlfn.FORECAST.LINEAR(RAID_TIME_END,INDIRECT("B" &amp; _xlfn.IFNA(MATCH($A10-$B$3,$A:$A,1),7)):B10,INDIRECT("A" &amp; _xlfn.IFNA(MATCH($A10-$B$3,$A:$A,1),7)):$A10)),"-")</f>
        <v>116459.84012275934</v>
      </c>
      <c r="I10" s="31">
        <f ca="1">IFERROR(IF(ISBLANK($A10),"-",_xlfn.FORECAST.LINEAR(RAID_TIME_END,INDIRECT("C" &amp; _xlfn.IFNA(MATCH($A10-$B$3,$A:$A,1),7)):C10,INDIRECT("A" &amp; _xlfn.IFNA(MATCH($A10-$B$3,$A:$A,1),7)):$A10)),"-")</f>
        <v>91305.132070064545</v>
      </c>
      <c r="J10" s="32">
        <f t="shared" si="2"/>
        <v>-7854.9074074208802</v>
      </c>
      <c r="K10" s="32">
        <f t="shared" si="3"/>
        <v>-5429.4305555656611</v>
      </c>
      <c r="L10" s="362">
        <f t="shared" si="6"/>
        <v>-0.36585660377398282</v>
      </c>
      <c r="M10" s="362">
        <f t="shared" si="7"/>
        <v>-0.33718080862575289</v>
      </c>
      <c r="N10" s="32">
        <f t="shared" ca="1" si="4"/>
        <v>-83540.159877240658</v>
      </c>
      <c r="O10" s="32">
        <f t="shared" ca="1" si="5"/>
        <v>-58694.867929935455</v>
      </c>
    </row>
    <row r="11" spans="1:15" x14ac:dyDescent="0.25">
      <c r="A11" s="35">
        <v>43617.380555555559</v>
      </c>
      <c r="B11" s="29">
        <v>16808</v>
      </c>
      <c r="C11" s="29">
        <v>14318</v>
      </c>
      <c r="D11" s="370">
        <f ca="1">IFERROR(IF(ISBLANK($A11),"-",SLOPE(INDIRECT("B" &amp; _xlfn.IFNA(MATCH($A11-$B$3,$A:$A,1),7)):B11,INDIRECT("A" &amp; _xlfn.IFNA(MATCH($A11-$B$3,$A:$A,1),7)):$A11)),"-")</f>
        <v>11748.195966941488</v>
      </c>
      <c r="E11" s="370">
        <f ca="1">IFERROR(IF(ISBLANK($A11),"-",SLOPE(INDIRECT("C" &amp; _xlfn.IFNA(MATCH($A11-$B$3,$A:$A,1),7)):C11,INDIRECT("A" &amp; _xlfn.IFNA(MATCH($A11-$B$3,$A:$A,1),7)):$A11)),"-")</f>
        <v>9664.5217440683318</v>
      </c>
      <c r="F11" s="31">
        <f t="shared" si="0"/>
        <v>23703.703703722567</v>
      </c>
      <c r="G11" s="31">
        <f t="shared" si="1"/>
        <v>17777.777777791925</v>
      </c>
      <c r="H11" s="31">
        <f ca="1">IFERROR(IF(ISBLANK($A11),"-",_xlfn.FORECAST.LINEAR(RAID_TIME_END,INDIRECT("B" &amp; _xlfn.IFNA(MATCH($A11-$B$3,$A:$A,1),7)):B11,INDIRECT("A" &amp; _xlfn.IFNA(MATCH($A11-$B$3,$A:$A,1),7)):$A11)),"-")</f>
        <v>138437.6091106534</v>
      </c>
      <c r="I11" s="31">
        <f ca="1">IFERROR(IF(ISBLANK($A11),"-",_xlfn.FORECAST.LINEAR(RAID_TIME_END,INDIRECT("C" &amp; _xlfn.IFNA(MATCH($A11-$B$3,$A:$A,1),7)):C11,INDIRECT("A" &amp; _xlfn.IFNA(MATCH($A11-$B$3,$A:$A,1),7)):$A11)),"-")</f>
        <v>113840.03725284338</v>
      </c>
      <c r="J11" s="32">
        <f t="shared" si="2"/>
        <v>-6895.7037037225673</v>
      </c>
      <c r="K11" s="32">
        <f t="shared" si="3"/>
        <v>-3459.7777777919255</v>
      </c>
      <c r="L11" s="362">
        <f t="shared" si="6"/>
        <v>-0.29091250000056429</v>
      </c>
      <c r="M11" s="362">
        <f t="shared" si="7"/>
        <v>-0.19461250000064093</v>
      </c>
      <c r="N11" s="32">
        <f t="shared" ca="1" si="4"/>
        <v>-61562.3908893466</v>
      </c>
      <c r="O11" s="32">
        <f t="shared" ca="1" si="5"/>
        <v>-36159.96274715662</v>
      </c>
    </row>
    <row r="12" spans="1:15" x14ac:dyDescent="0.25">
      <c r="A12" s="35">
        <v>43617.78125</v>
      </c>
      <c r="B12" s="29">
        <v>18425</v>
      </c>
      <c r="C12" s="29">
        <v>15701</v>
      </c>
      <c r="D12" s="370">
        <f ca="1">IFERROR(IF(ISBLANK($A12),"-",SLOPE(INDIRECT("B" &amp; _xlfn.IFNA(MATCH($A12-$B$3,$A:$A,1),7)):B12,INDIRECT("A" &amp; _xlfn.IFNA(MATCH($A12-$B$3,$A:$A,1),7)):$A12)),"-")</f>
        <v>11572.041923753724</v>
      </c>
      <c r="E12" s="370">
        <f ca="1">IFERROR(IF(ISBLANK($A12),"-",SLOPE(INDIRECT("C" &amp; _xlfn.IFNA(MATCH($A12-$B$3,$A:$A,1),7)):C12,INDIRECT("A" &amp; _xlfn.IFNA(MATCH($A12-$B$3,$A:$A,1),7)):$A12)),"-")</f>
        <v>9749.6589679708723</v>
      </c>
      <c r="F12" s="31">
        <f t="shared" si="0"/>
        <v>30381.944444404024</v>
      </c>
      <c r="G12" s="31">
        <f t="shared" si="1"/>
        <v>22786.458333303017</v>
      </c>
      <c r="H12" s="31">
        <f ca="1">IFERROR(IF(ISBLANK($A12),"-",_xlfn.FORECAST.LINEAR(RAID_TIME_END,INDIRECT("B" &amp; _xlfn.IFNA(MATCH($A12-$B$3,$A:$A,1),7)):B12,INDIRECT("A" &amp; _xlfn.IFNA(MATCH($A12-$B$3,$A:$A,1),7)):$A12)),"-")</f>
        <v>136433.94742786884</v>
      </c>
      <c r="I12" s="31">
        <f ca="1">IFERROR(IF(ISBLANK($A12),"-",_xlfn.FORECAST.LINEAR(RAID_TIME_END,INDIRECT("C" &amp; _xlfn.IFNA(MATCH($A12-$B$3,$A:$A,1),7)):C12,INDIRECT("A" &amp; _xlfn.IFNA(MATCH($A12-$B$3,$A:$A,1),7)):$A12)),"-")</f>
        <v>114808.42940682173</v>
      </c>
      <c r="J12" s="32">
        <f t="shared" si="2"/>
        <v>-11956.944444404024</v>
      </c>
      <c r="K12" s="32">
        <f t="shared" si="3"/>
        <v>-7085.4583333030168</v>
      </c>
      <c r="L12" s="362">
        <f t="shared" si="6"/>
        <v>-0.39355428571347889</v>
      </c>
      <c r="M12" s="362">
        <f t="shared" si="7"/>
        <v>-0.31095039999908325</v>
      </c>
      <c r="N12" s="32">
        <f t="shared" ca="1" si="4"/>
        <v>-63566.052572131157</v>
      </c>
      <c r="O12" s="32">
        <f t="shared" ca="1" si="5"/>
        <v>-35191.570593178272</v>
      </c>
    </row>
    <row r="13" spans="1:15" x14ac:dyDescent="0.25">
      <c r="A13" s="35">
        <v>43618.545432523148</v>
      </c>
      <c r="B13" s="29">
        <v>18637</v>
      </c>
      <c r="C13" s="29">
        <v>15838</v>
      </c>
      <c r="D13" s="370">
        <f ca="1">IFERROR(IF(ISBLANK($A13),"-",SLOPE(INDIRECT("B" &amp; _xlfn.IFNA(MATCH($A13-$B$3,$A:$A,1),7)):B13,INDIRECT("A" &amp; _xlfn.IFNA(MATCH($A13-$B$3,$A:$A,1),7)):$A13)),"-")</f>
        <v>8647.9515459508821</v>
      </c>
      <c r="E13" s="370">
        <f ca="1">IFERROR(IF(ISBLANK($A13),"-",SLOPE(INDIRECT("C" &amp; _xlfn.IFNA(MATCH($A13-$B$3,$A:$A,1),7)):C13,INDIRECT("A" &amp; _xlfn.IFNA(MATCH($A13-$B$3,$A:$A,1),7)):$A13)),"-")</f>
        <v>7376.9328334682968</v>
      </c>
      <c r="F13" s="31">
        <f t="shared" si="0"/>
        <v>43118.319830197528</v>
      </c>
      <c r="G13" s="31">
        <f t="shared" si="1"/>
        <v>32338.739872648148</v>
      </c>
      <c r="H13" s="31">
        <f ca="1">IFERROR(IF(ISBLANK($A13),"-",_xlfn.FORECAST.LINEAR(RAID_TIME_END,INDIRECT("B" &amp; _xlfn.IFNA(MATCH($A13-$B$3,$A:$A,1),7)):B13,INDIRECT("A" &amp; _xlfn.IFNA(MATCH($A13-$B$3,$A:$A,1),7)):$A13)),"-")</f>
        <v>103793.80784249306</v>
      </c>
      <c r="I13" s="31">
        <f ca="1">IFERROR(IF(ISBLANK($A13),"-",_xlfn.FORECAST.LINEAR(RAID_TIME_END,INDIRECT("C" &amp; _xlfn.IFNA(MATCH($A13-$B$3,$A:$A,1),7)):C13,INDIRECT("A" &amp; _xlfn.IFNA(MATCH($A13-$B$3,$A:$A,1),7)):$A13)),"-")</f>
        <v>88322.88955616951</v>
      </c>
      <c r="J13" s="32">
        <f t="shared" si="2"/>
        <v>-24481.319830197528</v>
      </c>
      <c r="K13" s="32">
        <f t="shared" si="3"/>
        <v>-16500.739872648148</v>
      </c>
      <c r="L13" s="362">
        <f t="shared" si="6"/>
        <v>-0.56777072776969051</v>
      </c>
      <c r="M13" s="362">
        <f t="shared" si="7"/>
        <v>-0.51024684133114118</v>
      </c>
      <c r="N13" s="32">
        <f t="shared" ca="1" si="4"/>
        <v>-96206.192157506943</v>
      </c>
      <c r="O13" s="32">
        <f t="shared" ca="1" si="5"/>
        <v>-61677.11044383049</v>
      </c>
    </row>
    <row r="14" spans="1:15" x14ac:dyDescent="0.25">
      <c r="A14" s="35">
        <v>43618.988888888889</v>
      </c>
      <c r="B14" s="29">
        <v>26305</v>
      </c>
      <c r="C14" s="29">
        <v>21857</v>
      </c>
      <c r="D14" s="370">
        <f ca="1">IFERROR(IF(ISBLANK($A14),"-",SLOPE(INDIRECT("B" &amp; _xlfn.IFNA(MATCH($A14-$B$3,$A:$A,1),7)):B14,INDIRECT("A" &amp; _xlfn.IFNA(MATCH($A14-$B$3,$A:$A,1),7)):$A14)),"-")</f>
        <v>8665.988407123863</v>
      </c>
      <c r="E14" s="370">
        <f ca="1">IFERROR(IF(ISBLANK($A14),"-",SLOPE(INDIRECT("C" &amp; _xlfn.IFNA(MATCH($A14-$B$3,$A:$A,1),7)):C14,INDIRECT("A" &amp; _xlfn.IFNA(MATCH($A14-$B$3,$A:$A,1),7)):$A14)),"-")</f>
        <v>7308.2662877192906</v>
      </c>
      <c r="F14" s="31">
        <f t="shared" si="0"/>
        <v>50509.25925922153</v>
      </c>
      <c r="G14" s="31">
        <f t="shared" si="1"/>
        <v>37881.944444416149</v>
      </c>
      <c r="H14" s="31">
        <f ca="1">IFERROR(IF(ISBLANK($A14),"-",_xlfn.FORECAST.LINEAR(RAID_TIME_END,INDIRECT("B" &amp; _xlfn.IFNA(MATCH($A14-$B$3,$A:$A,1),7)):B14,INDIRECT("A" &amp; _xlfn.IFNA(MATCH($A14-$B$3,$A:$A,1),7)):$A14)),"-")</f>
        <v>103993.17432534695</v>
      </c>
      <c r="I14" s="31">
        <f ca="1">IFERROR(IF(ISBLANK($A14),"-",_xlfn.FORECAST.LINEAR(RAID_TIME_END,INDIRECT("C" &amp; _xlfn.IFNA(MATCH($A14-$B$3,$A:$A,1),7)):C14,INDIRECT("A" &amp; _xlfn.IFNA(MATCH($A14-$B$3,$A:$A,1),7)):$A14)),"-")</f>
        <v>87563.898976564407</v>
      </c>
      <c r="J14" s="32">
        <f t="shared" si="2"/>
        <v>-24204.25925922153</v>
      </c>
      <c r="K14" s="32">
        <f t="shared" si="3"/>
        <v>-16024.944444416149</v>
      </c>
      <c r="L14" s="362">
        <f t="shared" si="6"/>
        <v>-0.47920439963297484</v>
      </c>
      <c r="M14" s="362">
        <f t="shared" si="7"/>
        <v>-0.42302328139278628</v>
      </c>
      <c r="N14" s="32">
        <f t="shared" ca="1" si="4"/>
        <v>-96006.825674653053</v>
      </c>
      <c r="O14" s="32">
        <f t="shared" ca="1" si="5"/>
        <v>-62436.101023435593</v>
      </c>
    </row>
    <row r="15" spans="1:15" x14ac:dyDescent="0.25">
      <c r="A15" s="35">
        <v>43619.179166666669</v>
      </c>
      <c r="B15" s="29">
        <v>27078</v>
      </c>
      <c r="C15" s="29">
        <v>23132</v>
      </c>
      <c r="D15" s="370">
        <f ca="1">IFERROR(IF(ISBLANK($A15),"-",SLOPE(INDIRECT("B" &amp; _xlfn.IFNA(MATCH($A15-$B$3,$A:$A,1),7)):B15,INDIRECT("A" &amp; _xlfn.IFNA(MATCH($A15-$B$3,$A:$A,1),7)):$A15)),"-")</f>
        <v>8528.8400407057889</v>
      </c>
      <c r="E15" s="370">
        <f ca="1">IFERROR(IF(ISBLANK($A15),"-",SLOPE(INDIRECT("C" &amp; _xlfn.IFNA(MATCH($A15-$B$3,$A:$A,1),7)):C15,INDIRECT("A" &amp; _xlfn.IFNA(MATCH($A15-$B$3,$A:$A,1),7)):$A15)),"-")</f>
        <v>7263.688072630981</v>
      </c>
      <c r="F15" s="31">
        <f t="shared" si="0"/>
        <v>53680.555555547471</v>
      </c>
      <c r="G15" s="31">
        <f t="shared" si="1"/>
        <v>40260.416666660603</v>
      </c>
      <c r="H15" s="31">
        <f ca="1">IFERROR(IF(ISBLANK($A15),"-",_xlfn.FORECAST.LINEAR(RAID_TIME_END,INDIRECT("B" &amp; _xlfn.IFNA(MATCH($A15-$B$3,$A:$A,1),7)):B15,INDIRECT("A" &amp; _xlfn.IFNA(MATCH($A15-$B$3,$A:$A,1),7)):$A15)),"-")</f>
        <v>102485.44273793697</v>
      </c>
      <c r="I15" s="31">
        <f ca="1">IFERROR(IF(ISBLANK($A15),"-",_xlfn.FORECAST.LINEAR(RAID_TIME_END,INDIRECT("C" &amp; _xlfn.IFNA(MATCH($A15-$B$3,$A:$A,1),7)):C15,INDIRECT("A" &amp; _xlfn.IFNA(MATCH($A15-$B$3,$A:$A,1),7)):$A15)),"-")</f>
        <v>87073.831287443638</v>
      </c>
      <c r="J15" s="32">
        <f t="shared" si="2"/>
        <v>-26602.555555547471</v>
      </c>
      <c r="K15" s="32">
        <f t="shared" si="3"/>
        <v>-17128.416666660603</v>
      </c>
      <c r="L15" s="362">
        <f t="shared" si="6"/>
        <v>-0.49557153945658639</v>
      </c>
      <c r="M15" s="362">
        <f t="shared" si="7"/>
        <v>-0.42544062095722268</v>
      </c>
      <c r="N15" s="32">
        <f t="shared" ca="1" si="4"/>
        <v>-97514.557262063026</v>
      </c>
      <c r="O15" s="32">
        <f t="shared" ca="1" si="5"/>
        <v>-62926.168712556362</v>
      </c>
    </row>
    <row r="16" spans="1:15" x14ac:dyDescent="0.25">
      <c r="A16" s="35">
        <v>43619.252083333333</v>
      </c>
      <c r="B16" s="29">
        <v>29815</v>
      </c>
      <c r="C16" s="29">
        <v>25173</v>
      </c>
      <c r="D16" s="370">
        <f ca="1">IFERROR(IF(ISBLANK($A16),"-",SLOPE(INDIRECT("B" &amp; _xlfn.IFNA(MATCH($A16-$B$3,$A:$A,1),7)):B16,INDIRECT("A" &amp; _xlfn.IFNA(MATCH($A16-$B$3,$A:$A,1),7)):$A16)),"-")</f>
        <v>8725.1097223481866</v>
      </c>
      <c r="E16" s="370">
        <f ca="1">IFERROR(IF(ISBLANK($A16),"-",SLOPE(INDIRECT("C" &amp; _xlfn.IFNA(MATCH($A16-$B$3,$A:$A,1),7)):C16,INDIRECT("A" &amp; _xlfn.IFNA(MATCH($A16-$B$3,$A:$A,1),7)):$A16)),"-")</f>
        <v>7429.5813863093463</v>
      </c>
      <c r="F16" s="31">
        <f t="shared" si="0"/>
        <v>54895.833333284827</v>
      </c>
      <c r="G16" s="31">
        <f t="shared" si="1"/>
        <v>41171.87499996362</v>
      </c>
      <c r="H16" s="31">
        <f ca="1">IFERROR(IF(ISBLANK($A16),"-",_xlfn.FORECAST.LINEAR(RAID_TIME_END,INDIRECT("B" &amp; _xlfn.IFNA(MATCH($A16-$B$3,$A:$A,1),7)):B16,INDIRECT("A" &amp; _xlfn.IFNA(MATCH($A16-$B$3,$A:$A,1),7)):$A16)),"-")</f>
        <v>104637.1098664403</v>
      </c>
      <c r="I16" s="31">
        <f ca="1">IFERROR(IF(ISBLANK($A16),"-",_xlfn.FORECAST.LINEAR(RAID_TIME_END,INDIRECT("C" &amp; _xlfn.IFNA(MATCH($A16-$B$3,$A:$A,1),7)):C16,INDIRECT("A" &amp; _xlfn.IFNA(MATCH($A16-$B$3,$A:$A,1),7)):$A16)),"-")</f>
        <v>88892.488080978394</v>
      </c>
      <c r="J16" s="32">
        <f t="shared" si="2"/>
        <v>-25080.833333284827</v>
      </c>
      <c r="K16" s="32">
        <f t="shared" si="3"/>
        <v>-15998.87499996362</v>
      </c>
      <c r="L16" s="362">
        <f t="shared" si="6"/>
        <v>-0.45688045540748973</v>
      </c>
      <c r="M16" s="362">
        <f t="shared" si="7"/>
        <v>-0.38858747628029466</v>
      </c>
      <c r="N16" s="32">
        <f t="shared" ca="1" si="4"/>
        <v>-95362.890133559704</v>
      </c>
      <c r="O16" s="32">
        <f t="shared" ca="1" si="5"/>
        <v>-61107.511919021606</v>
      </c>
    </row>
    <row r="17" spans="1:15" x14ac:dyDescent="0.25">
      <c r="A17" s="35">
        <v>43619.332638888889</v>
      </c>
      <c r="B17" s="29">
        <v>31679</v>
      </c>
      <c r="C17" s="29">
        <v>26701</v>
      </c>
      <c r="D17" s="370">
        <f ca="1">IFERROR(IF(ISBLANK($A17),"-",SLOPE(INDIRECT("B" &amp; _xlfn.IFNA(MATCH($A17-$B$3,$A:$A,1),7)):B17,INDIRECT("A" &amp; _xlfn.IFNA(MATCH($A17-$B$3,$A:$A,1),7)):$A17)),"-")</f>
        <v>8956.720267682058</v>
      </c>
      <c r="E17" s="370">
        <f ca="1">IFERROR(IF(ISBLANK($A17),"-",SLOPE(INDIRECT("C" &amp; _xlfn.IFNA(MATCH($A17-$B$3,$A:$A,1),7)):C17,INDIRECT("A" &amp; _xlfn.IFNA(MATCH($A17-$B$3,$A:$A,1),7)):$A17)),"-")</f>
        <v>7620.1211908876448</v>
      </c>
      <c r="F17" s="31">
        <f t="shared" si="0"/>
        <v>56238.425925888201</v>
      </c>
      <c r="G17" s="31">
        <f t="shared" si="1"/>
        <v>42178.819444416149</v>
      </c>
      <c r="H17" s="31">
        <f ca="1">IFERROR(IF(ISBLANK($A17),"-",_xlfn.FORECAST.LINEAR(RAID_TIME_END,INDIRECT("B" &amp; _xlfn.IFNA(MATCH($A17-$B$3,$A:$A,1),7)):B17,INDIRECT("A" &amp; _xlfn.IFNA(MATCH($A17-$B$3,$A:$A,1),7)):$A17)),"-")</f>
        <v>107166.3731560111</v>
      </c>
      <c r="I17" s="31">
        <f ca="1">IFERROR(IF(ISBLANK($A17),"-",_xlfn.FORECAST.LINEAR(RAID_TIME_END,INDIRECT("C" &amp; _xlfn.IFNA(MATCH($A17-$B$3,$A:$A,1),7)):C17,INDIRECT("A" &amp; _xlfn.IFNA(MATCH($A17-$B$3,$A:$A,1),7)):$A17)),"-")</f>
        <v>90973.245380759239</v>
      </c>
      <c r="J17" s="32">
        <f t="shared" si="2"/>
        <v>-24559.425925888201</v>
      </c>
      <c r="K17" s="32">
        <f t="shared" si="3"/>
        <v>-15477.819444416149</v>
      </c>
      <c r="L17" s="362">
        <f t="shared" si="6"/>
        <v>-0.43670187281295819</v>
      </c>
      <c r="M17" s="362">
        <f t="shared" si="7"/>
        <v>-0.3669571516768752</v>
      </c>
      <c r="N17" s="32">
        <f t="shared" ca="1" si="4"/>
        <v>-92833.626843988895</v>
      </c>
      <c r="O17" s="32">
        <f t="shared" ca="1" si="5"/>
        <v>-59026.754619240761</v>
      </c>
    </row>
    <row r="18" spans="1:15" x14ac:dyDescent="0.25">
      <c r="A18" s="35">
        <v>43619.607638888891</v>
      </c>
      <c r="B18" s="29">
        <v>40284</v>
      </c>
      <c r="C18" s="29">
        <v>32663</v>
      </c>
      <c r="D18" s="370">
        <f ca="1">IFERROR(IF(ISBLANK($A18),"-",SLOPE(INDIRECT("B" &amp; _xlfn.IFNA(MATCH($A18-$B$3,$A:$A,1),7)):B18,INDIRECT("A" &amp; _xlfn.IFNA(MATCH($A18-$B$3,$A:$A,1),7)):$A18)),"-")</f>
        <v>9694.8829453509297</v>
      </c>
      <c r="E18" s="370">
        <f ca="1">IFERROR(IF(ISBLANK($A18),"-",SLOPE(INDIRECT("C" &amp; _xlfn.IFNA(MATCH($A18-$B$3,$A:$A,1),7)):C18,INDIRECT("A" &amp; _xlfn.IFNA(MATCH($A18-$B$3,$A:$A,1),7)):$A18)),"-")</f>
        <v>8116.7154826787673</v>
      </c>
      <c r="F18" s="31">
        <f t="shared" si="0"/>
        <v>60821.759259245788</v>
      </c>
      <c r="G18" s="31">
        <f t="shared" si="1"/>
        <v>45616.319444434339</v>
      </c>
      <c r="H18" s="31">
        <f ca="1">IFERROR(IF(ISBLANK($A18),"-",_xlfn.FORECAST.LINEAR(RAID_TIME_END,INDIRECT("B" &amp; _xlfn.IFNA(MATCH($A18-$B$3,$A:$A,1),7)):B18,INDIRECT("A" &amp; _xlfn.IFNA(MATCH($A18-$B$3,$A:$A,1),7)):$A18)),"-")</f>
        <v>115117.26189261675</v>
      </c>
      <c r="I18" s="31">
        <f ca="1">IFERROR(IF(ISBLANK($A18),"-",_xlfn.FORECAST.LINEAR(RAID_TIME_END,INDIRECT("C" &amp; _xlfn.IFNA(MATCH($A18-$B$3,$A:$A,1),7)):C18,INDIRECT("A" &amp; _xlfn.IFNA(MATCH($A18-$B$3,$A:$A,1),7)):$A18)),"-")</f>
        <v>96322.155696451664</v>
      </c>
      <c r="J18" s="32">
        <f t="shared" si="2"/>
        <v>-20537.759259245788</v>
      </c>
      <c r="K18" s="32">
        <f t="shared" si="3"/>
        <v>-12953.319444434339</v>
      </c>
      <c r="L18" s="362">
        <f t="shared" si="6"/>
        <v>-0.33767124643182284</v>
      </c>
      <c r="M18" s="362">
        <f t="shared" si="7"/>
        <v>-0.28396239771630188</v>
      </c>
      <c r="N18" s="32">
        <f t="shared" ca="1" si="4"/>
        <v>-84882.738107383251</v>
      </c>
      <c r="O18" s="32">
        <f t="shared" ca="1" si="5"/>
        <v>-53677.844303548336</v>
      </c>
    </row>
    <row r="19" spans="1:15" x14ac:dyDescent="0.25">
      <c r="A19" s="35">
        <v>43619.763194444444</v>
      </c>
      <c r="B19" s="29">
        <v>40881</v>
      </c>
      <c r="C19" s="29">
        <v>34049</v>
      </c>
      <c r="D19" s="370">
        <f ca="1">IFERROR(IF(ISBLANK($A19),"-",SLOPE(INDIRECT("B" &amp; _xlfn.IFNA(MATCH($A19-$B$3,$A:$A,1),7)):B19,INDIRECT("A" &amp; _xlfn.IFNA(MATCH($A19-$B$3,$A:$A,1),7)):$A19)),"-")</f>
        <v>10443.487009448789</v>
      </c>
      <c r="E19" s="370">
        <f ca="1">IFERROR(IF(ISBLANK($A19),"-",SLOPE(INDIRECT("C" &amp; _xlfn.IFNA(MATCH($A19-$B$3,$A:$A,1),7)):C19,INDIRECT("A" &amp; _xlfn.IFNA(MATCH($A19-$B$3,$A:$A,1),7)):$A19)),"-")</f>
        <v>8741.2847021095477</v>
      </c>
      <c r="F19" s="31">
        <f t="shared" si="0"/>
        <v>63414.351851800653</v>
      </c>
      <c r="G19" s="31">
        <f t="shared" si="1"/>
        <v>47560.763888850488</v>
      </c>
      <c r="H19" s="31">
        <f ca="1">IFERROR(IF(ISBLANK($A19),"-",_xlfn.FORECAST.LINEAR(RAID_TIME_END,INDIRECT("B" &amp; _xlfn.IFNA(MATCH($A19-$B$3,$A:$A,1),7)):B19,INDIRECT("A" &amp; _xlfn.IFNA(MATCH($A19-$B$3,$A:$A,1),7)):$A19)),"-")</f>
        <v>122607.33333051205</v>
      </c>
      <c r="I19" s="31">
        <f ca="1">IFERROR(IF(ISBLANK($A19),"-",_xlfn.FORECAST.LINEAR(RAID_TIME_END,INDIRECT("C" &amp; _xlfn.IFNA(MATCH($A19-$B$3,$A:$A,1),7)):C19,INDIRECT("A" &amp; _xlfn.IFNA(MATCH($A19-$B$3,$A:$A,1),7)):$A19)),"-")</f>
        <v>102557.40695011616</v>
      </c>
      <c r="J19" s="32">
        <f t="shared" si="2"/>
        <v>-22533.351851800653</v>
      </c>
      <c r="K19" s="32">
        <f t="shared" si="3"/>
        <v>-13511.763888850488</v>
      </c>
      <c r="L19" s="362">
        <f t="shared" si="6"/>
        <v>-0.3553352071540698</v>
      </c>
      <c r="M19" s="362">
        <f t="shared" si="7"/>
        <v>-0.28409476181727195</v>
      </c>
      <c r="N19" s="32">
        <f t="shared" ca="1" si="4"/>
        <v>-77392.666669487953</v>
      </c>
      <c r="O19" s="32">
        <f t="shared" ca="1" si="5"/>
        <v>-47442.593049883842</v>
      </c>
    </row>
    <row r="20" spans="1:15" x14ac:dyDescent="0.25">
      <c r="A20" s="35">
        <v>43619.771527777775</v>
      </c>
      <c r="B20" s="29">
        <v>41124</v>
      </c>
      <c r="C20" s="29">
        <v>34234</v>
      </c>
      <c r="D20" s="370">
        <f ca="1">IFERROR(IF(ISBLANK($A20),"-",SLOPE(INDIRECT("B" &amp; _xlfn.IFNA(MATCH($A20-$B$3,$A:$A,1),7)):B20,INDIRECT("A" &amp; _xlfn.IFNA(MATCH($A20-$B$3,$A:$A,1),7)):$A20)),"-")</f>
        <v>10777.772802228477</v>
      </c>
      <c r="E20" s="370">
        <f ca="1">IFERROR(IF(ISBLANK($A20),"-",SLOPE(INDIRECT("C" &amp; _xlfn.IFNA(MATCH($A20-$B$3,$A:$A,1),7)):C20,INDIRECT("A" &amp; _xlfn.IFNA(MATCH($A20-$B$3,$A:$A,1),7)):$A20)),"-")</f>
        <v>9010.9960322304942</v>
      </c>
      <c r="F20" s="31">
        <f t="shared" si="0"/>
        <v>63553.240740657202</v>
      </c>
      <c r="G20" s="31">
        <f t="shared" si="1"/>
        <v>47664.930555492901</v>
      </c>
      <c r="H20" s="31">
        <f ca="1">IFERROR(IF(ISBLANK($A20),"-",_xlfn.FORECAST.LINEAR(RAID_TIME_END,INDIRECT("B" &amp; _xlfn.IFNA(MATCH($A20-$B$3,$A:$A,1),7)):B20,INDIRECT("A" &amp; _xlfn.IFNA(MATCH($A20-$B$3,$A:$A,1),7)):$A20)),"-")</f>
        <v>126076.94052165747</v>
      </c>
      <c r="I20" s="31">
        <f ca="1">IFERROR(IF(ISBLANK($A20),"-",_xlfn.FORECAST.LINEAR(RAID_TIME_END,INDIRECT("C" &amp; _xlfn.IFNA(MATCH($A20-$B$3,$A:$A,1),7)):C20,INDIRECT("A" &amp; _xlfn.IFNA(MATCH($A20-$B$3,$A:$A,1),7)):$A20)),"-")</f>
        <v>105356.78517901897</v>
      </c>
      <c r="J20" s="32">
        <f t="shared" si="2"/>
        <v>-22429.240740657202</v>
      </c>
      <c r="K20" s="32">
        <f t="shared" si="3"/>
        <v>-13430.930555492901</v>
      </c>
      <c r="L20" s="362">
        <f t="shared" si="6"/>
        <v>-0.352920488070539</v>
      </c>
      <c r="M20" s="362">
        <f t="shared" si="7"/>
        <v>-0.2817780367865263</v>
      </c>
      <c r="N20" s="32">
        <f t="shared" ca="1" si="4"/>
        <v>-73923.059478342533</v>
      </c>
      <c r="O20" s="32">
        <f t="shared" ca="1" si="5"/>
        <v>-44643.214820981026</v>
      </c>
    </row>
    <row r="21" spans="1:15" x14ac:dyDescent="0.25">
      <c r="A21" s="35">
        <v>43619.80972222222</v>
      </c>
      <c r="B21" s="29">
        <v>42521</v>
      </c>
      <c r="C21" s="29">
        <v>35223</v>
      </c>
      <c r="D21" s="370">
        <f ca="1">IFERROR(IF(ISBLANK($A21),"-",SLOPE(INDIRECT("B" &amp; _xlfn.IFNA(MATCH($A21-$B$3,$A:$A,1),7)):B21,INDIRECT("A" &amp; _xlfn.IFNA(MATCH($A21-$B$3,$A:$A,1),7)):$A21)),"-")</f>
        <v>11085.605804651083</v>
      </c>
      <c r="E21" s="370">
        <f ca="1">IFERROR(IF(ISBLANK($A21),"-",SLOPE(INDIRECT("C" &amp; _xlfn.IFNA(MATCH($A21-$B$3,$A:$A,1),7)):C21,INDIRECT("A" &amp; _xlfn.IFNA(MATCH($A21-$B$3,$A:$A,1),7)):$A21)),"-")</f>
        <v>9248.532651033609</v>
      </c>
      <c r="F21" s="31">
        <f t="shared" si="0"/>
        <v>64189.81481474475</v>
      </c>
      <c r="G21" s="31">
        <f t="shared" si="1"/>
        <v>48142.361111058563</v>
      </c>
      <c r="H21" s="31">
        <f ca="1">IFERROR(IF(ISBLANK($A21),"-",_xlfn.FORECAST.LINEAR(RAID_TIME_END,INDIRECT("B" &amp; _xlfn.IFNA(MATCH($A21-$B$3,$A:$A,1),7)):B21,INDIRECT("A" &amp; _xlfn.IFNA(MATCH($A21-$B$3,$A:$A,1),7)):$A21)),"-")</f>
        <v>129263.67481046915</v>
      </c>
      <c r="I21" s="31">
        <f ca="1">IFERROR(IF(ISBLANK($A21),"-",_xlfn.FORECAST.LINEAR(RAID_TIME_END,INDIRECT("C" &amp; _xlfn.IFNA(MATCH($A21-$B$3,$A:$A,1),7)):C21,INDIRECT("A" &amp; _xlfn.IFNA(MATCH($A21-$B$3,$A:$A,1),7)):$A21)),"-")</f>
        <v>107815.80056077242</v>
      </c>
      <c r="J21" s="32">
        <f t="shared" si="2"/>
        <v>-21668.81481474475</v>
      </c>
      <c r="K21" s="32">
        <f t="shared" si="3"/>
        <v>-12919.361111058563</v>
      </c>
      <c r="L21" s="362">
        <f t="shared" si="6"/>
        <v>-0.33757403534006308</v>
      </c>
      <c r="M21" s="362">
        <f t="shared" si="7"/>
        <v>-0.26835744680771201</v>
      </c>
      <c r="N21" s="32">
        <f t="shared" ca="1" si="4"/>
        <v>-70736.325189530849</v>
      </c>
      <c r="O21" s="32">
        <f t="shared" ca="1" si="5"/>
        <v>-42184.199439227581</v>
      </c>
    </row>
    <row r="22" spans="1:15" x14ac:dyDescent="0.25">
      <c r="A22" s="35">
        <v>43620.181250000001</v>
      </c>
      <c r="B22" s="29">
        <v>45920</v>
      </c>
      <c r="C22" s="29">
        <v>37550</v>
      </c>
      <c r="D22" s="370">
        <f ca="1">IFERROR(IF(ISBLANK($A22),"-",SLOPE(INDIRECT("B" &amp; _xlfn.IFNA(MATCH($A22-$B$3,$A:$A,1),7)):B22,INDIRECT("A" &amp; _xlfn.IFNA(MATCH($A22-$B$3,$A:$A,1),7)):$A22)),"-")</f>
        <v>10871.108312869543</v>
      </c>
      <c r="E22" s="370">
        <f ca="1">IFERROR(IF(ISBLANK($A22),"-",SLOPE(INDIRECT("C" &amp; _xlfn.IFNA(MATCH($A22-$B$3,$A:$A,1),7)):C22,INDIRECT("A" &amp; _xlfn.IFNA(MATCH($A22-$B$3,$A:$A,1),7)):$A22)),"-")</f>
        <v>9026.7981555731803</v>
      </c>
      <c r="F22" s="31">
        <f t="shared" si="0"/>
        <v>70381.944444428271</v>
      </c>
      <c r="G22" s="31">
        <f t="shared" si="1"/>
        <v>52786.458333321207</v>
      </c>
      <c r="H22" s="31">
        <f ca="1">IFERROR(IF(ISBLANK($A22),"-",_xlfn.FORECAST.LINEAR(RAID_TIME_END,INDIRECT("B" &amp; _xlfn.IFNA(MATCH($A22-$B$3,$A:$A,1),7)):B22,INDIRECT("A" &amp; _xlfn.IFNA(MATCH($A22-$B$3,$A:$A,1),7)):$A22)),"-")</f>
        <v>127753.01852828264</v>
      </c>
      <c r="I22" s="31">
        <f ca="1">IFERROR(IF(ISBLANK($A22),"-",_xlfn.FORECAST.LINEAR(RAID_TIME_END,INDIRECT("C" &amp; _xlfn.IFNA(MATCH($A22-$B$3,$A:$A,1),7)):C22,INDIRECT("A" &amp; _xlfn.IFNA(MATCH($A22-$B$3,$A:$A,1),7)):$A22)),"-")</f>
        <v>106101.58006989956</v>
      </c>
      <c r="J22" s="32">
        <f t="shared" si="2"/>
        <v>-24461.944444428271</v>
      </c>
      <c r="K22" s="32">
        <f t="shared" si="3"/>
        <v>-15236.458333321207</v>
      </c>
      <c r="L22" s="362">
        <f t="shared" si="6"/>
        <v>-0.34755994079906072</v>
      </c>
      <c r="M22" s="362">
        <f t="shared" si="7"/>
        <v>-0.28864331524403986</v>
      </c>
      <c r="N22" s="32">
        <f t="shared" ca="1" si="4"/>
        <v>-72246.981471717358</v>
      </c>
      <c r="O22" s="32">
        <f t="shared" ca="1" si="5"/>
        <v>-43898.419930100441</v>
      </c>
    </row>
    <row r="23" spans="1:15" x14ac:dyDescent="0.25">
      <c r="A23" s="35">
        <v>43620.304861111108</v>
      </c>
      <c r="B23" s="29">
        <v>46444</v>
      </c>
      <c r="C23" s="29">
        <v>38196</v>
      </c>
      <c r="D23" s="370">
        <f ca="1">IFERROR(IF(ISBLANK($A23),"-",SLOPE(INDIRECT("B" &amp; _xlfn.IFNA(MATCH($A23-$B$3,$A:$A,1),7)):B23,INDIRECT("A" &amp; _xlfn.IFNA(MATCH($A23-$B$3,$A:$A,1),7)):$A23)),"-")</f>
        <v>11039.532524912865</v>
      </c>
      <c r="E23" s="370">
        <f ca="1">IFERROR(IF(ISBLANK($A23),"-",SLOPE(INDIRECT("C" &amp; _xlfn.IFNA(MATCH($A23-$B$3,$A:$A,1),7)):C23,INDIRECT("A" &amp; _xlfn.IFNA(MATCH($A23-$B$3,$A:$A,1),7)):$A23)),"-")</f>
        <v>9059.4330585546577</v>
      </c>
      <c r="F23" s="31">
        <f t="shared" si="0"/>
        <v>72442.129629538002</v>
      </c>
      <c r="G23" s="31">
        <f t="shared" si="1"/>
        <v>54331.597222153505</v>
      </c>
      <c r="H23" s="31">
        <f ca="1">IFERROR(IF(ISBLANK($A23),"-",_xlfn.FORECAST.LINEAR(RAID_TIME_END,INDIRECT("B" &amp; _xlfn.IFNA(MATCH($A23-$B$3,$A:$A,1),7)):B23,INDIRECT("A" &amp; _xlfn.IFNA(MATCH($A23-$B$3,$A:$A,1),7)):$A23)),"-")</f>
        <v>129388.57125580311</v>
      </c>
      <c r="I23" s="31">
        <f ca="1">IFERROR(IF(ISBLANK($A23),"-",_xlfn.FORECAST.LINEAR(RAID_TIME_END,INDIRECT("C" &amp; _xlfn.IFNA(MATCH($A23-$B$3,$A:$A,1),7)):C23,INDIRECT("A" &amp; _xlfn.IFNA(MATCH($A23-$B$3,$A:$A,1),7)):$A23)),"-")</f>
        <v>106510.08700716496</v>
      </c>
      <c r="J23" s="32">
        <f t="shared" si="2"/>
        <v>-25998.129629538002</v>
      </c>
      <c r="K23" s="32">
        <f t="shared" si="3"/>
        <v>-16135.597222153505</v>
      </c>
      <c r="L23" s="362">
        <f t="shared" si="6"/>
        <v>-0.35888135484820649</v>
      </c>
      <c r="M23" s="362">
        <f t="shared" si="7"/>
        <v>-0.29698367151213206</v>
      </c>
      <c r="N23" s="32">
        <f t="shared" ca="1" si="4"/>
        <v>-70611.428744196892</v>
      </c>
      <c r="O23" s="32">
        <f t="shared" ca="1" si="5"/>
        <v>-43489.912992835045</v>
      </c>
    </row>
    <row r="24" spans="1:15" x14ac:dyDescent="0.25">
      <c r="A24" s="35">
        <v>43620.422222222223</v>
      </c>
      <c r="B24" s="29">
        <v>49918</v>
      </c>
      <c r="C24" s="29">
        <v>40674</v>
      </c>
      <c r="D24" s="370">
        <f ca="1">IFERROR(IF(ISBLANK($A24),"-",SLOPE(INDIRECT("B" &amp; _xlfn.IFNA(MATCH($A24-$B$3,$A:$A,1),7)):B24,INDIRECT("A" &amp; _xlfn.IFNA(MATCH($A24-$B$3,$A:$A,1),7)):$A24)),"-")</f>
        <v>11920.625462856537</v>
      </c>
      <c r="E24" s="370">
        <f ca="1">IFERROR(IF(ISBLANK($A24),"-",SLOPE(INDIRECT("C" &amp; _xlfn.IFNA(MATCH($A24-$B$3,$A:$A,1),7)):C24,INDIRECT("A" &amp; _xlfn.IFNA(MATCH($A24-$B$3,$A:$A,1),7)):$A24)),"-")</f>
        <v>9554.1630332861205</v>
      </c>
      <c r="F24" s="31">
        <f t="shared" si="0"/>
        <v>74398.148148126595</v>
      </c>
      <c r="G24" s="31">
        <f t="shared" si="1"/>
        <v>55798.611111094942</v>
      </c>
      <c r="H24" s="31">
        <f ca="1">IFERROR(IF(ISBLANK($A24),"-",_xlfn.FORECAST.LINEAR(RAID_TIME_END,INDIRECT("B" &amp; _xlfn.IFNA(MATCH($A24-$B$3,$A:$A,1),7)):B24,INDIRECT("A" &amp; _xlfn.IFNA(MATCH($A24-$B$3,$A:$A,1),7)):$A24)),"-")</f>
        <v>137098.70372772217</v>
      </c>
      <c r="I24" s="31">
        <f ca="1">IFERROR(IF(ISBLANK($A24),"-",_xlfn.FORECAST.LINEAR(RAID_TIME_END,INDIRECT("C" &amp; _xlfn.IFNA(MATCH($A24-$B$3,$A:$A,1),7)):C24,INDIRECT("A" &amp; _xlfn.IFNA(MATCH($A24-$B$3,$A:$A,1),7)):$A24)),"-")</f>
        <v>110877.2974088788</v>
      </c>
      <c r="J24" s="32">
        <f t="shared" si="2"/>
        <v>-24480.148148126595</v>
      </c>
      <c r="K24" s="32">
        <f t="shared" si="3"/>
        <v>-15124.611111094942</v>
      </c>
      <c r="L24" s="362">
        <f t="shared" si="6"/>
        <v>-0.32904243932774591</v>
      </c>
      <c r="M24" s="362">
        <f t="shared" si="7"/>
        <v>-0.27105712507757346</v>
      </c>
      <c r="N24" s="32">
        <f t="shared" ca="1" si="4"/>
        <v>-62901.296272277832</v>
      </c>
      <c r="O24" s="32">
        <f t="shared" ca="1" si="5"/>
        <v>-39122.702591121197</v>
      </c>
    </row>
    <row r="25" spans="1:15" x14ac:dyDescent="0.25">
      <c r="A25" s="35">
        <v>43620.497916666667</v>
      </c>
      <c r="B25" s="29">
        <v>52375</v>
      </c>
      <c r="C25" s="29">
        <v>42596</v>
      </c>
      <c r="D25" s="370">
        <f ca="1">IFERROR(IF(ISBLANK($A25),"-",SLOPE(INDIRECT("B" &amp; _xlfn.IFNA(MATCH($A25-$B$3,$A:$A,1),7)):B25,INDIRECT("A" &amp; _xlfn.IFNA(MATCH($A25-$B$3,$A:$A,1),7)):$A25)),"-")</f>
        <v>12315.534215398546</v>
      </c>
      <c r="E25" s="370">
        <f ca="1">IFERROR(IF(ISBLANK($A25),"-",SLOPE(INDIRECT("C" &amp; _xlfn.IFNA(MATCH($A25-$B$3,$A:$A,1),7)):C25,INDIRECT("A" &amp; _xlfn.IFNA(MATCH($A25-$B$3,$A:$A,1),7)):$A25)),"-")</f>
        <v>9835.3230314507146</v>
      </c>
      <c r="F25" s="31">
        <f t="shared" si="0"/>
        <v>75659.722222189885</v>
      </c>
      <c r="G25" s="31">
        <f t="shared" si="1"/>
        <v>56744.791666642413</v>
      </c>
      <c r="H25" s="31">
        <f ca="1">IFERROR(IF(ISBLANK($A25),"-",_xlfn.FORECAST.LINEAR(RAID_TIME_END,INDIRECT("B" &amp; _xlfn.IFNA(MATCH($A25-$B$3,$A:$A,1),7)):B25,INDIRECT("A" &amp; _xlfn.IFNA(MATCH($A25-$B$3,$A:$A,1),7)):$A25)),"-")</f>
        <v>140763.85544466972</v>
      </c>
      <c r="I25" s="31">
        <f ca="1">IFERROR(IF(ISBLANK($A25),"-",_xlfn.FORECAST.LINEAR(RAID_TIME_END,INDIRECT("C" &amp; _xlfn.IFNA(MATCH($A25-$B$3,$A:$A,1),7)):C25,INDIRECT("A" &amp; _xlfn.IFNA(MATCH($A25-$B$3,$A:$A,1),7)):$A25)),"-")</f>
        <v>113486.74590402842</v>
      </c>
      <c r="J25" s="32">
        <f t="shared" si="2"/>
        <v>-23284.722222189885</v>
      </c>
      <c r="K25" s="32">
        <f t="shared" si="3"/>
        <v>-14148.791666642413</v>
      </c>
      <c r="L25" s="362">
        <f t="shared" si="6"/>
        <v>-0.30775585130764355</v>
      </c>
      <c r="M25" s="362">
        <f t="shared" si="7"/>
        <v>-0.2493407985311156</v>
      </c>
      <c r="N25" s="32">
        <f t="shared" ca="1" si="4"/>
        <v>-59236.144555330276</v>
      </c>
      <c r="O25" s="32">
        <f t="shared" ca="1" si="5"/>
        <v>-36513.254095971584</v>
      </c>
    </row>
    <row r="26" spans="1:15" x14ac:dyDescent="0.25">
      <c r="A26" s="35">
        <v>43620.541666666664</v>
      </c>
      <c r="B26" s="29">
        <v>53985</v>
      </c>
      <c r="C26" s="29">
        <v>43605</v>
      </c>
      <c r="D26" s="370">
        <f ca="1">IFERROR(IF(ISBLANK($A26),"-",SLOPE(INDIRECT("B" &amp; _xlfn.IFNA(MATCH($A26-$B$3,$A:$A,1),7)):B26,INDIRECT("A" &amp; _xlfn.IFNA(MATCH($A26-$B$3,$A:$A,1),7)):$A26)),"-")</f>
        <v>12692.763811724297</v>
      </c>
      <c r="E26" s="370">
        <f ca="1">IFERROR(IF(ISBLANK($A26),"-",SLOPE(INDIRECT("C" &amp; _xlfn.IFNA(MATCH($A26-$B$3,$A:$A,1),7)):C26,INDIRECT("A" &amp; _xlfn.IFNA(MATCH($A26-$B$3,$A:$A,1),7)):$A26)),"-")</f>
        <v>10088.683615147513</v>
      </c>
      <c r="F26" s="31">
        <f t="shared" si="0"/>
        <v>76388.88888880804</v>
      </c>
      <c r="G26" s="31">
        <f t="shared" si="1"/>
        <v>57291.666666606034</v>
      </c>
      <c r="H26" s="31">
        <f ca="1">IFERROR(IF(ISBLANK($A26),"-",_xlfn.FORECAST.LINEAR(RAID_TIME_END,INDIRECT("B" &amp; _xlfn.IFNA(MATCH($A26-$B$3,$A:$A,1),7)):B26,INDIRECT("A" &amp; _xlfn.IFNA(MATCH($A26-$B$3,$A:$A,1),7)):$A26)),"-")</f>
        <v>144254.7627145052</v>
      </c>
      <c r="I26" s="31">
        <f ca="1">IFERROR(IF(ISBLANK($A26),"-",_xlfn.FORECAST.LINEAR(RAID_TIME_END,INDIRECT("C" &amp; _xlfn.IFNA(MATCH($A26-$B$3,$A:$A,1),7)):C26,INDIRECT("A" &amp; _xlfn.IFNA(MATCH($A26-$B$3,$A:$A,1),7)):$A26)),"-")</f>
        <v>115831.36125791073</v>
      </c>
      <c r="J26" s="32">
        <f t="shared" si="2"/>
        <v>-22403.88888880804</v>
      </c>
      <c r="K26" s="32">
        <f t="shared" si="3"/>
        <v>-13686.666666606034</v>
      </c>
      <c r="L26" s="362">
        <f t="shared" si="6"/>
        <v>-0.29328727272652477</v>
      </c>
      <c r="M26" s="362">
        <f t="shared" si="7"/>
        <v>-0.23889454545373995</v>
      </c>
      <c r="N26" s="32">
        <f t="shared" ca="1" si="4"/>
        <v>-55745.237285494804</v>
      </c>
      <c r="O26" s="32">
        <f t="shared" ca="1" si="5"/>
        <v>-34168.638742089272</v>
      </c>
    </row>
    <row r="27" spans="1:15" x14ac:dyDescent="0.25">
      <c r="A27" s="35">
        <v>43620.66544837963</v>
      </c>
      <c r="B27" s="29">
        <v>58722</v>
      </c>
      <c r="C27" s="29">
        <v>46942</v>
      </c>
      <c r="D27" s="370">
        <f ca="1">IFERROR(IF(ISBLANK($A27),"-",SLOPE(INDIRECT("B" &amp; _xlfn.IFNA(MATCH($A27-$B$3,$A:$A,1),7)):B27,INDIRECT("A" &amp; _xlfn.IFNA(MATCH($A27-$B$3,$A:$A,1),7)):$A27)),"-")</f>
        <v>13245.166121282635</v>
      </c>
      <c r="E27" s="370">
        <f ca="1">IFERROR(IF(ISBLANK($A27),"-",SLOPE(INDIRECT("C" &amp; _xlfn.IFNA(MATCH($A27-$B$3,$A:$A,1),7)):C27,INDIRECT("A" &amp; _xlfn.IFNA(MATCH($A27-$B$3,$A:$A,1),7)):$A27)),"-")</f>
        <v>10456.704079903433</v>
      </c>
      <c r="F27" s="31">
        <f t="shared" si="0"/>
        <v>78451.917438239136</v>
      </c>
      <c r="G27" s="31">
        <f t="shared" si="1"/>
        <v>58838.938078679348</v>
      </c>
      <c r="H27" s="31">
        <f ca="1">IFERROR(IF(ISBLANK($A27),"-",_xlfn.FORECAST.LINEAR(RAID_TIME_END,INDIRECT("B" &amp; _xlfn.IFNA(MATCH($A27-$B$3,$A:$A,1),7)):B27,INDIRECT("A" &amp; _xlfn.IFNA(MATCH($A27-$B$3,$A:$A,1),7)):$A27)),"-")</f>
        <v>149323.86180949211</v>
      </c>
      <c r="I27" s="31">
        <f ca="1">IFERROR(IF(ISBLANK($A27),"-",_xlfn.FORECAST.LINEAR(RAID_TIME_END,INDIRECT("C" &amp; _xlfn.IFNA(MATCH($A27-$B$3,$A:$A,1),7)):C27,INDIRECT("A" &amp; _xlfn.IFNA(MATCH($A27-$B$3,$A:$A,1),7)):$A27)),"-")</f>
        <v>119208.48726290464</v>
      </c>
      <c r="J27" s="32">
        <f t="shared" si="2"/>
        <v>-19729.917438239136</v>
      </c>
      <c r="K27" s="32">
        <f t="shared" si="3"/>
        <v>-11896.938078679348</v>
      </c>
      <c r="L27" s="362">
        <f t="shared" si="6"/>
        <v>-0.25149057005230513</v>
      </c>
      <c r="M27" s="362">
        <f t="shared" si="7"/>
        <v>-0.20219498290011248</v>
      </c>
      <c r="N27" s="32">
        <f t="shared" ca="1" si="4"/>
        <v>-50676.138190507889</v>
      </c>
      <c r="O27" s="32">
        <f t="shared" ca="1" si="5"/>
        <v>-30791.512737095356</v>
      </c>
    </row>
    <row r="28" spans="1:15" x14ac:dyDescent="0.25">
      <c r="A28" s="35">
        <v>43620.71597222222</v>
      </c>
      <c r="B28" s="29">
        <v>60371</v>
      </c>
      <c r="C28" s="29">
        <v>48134</v>
      </c>
      <c r="D28" s="370">
        <f ca="1">IFERROR(IF(ISBLANK($A28),"-",SLOPE(INDIRECT("B" &amp; _xlfn.IFNA(MATCH($A28-$B$3,$A:$A,1),7)):B28,INDIRECT("A" &amp; _xlfn.IFNA(MATCH($A28-$B$3,$A:$A,1),7)):$A28)),"-")</f>
        <v>13739.982198260273</v>
      </c>
      <c r="E28" s="370">
        <f ca="1">IFERROR(IF(ISBLANK($A28),"-",SLOPE(INDIRECT("C" &amp; _xlfn.IFNA(MATCH($A28-$B$3,$A:$A,1),7)):C28,INDIRECT("A" &amp; _xlfn.IFNA(MATCH($A28-$B$3,$A:$A,1),7)):$A28)),"-")</f>
        <v>10787.134713418836</v>
      </c>
      <c r="F28" s="31">
        <f t="shared" si="0"/>
        <v>79293.981481411422</v>
      </c>
      <c r="G28" s="31">
        <f t="shared" si="1"/>
        <v>59470.486111058563</v>
      </c>
      <c r="H28" s="31">
        <f ca="1">IFERROR(IF(ISBLANK($A28),"-",_xlfn.FORECAST.LINEAR(RAID_TIME_END,INDIRECT("B" &amp; _xlfn.IFNA(MATCH($A28-$B$3,$A:$A,1),7)):B28,INDIRECT("A" &amp; _xlfn.IFNA(MATCH($A28-$B$3,$A:$A,1),7)):$A28)),"-")</f>
        <v>153848.72131943703</v>
      </c>
      <c r="I28" s="31">
        <f ca="1">IFERROR(IF(ISBLANK($A28),"-",_xlfn.FORECAST.LINEAR(RAID_TIME_END,INDIRECT("C" &amp; _xlfn.IFNA(MATCH($A28-$B$3,$A:$A,1),7)):C28,INDIRECT("A" &amp; _xlfn.IFNA(MATCH($A28-$B$3,$A:$A,1),7)):$A28)),"-")</f>
        <v>122230.11946934462</v>
      </c>
      <c r="J28" s="32">
        <f t="shared" si="2"/>
        <v>-18922.981481411422</v>
      </c>
      <c r="K28" s="32">
        <f t="shared" si="3"/>
        <v>-11336.486111058563</v>
      </c>
      <c r="L28" s="362">
        <f t="shared" si="6"/>
        <v>-0.23864335133489875</v>
      </c>
      <c r="M28" s="362">
        <f t="shared" si="7"/>
        <v>-0.19062373376077951</v>
      </c>
      <c r="N28" s="32">
        <f t="shared" ca="1" si="4"/>
        <v>-46151.278680562973</v>
      </c>
      <c r="O28" s="32">
        <f t="shared" ca="1" si="5"/>
        <v>-27769.880530655384</v>
      </c>
    </row>
    <row r="29" spans="1:15" x14ac:dyDescent="0.25">
      <c r="A29" s="35">
        <v>43620.734027777777</v>
      </c>
      <c r="B29" s="29">
        <v>61275</v>
      </c>
      <c r="C29" s="29">
        <v>48716</v>
      </c>
      <c r="D29" s="370">
        <f ca="1">IFERROR(IF(ISBLANK($A29),"-",SLOPE(INDIRECT("B" &amp; _xlfn.IFNA(MATCH($A29-$B$3,$A:$A,1),7)):B29,INDIRECT("A" &amp; _xlfn.IFNA(MATCH($A29-$B$3,$A:$A,1),7)):$A29)),"-")</f>
        <v>14163.897454926002</v>
      </c>
      <c r="E29" s="370">
        <f ca="1">IFERROR(IF(ISBLANK($A29),"-",SLOPE(INDIRECT("C" &amp; _xlfn.IFNA(MATCH($A29-$B$3,$A:$A,1),7)):C29,INDIRECT("A" &amp; _xlfn.IFNA(MATCH($A29-$B$3,$A:$A,1),7)):$A29)),"-")</f>
        <v>11067.000307829274</v>
      </c>
      <c r="F29" s="31">
        <f t="shared" si="0"/>
        <v>79594.907407348117</v>
      </c>
      <c r="G29" s="31">
        <f t="shared" si="1"/>
        <v>59696.180555511091</v>
      </c>
      <c r="H29" s="31">
        <f ca="1">IFERROR(IF(ISBLANK($A29),"-",_xlfn.FORECAST.LINEAR(RAID_TIME_END,INDIRECT("B" &amp; _xlfn.IFNA(MATCH($A29-$B$3,$A:$A,1),7)):B29,INDIRECT("A" &amp; _xlfn.IFNA(MATCH($A29-$B$3,$A:$A,1),7)):$A29)),"-")</f>
        <v>157719.95700860023</v>
      </c>
      <c r="I29" s="31">
        <f ca="1">IFERROR(IF(ISBLANK($A29),"-",_xlfn.FORECAST.LINEAR(RAID_TIME_END,INDIRECT("C" &amp; _xlfn.IFNA(MATCH($A29-$B$3,$A:$A,1),7)):C29,INDIRECT("A" &amp; _xlfn.IFNA(MATCH($A29-$B$3,$A:$A,1),7)):$A29)),"-")</f>
        <v>124785.87951862812</v>
      </c>
      <c r="J29" s="32">
        <f t="shared" si="2"/>
        <v>-18319.907407348117</v>
      </c>
      <c r="K29" s="32">
        <f t="shared" si="3"/>
        <v>-10980.180555511091</v>
      </c>
      <c r="L29" s="362">
        <f t="shared" si="6"/>
        <v>-0.23016431583481989</v>
      </c>
      <c r="M29" s="362">
        <f t="shared" si="7"/>
        <v>-0.18393438999502978</v>
      </c>
      <c r="N29" s="32">
        <f t="shared" ca="1" si="4"/>
        <v>-42280.042991399765</v>
      </c>
      <c r="O29" s="32">
        <f t="shared" ca="1" si="5"/>
        <v>-25214.12048137188</v>
      </c>
    </row>
    <row r="30" spans="1:15" x14ac:dyDescent="0.25">
      <c r="A30" s="35">
        <v>43621.160416666666</v>
      </c>
      <c r="B30" s="29">
        <v>67322</v>
      </c>
      <c r="C30" s="29">
        <v>53463</v>
      </c>
      <c r="D30" s="370">
        <f ca="1">IFERROR(IF(ISBLANK($A30),"-",SLOPE(INDIRECT("B" &amp; _xlfn.IFNA(MATCH($A30-$B$3,$A:$A,1),7)):B30,INDIRECT("A" &amp; _xlfn.IFNA(MATCH($A30-$B$3,$A:$A,1),7)):$A30)),"-")</f>
        <v>16395.015020878051</v>
      </c>
      <c r="E30" s="370">
        <f ca="1">IFERROR(IF(ISBLANK($A30),"-",SLOPE(INDIRECT("C" &amp; _xlfn.IFNA(MATCH($A30-$B$3,$A:$A,1),7)):C30,INDIRECT("A" &amp; _xlfn.IFNA(MATCH($A30-$B$3,$A:$A,1),7)):$A30)),"-")</f>
        <v>12674.760467977336</v>
      </c>
      <c r="F30" s="31">
        <f t="shared" si="0"/>
        <v>86701.388888832298</v>
      </c>
      <c r="G30" s="31">
        <f t="shared" si="1"/>
        <v>65026.041666624224</v>
      </c>
      <c r="H30" s="31">
        <f ca="1">IFERROR(IF(ISBLANK($A30),"-",_xlfn.FORECAST.LINEAR(RAID_TIME_END,INDIRECT("B" &amp; _xlfn.IFNA(MATCH($A30-$B$3,$A:$A,1),7)):B30,INDIRECT("A" &amp; _xlfn.IFNA(MATCH($A30-$B$3,$A:$A,1),7)):$A30)),"-")</f>
        <v>175639.09886550903</v>
      </c>
      <c r="I30" s="31">
        <f ca="1">IFERROR(IF(ISBLANK($A30),"-",_xlfn.FORECAST.LINEAR(RAID_TIME_END,INDIRECT("C" &amp; _xlfn.IFNA(MATCH($A30-$B$3,$A:$A,1),7)):C30,INDIRECT("A" &amp; _xlfn.IFNA(MATCH($A30-$B$3,$A:$A,1),7)):$A30)),"-")</f>
        <v>137671.81576573849</v>
      </c>
      <c r="J30" s="32">
        <f t="shared" si="2"/>
        <v>-19379.388888832298</v>
      </c>
      <c r="K30" s="32">
        <f t="shared" si="3"/>
        <v>-11563.041666624224</v>
      </c>
      <c r="L30" s="362">
        <f t="shared" si="6"/>
        <v>-0.22351878253854005</v>
      </c>
      <c r="M30" s="362">
        <f t="shared" si="7"/>
        <v>-0.17782170604672007</v>
      </c>
      <c r="N30" s="32">
        <f t="shared" ca="1" si="4"/>
        <v>-24360.901134490967</v>
      </c>
      <c r="O30" s="32">
        <f t="shared" ca="1" si="5"/>
        <v>-12328.184234261513</v>
      </c>
    </row>
    <row r="31" spans="1:15" x14ac:dyDescent="0.25">
      <c r="A31" s="35">
        <v>43621.26666666667</v>
      </c>
      <c r="B31" s="29">
        <v>67322</v>
      </c>
      <c r="C31" s="29">
        <v>53508</v>
      </c>
      <c r="D31" s="370">
        <f ca="1">IFERROR(IF(ISBLANK($A31),"-",SLOPE(INDIRECT("B" &amp; _xlfn.IFNA(MATCH($A31-$B$3,$A:$A,1),7)):B31,INDIRECT("A" &amp; _xlfn.IFNA(MATCH($A31-$B$3,$A:$A,1),7)):$A31)),"-")</f>
        <v>16517.704126981705</v>
      </c>
      <c r="E31" s="370">
        <f ca="1">IFERROR(IF(ISBLANK($A31),"-",SLOPE(INDIRECT("C" &amp; _xlfn.IFNA(MATCH($A31-$B$3,$A:$A,1),7)):C31,INDIRECT("A" &amp; _xlfn.IFNA(MATCH($A31-$B$3,$A:$A,1),7)):$A31)),"-")</f>
        <v>12732.142863772562</v>
      </c>
      <c r="F31" s="31">
        <f t="shared" si="0"/>
        <v>88472.222222238386</v>
      </c>
      <c r="G31" s="31">
        <f t="shared" si="1"/>
        <v>66354.166666678793</v>
      </c>
      <c r="H31" s="31">
        <f ca="1">IFERROR(IF(ISBLANK($A31),"-",_xlfn.FORECAST.LINEAR(RAID_TIME_END,INDIRECT("B" &amp; _xlfn.IFNA(MATCH($A31-$B$3,$A:$A,1),7)):B31,INDIRECT("A" &amp; _xlfn.IFNA(MATCH($A31-$B$3,$A:$A,1),7)):$A31)),"-")</f>
        <v>176694.21027445793</v>
      </c>
      <c r="I31" s="31">
        <f ca="1">IFERROR(IF(ISBLANK($A31),"-",_xlfn.FORECAST.LINEAR(RAID_TIME_END,INDIRECT("C" &amp; _xlfn.IFNA(MATCH($A31-$B$3,$A:$A,1),7)):C31,INDIRECT("A" &amp; _xlfn.IFNA(MATCH($A31-$B$3,$A:$A,1),7)):$A31)),"-")</f>
        <v>138165.29739916325</v>
      </c>
      <c r="J31" s="32">
        <f t="shared" si="2"/>
        <v>-21150.222222238386</v>
      </c>
      <c r="K31" s="32">
        <f t="shared" si="3"/>
        <v>-12846.166666678793</v>
      </c>
      <c r="L31" s="362">
        <f t="shared" si="6"/>
        <v>-0.23906059654644984</v>
      </c>
      <c r="M31" s="362">
        <f t="shared" si="7"/>
        <v>-0.19360000000014738</v>
      </c>
      <c r="N31" s="32">
        <f t="shared" ca="1" si="4"/>
        <v>-23305.789725542068</v>
      </c>
      <c r="O31" s="32">
        <f t="shared" ca="1" si="5"/>
        <v>-11834.702600836754</v>
      </c>
    </row>
    <row r="32" spans="1:15" x14ac:dyDescent="0.25">
      <c r="A32" s="35">
        <v>43621.324999999997</v>
      </c>
      <c r="B32" s="29">
        <v>67813</v>
      </c>
      <c r="C32" s="29">
        <v>54263</v>
      </c>
      <c r="D32" s="370">
        <f ca="1">IFERROR(IF(ISBLANK($A32),"-",SLOPE(INDIRECT("B" &amp; _xlfn.IFNA(MATCH($A32-$B$3,$A:$A,1),7)):B32,INDIRECT("A" &amp; _xlfn.IFNA(MATCH($A32-$B$3,$A:$A,1),7)):$A32)),"-")</f>
        <v>16571.222123845047</v>
      </c>
      <c r="E32" s="370">
        <f ca="1">IFERROR(IF(ISBLANK($A32),"-",SLOPE(INDIRECT("C" &amp; _xlfn.IFNA(MATCH($A32-$B$3,$A:$A,1),7)):C32,INDIRECT("A" &amp; _xlfn.IFNA(MATCH($A32-$B$3,$A:$A,1),7)):$A32)),"-")</f>
        <v>12775.368151483326</v>
      </c>
      <c r="F32" s="31">
        <f t="shared" si="0"/>
        <v>89444.444444355511</v>
      </c>
      <c r="G32" s="31">
        <f t="shared" si="1"/>
        <v>67083.333333266637</v>
      </c>
      <c r="H32" s="31">
        <f ca="1">IFERROR(IF(ISBLANK($A32),"-",_xlfn.FORECAST.LINEAR(RAID_TIME_END,INDIRECT("B" &amp; _xlfn.IFNA(MATCH($A32-$B$3,$A:$A,1),7)):B32,INDIRECT("A" &amp; _xlfn.IFNA(MATCH($A32-$B$3,$A:$A,1),7)):$A32)),"-")</f>
        <v>177153.19175124168</v>
      </c>
      <c r="I32" s="31">
        <f ca="1">IFERROR(IF(ISBLANK($A32),"-",_xlfn.FORECAST.LINEAR(RAID_TIME_END,INDIRECT("C" &amp; _xlfn.IFNA(MATCH($A32-$B$3,$A:$A,1),7)):C32,INDIRECT("A" &amp; _xlfn.IFNA(MATCH($A32-$B$3,$A:$A,1),7)):$A32)),"-")</f>
        <v>138536.00646042824</v>
      </c>
      <c r="J32" s="32">
        <f t="shared" si="2"/>
        <v>-21631.444444355511</v>
      </c>
      <c r="K32" s="32">
        <f t="shared" si="3"/>
        <v>-12820.333333266637</v>
      </c>
      <c r="L32" s="362">
        <f t="shared" si="6"/>
        <v>-0.24184223602409088</v>
      </c>
      <c r="M32" s="362">
        <f t="shared" si="7"/>
        <v>-0.19111055900540697</v>
      </c>
      <c r="N32" s="32">
        <f t="shared" ca="1" si="4"/>
        <v>-22846.808248758316</v>
      </c>
      <c r="O32" s="32">
        <f t="shared" ca="1" si="5"/>
        <v>-11463.993539571762</v>
      </c>
    </row>
    <row r="33" spans="1:16" x14ac:dyDescent="0.25">
      <c r="A33" s="35">
        <v>43621.406944444447</v>
      </c>
      <c r="B33" s="29">
        <v>70450</v>
      </c>
      <c r="C33" s="29">
        <v>56250</v>
      </c>
      <c r="D33" s="370">
        <f ca="1">IFERROR(IF(ISBLANK($A33),"-",SLOPE(INDIRECT("B" &amp; _xlfn.IFNA(MATCH($A33-$B$3,$A:$A,1),7)):B33,INDIRECT("A" &amp; _xlfn.IFNA(MATCH($A33-$B$3,$A:$A,1),7)):$A33)),"-")</f>
        <v>16703.523648430171</v>
      </c>
      <c r="E33" s="370">
        <f ca="1">IFERROR(IF(ISBLANK($A33),"-",SLOPE(INDIRECT("C" &amp; _xlfn.IFNA(MATCH($A33-$B$3,$A:$A,1),7)):C33,INDIRECT("A" &amp; _xlfn.IFNA(MATCH($A33-$B$3,$A:$A,1),7)):$A33)),"-")</f>
        <v>12875.61797140542</v>
      </c>
      <c r="F33" s="31">
        <f t="shared" si="0"/>
        <v>90810.18518518249</v>
      </c>
      <c r="G33" s="31">
        <f t="shared" si="1"/>
        <v>68107.638888886868</v>
      </c>
      <c r="H33" s="31">
        <f ca="1">IFERROR(IF(ISBLANK($A33),"-",_xlfn.FORECAST.LINEAR(RAID_TIME_END,INDIRECT("B" &amp; _xlfn.IFNA(MATCH($A33-$B$3,$A:$A,1),7)):B33,INDIRECT("A" &amp; _xlfn.IFNA(MATCH($A33-$B$3,$A:$A,1),7)):$A33)),"-")</f>
        <v>178283.15643167496</v>
      </c>
      <c r="I33" s="31">
        <f ca="1">IFERROR(IF(ISBLANK($A33),"-",_xlfn.FORECAST.LINEAR(RAID_TIME_END,INDIRECT("C" &amp; _xlfn.IFNA(MATCH($A33-$B$3,$A:$A,1),7)):C33,INDIRECT("A" &amp; _xlfn.IFNA(MATCH($A33-$B$3,$A:$A,1),7)):$A33)),"-")</f>
        <v>139392.22301650047</v>
      </c>
      <c r="J33" s="32">
        <f t="shared" si="2"/>
        <v>-20360.18518518249</v>
      </c>
      <c r="K33" s="32">
        <f t="shared" si="3"/>
        <v>-11857.638888886868</v>
      </c>
      <c r="L33" s="362">
        <f t="shared" si="6"/>
        <v>-0.22420596482281663</v>
      </c>
      <c r="M33" s="362">
        <f t="shared" si="7"/>
        <v>-0.17410145296964155</v>
      </c>
      <c r="N33" s="32">
        <f t="shared" ca="1" si="4"/>
        <v>-21716.843568325043</v>
      </c>
      <c r="O33" s="32">
        <f t="shared" ca="1" si="5"/>
        <v>-10607.776983499527</v>
      </c>
    </row>
    <row r="34" spans="1:16" x14ac:dyDescent="0.25">
      <c r="A34" s="35">
        <v>43621.465277777781</v>
      </c>
      <c r="B34" s="29">
        <v>72446</v>
      </c>
      <c r="C34" s="29">
        <v>57336</v>
      </c>
      <c r="D34" s="370">
        <f ca="1">IFERROR(IF(ISBLANK($A34),"-",SLOPE(INDIRECT("B" &amp; _xlfn.IFNA(MATCH($A34-$B$3,$A:$A,1),7)):B34,INDIRECT("A" &amp; _xlfn.IFNA(MATCH($A34-$B$3,$A:$A,1),7)):$A34)),"-")</f>
        <v>16872.459511680619</v>
      </c>
      <c r="E34" s="370">
        <f ca="1">IFERROR(IF(ISBLANK($A34),"-",SLOPE(INDIRECT("C" &amp; _xlfn.IFNA(MATCH($A34-$B$3,$A:$A,1),7)):C34,INDIRECT("A" &amp; _xlfn.IFNA(MATCH($A34-$B$3,$A:$A,1),7)):$A34)),"-")</f>
        <v>12975.304764742825</v>
      </c>
      <c r="F34" s="31">
        <f t="shared" si="0"/>
        <v>91782.407407420877</v>
      </c>
      <c r="G34" s="31">
        <f t="shared" si="1"/>
        <v>68836.805555565661</v>
      </c>
      <c r="H34" s="31">
        <f ca="1">IFERROR(IF(ISBLANK($A34),"-",_xlfn.FORECAST.LINEAR(RAID_TIME_END,INDIRECT("B" &amp; _xlfn.IFNA(MATCH($A34-$B$3,$A:$A,1),7)):B34,INDIRECT("A" &amp; _xlfn.IFNA(MATCH($A34-$B$3,$A:$A,1),7)):$A34)),"-")</f>
        <v>179721.53381228447</v>
      </c>
      <c r="I34" s="31">
        <f ca="1">IFERROR(IF(ISBLANK($A34),"-",_xlfn.FORECAST.LINEAR(RAID_TIME_END,INDIRECT("C" &amp; _xlfn.IFNA(MATCH($A34-$B$3,$A:$A,1),7)):C34,INDIRECT("A" &amp; _xlfn.IFNA(MATCH($A34-$B$3,$A:$A,1),7)):$A34)),"-")</f>
        <v>140240.99027013779</v>
      </c>
      <c r="J34" s="32">
        <f t="shared" si="2"/>
        <v>-19336.407407420877</v>
      </c>
      <c r="K34" s="32">
        <f t="shared" si="3"/>
        <v>-11500.805555565661</v>
      </c>
      <c r="L34" s="362">
        <f t="shared" si="6"/>
        <v>-0.21067662042886742</v>
      </c>
      <c r="M34" s="362">
        <f t="shared" si="7"/>
        <v>-0.167073493064435</v>
      </c>
      <c r="N34" s="32">
        <f t="shared" ca="1" si="4"/>
        <v>-20278.46618771553</v>
      </c>
      <c r="O34" s="32">
        <f t="shared" ca="1" si="5"/>
        <v>-9759.0097298622131</v>
      </c>
    </row>
    <row r="35" spans="1:16" x14ac:dyDescent="0.25">
      <c r="A35" s="35">
        <v>43621.530555555553</v>
      </c>
      <c r="B35" s="29">
        <v>74408</v>
      </c>
      <c r="C35" s="29">
        <v>59101</v>
      </c>
      <c r="D35" s="370">
        <f ca="1">IFERROR(IF(ISBLANK($A35),"-",SLOPE(INDIRECT("B" &amp; _xlfn.IFNA(MATCH($A35-$B$3,$A:$A,1),7)):B35,INDIRECT("A" &amp; _xlfn.IFNA(MATCH($A35-$B$3,$A:$A,1),7)):$A35)),"-")</f>
        <v>17058.787617678456</v>
      </c>
      <c r="E35" s="370">
        <f ca="1">IFERROR(IF(ISBLANK($A35),"-",SLOPE(INDIRECT("C" &amp; _xlfn.IFNA(MATCH($A35-$B$3,$A:$A,1),7)):C35,INDIRECT("A" &amp; _xlfn.IFNA(MATCH($A35-$B$3,$A:$A,1),7)):$A35)),"-")</f>
        <v>13109.602701103746</v>
      </c>
      <c r="F35" s="31">
        <f t="shared" si="0"/>
        <v>92870.370370292221</v>
      </c>
      <c r="G35" s="31">
        <f t="shared" si="1"/>
        <v>69652.777777719166</v>
      </c>
      <c r="H35" s="31">
        <f ca="1">IFERROR(IF(ISBLANK($A35),"-",_xlfn.FORECAST.LINEAR(RAID_TIME_END,INDIRECT("B" &amp; _xlfn.IFNA(MATCH($A35-$B$3,$A:$A,1),7)):B35,INDIRECT("A" &amp; _xlfn.IFNA(MATCH($A35-$B$3,$A:$A,1),7)):$A35)),"-")</f>
        <v>181302.18811166286</v>
      </c>
      <c r="I35" s="31">
        <f ca="1">IFERROR(IF(ISBLANK($A35),"-",_xlfn.FORECAST.LINEAR(RAID_TIME_END,INDIRECT("C" &amp; _xlfn.IFNA(MATCH($A35-$B$3,$A:$A,1),7)):C35,INDIRECT("A" &amp; _xlfn.IFNA(MATCH($A35-$B$3,$A:$A,1),7)):$A35)),"-")</f>
        <v>141380.26343214512</v>
      </c>
      <c r="J35" s="32">
        <f t="shared" si="2"/>
        <v>-18462.370370292221</v>
      </c>
      <c r="K35" s="32">
        <f t="shared" si="3"/>
        <v>-10551.777777719166</v>
      </c>
      <c r="L35" s="362">
        <f t="shared" si="6"/>
        <v>-0.19879720837420117</v>
      </c>
      <c r="M35" s="362">
        <f t="shared" si="7"/>
        <v>-0.15149112661942557</v>
      </c>
      <c r="N35" s="32">
        <f t="shared" ca="1" si="4"/>
        <v>-18697.811888337135</v>
      </c>
      <c r="O35" s="32">
        <f t="shared" ca="1" si="5"/>
        <v>-8619.7365678548813</v>
      </c>
    </row>
    <row r="36" spans="1:16" x14ac:dyDescent="0.25">
      <c r="A36" s="35">
        <v>43621.604166666664</v>
      </c>
      <c r="B36" s="29">
        <v>76551</v>
      </c>
      <c r="C36" s="29">
        <v>60840</v>
      </c>
      <c r="D36" s="370">
        <f ca="1">IFERROR(IF(ISBLANK($A36),"-",SLOPE(INDIRECT("B" &amp; _xlfn.IFNA(MATCH($A36-$B$3,$A:$A,1),7)):B36,INDIRECT("A" &amp; _xlfn.IFNA(MATCH($A36-$B$3,$A:$A,1),7)):$A36)),"-")</f>
        <v>18791.7110567706</v>
      </c>
      <c r="E36" s="370">
        <f ca="1">IFERROR(IF(ISBLANK($A36),"-",SLOPE(INDIRECT("C" &amp; _xlfn.IFNA(MATCH($A36-$B$3,$A:$A,1),7)):C36,INDIRECT("A" &amp; _xlfn.IFNA(MATCH($A36-$B$3,$A:$A,1),7)):$A36)),"-")</f>
        <v>14368.316720393208</v>
      </c>
      <c r="F36" s="31">
        <f t="shared" si="0"/>
        <v>94097.222222141383</v>
      </c>
      <c r="G36" s="31">
        <f t="shared" si="1"/>
        <v>70572.916666606034</v>
      </c>
      <c r="H36" s="31">
        <f ca="1">IFERROR(IF(ISBLANK($A36),"-",_xlfn.FORECAST.LINEAR(RAID_TIME_END,INDIRECT("B" &amp; _xlfn.IFNA(MATCH($A36-$B$3,$A:$A,1),7)):B36,INDIRECT("A" &amp; _xlfn.IFNA(MATCH($A36-$B$3,$A:$A,1),7)):$A36)),"-")</f>
        <v>194215.13418638706</v>
      </c>
      <c r="I36" s="31">
        <f ca="1">IFERROR(IF(ISBLANK($A36),"-",_xlfn.FORECAST.LINEAR(RAID_TIME_END,INDIRECT("C" &amp; _xlfn.IFNA(MATCH($A36-$B$3,$A:$A,1),7)):C36,INDIRECT("A" &amp; _xlfn.IFNA(MATCH($A36-$B$3,$A:$A,1),7)):$A36)),"-")</f>
        <v>150766.73240756989</v>
      </c>
      <c r="J36" s="32">
        <f t="shared" si="2"/>
        <v>-17546.222222141383</v>
      </c>
      <c r="K36" s="32">
        <f t="shared" si="3"/>
        <v>-9732.9166666060337</v>
      </c>
      <c r="L36" s="362">
        <f t="shared" si="6"/>
        <v>-0.18646907749007599</v>
      </c>
      <c r="M36" s="362">
        <f t="shared" si="7"/>
        <v>-0.13791291512841061</v>
      </c>
      <c r="N36" s="32">
        <f t="shared" ca="1" si="4"/>
        <v>-5784.8658136129379</v>
      </c>
      <c r="O36" s="32">
        <f t="shared" ca="1" si="5"/>
        <v>766.73240756988525</v>
      </c>
    </row>
    <row r="37" spans="1:16" x14ac:dyDescent="0.25">
      <c r="A37" s="35">
        <v>43621.697222222225</v>
      </c>
      <c r="B37" s="29">
        <v>79631</v>
      </c>
      <c r="C37" s="29">
        <v>62980</v>
      </c>
      <c r="D37" s="370">
        <f ca="1">IFERROR(IF(ISBLANK($A37),"-",SLOPE(INDIRECT("B" &amp; _xlfn.IFNA(MATCH($A37-$B$3,$A:$A,1),7)):B37,INDIRECT("A" &amp; _xlfn.IFNA(MATCH($A37-$B$3,$A:$A,1),7)):$A37)),"-")</f>
        <v>18989.796344159302</v>
      </c>
      <c r="E37" s="370">
        <f ca="1">IFERROR(IF(ISBLANK($A37),"-",SLOPE(INDIRECT("C" &amp; _xlfn.IFNA(MATCH($A37-$B$3,$A:$A,1),7)):C37,INDIRECT("A" &amp; _xlfn.IFNA(MATCH($A37-$B$3,$A:$A,1),7)):$A37)),"-")</f>
        <v>14508.516786205799</v>
      </c>
      <c r="F37" s="31">
        <f t="shared" si="0"/>
        <v>95648.148148150838</v>
      </c>
      <c r="G37" s="31">
        <f t="shared" si="1"/>
        <v>71736.111111113132</v>
      </c>
      <c r="H37" s="31">
        <f ca="1">IFERROR(IF(ISBLANK($A37),"-",_xlfn.FORECAST.LINEAR(RAID_TIME_END,INDIRECT("B" &amp; _xlfn.IFNA(MATCH($A37-$B$3,$A:$A,1),7)):B37,INDIRECT("A" &amp; _xlfn.IFNA(MATCH($A37-$B$3,$A:$A,1),7)):$A37)),"-")</f>
        <v>195837.06619346142</v>
      </c>
      <c r="I37" s="31">
        <f ca="1">IFERROR(IF(ISBLANK($A37),"-",_xlfn.FORECAST.LINEAR(RAID_TIME_END,INDIRECT("C" &amp; _xlfn.IFNA(MATCH($A37-$B$3,$A:$A,1),7)):C37,INDIRECT("A" &amp; _xlfn.IFNA(MATCH($A37-$B$3,$A:$A,1),7)):$A37)),"-")</f>
        <v>151914.69739341736</v>
      </c>
      <c r="J37" s="32">
        <f t="shared" si="2"/>
        <v>-16017.148148150838</v>
      </c>
      <c r="K37" s="32">
        <f t="shared" si="3"/>
        <v>-8756.1111111131322</v>
      </c>
      <c r="L37" s="362">
        <f t="shared" si="6"/>
        <v>-0.16745905130689659</v>
      </c>
      <c r="M37" s="362">
        <f t="shared" si="7"/>
        <v>-0.12206001936110895</v>
      </c>
      <c r="N37" s="32">
        <f t="shared" ca="1" si="4"/>
        <v>-4162.9338065385818</v>
      </c>
      <c r="O37" s="32">
        <f t="shared" ca="1" si="5"/>
        <v>1914.6973934173584</v>
      </c>
    </row>
    <row r="38" spans="1:16" x14ac:dyDescent="0.25">
      <c r="A38" s="35">
        <v>43621.783333333333</v>
      </c>
      <c r="B38" s="29">
        <v>80827</v>
      </c>
      <c r="C38" s="29">
        <v>64171</v>
      </c>
      <c r="D38" s="370">
        <f ca="1">IFERROR(IF(ISBLANK($A38),"-",SLOPE(INDIRECT("B" &amp; _xlfn.IFNA(MATCH($A38-$B$3,$A:$A,1),7)):B38,INDIRECT("A" &amp; _xlfn.IFNA(MATCH($A38-$B$3,$A:$A,1),7)):$A38)),"-")</f>
        <v>19126.043858746456</v>
      </c>
      <c r="E38" s="370">
        <f ca="1">IFERROR(IF(ISBLANK($A38),"-",SLOPE(INDIRECT("C" &amp; _xlfn.IFNA(MATCH($A38-$B$3,$A:$A,1),7)):C38,INDIRECT("A" &amp; _xlfn.IFNA(MATCH($A38-$B$3,$A:$A,1),7)):$A38)),"-")</f>
        <v>14620.228509879124</v>
      </c>
      <c r="F38" s="31">
        <f t="shared" si="0"/>
        <v>97083.333333284827</v>
      </c>
      <c r="G38" s="31">
        <f t="shared" si="1"/>
        <v>72812.49999996362</v>
      </c>
      <c r="H38" s="31">
        <f ca="1">IFERROR(IF(ISBLANK($A38),"-",_xlfn.FORECAST.LINEAR(RAID_TIME_END,INDIRECT("B" &amp; _xlfn.IFNA(MATCH($A38-$B$3,$A:$A,1),7)):B38,INDIRECT("A" &amp; _xlfn.IFNA(MATCH($A38-$B$3,$A:$A,1),7)):$A38)),"-")</f>
        <v>196947.43955028057</v>
      </c>
      <c r="I38" s="31">
        <f ca="1">IFERROR(IF(ISBLANK($A38),"-",_xlfn.FORECAST.LINEAR(RAID_TIME_END,INDIRECT("C" &amp; _xlfn.IFNA(MATCH($A38-$B$3,$A:$A,1),7)):C38,INDIRECT("A" &amp; _xlfn.IFNA(MATCH($A38-$B$3,$A:$A,1),7)):$A38)),"-")</f>
        <v>152825.11195778847</v>
      </c>
      <c r="J38" s="32">
        <f t="shared" si="2"/>
        <v>-16256.333333284827</v>
      </c>
      <c r="K38" s="32">
        <f t="shared" si="3"/>
        <v>-8641.4999999636202</v>
      </c>
      <c r="L38" s="362">
        <f t="shared" si="6"/>
        <v>-0.16744721030001322</v>
      </c>
      <c r="M38" s="362">
        <f t="shared" si="7"/>
        <v>-0.11868154506393734</v>
      </c>
      <c r="N38" s="32">
        <f t="shared" ca="1" si="4"/>
        <v>-3052.560449719429</v>
      </c>
      <c r="O38" s="32">
        <f t="shared" ca="1" si="5"/>
        <v>2825.1119577884674</v>
      </c>
    </row>
    <row r="39" spans="1:16" x14ac:dyDescent="0.25">
      <c r="A39" s="35">
        <v>43621.851388888892</v>
      </c>
      <c r="B39" s="29">
        <v>83208</v>
      </c>
      <c r="C39" s="29">
        <v>65902</v>
      </c>
      <c r="D39" s="370">
        <f ca="1">IFERROR(IF(ISBLANK($A39),"-",SLOPE(INDIRECT("B" &amp; _xlfn.IFNA(MATCH($A39-$B$3,$A:$A,1),7)):B39,INDIRECT("A" &amp; _xlfn.IFNA(MATCH($A39-$B$3,$A:$A,1),7)):$A39)),"-")</f>
        <v>19298.654826051486</v>
      </c>
      <c r="E39" s="370">
        <f ca="1">IFERROR(IF(ISBLANK($A39),"-",SLOPE(INDIRECT("C" &amp; _xlfn.IFNA(MATCH($A39-$B$3,$A:$A,1),7)):C39,INDIRECT("A" &amp; _xlfn.IFNA(MATCH($A39-$B$3,$A:$A,1),7)):$A39)),"-")</f>
        <v>14753.357691796065</v>
      </c>
      <c r="F39" s="31">
        <f t="shared" si="0"/>
        <v>98217.592592603367</v>
      </c>
      <c r="G39" s="31">
        <f t="shared" si="1"/>
        <v>73663.194444452529</v>
      </c>
      <c r="H39" s="31">
        <f ca="1">IFERROR(IF(ISBLANK($A39),"-",_xlfn.FORECAST.LINEAR(RAID_TIME_END,INDIRECT("B" &amp; _xlfn.IFNA(MATCH($A39-$B$3,$A:$A,1),7)):B39,INDIRECT("A" &amp; _xlfn.IFNA(MATCH($A39-$B$3,$A:$A,1),7)):$A39)),"-")</f>
        <v>198348.85595881939</v>
      </c>
      <c r="I39" s="31">
        <f ca="1">IFERROR(IF(ISBLANK($A39),"-",_xlfn.FORECAST.LINEAR(RAID_TIME_END,INDIRECT("C" &amp; _xlfn.IFNA(MATCH($A39-$B$3,$A:$A,1),7)):C39,INDIRECT("A" &amp; _xlfn.IFNA(MATCH($A39-$B$3,$A:$A,1),7)):$A39)),"-")</f>
        <v>153905.97850346565</v>
      </c>
      <c r="J39" s="32">
        <f t="shared" ref="J39:J67" si="8">IFERROR(B39-F39,"-")</f>
        <v>-15009.592592603367</v>
      </c>
      <c r="K39" s="32">
        <f t="shared" ref="K39:K67" si="9">IFERROR(C39-G39,"-")</f>
        <v>-7761.1944444525288</v>
      </c>
      <c r="L39" s="362">
        <f t="shared" si="6"/>
        <v>-0.15281979731331471</v>
      </c>
      <c r="M39" s="362">
        <f t="shared" si="7"/>
        <v>-0.10536054678303479</v>
      </c>
      <c r="N39" s="32">
        <f t="shared" ca="1" si="4"/>
        <v>-1651.1440411806107</v>
      </c>
      <c r="O39" s="32">
        <f t="shared" ca="1" si="5"/>
        <v>3905.9785034656525</v>
      </c>
    </row>
    <row r="40" spans="1:16" x14ac:dyDescent="0.25">
      <c r="A40" s="35">
        <v>43622.289583333331</v>
      </c>
      <c r="B40" s="29">
        <v>88353</v>
      </c>
      <c r="C40" s="29">
        <v>69523</v>
      </c>
      <c r="D40" s="370">
        <f ca="1">IFERROR(IF(ISBLANK($A40),"-",SLOPE(INDIRECT("B" &amp; _xlfn.IFNA(MATCH($A40-$B$3,$A:$A,1),7)):B40,INDIRECT("A" &amp; _xlfn.IFNA(MATCH($A40-$B$3,$A:$A,1),7)):$A40)),"-")</f>
        <v>19430.960852810185</v>
      </c>
      <c r="E40" s="370">
        <f ca="1">IFERROR(IF(ISBLANK($A40),"-",SLOPE(INDIRECT("C" &amp; _xlfn.IFNA(MATCH($A40-$B$3,$A:$A,1),7)):C40,INDIRECT("A" &amp; _xlfn.IFNA(MATCH($A40-$B$3,$A:$A,1),7)):$A40)),"-")</f>
        <v>14705.406105236058</v>
      </c>
      <c r="F40" s="31">
        <f t="shared" si="0"/>
        <v>105520.83333326057</v>
      </c>
      <c r="G40" s="31">
        <f t="shared" si="1"/>
        <v>79140.62499994543</v>
      </c>
      <c r="H40" s="31">
        <f ca="1">IFERROR(IF(ISBLANK($A40),"-",_xlfn.FORECAST.LINEAR(RAID_TIME_END,INDIRECT("B" &amp; _xlfn.IFNA(MATCH($A40-$B$3,$A:$A,1),7)):B40,INDIRECT("A" &amp; _xlfn.IFNA(MATCH($A40-$B$3,$A:$A,1),7)):$A40)),"-")</f>
        <v>199231.3135766983</v>
      </c>
      <c r="I40" s="31">
        <f ca="1">IFERROR(IF(ISBLANK($A40),"-",_xlfn.FORECAST.LINEAR(RAID_TIME_END,INDIRECT("C" &amp; _xlfn.IFNA(MATCH($A40-$B$3,$A:$A,1),7)):C40,INDIRECT("A" &amp; _xlfn.IFNA(MATCH($A40-$B$3,$A:$A,1),7)):$A40)),"-")</f>
        <v>153537.47213494778</v>
      </c>
      <c r="J40" s="32">
        <f t="shared" si="8"/>
        <v>-17167.833333260569</v>
      </c>
      <c r="K40" s="32">
        <f t="shared" si="9"/>
        <v>-9617.6249999454303</v>
      </c>
      <c r="L40" s="362">
        <f t="shared" si="6"/>
        <v>-0.16269615004878096</v>
      </c>
      <c r="M40" s="362">
        <f t="shared" si="7"/>
        <v>-0.12152576505368844</v>
      </c>
      <c r="N40" s="32">
        <f t="shared" ca="1" si="4"/>
        <v>-768.68642330169678</v>
      </c>
      <c r="O40" s="32">
        <f t="shared" ca="1" si="5"/>
        <v>3537.4721349477768</v>
      </c>
    </row>
    <row r="41" spans="1:16" x14ac:dyDescent="0.25">
      <c r="A41" s="35">
        <v>43622.459722222222</v>
      </c>
      <c r="B41" s="29">
        <v>93479</v>
      </c>
      <c r="C41" s="29">
        <v>73492</v>
      </c>
      <c r="D41" s="370">
        <f ca="1">IFERROR(IF(ISBLANK($A41),"-",SLOPE(INDIRECT("B" &amp; _xlfn.IFNA(MATCH($A41-$B$3,$A:$A,1),7)):B41,INDIRECT("A" &amp; _xlfn.IFNA(MATCH($A41-$B$3,$A:$A,1),7)):$A41)),"-")</f>
        <v>19504.26850892009</v>
      </c>
      <c r="E41" s="370">
        <f ca="1">IFERROR(IF(ISBLANK($A41),"-",SLOPE(INDIRECT("C" &amp; _xlfn.IFNA(MATCH($A41-$B$3,$A:$A,1),7)):C41,INDIRECT("A" &amp; _xlfn.IFNA(MATCH($A41-$B$3,$A:$A,1),7)):$A41)),"-")</f>
        <v>14746.184056847991</v>
      </c>
      <c r="F41" s="31">
        <f t="shared" si="0"/>
        <v>108356.48148143567</v>
      </c>
      <c r="G41" s="31">
        <f t="shared" si="1"/>
        <v>81267.361111076752</v>
      </c>
      <c r="H41" s="31">
        <f ca="1">IFERROR(IF(ISBLANK($A41),"-",_xlfn.FORECAST.LINEAR(RAID_TIME_END,INDIRECT("B" &amp; _xlfn.IFNA(MATCH($A41-$B$3,$A:$A,1),7)):B41,INDIRECT("A" &amp; _xlfn.IFNA(MATCH($A41-$B$3,$A:$A,1),7)):$A41)),"-")</f>
        <v>199803.11703145504</v>
      </c>
      <c r="I41" s="31">
        <f ca="1">IFERROR(IF(ISBLANK($A41),"-",_xlfn.FORECAST.LINEAR(RAID_TIME_END,INDIRECT("C" &amp; _xlfn.IFNA(MATCH($A41-$B$3,$A:$A,1),7)):C41,INDIRECT("A" &amp; _xlfn.IFNA(MATCH($A41-$B$3,$A:$A,1),7)):$A41)),"-")</f>
        <v>153871.77952349186</v>
      </c>
      <c r="J41" s="32">
        <f t="shared" si="8"/>
        <v>-14877.481481435665</v>
      </c>
      <c r="K41" s="32">
        <f t="shared" si="9"/>
        <v>-7775.3611110767524</v>
      </c>
      <c r="L41" s="362">
        <f t="shared" si="6"/>
        <v>-0.13730126041407659</v>
      </c>
      <c r="M41" s="362">
        <f t="shared" si="7"/>
        <v>-9.5676308480711444E-2</v>
      </c>
      <c r="N41" s="32">
        <f t="shared" ca="1" si="4"/>
        <v>-196.88296854496002</v>
      </c>
      <c r="O41" s="32">
        <f t="shared" ca="1" si="5"/>
        <v>3871.7795234918594</v>
      </c>
    </row>
    <row r="42" spans="1:16" x14ac:dyDescent="0.25">
      <c r="A42" s="35">
        <v>43622.626388888886</v>
      </c>
      <c r="B42" s="29">
        <v>98531</v>
      </c>
      <c r="C42" s="29">
        <v>76978</v>
      </c>
      <c r="D42" s="370">
        <f ca="1">IFERROR(IF(ISBLANK($A42),"-",SLOPE(INDIRECT("B" &amp; _xlfn.IFNA(MATCH($A42-$B$3,$A:$A,1),7)):B42,INDIRECT("A" &amp; _xlfn.IFNA(MATCH($A42-$B$3,$A:$A,1),7)):$A42)),"-")</f>
        <v>19756.798367855255</v>
      </c>
      <c r="E42" s="370">
        <f ca="1">IFERROR(IF(ISBLANK($A42),"-",SLOPE(INDIRECT("C" &amp; _xlfn.IFNA(MATCH($A42-$B$3,$A:$A,1),7)):C42,INDIRECT("A" &amp; _xlfn.IFNA(MATCH($A42-$B$3,$A:$A,1),7)):$A42)),"-")</f>
        <v>14902.396121611984</v>
      </c>
      <c r="F42" s="31">
        <f t="shared" si="0"/>
        <v>111134.25925917302</v>
      </c>
      <c r="G42" s="31">
        <f t="shared" si="1"/>
        <v>83350.694444379769</v>
      </c>
      <c r="H42" s="31">
        <f ca="1">IFERROR(IF(ISBLANK($A42),"-",_xlfn.FORECAST.LINEAR(RAID_TIME_END,INDIRECT("B" &amp; _xlfn.IFNA(MATCH($A42-$B$3,$A:$A,1),7)):B42,INDIRECT("A" &amp; _xlfn.IFNA(MATCH($A42-$B$3,$A:$A,1),7)):$A42)),"-")</f>
        <v>201659.82665276527</v>
      </c>
      <c r="I42" s="31">
        <f ca="1">IFERROR(IF(ISBLANK($A42),"-",_xlfn.FORECAST.LINEAR(RAID_TIME_END,INDIRECT("C" &amp; _xlfn.IFNA(MATCH($A42-$B$3,$A:$A,1),7)):C42,INDIRECT("A" &amp; _xlfn.IFNA(MATCH($A42-$B$3,$A:$A,1),7)):$A42)),"-")</f>
        <v>155024.01290380955</v>
      </c>
      <c r="J42" s="32">
        <f t="shared" si="8"/>
        <v>-12603.259259173021</v>
      </c>
      <c r="K42" s="32">
        <f t="shared" si="9"/>
        <v>-6372.6944443797693</v>
      </c>
      <c r="L42" s="362">
        <f t="shared" si="6"/>
        <v>-0.11340570714365694</v>
      </c>
      <c r="M42" s="362">
        <f t="shared" si="7"/>
        <v>-7.645640491492596E-2</v>
      </c>
      <c r="N42" s="32">
        <f t="shared" ca="1" si="4"/>
        <v>1659.826652765274</v>
      </c>
      <c r="O42" s="32">
        <f t="shared" ca="1" si="5"/>
        <v>5024.0129038095474</v>
      </c>
    </row>
    <row r="43" spans="1:16" x14ac:dyDescent="0.25">
      <c r="A43" s="35">
        <v>43622.776388888888</v>
      </c>
      <c r="B43" s="29">
        <v>100173</v>
      </c>
      <c r="C43" s="29">
        <v>78926</v>
      </c>
      <c r="D43" s="370">
        <f ca="1">IFERROR(IF(ISBLANK($A43),"-",SLOPE(INDIRECT("B" &amp; _xlfn.IFNA(MATCH($A43-$B$3,$A:$A,1),7)):B43,INDIRECT("A" &amp; _xlfn.IFNA(MATCH($A43-$B$3,$A:$A,1),7)):$A43)),"-")</f>
        <v>20280.131590798097</v>
      </c>
      <c r="E43" s="370">
        <f ca="1">IFERROR(IF(ISBLANK($A43),"-",SLOPE(INDIRECT("C" &amp; _xlfn.IFNA(MATCH($A43-$B$3,$A:$A,1),7)):C43,INDIRECT("A" &amp; _xlfn.IFNA(MATCH($A43-$B$3,$A:$A,1),7)):$A43)),"-")</f>
        <v>15304.707495679628</v>
      </c>
      <c r="F43" s="31">
        <f t="shared" si="0"/>
        <v>113634.25925919728</v>
      </c>
      <c r="G43" s="31">
        <f t="shared" si="1"/>
        <v>85225.694444397959</v>
      </c>
      <c r="H43" s="31">
        <f ca="1">IFERROR(IF(ISBLANK($A43),"-",_xlfn.FORECAST.LINEAR(RAID_TIME_END,INDIRECT("B" &amp; _xlfn.IFNA(MATCH($A43-$B$3,$A:$A,1),7)):B43,INDIRECT("A" &amp; _xlfn.IFNA(MATCH($A43-$B$3,$A:$A,1),7)):$A43)),"-")</f>
        <v>205034.51552867889</v>
      </c>
      <c r="I43" s="31">
        <f ca="1">IFERROR(IF(ISBLANK($A43),"-",_xlfn.FORECAST.LINEAR(RAID_TIME_END,INDIRECT("C" &amp; _xlfn.IFNA(MATCH($A43-$B$3,$A:$A,1),7)):C43,INDIRECT("A" &amp; _xlfn.IFNA(MATCH($A43-$B$3,$A:$A,1),7)):$A43)),"-")</f>
        <v>157653.53262019157</v>
      </c>
      <c r="J43" s="32">
        <f t="shared" si="8"/>
        <v>-13461.259259197279</v>
      </c>
      <c r="K43" s="32">
        <f t="shared" si="9"/>
        <v>-6299.6944443979592</v>
      </c>
      <c r="L43" s="362">
        <f t="shared" si="6"/>
        <v>-0.11846127520831934</v>
      </c>
      <c r="M43" s="362">
        <f t="shared" si="7"/>
        <v>-7.3917783662155304E-2</v>
      </c>
      <c r="N43" s="32">
        <f t="shared" ca="1" si="4"/>
        <v>5034.515528678894</v>
      </c>
      <c r="O43" s="32">
        <f t="shared" ca="1" si="5"/>
        <v>7653.5326201915741</v>
      </c>
    </row>
    <row r="44" spans="1:16" x14ac:dyDescent="0.25">
      <c r="A44" s="35">
        <v>43622.855555555558</v>
      </c>
      <c r="B44" s="29">
        <v>103402</v>
      </c>
      <c r="C44" s="29">
        <v>81083</v>
      </c>
      <c r="D44" s="370">
        <f ca="1">IFERROR(IF(ISBLANK($A44),"-",SLOPE(INDIRECT("B" &amp; _xlfn.IFNA(MATCH($A44-$B$3,$A:$A,1),7)):B44,INDIRECT("A" &amp; _xlfn.IFNA(MATCH($A44-$B$3,$A:$A,1),7)):$A44)),"-")</f>
        <v>20639.076902637647</v>
      </c>
      <c r="E44" s="370">
        <f ca="1">IFERROR(IF(ISBLANK($A44),"-",SLOPE(INDIRECT("C" &amp; _xlfn.IFNA(MATCH($A44-$B$3,$A:$A,1),7)):C44,INDIRECT("A" &amp; _xlfn.IFNA(MATCH($A44-$B$3,$A:$A,1),7)):$A44)),"-")</f>
        <v>15612.418842481762</v>
      </c>
      <c r="F44" s="31">
        <f t="shared" si="0"/>
        <v>114953.70370369831</v>
      </c>
      <c r="G44" s="31">
        <f t="shared" si="1"/>
        <v>86215.277777773736</v>
      </c>
      <c r="H44" s="31">
        <f ca="1">IFERROR(IF(ISBLANK($A44),"-",_xlfn.FORECAST.LINEAR(RAID_TIME_END,INDIRECT("B" &amp; _xlfn.IFNA(MATCH($A44-$B$3,$A:$A,1),7)):B44,INDIRECT("A" &amp; _xlfn.IFNA(MATCH($A44-$B$3,$A:$A,1),7)):$A44)),"-")</f>
        <v>207401.84778487682</v>
      </c>
      <c r="I44" s="31">
        <f ca="1">IFERROR(IF(ISBLANK($A44),"-",_xlfn.FORECAST.LINEAR(RAID_TIME_END,INDIRECT("C" &amp; _xlfn.IFNA(MATCH($A44-$B$3,$A:$A,1),7)):C44,INDIRECT("A" &amp; _xlfn.IFNA(MATCH($A44-$B$3,$A:$A,1),7)):$A44)),"-")</f>
        <v>159677.85219609737</v>
      </c>
      <c r="J44" s="32">
        <f t="shared" si="8"/>
        <v>-11551.703703698309</v>
      </c>
      <c r="K44" s="32">
        <f t="shared" si="9"/>
        <v>-5132.2777777737356</v>
      </c>
      <c r="L44" s="362">
        <f t="shared" si="6"/>
        <v>-0.10049005235597873</v>
      </c>
      <c r="M44" s="362">
        <f t="shared" si="7"/>
        <v>-5.9528634716025181E-2</v>
      </c>
      <c r="N44" s="32">
        <f t="shared" ca="1" si="4"/>
        <v>7401.8477848768234</v>
      </c>
      <c r="O44" s="32">
        <f t="shared" ca="1" si="5"/>
        <v>9677.852196097374</v>
      </c>
    </row>
    <row r="45" spans="1:16" x14ac:dyDescent="0.25">
      <c r="A45" s="35">
        <v>43622.938194444447</v>
      </c>
      <c r="B45" s="29">
        <v>106069</v>
      </c>
      <c r="C45" s="29">
        <v>83033</v>
      </c>
      <c r="D45" s="370">
        <f ca="1">IFERROR(IF(ISBLANK($A45),"-",SLOPE(INDIRECT("B" &amp; _xlfn.IFNA(MATCH($A45-$B$3,$A:$A,1),7)):B45,INDIRECT("A" &amp; _xlfn.IFNA(MATCH($A45-$B$3,$A:$A,1),7)):$A45)),"-")</f>
        <v>20818.732905627559</v>
      </c>
      <c r="E45" s="370">
        <f ca="1">IFERROR(IF(ISBLANK($A45),"-",SLOPE(INDIRECT("C" &amp; _xlfn.IFNA(MATCH($A45-$B$3,$A:$A,1),7)):C45,INDIRECT("A" &amp; _xlfn.IFNA(MATCH($A45-$B$3,$A:$A,1),7)):$A45)),"-")</f>
        <v>15748.976199527959</v>
      </c>
      <c r="F45" s="31">
        <f t="shared" si="0"/>
        <v>116331.01851851582</v>
      </c>
      <c r="G45" s="31">
        <f t="shared" si="1"/>
        <v>87248.263888886868</v>
      </c>
      <c r="H45" s="31">
        <f ca="1">IFERROR(IF(ISBLANK($A45),"-",_xlfn.FORECAST.LINEAR(RAID_TIME_END,INDIRECT("B" &amp; _xlfn.IFNA(MATCH($A45-$B$3,$A:$A,1),7)):B45,INDIRECT("A" &amp; _xlfn.IFNA(MATCH($A45-$B$3,$A:$A,1),7)):$A45)),"-")</f>
        <v>208671.86666202545</v>
      </c>
      <c r="I45" s="31">
        <f ca="1">IFERROR(IF(ISBLANK($A45),"-",_xlfn.FORECAST.LINEAR(RAID_TIME_END,INDIRECT("C" &amp; _xlfn.IFNA(MATCH($A45-$B$3,$A:$A,1),7)):C45,INDIRECT("A" &amp; _xlfn.IFNA(MATCH($A45-$B$3,$A:$A,1),7)):$A45)),"-")</f>
        <v>160643.19940602779</v>
      </c>
      <c r="J45" s="32">
        <f t="shared" si="8"/>
        <v>-10262.018518515819</v>
      </c>
      <c r="K45" s="32">
        <f t="shared" si="9"/>
        <v>-4215.2638888868678</v>
      </c>
      <c r="L45" s="362">
        <f t="shared" si="6"/>
        <v>-8.8213948860788705E-2</v>
      </c>
      <c r="M45" s="362">
        <f t="shared" si="7"/>
        <v>-4.8313441448590032E-2</v>
      </c>
      <c r="N45" s="32">
        <f t="shared" ca="1" si="4"/>
        <v>8671.8666620254517</v>
      </c>
      <c r="O45" s="32">
        <f t="shared" ca="1" si="5"/>
        <v>10643.199406027794</v>
      </c>
    </row>
    <row r="46" spans="1:16" x14ac:dyDescent="0.25">
      <c r="A46" s="35">
        <v>43623.32708333333</v>
      </c>
      <c r="B46" s="29">
        <v>112095</v>
      </c>
      <c r="C46" s="29">
        <v>87186</v>
      </c>
      <c r="D46" s="370">
        <f ca="1">IFERROR(IF(ISBLANK($A46),"-",SLOPE(INDIRECT("B" &amp; _xlfn.IFNA(MATCH($A46-$B$3,$A:$A,1),7)):B46,INDIRECT("A" &amp; _xlfn.IFNA(MATCH($A46-$B$3,$A:$A,1),7)):$A46)),"-")</f>
        <v>21078.270251496047</v>
      </c>
      <c r="E46" s="370">
        <f ca="1">IFERROR(IF(ISBLANK($A46),"-",SLOPE(INDIRECT("C" &amp; _xlfn.IFNA(MATCH($A46-$B$3,$A:$A,1),7)):C46,INDIRECT("A" &amp; _xlfn.IFNA(MATCH($A46-$B$3,$A:$A,1),7)):$A46)),"-")</f>
        <v>15935.842043412013</v>
      </c>
      <c r="F46" s="31">
        <f t="shared" si="0"/>
        <v>122812.49999990298</v>
      </c>
      <c r="G46" s="31">
        <f t="shared" si="1"/>
        <v>92109.37499992724</v>
      </c>
      <c r="H46" s="31">
        <f ca="1">IFERROR(IF(ISBLANK($A46),"-",_xlfn.FORECAST.LINEAR(RAID_TIME_END,INDIRECT("B" &amp; _xlfn.IFNA(MATCH($A46-$B$3,$A:$A,1),7)):B46,INDIRECT("A" &amp; _xlfn.IFNA(MATCH($A46-$B$3,$A:$A,1),7)):$A46)),"-")</f>
        <v>210206.66712725163</v>
      </c>
      <c r="I46" s="31">
        <f ca="1">IFERROR(IF(ISBLANK($A46),"-",_xlfn.FORECAST.LINEAR(RAID_TIME_END,INDIRECT("C" &amp; _xlfn.IFNA(MATCH($A46-$B$3,$A:$A,1),7)):C46,INDIRECT("A" &amp; _xlfn.IFNA(MATCH($A46-$B$3,$A:$A,1),7)):$A46)),"-")</f>
        <v>161715.06469964981</v>
      </c>
      <c r="J46" s="32">
        <f t="shared" si="8"/>
        <v>-10717.499999902982</v>
      </c>
      <c r="K46" s="32">
        <f t="shared" si="9"/>
        <v>-4923.3749999272404</v>
      </c>
      <c r="L46" s="362">
        <f t="shared" si="6"/>
        <v>-8.7267175571798056E-2</v>
      </c>
      <c r="M46" s="362">
        <f t="shared" si="7"/>
        <v>-5.3451399490346448E-2</v>
      </c>
      <c r="N46" s="32">
        <f t="shared" ca="1" si="4"/>
        <v>10206.667127251625</v>
      </c>
      <c r="O46" s="32">
        <f t="shared" ca="1" si="5"/>
        <v>11715.064699649811</v>
      </c>
    </row>
    <row r="47" spans="1:16" x14ac:dyDescent="0.25">
      <c r="A47" s="35">
        <v>43623.374305555553</v>
      </c>
      <c r="B47" s="29">
        <v>113077</v>
      </c>
      <c r="C47" s="29">
        <v>87969</v>
      </c>
      <c r="D47" s="370">
        <f ca="1">IFERROR(IF(ISBLANK($A47),"-",SLOPE(INDIRECT("B" &amp; _xlfn.IFNA(MATCH($A47-$B$3,$A:$A,1),7)):B47,INDIRECT("A" &amp; _xlfn.IFNA(MATCH($A47-$B$3,$A:$A,1),7)):$A47)),"-")</f>
        <v>21037.818071979495</v>
      </c>
      <c r="E47" s="370">
        <f ca="1">IFERROR(IF(ISBLANK($A47),"-",SLOPE(INDIRECT("C" &amp; _xlfn.IFNA(MATCH($A47-$B$3,$A:$A,1),7)):C47,INDIRECT("A" &amp; _xlfn.IFNA(MATCH($A47-$B$3,$A:$A,1),7)):$A47)),"-")</f>
        <v>15880.25447113779</v>
      </c>
      <c r="F47" s="31">
        <f t="shared" si="0"/>
        <v>123599.53703695889</v>
      </c>
      <c r="G47" s="31">
        <f t="shared" si="1"/>
        <v>92699.652777719151</v>
      </c>
      <c r="H47" s="31">
        <f ca="1">IFERROR(IF(ISBLANK($A47),"-",_xlfn.FORECAST.LINEAR(RAID_TIME_END,INDIRECT("B" &amp; _xlfn.IFNA(MATCH($A47-$B$3,$A:$A,1),7)):B47,INDIRECT("A" &amp; _xlfn.IFNA(MATCH($A47-$B$3,$A:$A,1),7)):$A47)),"-")</f>
        <v>209931.8288564682</v>
      </c>
      <c r="I47" s="31">
        <f ca="1">IFERROR(IF(ISBLANK($A47),"-",_xlfn.FORECAST.LINEAR(RAID_TIME_END,INDIRECT("C" &amp; _xlfn.IFNA(MATCH($A47-$B$3,$A:$A,1),7)):C47,INDIRECT("A" &amp; _xlfn.IFNA(MATCH($A47-$B$3,$A:$A,1),7)):$A47)),"-")</f>
        <v>161337.39426445961</v>
      </c>
      <c r="J47" s="32">
        <f t="shared" si="8"/>
        <v>-10522.537036958893</v>
      </c>
      <c r="K47" s="32">
        <f t="shared" si="9"/>
        <v>-4730.6527777191513</v>
      </c>
      <c r="L47" s="362">
        <f t="shared" si="6"/>
        <v>-8.5134113680477866E-2</v>
      </c>
      <c r="M47" s="362">
        <f t="shared" si="7"/>
        <v>-5.1032044198294865E-2</v>
      </c>
      <c r="N47" s="32">
        <f t="shared" ca="1" si="4"/>
        <v>9931.8288564682007</v>
      </c>
      <c r="O47" s="32">
        <f t="shared" ca="1" si="5"/>
        <v>11337.39426445961</v>
      </c>
    </row>
    <row r="48" spans="1:16" x14ac:dyDescent="0.25">
      <c r="A48" s="35">
        <v>43623.431250000001</v>
      </c>
      <c r="B48" s="29">
        <v>113601</v>
      </c>
      <c r="C48" s="29">
        <v>88603</v>
      </c>
      <c r="D48" s="370">
        <f ca="1">IFERROR(IF(ISBLANK($A48),"-",SLOPE(INDIRECT("B" &amp; _xlfn.IFNA(MATCH($A48-$B$3,$A:$A,1),7)):B48,INDIRECT("A" &amp; _xlfn.IFNA(MATCH($A48-$B$3,$A:$A,1),7)):$A48)),"-")</f>
        <v>20792.408056118718</v>
      </c>
      <c r="E48" s="370">
        <f ca="1">IFERROR(IF(ISBLANK($A48),"-",SLOPE(INDIRECT("C" &amp; _xlfn.IFNA(MATCH($A48-$B$3,$A:$A,1),7)):C48,INDIRECT("A" &amp; _xlfn.IFNA(MATCH($A48-$B$3,$A:$A,1),7)):$A48)),"-")</f>
        <v>15711.307331732938</v>
      </c>
      <c r="F48" s="31">
        <f t="shared" si="0"/>
        <v>124548.61111109494</v>
      </c>
      <c r="G48" s="31">
        <f t="shared" si="1"/>
        <v>93411.458333321207</v>
      </c>
      <c r="H48" s="31">
        <f ca="1">IFERROR(IF(ISBLANK($A48),"-",_xlfn.FORECAST.LINEAR(RAID_TIME_END,INDIRECT("B" &amp; _xlfn.IFNA(MATCH($A48-$B$3,$A:$A,1),7)):B48,INDIRECT("A" &amp; _xlfn.IFNA(MATCH($A48-$B$3,$A:$A,1),7)):$A48)),"-")</f>
        <v>208473.40963852406</v>
      </c>
      <c r="I48" s="31">
        <f ca="1">IFERROR(IF(ISBLANK($A48),"-",_xlfn.FORECAST.LINEAR(RAID_TIME_END,INDIRECT("C" &amp; _xlfn.IFNA(MATCH($A48-$B$3,$A:$A,1),7)):C48,INDIRECT("A" &amp; _xlfn.IFNA(MATCH($A48-$B$3,$A:$A,1),7)):$A48)),"-")</f>
        <v>160325.61563563347</v>
      </c>
      <c r="J48" s="32">
        <f t="shared" si="8"/>
        <v>-10947.611111094942</v>
      </c>
      <c r="K48" s="32">
        <f t="shared" si="9"/>
        <v>-4808.4583333212067</v>
      </c>
      <c r="L48" s="362">
        <f t="shared" ref="L48:L62" si="10">IFERROR(J48/F48,"-")</f>
        <v>-8.7898299414434139E-2</v>
      </c>
      <c r="M48" s="362">
        <f t="shared" ref="M48:M62" si="11">IFERROR(K48/G48,"-")</f>
        <v>-5.1476108168262702E-2</v>
      </c>
      <c r="N48" s="32">
        <f t="shared" ref="N48:N62" ca="1" si="12">IFERROR(H48 - RAID_GOAL_EMBLEM,"-")</f>
        <v>8473.4096385240555</v>
      </c>
      <c r="O48" s="32">
        <f t="shared" ref="O48:O62" ca="1" si="13">IFERROR(I48 - RAID_GOAL_BLAZON,"-")</f>
        <v>10325.615635633469</v>
      </c>
      <c r="P48" s="360"/>
    </row>
    <row r="49" spans="1:16" x14ac:dyDescent="0.25">
      <c r="A49" s="35">
        <v>43623.589583333334</v>
      </c>
      <c r="B49" s="29">
        <v>117137</v>
      </c>
      <c r="C49" s="29">
        <v>91158</v>
      </c>
      <c r="D49" s="370">
        <f ca="1">IFERROR(IF(ISBLANK($A49),"-",SLOPE(INDIRECT("B" &amp; _xlfn.IFNA(MATCH($A49-$B$3,$A:$A,1),7)):B49,INDIRECT("A" &amp; _xlfn.IFNA(MATCH($A49-$B$3,$A:$A,1),7)):$A49)),"-")</f>
        <v>20549.157869886985</v>
      </c>
      <c r="E49" s="370">
        <f ca="1">IFERROR(IF(ISBLANK($A49),"-",SLOPE(INDIRECT("C" &amp; _xlfn.IFNA(MATCH($A49-$B$3,$A:$A,1),7)):C49,INDIRECT("A" &amp; _xlfn.IFNA(MATCH($A49-$B$3,$A:$A,1),7)):$A49)),"-")</f>
        <v>15543.048600059465</v>
      </c>
      <c r="F49" s="31">
        <f t="shared" si="0"/>
        <v>127187.49999997574</v>
      </c>
      <c r="G49" s="31">
        <f t="shared" si="1"/>
        <v>95390.624999981796</v>
      </c>
      <c r="H49" s="31">
        <f ca="1">IFERROR(IF(ISBLANK($A49),"-",_xlfn.FORECAST.LINEAR(RAID_TIME_END,INDIRECT("B" &amp; _xlfn.IFNA(MATCH($A49-$B$3,$A:$A,1),7)):B49,INDIRECT("A" &amp; _xlfn.IFNA(MATCH($A49-$B$3,$A:$A,1),7)):$A49)),"-")</f>
        <v>207115.63952815533</v>
      </c>
      <c r="I49" s="31">
        <f ca="1">IFERROR(IF(ISBLANK($A49),"-",_xlfn.FORECAST.LINEAR(RAID_TIME_END,INDIRECT("C" &amp; _xlfn.IFNA(MATCH($A49-$B$3,$A:$A,1),7)):C49,INDIRECT("A" &amp; _xlfn.IFNA(MATCH($A49-$B$3,$A:$A,1),7)):$A49)),"-")</f>
        <v>159370.53626132011</v>
      </c>
      <c r="J49" s="32">
        <f t="shared" si="8"/>
        <v>-10050.499999975742</v>
      </c>
      <c r="K49" s="32">
        <f t="shared" si="9"/>
        <v>-4232.6249999817956</v>
      </c>
      <c r="L49" s="362">
        <f t="shared" si="10"/>
        <v>-7.9021130220954569E-2</v>
      </c>
      <c r="M49" s="362">
        <f t="shared" si="11"/>
        <v>-4.4371498771316395E-2</v>
      </c>
      <c r="N49" s="32">
        <f t="shared" ca="1" si="12"/>
        <v>7115.6395281553268</v>
      </c>
      <c r="O49" s="32">
        <f t="shared" ca="1" si="13"/>
        <v>9370.5362613201141</v>
      </c>
      <c r="P49" s="360"/>
    </row>
    <row r="50" spans="1:16" x14ac:dyDescent="0.25">
      <c r="A50" s="35">
        <v>43623.697916666664</v>
      </c>
      <c r="B50" s="29">
        <v>121108</v>
      </c>
      <c r="C50" s="29">
        <v>93968</v>
      </c>
      <c r="D50" s="370">
        <f ca="1">IFERROR(IF(ISBLANK($A50),"-",SLOPE(INDIRECT("B" &amp; _xlfn.IFNA(MATCH($A50-$B$3,$A:$A,1),7)):B50,INDIRECT("A" &amp; _xlfn.IFNA(MATCH($A50-$B$3,$A:$A,1),7)):$A50)),"-")</f>
        <v>20609.978791091544</v>
      </c>
      <c r="E50" s="370">
        <f ca="1">IFERROR(IF(ISBLANK($A50),"-",SLOPE(INDIRECT("C" &amp; _xlfn.IFNA(MATCH($A50-$B$3,$A:$A,1),7)):C50,INDIRECT("A" &amp; _xlfn.IFNA(MATCH($A50-$B$3,$A:$A,1),7)):$A50)),"-")</f>
        <v>15567.829971608448</v>
      </c>
      <c r="F50" s="31">
        <f t="shared" si="0"/>
        <v>128993.05555547471</v>
      </c>
      <c r="G50" s="31">
        <f t="shared" si="1"/>
        <v>96744.791666606034</v>
      </c>
      <c r="H50" s="31">
        <f ca="1">IFERROR(IF(ISBLANK($A50),"-",_xlfn.FORECAST.LINEAR(RAID_TIME_END,INDIRECT("B" &amp; _xlfn.IFNA(MATCH($A50-$B$3,$A:$A,1),7)):B50,INDIRECT("A" &amp; _xlfn.IFNA(MATCH($A50-$B$3,$A:$A,1),7)):$A50)),"-")</f>
        <v>207565.87523257732</v>
      </c>
      <c r="I50" s="31">
        <f ca="1">IFERROR(IF(ISBLANK($A50),"-",_xlfn.FORECAST.LINEAR(RAID_TIME_END,INDIRECT("C" &amp; _xlfn.IFNA(MATCH($A50-$B$3,$A:$A,1),7)):C50,INDIRECT("A" &amp; _xlfn.IFNA(MATCH($A50-$B$3,$A:$A,1),7)):$A50)),"-")</f>
        <v>159569.92132651806</v>
      </c>
      <c r="J50" s="32">
        <f t="shared" si="8"/>
        <v>-7885.0555554747116</v>
      </c>
      <c r="K50" s="32">
        <f t="shared" si="9"/>
        <v>-2776.7916666060337</v>
      </c>
      <c r="L50" s="362">
        <f t="shared" si="10"/>
        <v>-6.1127752354727866E-2</v>
      </c>
      <c r="M50" s="362">
        <f t="shared" si="11"/>
        <v>-2.870223418512477E-2</v>
      </c>
      <c r="N50" s="32">
        <f t="shared" ca="1" si="12"/>
        <v>7565.8752325773239</v>
      </c>
      <c r="O50" s="32">
        <f t="shared" ca="1" si="13"/>
        <v>9569.9213265180588</v>
      </c>
      <c r="P50" s="360"/>
    </row>
    <row r="51" spans="1:16" x14ac:dyDescent="0.25">
      <c r="A51" s="35">
        <v>43623.772916666669</v>
      </c>
      <c r="B51" s="29">
        <v>123699</v>
      </c>
      <c r="C51" s="29">
        <v>95834</v>
      </c>
      <c r="D51" s="370">
        <f ca="1">IFERROR(IF(ISBLANK($A51),"-",SLOPE(INDIRECT("B" &amp; _xlfn.IFNA(MATCH($A51-$B$3,$A:$A,1),7)):B51,INDIRECT("A" &amp; _xlfn.IFNA(MATCH($A51-$B$3,$A:$A,1),7)):$A51)),"-")</f>
        <v>21081.211779381349</v>
      </c>
      <c r="E51" s="370">
        <f ca="1">IFERROR(IF(ISBLANK($A51),"-",SLOPE(INDIRECT("C" &amp; _xlfn.IFNA(MATCH($A51-$B$3,$A:$A,1),7)):C51,INDIRECT("A" &amp; _xlfn.IFNA(MATCH($A51-$B$3,$A:$A,1),7)):$A51)),"-")</f>
        <v>15857.579627996602</v>
      </c>
      <c r="F51" s="31">
        <f t="shared" si="0"/>
        <v>130243.05555554747</v>
      </c>
      <c r="G51" s="31">
        <f t="shared" si="1"/>
        <v>97682.291666660618</v>
      </c>
      <c r="H51" s="31">
        <f ca="1">IFERROR(IF(ISBLANK($A51),"-",_xlfn.FORECAST.LINEAR(RAID_TIME_END,INDIRECT("B" &amp; _xlfn.IFNA(MATCH($A51-$B$3,$A:$A,1),7)):B51,INDIRECT("A" &amp; _xlfn.IFNA(MATCH($A51-$B$3,$A:$A,1),7)):$A51)),"-")</f>
        <v>210181.48613595963</v>
      </c>
      <c r="I51" s="31">
        <f ca="1">IFERROR(IF(ISBLANK($A51),"-",_xlfn.FORECAST.LINEAR(RAID_TIME_END,INDIRECT("C" &amp; _xlfn.IFNA(MATCH($A51-$B$3,$A:$A,1),7)):C51,INDIRECT("A" &amp; _xlfn.IFNA(MATCH($A51-$B$3,$A:$A,1),7)):$A51)),"-")</f>
        <v>161173.98778033257</v>
      </c>
      <c r="J51" s="32">
        <f t="shared" si="8"/>
        <v>-6544.0555555474712</v>
      </c>
      <c r="K51" s="32">
        <f t="shared" si="9"/>
        <v>-1848.2916666606179</v>
      </c>
      <c r="L51" s="362">
        <f t="shared" si="10"/>
        <v>-5.0244948013804018E-2</v>
      </c>
      <c r="M51" s="362">
        <f t="shared" si="11"/>
        <v>-1.8921460943687584E-2</v>
      </c>
      <c r="N51" s="32">
        <f t="shared" ca="1" si="12"/>
        <v>10181.486135959625</v>
      </c>
      <c r="O51" s="32">
        <f t="shared" ca="1" si="13"/>
        <v>11173.987780332565</v>
      </c>
      <c r="P51" s="360"/>
    </row>
    <row r="52" spans="1:16" x14ac:dyDescent="0.25">
      <c r="A52" s="35">
        <v>43623.84652777778</v>
      </c>
      <c r="B52" s="29">
        <v>124969</v>
      </c>
      <c r="C52" s="29">
        <v>97067</v>
      </c>
      <c r="D52" s="370">
        <f ca="1">IFERROR(IF(ISBLANK($A52),"-",SLOPE(INDIRECT("B" &amp; _xlfn.IFNA(MATCH($A52-$B$3,$A:$A,1),7)):B52,INDIRECT("A" &amp; _xlfn.IFNA(MATCH($A52-$B$3,$A:$A,1),7)):$A52)),"-")</f>
        <v>21180.902314772142</v>
      </c>
      <c r="E52" s="370">
        <f ca="1">IFERROR(IF(ISBLANK($A52),"-",SLOPE(INDIRECT("C" &amp; _xlfn.IFNA(MATCH($A52-$B$3,$A:$A,1),7)):C52,INDIRECT("A" &amp; _xlfn.IFNA(MATCH($A52-$B$3,$A:$A,1),7)):$A52)),"-")</f>
        <v>15931.959316137569</v>
      </c>
      <c r="F52" s="31">
        <f t="shared" si="0"/>
        <v>131469.90740739662</v>
      </c>
      <c r="G52" s="31">
        <f t="shared" si="1"/>
        <v>98602.430555547471</v>
      </c>
      <c r="H52" s="31">
        <f ca="1">IFERROR(IF(ISBLANK($A52),"-",_xlfn.FORECAST.LINEAR(RAID_TIME_END,INDIRECT("B" &amp; _xlfn.IFNA(MATCH($A52-$B$3,$A:$A,1),7)):B52,INDIRECT("A" &amp; _xlfn.IFNA(MATCH($A52-$B$3,$A:$A,1),7)):$A52)),"-")</f>
        <v>210800.10234355927</v>
      </c>
      <c r="I52" s="31">
        <f ca="1">IFERROR(IF(ISBLANK($A52),"-",_xlfn.FORECAST.LINEAR(RAID_TIME_END,INDIRECT("C" &amp; _xlfn.IFNA(MATCH($A52-$B$3,$A:$A,1),7)):C52,INDIRECT("A" &amp; _xlfn.IFNA(MATCH($A52-$B$3,$A:$A,1),7)):$A52)),"-")</f>
        <v>161635.54092991352</v>
      </c>
      <c r="J52" s="32">
        <f t="shared" si="8"/>
        <v>-6500.9074073966185</v>
      </c>
      <c r="K52" s="32">
        <f t="shared" si="9"/>
        <v>-1535.4305555474712</v>
      </c>
      <c r="L52" s="362">
        <f t="shared" si="10"/>
        <v>-4.944787393248648E-2</v>
      </c>
      <c r="M52" s="362">
        <f t="shared" si="11"/>
        <v>-1.5571934149052133E-2</v>
      </c>
      <c r="N52" s="32">
        <f t="shared" ca="1" si="12"/>
        <v>10800.102343559265</v>
      </c>
      <c r="O52" s="32">
        <f t="shared" ca="1" si="13"/>
        <v>11635.540929913521</v>
      </c>
      <c r="P52" s="360"/>
    </row>
    <row r="53" spans="1:16" x14ac:dyDescent="0.25">
      <c r="A53" s="35">
        <v>43624.335416666669</v>
      </c>
      <c r="B53" s="29">
        <v>131758</v>
      </c>
      <c r="C53" s="29">
        <v>101715</v>
      </c>
      <c r="D53" s="370">
        <f ca="1">IFERROR(IF(ISBLANK($A53),"-",SLOPE(INDIRECT("B" &amp; _xlfn.IFNA(MATCH($A53-$B$3,$A:$A,1),7)):B53,INDIRECT("A" &amp; _xlfn.IFNA(MATCH($A53-$B$3,$A:$A,1),7)):$A53)),"-")</f>
        <v>21238.791580992973</v>
      </c>
      <c r="E53" s="370">
        <f ca="1">IFERROR(IF(ISBLANK($A53),"-",SLOPE(INDIRECT("C" &amp; _xlfn.IFNA(MATCH($A53-$B$3,$A:$A,1),7)):C53,INDIRECT("A" &amp; _xlfn.IFNA(MATCH($A53-$B$3,$A:$A,1),7)):$A53)),"-")</f>
        <v>15853.052317175676</v>
      </c>
      <c r="F53" s="31">
        <f t="shared" si="0"/>
        <v>139618.05555554747</v>
      </c>
      <c r="G53" s="31">
        <f t="shared" si="1"/>
        <v>104713.54166666062</v>
      </c>
      <c r="H53" s="31">
        <f ca="1">IFERROR(IF(ISBLANK($A53),"-",_xlfn.FORECAST.LINEAR(RAID_TIME_END,INDIRECT("B" &amp; _xlfn.IFNA(MATCH($A53-$B$3,$A:$A,1),7)):B53,INDIRECT("A" &amp; _xlfn.IFNA(MATCH($A53-$B$3,$A:$A,1),7)):$A53)),"-")</f>
        <v>210900.81799149513</v>
      </c>
      <c r="I53" s="31">
        <f ca="1">IFERROR(IF(ISBLANK($A53),"-",_xlfn.FORECAST.LINEAR(RAID_TIME_END,INDIRECT("C" &amp; _xlfn.IFNA(MATCH($A53-$B$3,$A:$A,1),7)):C53,INDIRECT("A" &amp; _xlfn.IFNA(MATCH($A53-$B$3,$A:$A,1),7)):$A53)),"-")</f>
        <v>161079.47310054302</v>
      </c>
      <c r="J53" s="32">
        <f t="shared" si="8"/>
        <v>-7860.0555555474712</v>
      </c>
      <c r="K53" s="32">
        <f t="shared" si="9"/>
        <v>-2998.5416666606179</v>
      </c>
      <c r="L53" s="362">
        <f t="shared" si="10"/>
        <v>-5.6296841581641451E-2</v>
      </c>
      <c r="M53" s="362">
        <f t="shared" si="11"/>
        <v>-2.8635662770399001E-2</v>
      </c>
      <c r="N53" s="32">
        <f t="shared" ca="1" si="12"/>
        <v>10900.817991495132</v>
      </c>
      <c r="O53" s="32">
        <f t="shared" ca="1" si="13"/>
        <v>11079.473100543022</v>
      </c>
      <c r="P53" s="360"/>
    </row>
    <row r="54" spans="1:16" x14ac:dyDescent="0.25">
      <c r="A54" s="35">
        <v>43624.399305555555</v>
      </c>
      <c r="B54" s="29">
        <v>131898</v>
      </c>
      <c r="C54" s="29">
        <v>102128</v>
      </c>
      <c r="D54" s="370">
        <f ca="1">IFERROR(IF(ISBLANK($A54),"-",SLOPE(INDIRECT("B" &amp; _xlfn.IFNA(MATCH($A54-$B$3,$A:$A,1),7)):B54,INDIRECT("A" &amp; _xlfn.IFNA(MATCH($A54-$B$3,$A:$A,1),7)):$A54)),"-")</f>
        <v>20973.853985800579</v>
      </c>
      <c r="E54" s="370">
        <f ca="1">IFERROR(IF(ISBLANK($A54),"-",SLOPE(INDIRECT("C" &amp; _xlfn.IFNA(MATCH($A54-$B$3,$A:$A,1),7)):C54,INDIRECT("A" &amp; _xlfn.IFNA(MATCH($A54-$B$3,$A:$A,1),7)):$A54)),"-")</f>
        <v>15656.678196883227</v>
      </c>
      <c r="F54" s="31">
        <f t="shared" si="0"/>
        <v>140682.87037031646</v>
      </c>
      <c r="G54" s="31">
        <f t="shared" si="1"/>
        <v>105512.15277773736</v>
      </c>
      <c r="H54" s="31">
        <f ca="1">IFERROR(IF(ISBLANK($A54),"-",_xlfn.FORECAST.LINEAR(RAID_TIME_END,INDIRECT("B" &amp; _xlfn.IFNA(MATCH($A54-$B$3,$A:$A,1),7)):B54,INDIRECT("A" &amp; _xlfn.IFNA(MATCH($A54-$B$3,$A:$A,1),7)):$A54)),"-")</f>
        <v>209362.55218827724</v>
      </c>
      <c r="I54" s="31">
        <f ca="1">IFERROR(IF(ISBLANK($A54),"-",_xlfn.FORECAST.LINEAR(RAID_TIME_END,INDIRECT("C" &amp; _xlfn.IFNA(MATCH($A54-$B$3,$A:$A,1),7)):C54,INDIRECT("A" &amp; _xlfn.IFNA(MATCH($A54-$B$3,$A:$A,1),7)):$A54)),"-")</f>
        <v>159939.2966991663</v>
      </c>
      <c r="J54" s="32">
        <f t="shared" si="8"/>
        <v>-8784.8703703164647</v>
      </c>
      <c r="K54" s="32">
        <f t="shared" si="9"/>
        <v>-3384.1527777373558</v>
      </c>
      <c r="L54" s="362">
        <f t="shared" si="10"/>
        <v>-6.2444491978250381E-2</v>
      </c>
      <c r="M54" s="362">
        <f t="shared" si="11"/>
        <v>-3.207358288732972E-2</v>
      </c>
      <c r="N54" s="32">
        <f t="shared" ca="1" si="12"/>
        <v>9362.5521882772446</v>
      </c>
      <c r="O54" s="32">
        <f t="shared" ca="1" si="13"/>
        <v>9939.2966991662979</v>
      </c>
      <c r="P54" s="360"/>
    </row>
    <row r="55" spans="1:16" x14ac:dyDescent="0.25">
      <c r="A55" s="35">
        <v>43624.479166666664</v>
      </c>
      <c r="B55" s="29">
        <v>135224</v>
      </c>
      <c r="C55" s="29">
        <v>104353</v>
      </c>
      <c r="D55" s="370">
        <f ca="1">IFERROR(IF(ISBLANK($A55),"-",SLOPE(INDIRECT("B" &amp; _xlfn.IFNA(MATCH($A55-$B$3,$A:$A,1),7)):B55,INDIRECT("A" &amp; _xlfn.IFNA(MATCH($A55-$B$3,$A:$A,1),7)):$A55)),"-")</f>
        <v>20582.807123612274</v>
      </c>
      <c r="E55" s="370">
        <f ca="1">IFERROR(IF(ISBLANK($A55),"-",SLOPE(INDIRECT("C" &amp; _xlfn.IFNA(MATCH($A55-$B$3,$A:$A,1),7)):C55,INDIRECT("A" &amp; _xlfn.IFNA(MATCH($A55-$B$3,$A:$A,1),7)):$A55)),"-")</f>
        <v>15345.674822462874</v>
      </c>
      <c r="F55" s="31">
        <f t="shared" si="0"/>
        <v>142013.88888880805</v>
      </c>
      <c r="G55" s="31">
        <f t="shared" si="1"/>
        <v>106510.41666660603</v>
      </c>
      <c r="H55" s="31">
        <f ca="1">IFERROR(IF(ISBLANK($A55),"-",_xlfn.FORECAST.LINEAR(RAID_TIME_END,INDIRECT("B" &amp; _xlfn.IFNA(MATCH($A55-$B$3,$A:$A,1),7)):B55,INDIRECT("A" &amp; _xlfn.IFNA(MATCH($A55-$B$3,$A:$A,1),7)):$A55)),"-")</f>
        <v>207515.87869167328</v>
      </c>
      <c r="I55" s="31">
        <f ca="1">IFERROR(IF(ISBLANK($A55),"-",_xlfn.FORECAST.LINEAR(RAID_TIME_END,INDIRECT("C" &amp; _xlfn.IFNA(MATCH($A55-$B$3,$A:$A,1),7)):C55,INDIRECT("A" &amp; _xlfn.IFNA(MATCH($A55-$B$3,$A:$A,1),7)):$A55)),"-")</f>
        <v>158453.66325950623</v>
      </c>
      <c r="J55" s="32">
        <f t="shared" si="8"/>
        <v>-6789.8888888080546</v>
      </c>
      <c r="K55" s="32">
        <f t="shared" si="9"/>
        <v>-2157.4166666060337</v>
      </c>
      <c r="L55" s="362">
        <f t="shared" si="10"/>
        <v>-4.78114425422453E-2</v>
      </c>
      <c r="M55" s="362">
        <f t="shared" si="11"/>
        <v>-2.025545232218065E-2</v>
      </c>
      <c r="N55" s="32">
        <f t="shared" ca="1" si="12"/>
        <v>7515.8786916732788</v>
      </c>
      <c r="O55" s="32">
        <f t="shared" ca="1" si="13"/>
        <v>8453.6632595062256</v>
      </c>
      <c r="P55" s="360"/>
    </row>
    <row r="56" spans="1:16" x14ac:dyDescent="0.25">
      <c r="A56" s="35">
        <v>43624.588888888888</v>
      </c>
      <c r="B56" s="29">
        <v>139599</v>
      </c>
      <c r="C56" s="29">
        <v>107292</v>
      </c>
      <c r="D56" s="370">
        <f ca="1">IFERROR(IF(ISBLANK($A56),"-",SLOPE(INDIRECT("B" &amp; _xlfn.IFNA(MATCH($A56-$B$3,$A:$A,1),7)):B56,INDIRECT("A" &amp; _xlfn.IFNA(MATCH($A56-$B$3,$A:$A,1),7)):$A56)),"-")</f>
        <v>20579.491894401952</v>
      </c>
      <c r="E56" s="370">
        <f ca="1">IFERROR(IF(ISBLANK($A56),"-",SLOPE(INDIRECT("C" &amp; _xlfn.IFNA(MATCH($A56-$B$3,$A:$A,1),7)):C56,INDIRECT("A" &amp; _xlfn.IFNA(MATCH($A56-$B$3,$A:$A,1),7)):$A56)),"-")</f>
        <v>15271.954143824707</v>
      </c>
      <c r="F56" s="31">
        <f t="shared" si="0"/>
        <v>143842.59259253062</v>
      </c>
      <c r="G56" s="31">
        <f t="shared" si="1"/>
        <v>107881.94444439797</v>
      </c>
      <c r="H56" s="31">
        <f ca="1">IFERROR(IF(ISBLANK($A56),"-",_xlfn.FORECAST.LINEAR(RAID_TIME_END,INDIRECT("B" &amp; _xlfn.IFNA(MATCH($A56-$B$3,$A:$A,1),7)):B56,INDIRECT("A" &amp; _xlfn.IFNA(MATCH($A56-$B$3,$A:$A,1),7)):$A56)),"-")</f>
        <v>207629.64409470558</v>
      </c>
      <c r="I56" s="31">
        <f ca="1">IFERROR(IF(ISBLANK($A56),"-",_xlfn.FORECAST.LINEAR(RAID_TIME_END,INDIRECT("C" &amp; _xlfn.IFNA(MATCH($A56-$B$3,$A:$A,1),7)):C56,INDIRECT("A" &amp; _xlfn.IFNA(MATCH($A56-$B$3,$A:$A,1),7)):$A56)),"-")</f>
        <v>158184.24923539162</v>
      </c>
      <c r="J56" s="32">
        <f t="shared" si="8"/>
        <v>-4243.5925925306219</v>
      </c>
      <c r="K56" s="32">
        <f t="shared" si="9"/>
        <v>-589.94444439797371</v>
      </c>
      <c r="L56" s="362">
        <f t="shared" si="10"/>
        <v>-2.9501641454361419E-2</v>
      </c>
      <c r="M56" s="362">
        <f t="shared" si="11"/>
        <v>-5.4684261341065212E-3</v>
      </c>
      <c r="N56" s="32">
        <f t="shared" ca="1" si="12"/>
        <v>7629.6440947055817</v>
      </c>
      <c r="O56" s="32">
        <f t="shared" ca="1" si="13"/>
        <v>8184.2492353916168</v>
      </c>
      <c r="P56" s="360"/>
    </row>
    <row r="57" spans="1:16" x14ac:dyDescent="0.25">
      <c r="A57" s="35">
        <v>43624.649305555555</v>
      </c>
      <c r="B57" s="29">
        <v>141739</v>
      </c>
      <c r="C57" s="29">
        <v>108807</v>
      </c>
      <c r="D57" s="370">
        <f ca="1">IFERROR(IF(ISBLANK($A57),"-",SLOPE(INDIRECT("B" &amp; _xlfn.IFNA(MATCH($A57-$B$3,$A:$A,1),7)):B57,INDIRECT("A" &amp; _xlfn.IFNA(MATCH($A57-$B$3,$A:$A,1),7)):$A57)),"-")</f>
        <v>20659.704362637247</v>
      </c>
      <c r="E57" s="370">
        <f ca="1">IFERROR(IF(ISBLANK($A57),"-",SLOPE(INDIRECT("C" &amp; _xlfn.IFNA(MATCH($A57-$B$3,$A:$A,1),7)):C57,INDIRECT("A" &amp; _xlfn.IFNA(MATCH($A57-$B$3,$A:$A,1),7)):$A57)),"-")</f>
        <v>15279.203470056949</v>
      </c>
      <c r="F57" s="31">
        <f t="shared" si="0"/>
        <v>144849.53703698315</v>
      </c>
      <c r="G57" s="31">
        <f t="shared" si="1"/>
        <v>108637.15277773736</v>
      </c>
      <c r="H57" s="31">
        <f ca="1">IFERROR(IF(ISBLANK($A57),"-",_xlfn.FORECAST.LINEAR(RAID_TIME_END,INDIRECT("B" &amp; _xlfn.IFNA(MATCH($A57-$B$3,$A:$A,1),7)):B57,INDIRECT("A" &amp; _xlfn.IFNA(MATCH($A57-$B$3,$A:$A,1),7)):$A57)),"-")</f>
        <v>208154.54113674164</v>
      </c>
      <c r="I57" s="31">
        <f ca="1">IFERROR(IF(ISBLANK($A57),"-",_xlfn.FORECAST.LINEAR(RAID_TIME_END,INDIRECT("C" &amp; _xlfn.IFNA(MATCH($A57-$B$3,$A:$A,1),7)):C57,INDIRECT("A" &amp; _xlfn.IFNA(MATCH($A57-$B$3,$A:$A,1),7)):$A57)),"-")</f>
        <v>158313.14323318005</v>
      </c>
      <c r="J57" s="32">
        <f t="shared" si="8"/>
        <v>-3110.5370369831508</v>
      </c>
      <c r="K57" s="32">
        <f t="shared" si="9"/>
        <v>169.84722226264421</v>
      </c>
      <c r="L57" s="362">
        <f t="shared" si="10"/>
        <v>-2.1474262884174526E-2</v>
      </c>
      <c r="M57" s="362">
        <f t="shared" si="11"/>
        <v>1.563435877320327E-3</v>
      </c>
      <c r="N57" s="32">
        <f t="shared" ca="1" si="12"/>
        <v>8154.5411367416382</v>
      </c>
      <c r="O57" s="32">
        <f t="shared" ca="1" si="13"/>
        <v>8313.1432331800461</v>
      </c>
      <c r="P57" s="360"/>
    </row>
    <row r="58" spans="1:16" x14ac:dyDescent="0.25">
      <c r="A58" s="35">
        <v>43624.708333333336</v>
      </c>
      <c r="B58" s="29">
        <v>141739</v>
      </c>
      <c r="C58" s="29">
        <v>109295</v>
      </c>
      <c r="D58" s="370">
        <f ca="1">IFERROR(IF(ISBLANK($A58),"-",SLOPE(INDIRECT("B" &amp; _xlfn.IFNA(MATCH($A58-$B$3,$A:$A,1),7)):B58,INDIRECT("A" &amp; _xlfn.IFNA(MATCH($A58-$B$3,$A:$A,1),7)):$A58)),"-")</f>
        <v>20681.445297061364</v>
      </c>
      <c r="E58" s="370">
        <f ca="1">IFERROR(IF(ISBLANK($A58),"-",SLOPE(INDIRECT("C" &amp; _xlfn.IFNA(MATCH($A58-$B$3,$A:$A,1),7)):C58,INDIRECT("A" &amp; _xlfn.IFNA(MATCH($A58-$B$3,$A:$A,1),7)):$A58)),"-")</f>
        <v>15289.583680617721</v>
      </c>
      <c r="F58" s="31">
        <f t="shared" si="0"/>
        <v>145833.33333333334</v>
      </c>
      <c r="G58" s="31">
        <f t="shared" si="1"/>
        <v>109375</v>
      </c>
      <c r="H58" s="31">
        <f ca="1">IFERROR(IF(ISBLANK($A58),"-",_xlfn.FORECAST.LINEAR(RAID_TIME_END,INDIRECT("B" &amp; _xlfn.IFNA(MATCH($A58-$B$3,$A:$A,1),7)):B58,INDIRECT("A" &amp; _xlfn.IFNA(MATCH($A58-$B$3,$A:$A,1),7)):$A58)),"-")</f>
        <v>208302.98814105988</v>
      </c>
      <c r="I58" s="31">
        <f ca="1">IFERROR(IF(ISBLANK($A58),"-",_xlfn.FORECAST.LINEAR(RAID_TIME_END,INDIRECT("C" &amp; _xlfn.IFNA(MATCH($A58-$B$3,$A:$A,1),7)):C58,INDIRECT("A" &amp; _xlfn.IFNA(MATCH($A58-$B$3,$A:$A,1),7)):$A58)),"-")</f>
        <v>158407.71109473705</v>
      </c>
      <c r="J58" s="32">
        <f t="shared" si="8"/>
        <v>-4094.333333333343</v>
      </c>
      <c r="K58" s="32">
        <f t="shared" si="9"/>
        <v>-80</v>
      </c>
      <c r="L58" s="362">
        <f t="shared" si="10"/>
        <v>-2.8075428571428637E-2</v>
      </c>
      <c r="M58" s="362">
        <f t="shared" si="11"/>
        <v>-7.3142857142857146E-4</v>
      </c>
      <c r="N58" s="32">
        <f t="shared" ca="1" si="12"/>
        <v>8302.9881410598755</v>
      </c>
      <c r="O58" s="32">
        <f t="shared" ca="1" si="13"/>
        <v>8407.7110947370529</v>
      </c>
      <c r="P58" s="360"/>
    </row>
    <row r="59" spans="1:16" x14ac:dyDescent="0.25">
      <c r="A59" s="35">
        <v>43625.165277777778</v>
      </c>
      <c r="B59" s="29">
        <v>146128</v>
      </c>
      <c r="C59" s="29">
        <v>112457</v>
      </c>
      <c r="D59" s="370">
        <f ca="1">IFERROR(IF(ISBLANK($A59),"-",SLOPE(INDIRECT("B" &amp; _xlfn.IFNA(MATCH($A59-$B$3,$A:$A,1),7)):B59,INDIRECT("A" &amp; _xlfn.IFNA(MATCH($A59-$B$3,$A:$A,1),7)):$A59)),"-")</f>
        <v>20378.607309381801</v>
      </c>
      <c r="E59" s="370">
        <f ca="1">IFERROR(IF(ISBLANK($A59),"-",SLOPE(INDIRECT("C" &amp; _xlfn.IFNA(MATCH($A59-$B$3,$A:$A,1),7)):C59,INDIRECT("A" &amp; _xlfn.IFNA(MATCH($A59-$B$3,$A:$A,1),7)):$A59)),"-")</f>
        <v>15033.515714452893</v>
      </c>
      <c r="F59" s="31">
        <f t="shared" si="0"/>
        <v>153449.07407403903</v>
      </c>
      <c r="G59" s="31">
        <f t="shared" si="1"/>
        <v>115086.80555552927</v>
      </c>
      <c r="H59" s="31">
        <f ca="1">IFERROR(IF(ISBLANK($A59),"-",_xlfn.FORECAST.LINEAR(RAID_TIME_END,INDIRECT("B" &amp; _xlfn.IFNA(MATCH($A59-$B$3,$A:$A,1),7)):B59,INDIRECT("A" &amp; _xlfn.IFNA(MATCH($A59-$B$3,$A:$A,1),7)):$A59)),"-")</f>
        <v>206716.84165203571</v>
      </c>
      <c r="I59" s="31">
        <f ca="1">IFERROR(IF(ISBLANK($A59),"-",_xlfn.FORECAST.LINEAR(RAID_TIME_END,INDIRECT("C" &amp; _xlfn.IFNA(MATCH($A59-$B$3,$A:$A,1),7)):C59,INDIRECT("A" &amp; _xlfn.IFNA(MATCH($A59-$B$3,$A:$A,1),7)):$A59)),"-")</f>
        <v>157108.98518538475</v>
      </c>
      <c r="J59" s="32">
        <f t="shared" si="8"/>
        <v>-7321.074074039032</v>
      </c>
      <c r="K59" s="32">
        <f t="shared" si="9"/>
        <v>-2629.8055555292667</v>
      </c>
      <c r="L59" s="362">
        <f t="shared" si="10"/>
        <v>-4.7710122190158154E-2</v>
      </c>
      <c r="M59" s="362">
        <f t="shared" si="11"/>
        <v>-2.2850626036886462E-2</v>
      </c>
      <c r="N59" s="32">
        <f t="shared" ca="1" si="12"/>
        <v>6716.8416520357132</v>
      </c>
      <c r="O59" s="32">
        <f t="shared" ca="1" si="13"/>
        <v>7108.9851853847504</v>
      </c>
      <c r="P59" s="360"/>
    </row>
    <row r="60" spans="1:16" x14ac:dyDescent="0.25">
      <c r="A60" s="35">
        <v>43625.26666666667</v>
      </c>
      <c r="B60" s="29">
        <v>149800</v>
      </c>
      <c r="C60" s="29">
        <v>115003</v>
      </c>
      <c r="D60" s="370">
        <f ca="1">IFERROR(IF(ISBLANK($A60),"-",SLOPE(INDIRECT("B" &amp; _xlfn.IFNA(MATCH($A60-$B$3,$A:$A,1),7)):B60,INDIRECT("A" &amp; _xlfn.IFNA(MATCH($A60-$B$3,$A:$A,1),7)):$A60)),"-")</f>
        <v>20206.904523993897</v>
      </c>
      <c r="E60" s="370">
        <f ca="1">IFERROR(IF(ISBLANK($A60),"-",SLOPE(INDIRECT("C" &amp; _xlfn.IFNA(MATCH($A60-$B$3,$A:$A,1),7)):C60,INDIRECT("A" &amp; _xlfn.IFNA(MATCH($A60-$B$3,$A:$A,1),7)):$A60)),"-")</f>
        <v>14897.048990368914</v>
      </c>
      <c r="F60" s="31">
        <f t="shared" si="0"/>
        <v>155138.88888890506</v>
      </c>
      <c r="G60" s="31">
        <f t="shared" si="1"/>
        <v>116354.16666667879</v>
      </c>
      <c r="H60" s="31">
        <f ca="1">IFERROR(IF(ISBLANK($A60),"-",_xlfn.FORECAST.LINEAR(RAID_TIME_END,INDIRECT("B" &amp; _xlfn.IFNA(MATCH($A60-$B$3,$A:$A,1),7)):B60,INDIRECT("A" &amp; _xlfn.IFNA(MATCH($A60-$B$3,$A:$A,1),7)):$A60)),"-")</f>
        <v>205884.25948345661</v>
      </c>
      <c r="I60" s="31">
        <f ca="1">IFERROR(IF(ISBLANK($A60),"-",_xlfn.FORECAST.LINEAR(RAID_TIME_END,INDIRECT("C" &amp; _xlfn.IFNA(MATCH($A60-$B$3,$A:$A,1),7)):C60,INDIRECT("A" &amp; _xlfn.IFNA(MATCH($A60-$B$3,$A:$A,1),7)):$A60)),"-")</f>
        <v>156447.26172626019</v>
      </c>
      <c r="J60" s="32">
        <f t="shared" si="8"/>
        <v>-5338.8888889050577</v>
      </c>
      <c r="K60" s="32">
        <f t="shared" si="9"/>
        <v>-1351.1666666787933</v>
      </c>
      <c r="L60" s="362">
        <f t="shared" si="10"/>
        <v>-3.4413607878345936E-2</v>
      </c>
      <c r="M60" s="362">
        <f t="shared" si="11"/>
        <v>-1.1612533572171051E-2</v>
      </c>
      <c r="N60" s="32">
        <f t="shared" ca="1" si="12"/>
        <v>5884.2594834566116</v>
      </c>
      <c r="O60" s="32">
        <f t="shared" ca="1" si="13"/>
        <v>6447.2617262601852</v>
      </c>
      <c r="P60" s="360"/>
    </row>
    <row r="61" spans="1:16" x14ac:dyDescent="0.25">
      <c r="A61" s="35">
        <v>43625.375694444447</v>
      </c>
      <c r="B61" s="29">
        <v>153334</v>
      </c>
      <c r="C61" s="29">
        <v>117539</v>
      </c>
      <c r="D61" s="370">
        <f ca="1">IFERROR(IF(ISBLANK($A61),"-",SLOPE(INDIRECT("B" &amp; _xlfn.IFNA(MATCH($A61-$B$3,$A:$A,1),7)):B61,INDIRECT("A" &amp; _xlfn.IFNA(MATCH($A61-$B$3,$A:$A,1),7)):$A61)),"-")</f>
        <v>20253.401532692995</v>
      </c>
      <c r="E61" s="370">
        <f ca="1">IFERROR(IF(ISBLANK($A61),"-",SLOPE(INDIRECT("C" &amp; _xlfn.IFNA(MATCH($A61-$B$3,$A:$A,1),7)):C61,INDIRECT("A" &amp; _xlfn.IFNA(MATCH($A61-$B$3,$A:$A,1),7)):$A61)),"-")</f>
        <v>14906.097022133335</v>
      </c>
      <c r="F61" s="31">
        <f t="shared" si="0"/>
        <v>156956.01851851583</v>
      </c>
      <c r="G61" s="31">
        <f t="shared" si="1"/>
        <v>117717.01388888685</v>
      </c>
      <c r="H61" s="31">
        <f ca="1">IFERROR(IF(ISBLANK($A61),"-",_xlfn.FORECAST.LINEAR(RAID_TIME_END,INDIRECT("B" &amp; _xlfn.IFNA(MATCH($A61-$B$3,$A:$A,1),7)):B61,INDIRECT("A" &amp; _xlfn.IFNA(MATCH($A61-$B$3,$A:$A,1),7)):$A61)),"-")</f>
        <v>206027.34857749939</v>
      </c>
      <c r="I61" s="31">
        <f ca="1">IFERROR(IF(ISBLANK($A61),"-",_xlfn.FORECAST.LINEAR(RAID_TIME_END,INDIRECT("C" &amp; _xlfn.IFNA(MATCH($A61-$B$3,$A:$A,1),7)):C61,INDIRECT("A" &amp; _xlfn.IFNA(MATCH($A61-$B$3,$A:$A,1),7)):$A61)),"-")</f>
        <v>156445.43415176868</v>
      </c>
      <c r="J61" s="32">
        <f t="shared" si="8"/>
        <v>-3622.0185185158334</v>
      </c>
      <c r="K61" s="32">
        <f t="shared" si="9"/>
        <v>-178.01388888685324</v>
      </c>
      <c r="L61" s="362">
        <f t="shared" si="10"/>
        <v>-2.3076646265007991E-2</v>
      </c>
      <c r="M61" s="362">
        <f t="shared" si="11"/>
        <v>-1.5122188628984476E-3</v>
      </c>
      <c r="N61" s="32">
        <f t="shared" ca="1" si="12"/>
        <v>6027.3485774993896</v>
      </c>
      <c r="O61" s="32">
        <f t="shared" ca="1" si="13"/>
        <v>6445.4341517686844</v>
      </c>
      <c r="P61" s="360"/>
    </row>
    <row r="62" spans="1:16" x14ac:dyDescent="0.25">
      <c r="A62" s="35">
        <v>43625.46597222222</v>
      </c>
      <c r="B62" s="29">
        <v>156491</v>
      </c>
      <c r="C62" s="29">
        <v>119760</v>
      </c>
      <c r="D62" s="370">
        <f ca="1">IFERROR(IF(ISBLANK($A62),"-",SLOPE(INDIRECT("B" &amp; _xlfn.IFNA(MATCH($A62-$B$3,$A:$A,1),7)):B62,INDIRECT("A" &amp; _xlfn.IFNA(MATCH($A62-$B$3,$A:$A,1),7)):$A62)),"-")</f>
        <v>20070.913557552321</v>
      </c>
      <c r="E62" s="370">
        <f ca="1">IFERROR(IF(ISBLANK($A62),"-",SLOPE(INDIRECT("C" &amp; _xlfn.IFNA(MATCH($A62-$B$3,$A:$A,1),7)):C62,INDIRECT("A" &amp; _xlfn.IFNA(MATCH($A62-$B$3,$A:$A,1),7)):$A62)),"-")</f>
        <v>14724.518427887362</v>
      </c>
      <c r="F62" s="31">
        <f t="shared" si="0"/>
        <v>158460.64814807809</v>
      </c>
      <c r="G62" s="31">
        <f t="shared" si="1"/>
        <v>118845.48611105856</v>
      </c>
      <c r="H62" s="31">
        <f ca="1">IFERROR(IF(ISBLANK($A62),"-",_xlfn.FORECAST.LINEAR(RAID_TIME_END,INDIRECT("B" &amp; _xlfn.IFNA(MATCH($A62-$B$3,$A:$A,1),7)):B62,INDIRECT("A" &amp; _xlfn.IFNA(MATCH($A62-$B$3,$A:$A,1),7)):$A62)),"-")</f>
        <v>205470.75173008442</v>
      </c>
      <c r="I62" s="31">
        <f ca="1">IFERROR(IF(ISBLANK($A62),"-",_xlfn.FORECAST.LINEAR(RAID_TIME_END,INDIRECT("C" &amp; _xlfn.IFNA(MATCH($A62-$B$3,$A:$A,1),7)):C62,INDIRECT("A" &amp; _xlfn.IFNA(MATCH($A62-$B$3,$A:$A,1),7)):$A62)),"-")</f>
        <v>155850.84193336964</v>
      </c>
      <c r="J62" s="32">
        <f t="shared" si="8"/>
        <v>-1969.6481480780931</v>
      </c>
      <c r="K62" s="32">
        <f t="shared" si="9"/>
        <v>914.51388894143747</v>
      </c>
      <c r="L62" s="362">
        <f t="shared" si="10"/>
        <v>-1.2429888247317396E-2</v>
      </c>
      <c r="M62" s="362">
        <f t="shared" si="11"/>
        <v>7.6949821054780642E-3</v>
      </c>
      <c r="N62" s="32">
        <f t="shared" ca="1" si="12"/>
        <v>5470.7517300844193</v>
      </c>
      <c r="O62" s="32">
        <f t="shared" ca="1" si="13"/>
        <v>5850.8419333696365</v>
      </c>
      <c r="P62" s="360"/>
    </row>
    <row r="63" spans="1:16" x14ac:dyDescent="0.25">
      <c r="A63" s="35">
        <v>43625.575694444444</v>
      </c>
      <c r="B63" s="29">
        <v>157790</v>
      </c>
      <c r="C63" s="29">
        <v>121284</v>
      </c>
      <c r="D63" s="370">
        <f ca="1">IFERROR(IF(ISBLANK($A63),"-",SLOPE(INDIRECT("B" &amp; _xlfn.IFNA(MATCH($A63-$B$3,$A:$A,1),7)):B63,INDIRECT("A" &amp; _xlfn.IFNA(MATCH($A63-$B$3,$A:$A,1),7)):$A63)),"-")</f>
        <v>20081.319504945801</v>
      </c>
      <c r="E63" s="370">
        <f ca="1">IFERROR(IF(ISBLANK($A63),"-",SLOPE(INDIRECT("C" &amp; _xlfn.IFNA(MATCH($A63-$B$3,$A:$A,1),7)):C63,INDIRECT("A" &amp; _xlfn.IFNA(MATCH($A63-$B$3,$A:$A,1),7)):$A63)),"-")</f>
        <v>14762.630340523765</v>
      </c>
      <c r="F63" s="31">
        <f t="shared" si="0"/>
        <v>160289.35185180066</v>
      </c>
      <c r="G63" s="31">
        <f t="shared" si="1"/>
        <v>120217.0138888505</v>
      </c>
      <c r="H63" s="31">
        <f ca="1">IFERROR(IF(ISBLANK($A63),"-",_xlfn.FORECAST.LINEAR(RAID_TIME_END,INDIRECT("B" &amp; _xlfn.IFNA(MATCH($A63-$B$3,$A:$A,1),7)):B63,INDIRECT("A" &amp; _xlfn.IFNA(MATCH($A63-$B$3,$A:$A,1),7)):$A63)),"-")</f>
        <v>205517.75261116028</v>
      </c>
      <c r="I63" s="31">
        <f ca="1">IFERROR(IF(ISBLANK($A63),"-",_xlfn.FORECAST.LINEAR(RAID_TIME_END,INDIRECT("C" &amp; _xlfn.IFNA(MATCH($A63-$B$3,$A:$A,1),7)):C63,INDIRECT("A" &amp; _xlfn.IFNA(MATCH($A63-$B$3,$A:$A,1),7)):$A63)),"-")</f>
        <v>156022.98324930668</v>
      </c>
      <c r="J63" s="32">
        <f t="shared" si="8"/>
        <v>-2499.3518518006604</v>
      </c>
      <c r="K63" s="32">
        <f t="shared" si="9"/>
        <v>1066.9861111494974</v>
      </c>
      <c r="L63" s="362">
        <f t="shared" ref="L63:L67" si="14">IFERROR(J63/F63,"-")</f>
        <v>-1.5592750378774353E-2</v>
      </c>
      <c r="M63" s="362">
        <f t="shared" ref="M63:M67" si="15">IFERROR(K63/G63,"-")</f>
        <v>8.8755000364258325E-3</v>
      </c>
      <c r="N63" s="32">
        <f t="shared" ref="N63:N67" ca="1" si="16">IFERROR(H63 - RAID_GOAL_EMBLEM,"-")</f>
        <v>5517.7526111602783</v>
      </c>
      <c r="O63" s="32">
        <f t="shared" ref="O63:O67" ca="1" si="17">IFERROR(I63 - RAID_GOAL_BLAZON,"-")</f>
        <v>6022.9832493066788</v>
      </c>
      <c r="P63" s="360"/>
    </row>
    <row r="64" spans="1:16" x14ac:dyDescent="0.25">
      <c r="A64" s="35">
        <v>43625.673611111109</v>
      </c>
      <c r="B64" s="29">
        <v>161078</v>
      </c>
      <c r="C64" s="29">
        <v>123539</v>
      </c>
      <c r="D64" s="370">
        <f ca="1">IFERROR(IF(ISBLANK($A64),"-",SLOPE(INDIRECT("B" &amp; _xlfn.IFNA(MATCH($A64-$B$3,$A:$A,1),7)):B64,INDIRECT("A" &amp; _xlfn.IFNA(MATCH($A64-$B$3,$A:$A,1),7)):$A64)),"-")</f>
        <v>20052.117491570873</v>
      </c>
      <c r="E64" s="370">
        <f ca="1">IFERROR(IF(ISBLANK($A64),"-",SLOPE(INDIRECT("C" &amp; _xlfn.IFNA(MATCH($A64-$B$3,$A:$A,1),7)):C64,INDIRECT("A" &amp; _xlfn.IFNA(MATCH($A64-$B$3,$A:$A,1),7)):$A64)),"-")</f>
        <v>14740.875116242256</v>
      </c>
      <c r="F64" s="31">
        <f t="shared" si="0"/>
        <v>161921.29629622892</v>
      </c>
      <c r="G64" s="31">
        <f t="shared" si="1"/>
        <v>121440.97222217168</v>
      </c>
      <c r="H64" s="31">
        <f ca="1">IFERROR(IF(ISBLANK($A64),"-",_xlfn.FORECAST.LINEAR(RAID_TIME_END,INDIRECT("B" &amp; _xlfn.IFNA(MATCH($A64-$B$3,$A:$A,1),7)):B64,INDIRECT("A" &amp; _xlfn.IFNA(MATCH($A64-$B$3,$A:$A,1),7)):$A64)),"-")</f>
        <v>205540.17548382282</v>
      </c>
      <c r="I64" s="31">
        <f ca="1">IFERROR(IF(ISBLANK($A64),"-",_xlfn.FORECAST.LINEAR(RAID_TIME_END,INDIRECT("C" &amp; _xlfn.IFNA(MATCH($A64-$B$3,$A:$A,1),7)):C64,INDIRECT("A" &amp; _xlfn.IFNA(MATCH($A64-$B$3,$A:$A,1),7)):$A64)),"-")</f>
        <v>156053.68685340881</v>
      </c>
      <c r="J64" s="32">
        <f t="shared" si="8"/>
        <v>-843.29629622891662</v>
      </c>
      <c r="K64" s="32">
        <f t="shared" si="9"/>
        <v>2098.0277778283198</v>
      </c>
      <c r="L64" s="362">
        <f t="shared" si="14"/>
        <v>-5.20806290165895E-3</v>
      </c>
      <c r="M64" s="362">
        <f t="shared" si="15"/>
        <v>1.7276111508643534E-2</v>
      </c>
      <c r="N64" s="32">
        <f t="shared" ca="1" si="16"/>
        <v>5540.1754838228226</v>
      </c>
      <c r="O64" s="32">
        <f t="shared" ca="1" si="17"/>
        <v>6053.6868534088135</v>
      </c>
      <c r="P64" s="360"/>
    </row>
    <row r="65" spans="1:16" x14ac:dyDescent="0.25">
      <c r="A65" s="35">
        <v>43625.754166666666</v>
      </c>
      <c r="B65" s="29">
        <v>164100</v>
      </c>
      <c r="C65" s="29">
        <v>125600</v>
      </c>
      <c r="D65" s="370">
        <f ca="1">IFERROR(IF(ISBLANK($A65),"-",SLOPE(INDIRECT("B" &amp; _xlfn.IFNA(MATCH($A65-$B$3,$A:$A,1),7)):B65,INDIRECT("A" &amp; _xlfn.IFNA(MATCH($A65-$B$3,$A:$A,1),7)):$A65)),"-")</f>
        <v>20233.182353329201</v>
      </c>
      <c r="E65" s="370">
        <f ca="1">IFERROR(IF(ISBLANK($A65),"-",SLOPE(INDIRECT("C" &amp; _xlfn.IFNA(MATCH($A65-$B$3,$A:$A,1),7)):C65,INDIRECT("A" &amp; _xlfn.IFNA(MATCH($A65-$B$3,$A:$A,1),7)):$A65)),"-")</f>
        <v>14874.647383807069</v>
      </c>
      <c r="F65" s="31">
        <f t="shared" si="0"/>
        <v>163263.8888888323</v>
      </c>
      <c r="G65" s="31">
        <f t="shared" si="1"/>
        <v>122447.91666662421</v>
      </c>
      <c r="H65" s="31">
        <f ca="1">IFERROR(IF(ISBLANK($A65),"-",_xlfn.FORECAST.LINEAR(RAID_TIME_END,INDIRECT("B" &amp; _xlfn.IFNA(MATCH($A65-$B$3,$A:$A,1),7)):B65,INDIRECT("A" &amp; _xlfn.IFNA(MATCH($A65-$B$3,$A:$A,1),7)):$A65)),"-")</f>
        <v>206329.00480628014</v>
      </c>
      <c r="I65" s="31">
        <f ca="1">IFERROR(IF(ISBLANK($A65),"-",_xlfn.FORECAST.LINEAR(RAID_TIME_END,INDIRECT("C" &amp; _xlfn.IFNA(MATCH($A65-$B$3,$A:$A,1),7)):C65,INDIRECT("A" &amp; _xlfn.IFNA(MATCH($A65-$B$3,$A:$A,1),7)):$A65)),"-")</f>
        <v>156636.48069953918</v>
      </c>
      <c r="J65" s="32">
        <f t="shared" si="8"/>
        <v>836.11111116770189</v>
      </c>
      <c r="K65" s="32">
        <f t="shared" si="9"/>
        <v>3152.083333375791</v>
      </c>
      <c r="L65" s="362">
        <f t="shared" si="14"/>
        <v>5.1212250109821692E-3</v>
      </c>
      <c r="M65" s="362">
        <f t="shared" si="15"/>
        <v>2.5742237346165958E-2</v>
      </c>
      <c r="N65" s="32">
        <f t="shared" ca="1" si="16"/>
        <v>6329.0048062801361</v>
      </c>
      <c r="O65" s="32">
        <f t="shared" ca="1" si="17"/>
        <v>6636.4806995391846</v>
      </c>
      <c r="P65" s="360"/>
    </row>
    <row r="66" spans="1:16" x14ac:dyDescent="0.25">
      <c r="A66" s="35">
        <v>43626.319444444445</v>
      </c>
      <c r="B66" s="29">
        <v>166666</v>
      </c>
      <c r="C66" s="29">
        <v>127407</v>
      </c>
      <c r="D66" s="370">
        <f ca="1">IFERROR(IF(ISBLANK($A66),"-",SLOPE(INDIRECT("B" &amp; _xlfn.IFNA(MATCH($A66-$B$3,$A:$A,1),7)):B66,INDIRECT("A" &amp; _xlfn.IFNA(MATCH($A66-$B$3,$A:$A,1),7)):$A66)),"-")</f>
        <v>19533.260665473688</v>
      </c>
      <c r="E66" s="370">
        <f ca="1">IFERROR(IF(ISBLANK($A66),"-",SLOPE(INDIRECT("C" &amp; _xlfn.IFNA(MATCH($A66-$B$3,$A:$A,1),7)):C66,INDIRECT("A" &amp; _xlfn.IFNA(MATCH($A66-$B$3,$A:$A,1),7)):$A66)),"-")</f>
        <v>14353.02732175408</v>
      </c>
      <c r="F66" s="31">
        <f t="shared" si="0"/>
        <v>172685.18518515825</v>
      </c>
      <c r="G66" s="31">
        <f t="shared" si="1"/>
        <v>129513.88888886868</v>
      </c>
      <c r="H66" s="31">
        <f ca="1">IFERROR(IF(ISBLANK($A66),"-",_xlfn.FORECAST.LINEAR(RAID_TIME_END,INDIRECT("B" &amp; _xlfn.IFNA(MATCH($A66-$B$3,$A:$A,1),7)):B66,INDIRECT("A" &amp; _xlfn.IFNA(MATCH($A66-$B$3,$A:$A,1),7)):$A66)),"-")</f>
        <v>203677.41189146042</v>
      </c>
      <c r="I66" s="31">
        <f ca="1">IFERROR(IF(ISBLANK($A66),"-",_xlfn.FORECAST.LINEAR(RAID_TIME_END,INDIRECT("C" &amp; _xlfn.IFNA(MATCH($A66-$B$3,$A:$A,1),7)):C66,INDIRECT("A" &amp; _xlfn.IFNA(MATCH($A66-$B$3,$A:$A,1),7)):$A66)),"-")</f>
        <v>154658.07608783245</v>
      </c>
      <c r="J66" s="32">
        <f t="shared" si="8"/>
        <v>-6019.1851851582469</v>
      </c>
      <c r="K66" s="32">
        <f t="shared" si="9"/>
        <v>-2106.8888888686779</v>
      </c>
      <c r="L66" s="362">
        <f t="shared" si="14"/>
        <v>-3.4856407506551855E-2</v>
      </c>
      <c r="M66" s="362">
        <f t="shared" si="15"/>
        <v>-1.6267667560168203E-2</v>
      </c>
      <c r="N66" s="32">
        <f t="shared" ca="1" si="16"/>
        <v>3677.4118914604187</v>
      </c>
      <c r="O66" s="32">
        <f t="shared" ca="1" si="17"/>
        <v>4658.0760878324509</v>
      </c>
      <c r="P66" s="360"/>
    </row>
    <row r="67" spans="1:16" x14ac:dyDescent="0.25">
      <c r="A67" s="35">
        <v>43626.42291666667</v>
      </c>
      <c r="B67" s="29">
        <v>170136</v>
      </c>
      <c r="C67" s="29">
        <v>128920</v>
      </c>
      <c r="D67" s="370">
        <f ca="1">IFERROR(IF(ISBLANK($A67),"-",SLOPE(INDIRECT("B" &amp; _xlfn.IFNA(MATCH($A67-$B$3,$A:$A,1),7)):B67,INDIRECT("A" &amp; _xlfn.IFNA(MATCH($A67-$B$3,$A:$A,1),7)):$A67)),"-")</f>
        <v>19148.790743804708</v>
      </c>
      <c r="E67" s="370">
        <f ca="1">IFERROR(IF(ISBLANK($A67),"-",SLOPE(INDIRECT("C" &amp; _xlfn.IFNA(MATCH($A67-$B$3,$A:$A,1),7)):C67,INDIRECT("A" &amp; _xlfn.IFNA(MATCH($A67-$B$3,$A:$A,1),7)):$A67)),"-")</f>
        <v>13961.64539744295</v>
      </c>
      <c r="F67" s="31">
        <f t="shared" si="0"/>
        <v>174409.7222222384</v>
      </c>
      <c r="G67" s="31">
        <f t="shared" si="1"/>
        <v>130807.29166667879</v>
      </c>
      <c r="H67" s="31">
        <f ca="1">IFERROR(IF(ISBLANK($A67),"-",_xlfn.FORECAST.LINEAR(RAID_TIME_END,INDIRECT("B" &amp; _xlfn.IFNA(MATCH($A67-$B$3,$A:$A,1),7)):B67,INDIRECT("A" &amp; _xlfn.IFNA(MATCH($A67-$B$3,$A:$A,1),7)):$A67)),"-")</f>
        <v>202309.27301108837</v>
      </c>
      <c r="I67" s="31">
        <f ca="1">IFERROR(IF(ISBLANK($A67),"-",_xlfn.FORECAST.LINEAR(RAID_TIME_END,INDIRECT("C" &amp; _xlfn.IFNA(MATCH($A67-$B$3,$A:$A,1),7)):C67,INDIRECT("A" &amp; _xlfn.IFNA(MATCH($A67-$B$3,$A:$A,1),7)):$A67)),"-")</f>
        <v>153256.01253807545</v>
      </c>
      <c r="J67" s="32">
        <f t="shared" si="8"/>
        <v>-4273.7222222384007</v>
      </c>
      <c r="K67" s="32">
        <f t="shared" si="9"/>
        <v>-1887.2916666787933</v>
      </c>
      <c r="L67" s="362">
        <f t="shared" si="14"/>
        <v>-2.450392195907914E-2</v>
      </c>
      <c r="M67" s="362">
        <f t="shared" si="15"/>
        <v>-1.4428031057228537E-2</v>
      </c>
      <c r="N67" s="32">
        <f t="shared" ca="1" si="16"/>
        <v>2309.2730110883713</v>
      </c>
      <c r="O67" s="32">
        <f t="shared" ca="1" si="17"/>
        <v>3256.0125380754471</v>
      </c>
      <c r="P67" s="360"/>
    </row>
    <row r="68" spans="1:16" x14ac:dyDescent="0.25">
      <c r="A68" s="35">
        <v>43626.762499999997</v>
      </c>
      <c r="B68" s="29">
        <v>178312</v>
      </c>
      <c r="C68" s="29">
        <v>136045</v>
      </c>
      <c r="D68" s="370">
        <f ca="1">IFERROR(IF(ISBLANK($A68),"-",SLOPE(INDIRECT("B" &amp; _xlfn.IFNA(MATCH($A68-$B$3,$A:$A,1),7)):B68,INDIRECT("A" &amp; _xlfn.IFNA(MATCH($A68-$B$3,$A:$A,1),7)):$A68)),"-")</f>
        <v>18472.284100181048</v>
      </c>
      <c r="E68" s="370">
        <f ca="1">IFERROR(IF(ISBLANK($A68),"-",SLOPE(INDIRECT("C" &amp; _xlfn.IFNA(MATCH($A68-$B$3,$A:$A,1),7)):C68,INDIRECT("A" &amp; _xlfn.IFNA(MATCH($A68-$B$3,$A:$A,1),7)):$A68)),"-")</f>
        <v>13478.422380726204</v>
      </c>
      <c r="F68" s="31">
        <f t="shared" si="0"/>
        <v>180069.44444435553</v>
      </c>
      <c r="G68" s="31">
        <f t="shared" si="1"/>
        <v>135052.08333326664</v>
      </c>
      <c r="H68" s="31">
        <f ca="1">IFERROR(IF(ISBLANK($A68),"-",_xlfn.FORECAST.LINEAR(RAID_TIME_END,INDIRECT("B" &amp; _xlfn.IFNA(MATCH($A68-$B$3,$A:$A,1),7)):B68,INDIRECT("A" &amp; _xlfn.IFNA(MATCH($A68-$B$3,$A:$A,1),7)):$A68)),"-")</f>
        <v>200557.59765028954</v>
      </c>
      <c r="I68" s="31">
        <f ca="1">IFERROR(IF(ISBLANK($A68),"-",_xlfn.FORECAST.LINEAR(RAID_TIME_END,INDIRECT("C" &amp; _xlfn.IFNA(MATCH($A68-$B$3,$A:$A,1),7)):C68,INDIRECT("A" &amp; _xlfn.IFNA(MATCH($A68-$B$3,$A:$A,1),7)):$A68)),"-")</f>
        <v>152033.3468310833</v>
      </c>
      <c r="J68" s="32">
        <f t="shared" ref="J68:J72" si="18">IFERROR(B68-F68,"-")</f>
        <v>-1757.4444443555258</v>
      </c>
      <c r="K68" s="32">
        <f t="shared" ref="K68:K72" si="19">IFERROR(C68-G68,"-")</f>
        <v>992.91666673336294</v>
      </c>
      <c r="L68" s="362">
        <f t="shared" ref="L68:L72" si="20">IFERROR(J68/F68,"-")</f>
        <v>-9.7598148857431805E-3</v>
      </c>
      <c r="M68" s="362">
        <f t="shared" ref="M68:M72" si="21">IFERROR(K68/G68,"-")</f>
        <v>7.352101813069797E-3</v>
      </c>
      <c r="N68" s="32">
        <f t="shared" ref="N68:N72" ca="1" si="22">IFERROR(H68 - RAID_GOAL_EMBLEM,"-")</f>
        <v>557.59765028953552</v>
      </c>
      <c r="O68" s="32">
        <f t="shared" ref="O68:O72" ca="1" si="23">IFERROR(I68 - RAID_GOAL_BLAZON,"-")</f>
        <v>2033.3468310832977</v>
      </c>
    </row>
    <row r="69" spans="1:16" x14ac:dyDescent="0.25">
      <c r="A69" s="35">
        <v>43626.822222222225</v>
      </c>
      <c r="B69" s="29">
        <v>179961</v>
      </c>
      <c r="C69" s="29">
        <v>137220</v>
      </c>
      <c r="D69" s="370">
        <f ca="1">IFERROR(IF(ISBLANK($A69),"-",SLOPE(INDIRECT("B" &amp; _xlfn.IFNA(MATCH($A69-$B$3,$A:$A,1),7)):B69,INDIRECT("A" &amp; _xlfn.IFNA(MATCH($A69-$B$3,$A:$A,1),7)):$A69)),"-")</f>
        <v>18437.664565573981</v>
      </c>
      <c r="E69" s="370">
        <f ca="1">IFERROR(IF(ISBLANK($A69),"-",SLOPE(INDIRECT("C" &amp; _xlfn.IFNA(MATCH($A69-$B$3,$A:$A,1),7)):C69,INDIRECT("A" &amp; _xlfn.IFNA(MATCH($A69-$B$3,$A:$A,1),7)):$A69)),"-")</f>
        <v>13466.093406437914</v>
      </c>
      <c r="F69" s="31">
        <f t="shared" si="0"/>
        <v>181064.81481481751</v>
      </c>
      <c r="G69" s="31">
        <f t="shared" si="1"/>
        <v>135798.61111111313</v>
      </c>
      <c r="H69" s="31">
        <f ca="1">IFERROR(IF(ISBLANK($A69),"-",_xlfn.FORECAST.LINEAR(RAID_TIME_END,INDIRECT("B" &amp; _xlfn.IFNA(MATCH($A69-$B$3,$A:$A,1),7)):B69,INDIRECT("A" &amp; _xlfn.IFNA(MATCH($A69-$B$3,$A:$A,1),7)):$A69)),"-")</f>
        <v>200523.16643035412</v>
      </c>
      <c r="I69" s="31">
        <f ca="1">IFERROR(IF(ISBLANK($A69),"-",_xlfn.FORECAST.LINEAR(RAID_TIME_END,INDIRECT("C" &amp; _xlfn.IFNA(MATCH($A69-$B$3,$A:$A,1),7)):C69,INDIRECT("A" &amp; _xlfn.IFNA(MATCH($A69-$B$3,$A:$A,1),7)):$A69)),"-")</f>
        <v>152059.78628087044</v>
      </c>
      <c r="J69" s="32">
        <f t="shared" si="18"/>
        <v>-1103.8148148175096</v>
      </c>
      <c r="K69" s="32">
        <f t="shared" si="19"/>
        <v>1421.3888888868678</v>
      </c>
      <c r="L69" s="362">
        <f t="shared" si="20"/>
        <v>-6.0962413705082721E-3</v>
      </c>
      <c r="M69" s="362">
        <f t="shared" si="21"/>
        <v>1.0466888263856094E-2</v>
      </c>
      <c r="N69" s="32">
        <f t="shared" ca="1" si="22"/>
        <v>523.16643035411835</v>
      </c>
      <c r="O69" s="32">
        <f t="shared" ca="1" si="23"/>
        <v>2059.7862808704376</v>
      </c>
    </row>
    <row r="70" spans="1:16" x14ac:dyDescent="0.25">
      <c r="A70" s="35">
        <v>43626.831944444442</v>
      </c>
      <c r="B70" s="29">
        <v>180382</v>
      </c>
      <c r="C70" s="29">
        <v>137479</v>
      </c>
      <c r="D70" s="370">
        <f ca="1">IFERROR(IF(ISBLANK($A70),"-",SLOPE(INDIRECT("B" &amp; _xlfn.IFNA(MATCH($A70-$B$3,$A:$A,1),7)):B70,INDIRECT("A" &amp; _xlfn.IFNA(MATCH($A70-$B$3,$A:$A,1),7)):$A70)),"-")</f>
        <v>18491.489605471539</v>
      </c>
      <c r="E70" s="370">
        <f ca="1">IFERROR(IF(ISBLANK($A70),"-",SLOPE(INDIRECT("C" &amp; _xlfn.IFNA(MATCH($A70-$B$3,$A:$A,1),7)):C70,INDIRECT("A" &amp; _xlfn.IFNA(MATCH($A70-$B$3,$A:$A,1),7)):$A70)),"-")</f>
        <v>13516.52291099037</v>
      </c>
      <c r="F70" s="31">
        <f t="shared" si="0"/>
        <v>181226.85185177639</v>
      </c>
      <c r="G70" s="31">
        <f t="shared" si="1"/>
        <v>135920.1388888323</v>
      </c>
      <c r="H70" s="31">
        <f ca="1">IFERROR(IF(ISBLANK($A70),"-",_xlfn.FORECAST.LINEAR(RAID_TIME_END,INDIRECT("B" &amp; _xlfn.IFNA(MATCH($A70-$B$3,$A:$A,1),7)):B70,INDIRECT("A" &amp; _xlfn.IFNA(MATCH($A70-$B$3,$A:$A,1),7)):$A70)),"-")</f>
        <v>200697.0107960701</v>
      </c>
      <c r="I70" s="31">
        <f ca="1">IFERROR(IF(ISBLANK($A70),"-",_xlfn.FORECAST.LINEAR(RAID_TIME_END,INDIRECT("C" &amp; _xlfn.IFNA(MATCH($A70-$B$3,$A:$A,1),7)):C70,INDIRECT("A" &amp; _xlfn.IFNA(MATCH($A70-$B$3,$A:$A,1),7)):$A70)),"-")</f>
        <v>152222.66373062134</v>
      </c>
      <c r="J70" s="32">
        <f t="shared" si="18"/>
        <v>-844.85185177638778</v>
      </c>
      <c r="K70" s="32">
        <f t="shared" si="19"/>
        <v>1558.8611111677019</v>
      </c>
      <c r="L70" s="362">
        <f t="shared" si="20"/>
        <v>-4.661846978765506E-3</v>
      </c>
      <c r="M70" s="362">
        <f t="shared" si="21"/>
        <v>1.1468948780597395E-2</v>
      </c>
      <c r="N70" s="32">
        <f t="shared" ca="1" si="22"/>
        <v>697.01079607009888</v>
      </c>
      <c r="O70" s="32">
        <f t="shared" ca="1" si="23"/>
        <v>2222.6637306213379</v>
      </c>
    </row>
    <row r="71" spans="1:16" x14ac:dyDescent="0.25">
      <c r="A71" s="35">
        <v>43627.319444444445</v>
      </c>
      <c r="B71" s="29">
        <v>184830</v>
      </c>
      <c r="C71" s="29">
        <v>140852</v>
      </c>
      <c r="D71" s="370">
        <f ca="1">IFERROR(IF(ISBLANK($A71),"-",SLOPE(INDIRECT("B" &amp; _xlfn.IFNA(MATCH($A71-$B$3,$A:$A,1),7)):B71,INDIRECT("A" &amp; _xlfn.IFNA(MATCH($A71-$B$3,$A:$A,1),7)):$A71)),"-")</f>
        <v>18132.005847256896</v>
      </c>
      <c r="E71" s="370">
        <f ca="1">IFERROR(IF(ISBLANK($A71),"-",SLOPE(INDIRECT("C" &amp; _xlfn.IFNA(MATCH($A71-$B$3,$A:$A,1),7)):C71,INDIRECT("A" &amp; _xlfn.IFNA(MATCH($A71-$B$3,$A:$A,1),7)):$A71)),"-")</f>
        <v>13266.247990540538</v>
      </c>
      <c r="F71" s="31">
        <f t="shared" ref="F71:F77" si="24">IF($A71&gt;RAID_TIME_START,$L$2*($A71-RAID_TIME_START)/$F$2,"-")</f>
        <v>189351.8518518249</v>
      </c>
      <c r="G71" s="31">
        <f t="shared" ref="G71:G77" si="25">IF($A71&gt;RAID_TIME_START,$L$3*($A71-RAID_TIME_START)/$F$2,"-")</f>
        <v>142013.88888886868</v>
      </c>
      <c r="H71" s="31">
        <f ca="1">IFERROR(IF(ISBLANK($A71),"-",_xlfn.FORECAST.LINEAR(RAID_TIME_END,INDIRECT("B" &amp; _xlfn.IFNA(MATCH($A71-$B$3,$A:$A,1),7)):B71,INDIRECT("A" &amp; _xlfn.IFNA(MATCH($A71-$B$3,$A:$A,1),7)):$A71)),"-")</f>
        <v>199586.53194403648</v>
      </c>
      <c r="I71" s="31">
        <f ca="1">IFERROR(IF(ISBLANK($A71),"-",_xlfn.FORECAST.LINEAR(RAID_TIME_END,INDIRECT("C" &amp; _xlfn.IFNA(MATCH($A71-$B$3,$A:$A,1),7)):C71,INDIRECT("A" &amp; _xlfn.IFNA(MATCH($A71-$B$3,$A:$A,1),7)):$A71)),"-")</f>
        <v>151458.49633836746</v>
      </c>
      <c r="J71" s="32">
        <f t="shared" si="18"/>
        <v>-4521.8518518249039</v>
      </c>
      <c r="K71" s="32">
        <f t="shared" si="19"/>
        <v>-1161.8888888686779</v>
      </c>
      <c r="L71" s="362">
        <f t="shared" si="20"/>
        <v>-2.38806845964381E-2</v>
      </c>
      <c r="M71" s="362">
        <f t="shared" si="21"/>
        <v>-8.1815158922793861E-3</v>
      </c>
      <c r="N71" s="32">
        <f t="shared" ca="1" si="22"/>
        <v>-413.46805596351624</v>
      </c>
      <c r="O71" s="32">
        <f t="shared" ca="1" si="23"/>
        <v>1458.4963383674622</v>
      </c>
    </row>
    <row r="72" spans="1:16" x14ac:dyDescent="0.25">
      <c r="A72" s="35">
        <v>43627.425000000003</v>
      </c>
      <c r="B72" s="29">
        <v>188042</v>
      </c>
      <c r="C72" s="29">
        <v>143354</v>
      </c>
      <c r="D72" s="370">
        <f ca="1">IFERROR(IF(ISBLANK($A72),"-",SLOPE(INDIRECT("B" &amp; _xlfn.IFNA(MATCH($A72-$B$3,$A:$A,1),7)):B72,INDIRECT("A" &amp; _xlfn.IFNA(MATCH($A72-$B$3,$A:$A,1),7)):$A72)),"-")</f>
        <v>17769.243638982869</v>
      </c>
      <c r="E72" s="370">
        <f ca="1">IFERROR(IF(ISBLANK($A72),"-",SLOPE(INDIRECT("C" &amp; _xlfn.IFNA(MATCH($A72-$B$3,$A:$A,1),7)):C72,INDIRECT("A" &amp; _xlfn.IFNA(MATCH($A72-$B$3,$A:$A,1),7)):$A72)),"-")</f>
        <v>13046.827670897412</v>
      </c>
      <c r="F72" s="31">
        <f t="shared" si="24"/>
        <v>191111.11111111919</v>
      </c>
      <c r="G72" s="31">
        <f t="shared" si="25"/>
        <v>143333.3333333394</v>
      </c>
      <c r="H72" s="31">
        <f ca="1">IFERROR(IF(ISBLANK($A72),"-",_xlfn.FORECAST.LINEAR(RAID_TIME_END,INDIRECT("B" &amp; _xlfn.IFNA(MATCH($A72-$B$3,$A:$A,1),7)):B72,INDIRECT("A" &amp; _xlfn.IFNA(MATCH($A72-$B$3,$A:$A,1),7)):$A72)),"-")</f>
        <v>198797.91792488098</v>
      </c>
      <c r="I72" s="31">
        <f ca="1">IFERROR(IF(ISBLANK($A72),"-",_xlfn.FORECAST.LINEAR(RAID_TIME_END,INDIRECT("C" &amp; _xlfn.IFNA(MATCH($A72-$B$3,$A:$A,1),7)):C72,INDIRECT("A" &amp; _xlfn.IFNA(MATCH($A72-$B$3,$A:$A,1),7)):$A72)),"-")</f>
        <v>150997.17731046677</v>
      </c>
      <c r="J72" s="32">
        <f t="shared" si="18"/>
        <v>-3069.1111111191858</v>
      </c>
      <c r="K72" s="32">
        <f t="shared" si="19"/>
        <v>20.666666660603369</v>
      </c>
      <c r="L72" s="362">
        <f t="shared" si="20"/>
        <v>-1.6059302325622967E-2</v>
      </c>
      <c r="M72" s="362">
        <f t="shared" si="21"/>
        <v>1.4418604646931972E-4</v>
      </c>
      <c r="N72" s="32">
        <f t="shared" ca="1" si="22"/>
        <v>-1202.0820751190186</v>
      </c>
      <c r="O72" s="32">
        <f t="shared" ca="1" si="23"/>
        <v>997.17731046676636</v>
      </c>
    </row>
    <row r="73" spans="1:16" x14ac:dyDescent="0.25">
      <c r="A73" s="35">
        <v>43627.511111111111</v>
      </c>
      <c r="B73" s="29">
        <v>190568</v>
      </c>
      <c r="C73" s="29">
        <v>145048</v>
      </c>
      <c r="D73" s="370">
        <f ca="1">IFERROR(IF(ISBLANK($A73),"-",SLOPE(INDIRECT("B" &amp; _xlfn.IFNA(MATCH($A73-$B$3,$A:$A,1),7)):B73,INDIRECT("A" &amp; _xlfn.IFNA(MATCH($A73-$B$3,$A:$A,1),7)):$A73)),"-")</f>
        <v>17441.474795132119</v>
      </c>
      <c r="E73" s="370">
        <f ca="1">IFERROR(IF(ISBLANK($A73),"-",SLOPE(INDIRECT("C" &amp; _xlfn.IFNA(MATCH($A73-$B$3,$A:$A,1),7)):C73,INDIRECT("A" &amp; _xlfn.IFNA(MATCH($A73-$B$3,$A:$A,1),7)):$A73)),"-")</f>
        <v>12835.242932198684</v>
      </c>
      <c r="F73" s="31">
        <f t="shared" si="24"/>
        <v>192546.29629625319</v>
      </c>
      <c r="G73" s="31">
        <f t="shared" si="25"/>
        <v>144409.72222218988</v>
      </c>
      <c r="H73" s="31">
        <f ca="1">IFERROR(IF(ISBLANK($A73),"-",_xlfn.FORECAST.LINEAR(RAID_TIME_END,INDIRECT("B" &amp; _xlfn.IFNA(MATCH($A73-$B$3,$A:$A,1),7)):B73,INDIRECT("A" &amp; _xlfn.IFNA(MATCH($A73-$B$3,$A:$A,1),7)):$A73)),"-")</f>
        <v>198301.22140681744</v>
      </c>
      <c r="I73" s="31">
        <f ca="1">IFERROR(IF(ISBLANK($A73),"-",_xlfn.FORECAST.LINEAR(RAID_TIME_END,INDIRECT("C" &amp; _xlfn.IFNA(MATCH($A73-$B$3,$A:$A,1),7)):C73,INDIRECT("A" &amp; _xlfn.IFNA(MATCH($A73-$B$3,$A:$A,1),7)):$A73)),"-")</f>
        <v>150684.00657510757</v>
      </c>
      <c r="J73" s="32">
        <f t="shared" ref="J73:J77" si="26">IFERROR(B73-F73,"-")</f>
        <v>-1978.2962962531892</v>
      </c>
      <c r="K73" s="32">
        <f t="shared" ref="K73:K77" si="27">IFERROR(C73-G73,"-")</f>
        <v>638.27777781011537</v>
      </c>
      <c r="L73" s="362">
        <f t="shared" ref="L73:L77" si="28">IFERROR(J73/F73,"-")</f>
        <v>-1.0274392882682965E-2</v>
      </c>
      <c r="M73" s="362">
        <f t="shared" ref="M73:M77" si="29">IFERROR(K73/G73,"-")</f>
        <v>4.4199086321075835E-3</v>
      </c>
      <c r="N73" s="32">
        <f t="shared" ref="N73:N77" ca="1" si="30">IFERROR(H73 - RAID_GOAL_EMBLEM,"-")</f>
        <v>-1698.7785931825638</v>
      </c>
      <c r="O73" s="32">
        <f t="shared" ref="O73:O77" ca="1" si="31">IFERROR(I73 - RAID_GOAL_BLAZON,"-")</f>
        <v>684.00657510757446</v>
      </c>
    </row>
    <row r="74" spans="1:16" x14ac:dyDescent="0.25">
      <c r="A74" s="35">
        <v>43627.714583333334</v>
      </c>
      <c r="B74" s="29">
        <v>197750</v>
      </c>
      <c r="C74" s="29">
        <v>150000</v>
      </c>
      <c r="D74" s="370">
        <f ca="1">IFERROR(IF(ISBLANK($A74),"-",SLOPE(INDIRECT("B" &amp; _xlfn.IFNA(MATCH($A74-$B$3,$A:$A,1),7)):B74,INDIRECT("A" &amp; _xlfn.IFNA(MATCH($A74-$B$3,$A:$A,1),7)):$A74)),"-")</f>
        <v>17665.412300147229</v>
      </c>
      <c r="E74" s="370">
        <f ca="1">IFERROR(IF(ISBLANK($A74),"-",SLOPE(INDIRECT("C" &amp; _xlfn.IFNA(MATCH($A74-$B$3,$A:$A,1),7)):C74,INDIRECT("A" &amp; _xlfn.IFNA(MATCH($A74-$B$3,$A:$A,1),7)):$A74)),"-")</f>
        <v>12931.054397275468</v>
      </c>
      <c r="F74" s="31">
        <f t="shared" si="24"/>
        <v>195937.49999997576</v>
      </c>
      <c r="G74" s="31">
        <f t="shared" si="25"/>
        <v>146953.12499998181</v>
      </c>
      <c r="H74" s="31">
        <f ca="1">IFERROR(IF(ISBLANK($A74),"-",_xlfn.FORECAST.LINEAR(RAID_TIME_END,INDIRECT("B" &amp; _xlfn.IFNA(MATCH($A74-$B$3,$A:$A,1),7)):B74,INDIRECT("A" &amp; _xlfn.IFNA(MATCH($A74-$B$3,$A:$A,1),7)):$A74)),"-")</f>
        <v>198972.4827529192</v>
      </c>
      <c r="I74" s="31">
        <f ca="1">IFERROR(IF(ISBLANK($A74),"-",_xlfn.FORECAST.LINEAR(RAID_TIME_END,INDIRECT("C" &amp; _xlfn.IFNA(MATCH($A74-$B$3,$A:$A,1),7)):C74,INDIRECT("A" &amp; _xlfn.IFNA(MATCH($A74-$B$3,$A:$A,1),7)):$A74)),"-")</f>
        <v>151064.26186692715</v>
      </c>
      <c r="J74" s="32">
        <f t="shared" si="26"/>
        <v>1812.5000000242435</v>
      </c>
      <c r="K74" s="32">
        <f t="shared" si="27"/>
        <v>3046.8750000181899</v>
      </c>
      <c r="L74" s="362">
        <f t="shared" si="28"/>
        <v>9.25039872420781E-3</v>
      </c>
      <c r="M74" s="362">
        <f t="shared" si="29"/>
        <v>2.0733652312726027E-2</v>
      </c>
      <c r="N74" s="32">
        <f t="shared" ca="1" si="30"/>
        <v>-1027.5172470808029</v>
      </c>
      <c r="O74" s="32">
        <f t="shared" ca="1" si="31"/>
        <v>1064.2618669271469</v>
      </c>
    </row>
    <row r="75" spans="1:16" x14ac:dyDescent="0.25">
      <c r="B75" s="29"/>
      <c r="D75" s="370" t="str">
        <f ca="1">IFERROR(IF(ISBLANK($A75),"-",SLOPE(INDIRECT("B" &amp; _xlfn.IFNA(MATCH($A75-$B$3,$A:$A,1),7)):B75,INDIRECT("A" &amp; _xlfn.IFNA(MATCH($A75-$B$3,$A:$A,1),7)):$A75)),"-")</f>
        <v>-</v>
      </c>
      <c r="E75" s="370" t="str">
        <f ca="1">IFERROR(IF(ISBLANK($A75),"-",SLOPE(INDIRECT("C" &amp; _xlfn.IFNA(MATCH($A75-$B$3,$A:$A,1),7)):C75,INDIRECT("A" &amp; _xlfn.IFNA(MATCH($A75-$B$3,$A:$A,1),7)):$A75)),"-")</f>
        <v>-</v>
      </c>
      <c r="F75" s="31" t="str">
        <f t="shared" si="24"/>
        <v>-</v>
      </c>
      <c r="G75" s="31" t="str">
        <f t="shared" si="25"/>
        <v>-</v>
      </c>
      <c r="H75" s="31" t="str">
        <f ca="1">IFERROR(IF(ISBLANK($A75),"-",_xlfn.FORECAST.LINEAR(RAID_TIME_END,INDIRECT("B" &amp; _xlfn.IFNA(MATCH($A75-$B$3,$A:$A,1),7)):B75,INDIRECT("A" &amp; _xlfn.IFNA(MATCH($A75-$B$3,$A:$A,1),7)):$A75)),"-")</f>
        <v>-</v>
      </c>
      <c r="I75" s="31" t="str">
        <f ca="1">IFERROR(IF(ISBLANK($A75),"-",_xlfn.FORECAST.LINEAR(RAID_TIME_END,INDIRECT("C" &amp; _xlfn.IFNA(MATCH($A75-$B$3,$A:$A,1),7)):C75,INDIRECT("A" &amp; _xlfn.IFNA(MATCH($A75-$B$3,$A:$A,1),7)):$A75)),"-")</f>
        <v>-</v>
      </c>
      <c r="J75" s="32" t="str">
        <f t="shared" si="26"/>
        <v>-</v>
      </c>
      <c r="K75" s="32" t="str">
        <f t="shared" si="27"/>
        <v>-</v>
      </c>
      <c r="L75" s="362" t="str">
        <f t="shared" si="28"/>
        <v>-</v>
      </c>
      <c r="M75" s="362" t="str">
        <f t="shared" si="29"/>
        <v>-</v>
      </c>
      <c r="N75" s="32" t="str">
        <f t="shared" ca="1" si="30"/>
        <v>-</v>
      </c>
      <c r="O75" s="32" t="str">
        <f t="shared" ca="1" si="31"/>
        <v>-</v>
      </c>
    </row>
    <row r="76" spans="1:16" x14ac:dyDescent="0.25">
      <c r="B76" s="29"/>
      <c r="D76" s="370" t="str">
        <f ca="1">IFERROR(IF(ISBLANK($A76),"-",SLOPE(INDIRECT("B" &amp; _xlfn.IFNA(MATCH($A76-$B$3,$A:$A,1),7)):B76,INDIRECT("A" &amp; _xlfn.IFNA(MATCH($A76-$B$3,$A:$A,1),7)):$A76)),"-")</f>
        <v>-</v>
      </c>
      <c r="E76" s="370" t="str">
        <f ca="1">IFERROR(IF(ISBLANK($A76),"-",SLOPE(INDIRECT("C" &amp; _xlfn.IFNA(MATCH($A76-$B$3,$A:$A,1),7)):C76,INDIRECT("A" &amp; _xlfn.IFNA(MATCH($A76-$B$3,$A:$A,1),7)):$A76)),"-")</f>
        <v>-</v>
      </c>
      <c r="F76" s="31" t="str">
        <f t="shared" si="24"/>
        <v>-</v>
      </c>
      <c r="G76" s="31" t="str">
        <f t="shared" si="25"/>
        <v>-</v>
      </c>
      <c r="H76" s="31" t="str">
        <f ca="1">IFERROR(IF(ISBLANK($A76),"-",_xlfn.FORECAST.LINEAR(RAID_TIME_END,INDIRECT("B" &amp; _xlfn.IFNA(MATCH($A76-$B$3,$A:$A,1),7)):B76,INDIRECT("A" &amp; _xlfn.IFNA(MATCH($A76-$B$3,$A:$A,1),7)):$A76)),"-")</f>
        <v>-</v>
      </c>
      <c r="I76" s="31" t="str">
        <f ca="1">IFERROR(IF(ISBLANK($A76),"-",_xlfn.FORECAST.LINEAR(RAID_TIME_END,INDIRECT("C" &amp; _xlfn.IFNA(MATCH($A76-$B$3,$A:$A,1),7)):C76,INDIRECT("A" &amp; _xlfn.IFNA(MATCH($A76-$B$3,$A:$A,1),7)):$A76)),"-")</f>
        <v>-</v>
      </c>
      <c r="J76" s="32" t="str">
        <f t="shared" si="26"/>
        <v>-</v>
      </c>
      <c r="K76" s="32" t="str">
        <f t="shared" si="27"/>
        <v>-</v>
      </c>
      <c r="L76" s="362" t="str">
        <f t="shared" si="28"/>
        <v>-</v>
      </c>
      <c r="M76" s="362" t="str">
        <f t="shared" si="29"/>
        <v>-</v>
      </c>
      <c r="N76" s="32" t="str">
        <f t="shared" ca="1" si="30"/>
        <v>-</v>
      </c>
      <c r="O76" s="32" t="str">
        <f t="shared" ca="1" si="31"/>
        <v>-</v>
      </c>
    </row>
    <row r="77" spans="1:16" x14ac:dyDescent="0.25">
      <c r="B77" s="29"/>
      <c r="D77" s="370" t="str">
        <f ca="1">IFERROR(IF(ISBLANK($A77),"-",SLOPE(INDIRECT("B" &amp; _xlfn.IFNA(MATCH($A77-$B$3,$A:$A,1),7)):B77,INDIRECT("A" &amp; _xlfn.IFNA(MATCH($A77-$B$3,$A:$A,1),7)):$A77)),"-")</f>
        <v>-</v>
      </c>
      <c r="E77" s="370" t="str">
        <f ca="1">IFERROR(IF(ISBLANK($A77),"-",SLOPE(INDIRECT("C" &amp; _xlfn.IFNA(MATCH($A77-$B$3,$A:$A,1),7)):C77,INDIRECT("A" &amp; _xlfn.IFNA(MATCH($A77-$B$3,$A:$A,1),7)):$A77)),"-")</f>
        <v>-</v>
      </c>
      <c r="F77" s="31" t="str">
        <f t="shared" si="24"/>
        <v>-</v>
      </c>
      <c r="G77" s="31" t="str">
        <f t="shared" si="25"/>
        <v>-</v>
      </c>
      <c r="H77" s="31" t="str">
        <f ca="1">IFERROR(IF(ISBLANK($A77),"-",_xlfn.FORECAST.LINEAR(RAID_TIME_END,INDIRECT("B" &amp; _xlfn.IFNA(MATCH($A77-$B$3,$A:$A,1),7)):B77,INDIRECT("A" &amp; _xlfn.IFNA(MATCH($A77-$B$3,$A:$A,1),7)):$A77)),"-")</f>
        <v>-</v>
      </c>
      <c r="I77" s="31" t="str">
        <f ca="1">IFERROR(IF(ISBLANK($A77),"-",_xlfn.FORECAST.LINEAR(RAID_TIME_END,INDIRECT("C" &amp; _xlfn.IFNA(MATCH($A77-$B$3,$A:$A,1),7)):C77,INDIRECT("A" &amp; _xlfn.IFNA(MATCH($A77-$B$3,$A:$A,1),7)):$A77)),"-")</f>
        <v>-</v>
      </c>
      <c r="J77" s="32" t="str">
        <f t="shared" si="26"/>
        <v>-</v>
      </c>
      <c r="K77" s="32" t="str">
        <f t="shared" si="27"/>
        <v>-</v>
      </c>
      <c r="L77" s="362" t="str">
        <f t="shared" si="28"/>
        <v>-</v>
      </c>
      <c r="M77" s="362" t="str">
        <f t="shared" si="29"/>
        <v>-</v>
      </c>
      <c r="N77" s="32" t="str">
        <f t="shared" ca="1" si="30"/>
        <v>-</v>
      </c>
      <c r="O77" s="32" t="str">
        <f t="shared" ca="1" si="31"/>
        <v>-</v>
      </c>
    </row>
    <row r="78" spans="1:16" x14ac:dyDescent="0.25">
      <c r="B78" s="29"/>
      <c r="E78" s="31"/>
      <c r="F78" s="31"/>
    </row>
    <row r="79" spans="1:16" x14ac:dyDescent="0.25">
      <c r="B79" s="29"/>
      <c r="E79" s="31"/>
      <c r="F79" s="31"/>
    </row>
    <row r="80" spans="1:16" x14ac:dyDescent="0.25">
      <c r="B80" s="29"/>
      <c r="E80" s="31"/>
      <c r="F80" s="31"/>
    </row>
    <row r="81" spans="2:6" x14ac:dyDescent="0.25">
      <c r="B81" s="29"/>
      <c r="E81" s="31"/>
      <c r="F81" s="31"/>
    </row>
    <row r="82" spans="2:6" x14ac:dyDescent="0.25">
      <c r="E82" s="31"/>
      <c r="F82" s="31"/>
    </row>
    <row r="83" spans="2:6" x14ac:dyDescent="0.25">
      <c r="E83" s="31"/>
      <c r="F83" s="31"/>
    </row>
    <row r="84" spans="2:6" x14ac:dyDescent="0.25">
      <c r="E84" s="31"/>
      <c r="F84" s="31"/>
    </row>
    <row r="85" spans="2:6" x14ac:dyDescent="0.25">
      <c r="E85" s="31"/>
      <c r="F85" s="31"/>
    </row>
    <row r="86" spans="2:6" x14ac:dyDescent="0.25">
      <c r="E86" s="31"/>
      <c r="F86" s="31"/>
    </row>
    <row r="87" spans="2:6" x14ac:dyDescent="0.25">
      <c r="E87" s="31"/>
      <c r="F87" s="31"/>
    </row>
    <row r="88" spans="2:6" x14ac:dyDescent="0.25">
      <c r="E88" s="31"/>
      <c r="F88" s="31"/>
    </row>
    <row r="89" spans="2:6" x14ac:dyDescent="0.25">
      <c r="E89" s="31"/>
      <c r="F89" s="31"/>
    </row>
    <row r="90" spans="2:6" x14ac:dyDescent="0.25">
      <c r="E90" s="31"/>
      <c r="F90" s="31"/>
    </row>
    <row r="91" spans="2:6" x14ac:dyDescent="0.25">
      <c r="E91" s="31"/>
      <c r="F91" s="31"/>
    </row>
    <row r="92" spans="2:6" x14ac:dyDescent="0.25">
      <c r="E92" s="31"/>
      <c r="F92" s="31"/>
    </row>
    <row r="93" spans="2:6" x14ac:dyDescent="0.25">
      <c r="E93" s="31"/>
      <c r="F93" s="31"/>
    </row>
    <row r="94" spans="2:6" x14ac:dyDescent="0.25">
      <c r="E94" s="31"/>
      <c r="F94" s="31"/>
    </row>
    <row r="95" spans="2:6" x14ac:dyDescent="0.25">
      <c r="E95" s="31"/>
      <c r="F95" s="31"/>
    </row>
    <row r="96" spans="2:6" x14ac:dyDescent="0.25">
      <c r="E96" s="31"/>
      <c r="F96" s="31"/>
    </row>
    <row r="97" spans="5:6" x14ac:dyDescent="0.25">
      <c r="E97" s="31"/>
      <c r="F97" s="31"/>
    </row>
  </sheetData>
  <mergeCells count="11">
    <mergeCell ref="G1:J1"/>
    <mergeCell ref="G2:J2"/>
    <mergeCell ref="B1:C1"/>
    <mergeCell ref="B2:C2"/>
    <mergeCell ref="N5:O5"/>
    <mergeCell ref="B5:C5"/>
    <mergeCell ref="F5:G5"/>
    <mergeCell ref="H5:I5"/>
    <mergeCell ref="J5:K5"/>
    <mergeCell ref="L5:M5"/>
    <mergeCell ref="D5:E5"/>
  </mergeCells>
  <conditionalFormatting sqref="G2">
    <cfRule type="dataBar" priority="45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{2425031F-28FB-4E22-B3EB-E2C52A7C4679}</x14:id>
        </ext>
      </extLst>
    </cfRule>
  </conditionalFormatting>
  <conditionalFormatting sqref="B7:B12 B14:B22 B24:B33 C82:C897 B35:B52">
    <cfRule type="dataBar" priority="42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{584D91C6-5D09-48FE-A68E-B0B8C2484DD5}</x14:id>
        </ext>
      </extLst>
    </cfRule>
  </conditionalFormatting>
  <conditionalFormatting sqref="C7:C12 C14:C22 C24:C33 D78:D897 C35:C52">
    <cfRule type="dataBar" priority="41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{F1597469-9648-4D00-8A3F-330F9AE59005}</x14:id>
        </ext>
      </extLst>
    </cfRule>
  </conditionalFormatting>
  <conditionalFormatting sqref="B34">
    <cfRule type="dataBar" priority="19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{8F67A91E-9B99-4D5F-852C-59F23AD9D9E0}</x14:id>
        </ext>
      </extLst>
    </cfRule>
  </conditionalFormatting>
  <conditionalFormatting sqref="C34">
    <cfRule type="dataBar" priority="18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{6C2BEB8A-C5F5-4133-B18A-C655CC74E680}</x14:id>
        </ext>
      </extLst>
    </cfRule>
  </conditionalFormatting>
  <conditionalFormatting sqref="B13">
    <cfRule type="dataBar" priority="8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{E501C45A-F490-42BB-9C61-5986B31EAA13}</x14:id>
        </ext>
      </extLst>
    </cfRule>
  </conditionalFormatting>
  <conditionalFormatting sqref="C13">
    <cfRule type="dataBar" priority="7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{DAD9BC22-61B1-4856-BEDC-08BBB29AA591}</x14:id>
        </ext>
      </extLst>
    </cfRule>
  </conditionalFormatting>
  <conditionalFormatting sqref="B23">
    <cfRule type="dataBar" priority="6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{ADD64A2B-2BAE-4F82-AD8B-9131EBCD7D13}</x14:id>
        </ext>
      </extLst>
    </cfRule>
  </conditionalFormatting>
  <conditionalFormatting sqref="C23">
    <cfRule type="dataBar" priority="5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{628ED667-3C02-4F9C-BBAB-8A7C28EE3E48}</x14:id>
        </ext>
      </extLst>
    </cfRule>
  </conditionalFormatting>
  <conditionalFormatting sqref="B53:B62 B64:B81">
    <cfRule type="dataBar" priority="4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{384577A4-B892-4440-9B3E-653B54CD2433}</x14:id>
        </ext>
      </extLst>
    </cfRule>
  </conditionalFormatting>
  <conditionalFormatting sqref="C53:C62 C64:C81">
    <cfRule type="dataBar" priority="3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{28A9104F-227A-4E16-8751-FA4843C609B1}</x14:id>
        </ext>
      </extLst>
    </cfRule>
  </conditionalFormatting>
  <conditionalFormatting sqref="B63">
    <cfRule type="dataBar" priority="2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{20523722-BBD2-47E9-B6F1-A6075FF2993F}</x14:id>
        </ext>
      </extLst>
    </cfRule>
  </conditionalFormatting>
  <conditionalFormatting sqref="C63">
    <cfRule type="dataBar" priority="1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{22BC824C-E496-4240-AA17-5AB13B1A2C9E}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25031F-28FB-4E22-B3EB-E2C52A7C467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dataBar" id="{584D91C6-5D09-48FE-A68E-B0B8C2484DD5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B7:B12 B14:B22 B24:B33 C82:C897 B35:B52</xm:sqref>
        </x14:conditionalFormatting>
        <x14:conditionalFormatting xmlns:xm="http://schemas.microsoft.com/office/excel/2006/main">
          <x14:cfRule type="dataBar" id="{F1597469-9648-4D00-8A3F-330F9AE59005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C7:C12 C14:C22 C24:C33 D78:D897 C35:C52</xm:sqref>
        </x14:conditionalFormatting>
        <x14:conditionalFormatting xmlns:xm="http://schemas.microsoft.com/office/excel/2006/main">
          <x14:cfRule type="dataBar" id="{8F67A91E-9B99-4D5F-852C-59F23AD9D9E0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6C2BEB8A-C5F5-4133-B18A-C655CC74E680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C34</xm:sqref>
        </x14:conditionalFormatting>
        <x14:conditionalFormatting xmlns:xm="http://schemas.microsoft.com/office/excel/2006/main">
          <x14:cfRule type="dataBar" id="{E501C45A-F490-42BB-9C61-5986B31EAA1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DAD9BC22-61B1-4856-BEDC-08BBB29AA591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C13</xm:sqref>
        </x14:conditionalFormatting>
        <x14:conditionalFormatting xmlns:xm="http://schemas.microsoft.com/office/excel/2006/main">
          <x14:cfRule type="dataBar" id="{ADD64A2B-2BAE-4F82-AD8B-9131EBCD7D1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628ED667-3C02-4F9C-BBAB-8A7C28EE3E48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C23</xm:sqref>
        </x14:conditionalFormatting>
        <x14:conditionalFormatting xmlns:xm="http://schemas.microsoft.com/office/excel/2006/main">
          <x14:cfRule type="dataBar" id="{384577A4-B892-4440-9B3E-653B54CD243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B53:B62 B64:B81</xm:sqref>
        </x14:conditionalFormatting>
        <x14:conditionalFormatting xmlns:xm="http://schemas.microsoft.com/office/excel/2006/main">
          <x14:cfRule type="dataBar" id="{28A9104F-227A-4E16-8751-FA4843C609B1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C53:C62 C64:C81</xm:sqref>
        </x14:conditionalFormatting>
        <x14:conditionalFormatting xmlns:xm="http://schemas.microsoft.com/office/excel/2006/main">
          <x14:cfRule type="dataBar" id="{20523722-BBD2-47E9-B6F1-A6075FF2993F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22BC824C-E496-4240-AA17-5AB13B1A2C9E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C63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0C7A-867C-4937-8E37-8415D5B411C1}">
  <sheetPr>
    <tabColor rgb="FF00B050"/>
  </sheetPr>
  <dimension ref="A1:T43"/>
  <sheetViews>
    <sheetView zoomScaleNormal="60" zoomScaleSheetLayoutView="100" workbookViewId="0">
      <selection activeCell="J5" sqref="J5"/>
    </sheetView>
  </sheetViews>
  <sheetFormatPr defaultColWidth="8.42578125" defaultRowHeight="15" x14ac:dyDescent="0.25"/>
  <cols>
    <col min="1" max="1" width="8.42578125" style="60"/>
    <col min="2" max="6" width="6.85546875" style="60" customWidth="1"/>
    <col min="7" max="7" width="11.85546875" style="60" customWidth="1"/>
    <col min="8" max="8" width="2.85546875" style="60" customWidth="1"/>
    <col min="9" max="9" width="6.140625" style="60" customWidth="1"/>
    <col min="10" max="14" width="5.5703125" style="60" customWidth="1"/>
    <col min="15" max="16" width="5.5703125" style="306" customWidth="1"/>
    <col min="17" max="17" width="7.28515625" style="67" customWidth="1"/>
    <col min="18" max="20" width="23.7109375" style="60" customWidth="1"/>
    <col min="21" max="16384" width="8.42578125" style="60"/>
  </cols>
  <sheetData>
    <row r="1" spans="1:20" x14ac:dyDescent="0.25">
      <c r="A1" s="72"/>
      <c r="B1" s="72" t="s">
        <v>29</v>
      </c>
      <c r="C1" s="72" t="s">
        <v>36</v>
      </c>
      <c r="D1" s="72" t="s">
        <v>37</v>
      </c>
      <c r="E1" s="72" t="s">
        <v>38</v>
      </c>
      <c r="F1" s="72" t="s">
        <v>39</v>
      </c>
      <c r="G1" s="72" t="s">
        <v>32</v>
      </c>
      <c r="I1" s="72"/>
      <c r="J1" s="374" t="s">
        <v>53</v>
      </c>
      <c r="K1" s="462" t="s">
        <v>49</v>
      </c>
      <c r="L1" s="462"/>
      <c r="M1" s="462" t="s">
        <v>52</v>
      </c>
      <c r="N1" s="462"/>
      <c r="O1" s="310" t="s">
        <v>135</v>
      </c>
      <c r="P1" s="310" t="s">
        <v>55</v>
      </c>
      <c r="Q1" s="461" t="s">
        <v>54</v>
      </c>
      <c r="R1" s="374" t="s">
        <v>28</v>
      </c>
      <c r="S1" s="374"/>
      <c r="T1" s="374"/>
    </row>
    <row r="2" spans="1:20" ht="15" customHeight="1" x14ac:dyDescent="0.25">
      <c r="A2" s="471" t="s">
        <v>34</v>
      </c>
      <c r="B2" s="472">
        <f>IF(HDRAG_HAS_REC_HBRUN,COUNTA(DATA_HDRAG_HBRUN),"")</f>
        <v>296</v>
      </c>
      <c r="C2" s="56">
        <f>IF(HDRAG_HAS_REC_HBRUN,COUNTIF(DATA_HDRAG_HBRUN,"=2"),"")</f>
        <v>203</v>
      </c>
      <c r="D2" s="56">
        <f>IF(HDRAG_HAS_REC_HBRUN,COUNTIF(DATA_HDRAG_HBRUN,"=3"),"")</f>
        <v>69</v>
      </c>
      <c r="E2" s="56">
        <f>IF(HDRAG_HAS_REC_HBRUN,COUNTIF(DATA_HDRAG_HBRUN,"=4"),"")</f>
        <v>13</v>
      </c>
      <c r="F2" s="56">
        <f>IF(HDRAG_HAS_REC_HBRUN,COUNTIF(DATA_HDRAG_HBRUN,"=5"),"")</f>
        <v>11</v>
      </c>
      <c r="G2" s="460">
        <f>IF(HDRAG_HAS_REC_HBRUN,AVERAGE(DATA_HDRAG_HBRUN),"")</f>
        <v>2.4324324324324325</v>
      </c>
      <c r="I2" s="72"/>
      <c r="J2" s="374"/>
      <c r="K2" s="39" t="s">
        <v>50</v>
      </c>
      <c r="L2" s="72" t="s">
        <v>27</v>
      </c>
      <c r="M2" s="72" t="s">
        <v>51</v>
      </c>
      <c r="N2" s="109" t="s">
        <v>27</v>
      </c>
      <c r="O2" s="109" t="s">
        <v>27</v>
      </c>
      <c r="P2" s="109" t="s">
        <v>27</v>
      </c>
      <c r="Q2" s="461"/>
      <c r="R2" s="72" t="s">
        <v>52</v>
      </c>
      <c r="S2" s="72" t="s">
        <v>49</v>
      </c>
      <c r="T2" s="72" t="s">
        <v>55</v>
      </c>
    </row>
    <row r="3" spans="1:20" ht="15" customHeight="1" x14ac:dyDescent="0.25">
      <c r="A3" s="471"/>
      <c r="B3" s="472"/>
      <c r="C3" s="101">
        <f>IF(HDRAG_HAS_REC_HBRUN,C2/$B2,"")</f>
        <v>0.68581081081081086</v>
      </c>
      <c r="D3" s="101">
        <f>IF(HDRAG_HAS_REC_HBRUN,D2/$B2,"")</f>
        <v>0.23310810810810811</v>
      </c>
      <c r="E3" s="101">
        <f>IF(HDRAG_HAS_REC_HBRUN,E2/$B2,"")</f>
        <v>4.3918918918918921E-2</v>
      </c>
      <c r="F3" s="101">
        <f>IF(HDRAG_HAS_REC_HBRUN,F2/$B2,"")</f>
        <v>3.7162162162162164E-2</v>
      </c>
      <c r="G3" s="460"/>
      <c r="I3" s="70" t="s">
        <v>34</v>
      </c>
      <c r="J3" s="159">
        <v>30</v>
      </c>
      <c r="K3" s="37">
        <v>30</v>
      </c>
      <c r="L3" s="37">
        <f>IF(HDRAG_HAS_REC_HBRUN,INDEX(DATA_HDRAGS_BUILDING,K3 + 1),"")</f>
        <v>0</v>
      </c>
      <c r="M3" s="37">
        <v>4</v>
      </c>
      <c r="N3" s="37">
        <f>IF(HDRAG_HAS_REC_HBRUN,INDEX(DATA_HDRAGS_DRAGON,IF(ISBLANK(M3),1,M3 + 2)),"")</f>
        <v>0</v>
      </c>
      <c r="O3" s="307">
        <f>IF(HDRAG_HAS_REC_HBRUN,N3+MAX(L3-INDEX(DATA_HDRAGS_BUILDING,16),0),"")</f>
        <v>0</v>
      </c>
      <c r="P3" s="307">
        <f>IF(HDRAG_HAS_REC_HBRUN,L3+N3,"")</f>
        <v>0</v>
      </c>
      <c r="Q3" s="67">
        <f>IFERROR(IF(L3+N3=0,0,L3+N3-J3),"")</f>
        <v>0</v>
      </c>
      <c r="R3" s="52">
        <f>IFERROR(IF(N3=0,100%,(HDRAG_MAX_DRAGON - N3)/HDRAG_MAX_DRAGON),"")</f>
        <v>1</v>
      </c>
      <c r="S3" s="52">
        <f>IFERROR(IF(L3=0,100%,(HDRAG_MAX_BUILDING - L3)/HDRAG_MAX_BUILDING),"")</f>
        <v>1</v>
      </c>
      <c r="T3" s="52">
        <f>IFERROR(IF(Q3=0,100%,(HDRAG_MAX_ALL - Q3)/HDRAG_MAX_ALL),"")</f>
        <v>1</v>
      </c>
    </row>
    <row r="4" spans="1:20" ht="15" customHeight="1" x14ac:dyDescent="0.25">
      <c r="A4" s="469" t="s">
        <v>46</v>
      </c>
      <c r="B4" s="470">
        <f>IF(HDRAG_HAS_REC_HMERC,COUNTA(DATA_HDRAG_HMERC),"")</f>
        <v>171</v>
      </c>
      <c r="C4" s="102">
        <f>IF(HDRAG_HAS_REC_HMERC,COUNTIF(DATA_HDRAG_HMERC,"=2"),"")</f>
        <v>126</v>
      </c>
      <c r="D4" s="102">
        <f>IF(HDRAG_HAS_REC_HMERC,COUNTIF(DATA_HDRAG_HMERC,"=3"),"")</f>
        <v>30</v>
      </c>
      <c r="E4" s="102">
        <f>IF(HDRAG_HAS_REC_HMERC,COUNTIF(DATA_HDRAG_HMERC,"=4"),"")</f>
        <v>10</v>
      </c>
      <c r="F4" s="102">
        <f>IF(HDRAG_HAS_REC_HMERC,COUNTIF(DATA_HDRAG_HMERC,"=5"),"")</f>
        <v>5</v>
      </c>
      <c r="G4" s="459">
        <f>IF(HDRAG_HAS_REC_HMERC,AVERAGE(DATA_HDRAG_HMERC),"")</f>
        <v>2.3801169590643276</v>
      </c>
      <c r="I4" s="110" t="s">
        <v>46</v>
      </c>
      <c r="J4" s="159">
        <v>71</v>
      </c>
      <c r="K4" s="37">
        <v>29</v>
      </c>
      <c r="L4" s="37">
        <f>IF(HDRAG_HAS_REC_HMERC,INDEX(DATA_HDRAGS_BUILDING,K4 + 1),"")</f>
        <v>70</v>
      </c>
      <c r="M4" s="37"/>
      <c r="N4" s="37">
        <f>IF(HDRAG_HAS_REC_HMERC,INDEX(DATA_HDRAGS_DRAGON,IF(ISBLANK(M4),1,M4 + 2)),"")</f>
        <v>485</v>
      </c>
      <c r="O4" s="307">
        <f>IF(HDRAG_HAS_REC_HMERC,N4+MAX(L4-INDEX(DATA_HDRAGS_BUILDING,16),0),"")</f>
        <v>485</v>
      </c>
      <c r="P4" s="307">
        <f>IF(HDRAG_HAS_REC_HMERC,L4+N4,"")</f>
        <v>555</v>
      </c>
      <c r="Q4" s="67">
        <f>IFERROR(IF(L4+N4=0,0,L4+N4-J4),"")</f>
        <v>484</v>
      </c>
      <c r="R4" s="52">
        <f>IFERROR(IF(N4=0,100%,(HDRAG_MAX_DRAGON - N4)/HDRAG_MAX_DRAGON),"")</f>
        <v>0</v>
      </c>
      <c r="S4" s="52">
        <f>IFERROR(IF(L4=0,100%,(HDRAG_MAX_BUILDING - L4)/HDRAG_MAX_BUILDING),"")</f>
        <v>0.91421568627450978</v>
      </c>
      <c r="T4" s="52">
        <f>IFERROR(IF(Q4=0,100%,(HDRAG_MAX_ALL - Q4)/HDRAG_MAX_ALL),"")</f>
        <v>0.62797847809377405</v>
      </c>
    </row>
    <row r="5" spans="1:20" ht="15" customHeight="1" x14ac:dyDescent="0.25">
      <c r="A5" s="469"/>
      <c r="B5" s="470"/>
      <c r="C5" s="103">
        <f>IF(HDRAG_HAS_REC_HMERC,C4/$B4,"")</f>
        <v>0.73684210526315785</v>
      </c>
      <c r="D5" s="103">
        <f>IF(HDRAG_HAS_REC_HMERC,D4/$B4,"")</f>
        <v>0.17543859649122806</v>
      </c>
      <c r="E5" s="103">
        <f>IF(HDRAG_HAS_REC_HMERC,E4/$B4,"")</f>
        <v>5.8479532163742687E-2</v>
      </c>
      <c r="F5" s="103">
        <f>IF(HDRAG_HAS_REC_HMERC,F4/$B4,"")</f>
        <v>2.9239766081871343E-2</v>
      </c>
      <c r="G5" s="459"/>
      <c r="I5" s="111" t="s">
        <v>35</v>
      </c>
      <c r="J5" s="159" t="s">
        <v>182</v>
      </c>
      <c r="K5" s="37">
        <v>30</v>
      </c>
      <c r="L5" s="37">
        <f>IF(HDRAG_HAS_REC_HMID,INDEX(DATA_HDRAGS_BUILDING,K5 + 1),"")</f>
        <v>0</v>
      </c>
      <c r="M5" s="37">
        <v>4</v>
      </c>
      <c r="N5" s="37">
        <f>IF(HDRAG_HAS_REC_HMID,INDEX(DATA_HDRAGS_DRAGON,IF(ISBLANK(M5),1,M5 + 2)),"")</f>
        <v>0</v>
      </c>
      <c r="O5" s="307">
        <f>IF(HDRAG_HAS_REC_HMID,N5+MAX(L5-INDEX(DATA_HDRAGS_BUILDING,16),0),"")</f>
        <v>0</v>
      </c>
      <c r="P5" s="307">
        <f>IF(HDRAG_HAS_REC_HMID,L5+N5,"")</f>
        <v>0</v>
      </c>
      <c r="Q5" s="67">
        <f>IFERROR(IF(L5+N5=0,0,L5+N5-J5),"")</f>
        <v>0</v>
      </c>
      <c r="R5" s="52">
        <f>IFERROR(IF(N5=0,100%,(HDRAG_MAX_DRAGON - N5)/HDRAG_MAX_DRAGON),"")</f>
        <v>1</v>
      </c>
      <c r="S5" s="52">
        <f>IFERROR(IF(L5=0,100%,(HDRAG_MAX_BUILDING - L5)/HDRAG_MAX_BUILDING),"")</f>
        <v>1</v>
      </c>
      <c r="T5" s="52">
        <f>IFERROR(IF(Q5=0,100%,(HDRAG_MAX_ALL - Q5)/HDRAG_MAX_ALL),"")</f>
        <v>1</v>
      </c>
    </row>
    <row r="6" spans="1:20" ht="15" customHeight="1" x14ac:dyDescent="0.25">
      <c r="A6" s="467" t="s">
        <v>35</v>
      </c>
      <c r="B6" s="468">
        <f>IF(HDRAG_HAS_REC_HMID,COUNTA(DATA_HDRAG_HMID),"")</f>
        <v>801</v>
      </c>
      <c r="C6" s="104">
        <f>IF(HDRAG_HAS_REC_HMID,COUNTIF(DATA_HDRAG_HMID,"=2"),"")</f>
        <v>518</v>
      </c>
      <c r="D6" s="104">
        <f>IF(HDRAG_HAS_REC_HMID,COUNTIF(DATA_HDRAG_HMID,"=3"),"")</f>
        <v>171</v>
      </c>
      <c r="E6" s="104">
        <f>IF(HDRAG_HAS_REC_HMID,COUNTIF(DATA_HDRAG_HMID,"=4"),"")</f>
        <v>62</v>
      </c>
      <c r="F6" s="104">
        <f>IF(HDRAG_HAS_REC_HMID,COUNTIF(DATA_HDRAG_HMID,"=5"),"")</f>
        <v>49</v>
      </c>
      <c r="G6" s="458">
        <f>IF(HDRAG_HAS_REC_HMID,AVERAGE(DATA_HDRAG_HMID),"")</f>
        <v>2.5525000000000002</v>
      </c>
      <c r="I6" s="112" t="s">
        <v>47</v>
      </c>
      <c r="J6" s="159"/>
      <c r="K6" s="37"/>
      <c r="L6" s="37" t="str">
        <f>IF(HDRAG_HAS_REC_HJUP,INDEX(DATA_HDRAGS_BUILDING,K6 + 1),"")</f>
        <v/>
      </c>
      <c r="M6" s="37"/>
      <c r="N6" s="37" t="str">
        <f>IF(HDRAG_HAS_REC_HJUP,INDEX(DATA_HDRAGS_DRAGON,IF(ISBLANK(M6),1,M6 + 2)),"")</f>
        <v/>
      </c>
      <c r="O6" s="307" t="str">
        <f>IF(HDRAG_HAS_REC_HJUP,N6+MAX(L6-INDEX(DATA_HDRAGS_BUILDING,16),0),"")</f>
        <v/>
      </c>
      <c r="P6" s="307" t="str">
        <f>IF(HDRAG_HAS_REC_HJUP,L6+N6,"")</f>
        <v/>
      </c>
      <c r="Q6" s="67" t="str">
        <f>IFERROR(IF(L6+N6=0,0,L6+N6-J6),"")</f>
        <v/>
      </c>
      <c r="R6" s="52" t="str">
        <f>IFERROR(IF(N6=0,100%,(HDRAG_MAX_DRAGON - N6)/HDRAG_MAX_DRAGON),"")</f>
        <v/>
      </c>
      <c r="S6" s="52" t="str">
        <f>IFERROR(IF(L6=0,100%,(HDRAG_MAX_BUILDING - L6)/HDRAG_MAX_BUILDING),"")</f>
        <v/>
      </c>
      <c r="T6" s="52" t="str">
        <f>IFERROR(IF(Q6=0,100%,(HDRAG_MAX_ALL - Q6)/HDRAG_MAX_ALL),"")</f>
        <v/>
      </c>
    </row>
    <row r="7" spans="1:20" ht="15" customHeight="1" x14ac:dyDescent="0.25">
      <c r="A7" s="467"/>
      <c r="B7" s="468"/>
      <c r="C7" s="105">
        <f>IF(HDRAG_HAS_REC_HMID,C6/$B6,"")</f>
        <v>0.64669163545568042</v>
      </c>
      <c r="D7" s="105">
        <f>IF(HDRAG_HAS_REC_HMID,D6/$B6,"")</f>
        <v>0.21348314606741572</v>
      </c>
      <c r="E7" s="105">
        <f>IF(HDRAG_HAS_REC_HMID,E6/$B6,"")</f>
        <v>7.740324594257178E-2</v>
      </c>
      <c r="F7" s="105">
        <f>IF(HDRAG_HAS_REC_HMID,F6/$B6,"")</f>
        <v>6.117353308364544E-2</v>
      </c>
      <c r="G7" s="458"/>
      <c r="I7" s="71" t="s">
        <v>48</v>
      </c>
      <c r="J7" s="159"/>
      <c r="K7" s="37"/>
      <c r="L7" s="37" t="str">
        <f>IF(HDRAG_HAS_REC_HZOD,INDEX(DATA_HDRAGS_BUILDING,K7 + 1),"")</f>
        <v/>
      </c>
      <c r="M7" s="37"/>
      <c r="N7" s="37" t="str">
        <f>IF(HDRAG_HAS_REC_HZOD,INDEX(DATA_HDRAGS_DRAGON,IF(ISBLANK(M7),1,M7 + 2)),"")</f>
        <v/>
      </c>
      <c r="O7" s="307" t="str">
        <f>IF(HDRAG_HAS_REC_HZOD,N7+MAX(L7-INDEX(DATA_HDRAGS_BUILDING,16),0),"")</f>
        <v/>
      </c>
      <c r="P7" s="307" t="str">
        <f>IF(HDRAG_HAS_REC_HZOD,L7+N7,"")</f>
        <v/>
      </c>
      <c r="Q7" s="67" t="str">
        <f>IFERROR(IF(L7+N7=0,0,L7+N7-J7),"")</f>
        <v/>
      </c>
      <c r="R7" s="52" t="str">
        <f>IFERROR(IF(N7=0,100%,(HDRAG_MAX_DRAGON - N7)/HDRAG_MAX_DRAGON),"")</f>
        <v/>
      </c>
      <c r="S7" s="52" t="str">
        <f>IFERROR(IF(L7=0,100%,(HDRAG_MAX_BUILDING - L7)/HDRAG_MAX_BUILDING),"")</f>
        <v/>
      </c>
      <c r="T7" s="52" t="str">
        <f>IFERROR(IF(Q7=0,100%,(HDRAG_MAX_ALL - Q7)/HDRAG_MAX_ALL),"")</f>
        <v/>
      </c>
    </row>
    <row r="8" spans="1:20" ht="15" customHeight="1" x14ac:dyDescent="0.25">
      <c r="A8" s="465" t="s">
        <v>47</v>
      </c>
      <c r="B8" s="466" t="str">
        <f>IF(HDRAG_HAS_REC_HJUP,COUNTA(DATA_HDRAG_HJUP),"")</f>
        <v/>
      </c>
      <c r="C8" s="106" t="str">
        <f>IF(HDRAG_HAS_REC_HJUP,COUNTIF(DATA_HDRAG_HJUP,"=2"),"")</f>
        <v/>
      </c>
      <c r="D8" s="106" t="str">
        <f>IF(HDRAG_HAS_REC_HJUP,COUNTIF(DATA_HDRAG_HJUP,"=3"),"")</f>
        <v/>
      </c>
      <c r="E8" s="106" t="str">
        <f>IF(HDRAG_HAS_REC_HJUP,COUNTIF(DATA_HDRAG_HJUP,"=4"),"")</f>
        <v/>
      </c>
      <c r="F8" s="106" t="str">
        <f>IF(HDRAG_HAS_REC_HJUP,COUNTIF(DATA_HDRAG_HJUP,"=5"),"")</f>
        <v/>
      </c>
      <c r="G8" s="457" t="str">
        <f>IF(HDRAG_HAS_REC_HJUP,AVERAGE(DATA_HDRAG_HJUP),"")</f>
        <v/>
      </c>
    </row>
    <row r="9" spans="1:20" ht="15" customHeight="1" x14ac:dyDescent="0.25">
      <c r="A9" s="465"/>
      <c r="B9" s="466"/>
      <c r="C9" s="107" t="str">
        <f>IF(HDRAG_HAS_REC_HJUP,C8/$B8,"")</f>
        <v/>
      </c>
      <c r="D9" s="107" t="str">
        <f>IF(HDRAG_HAS_REC_HJUP,D8/$B8,"")</f>
        <v/>
      </c>
      <c r="E9" s="107" t="str">
        <f>IF(HDRAG_HAS_REC_HJUP,E8/$B8,"")</f>
        <v/>
      </c>
      <c r="F9" s="107" t="str">
        <f>IF(HDRAG_HAS_REC_HJUP,F8/$B8,"")</f>
        <v/>
      </c>
      <c r="G9" s="457"/>
    </row>
    <row r="10" spans="1:20" ht="15" customHeight="1" x14ac:dyDescent="0.25">
      <c r="A10" s="463" t="s">
        <v>48</v>
      </c>
      <c r="B10" s="464" t="str">
        <f>IF(HDRAG_HAS_REC_HZOD,COUNTA(DATA_HDRAG_HZOD),"")</f>
        <v/>
      </c>
      <c r="C10" s="59" t="str">
        <f>IF(HDRAG_HAS_REC_HZOD,COUNTIF(DATA_HDRAG_HZOD,"=2"),"")</f>
        <v/>
      </c>
      <c r="D10" s="59" t="str">
        <f>IF(HDRAG_HAS_REC_HZOD,COUNTIF(DATA_HDRAG_HZOD,"=3"),"")</f>
        <v/>
      </c>
      <c r="E10" s="59" t="str">
        <f>IF(HDRAG_HAS_REC_HZOD,COUNTIF(DATA_HDRAG_HZOD,"=4"),"")</f>
        <v/>
      </c>
      <c r="F10" s="59" t="str">
        <f>IF(HDRAG_HAS_REC_HZOD,COUNTIF(DATA_HDRAG_HZOD,"=5"),"")</f>
        <v/>
      </c>
      <c r="G10" s="456" t="str">
        <f>IF(HDRAG_HAS_REC_HZOD,AVERAGE(DATA_HDRAG_HZOD),"")</f>
        <v/>
      </c>
    </row>
    <row r="11" spans="1:20" ht="15" customHeight="1" x14ac:dyDescent="0.25">
      <c r="A11" s="463"/>
      <c r="B11" s="464"/>
      <c r="C11" s="108" t="str">
        <f>IF(HDRAG_HAS_REC_HZOD,C10/$B10,"")</f>
        <v/>
      </c>
      <c r="D11" s="108" t="str">
        <f>IF(HDRAG_HAS_REC_HZOD,D10/$B10,"")</f>
        <v/>
      </c>
      <c r="E11" s="108" t="str">
        <f>IF(HDRAG_HAS_REC_HZOD,E10/$B10,"")</f>
        <v/>
      </c>
      <c r="F11" s="108" t="str">
        <f>IF(HDRAG_HAS_REC_HZOD,F10/$B10,"")</f>
        <v/>
      </c>
      <c r="G11" s="456"/>
    </row>
    <row r="13" spans="1:20" x14ac:dyDescent="0.25">
      <c r="A13" s="16"/>
      <c r="B13" s="374" t="s">
        <v>40</v>
      </c>
      <c r="C13" s="374"/>
      <c r="D13" s="374"/>
      <c r="E13" s="374"/>
      <c r="F13" s="374"/>
      <c r="G13" s="374"/>
      <c r="K13" s="432" t="s">
        <v>134</v>
      </c>
      <c r="L13" s="432"/>
      <c r="M13" s="432"/>
      <c r="N13" s="432"/>
      <c r="O13" s="432"/>
      <c r="P13" s="432"/>
      <c r="Q13" s="432"/>
      <c r="R13" s="432"/>
    </row>
    <row r="14" spans="1:20" x14ac:dyDescent="0.25">
      <c r="A14" s="16"/>
      <c r="B14" s="16"/>
      <c r="C14" s="72">
        <v>2</v>
      </c>
      <c r="D14" s="72">
        <v>3</v>
      </c>
      <c r="E14" s="72">
        <v>4</v>
      </c>
      <c r="F14" s="72">
        <v>5</v>
      </c>
      <c r="G14" s="72" t="s">
        <v>166</v>
      </c>
      <c r="K14" s="309">
        <v>2</v>
      </c>
      <c r="L14" s="309">
        <v>3</v>
      </c>
      <c r="M14" s="309">
        <v>4</v>
      </c>
      <c r="N14" s="309">
        <v>5</v>
      </c>
      <c r="O14" s="308" t="s">
        <v>45</v>
      </c>
      <c r="P14" s="428" t="s">
        <v>28</v>
      </c>
      <c r="Q14" s="428"/>
      <c r="R14" s="428"/>
    </row>
    <row r="15" spans="1:20" ht="15.75" x14ac:dyDescent="0.25">
      <c r="A15" s="16"/>
      <c r="B15" s="70" t="s">
        <v>34</v>
      </c>
      <c r="C15" s="113">
        <f>IF(HDRAG_HAS_REC_HBRUN,_xlfn.CEILING.MATH((HDRAG_MAX_DRAGON/$G2)*C3),"")</f>
        <v>137</v>
      </c>
      <c r="D15" s="113">
        <f>IF(HDRAG_HAS_REC_HBRUN,_xlfn.CEILING.MATH((HDRAG_MAX_DRAGON/$G2)*D3),"")</f>
        <v>47</v>
      </c>
      <c r="E15" s="113">
        <f>IF(HDRAG_HAS_REC_HBRUN,_xlfn.CEILING.MATH((HDRAG_MAX_DRAGON/$G2)*E3),"")</f>
        <v>9</v>
      </c>
      <c r="F15" s="113">
        <f>IF(HDRAG_HAS_REC_HBRUN,_xlfn.CEILING.MATH((HDRAG_MAX_DRAGON/$G2)*F3),"")</f>
        <v>8</v>
      </c>
      <c r="G15" s="118">
        <f>IF(HDRAG_HAS_REC_HBRUN,SUM(C15:F15),"")</f>
        <v>201</v>
      </c>
      <c r="J15" s="304" t="s">
        <v>34</v>
      </c>
      <c r="K15" s="311">
        <f>IF(HDRAG_HAS_REC_HBRUN,_xlfn.CEILING.MATH(($N3/$G$2)*C3),"")</f>
        <v>0</v>
      </c>
      <c r="L15" s="311">
        <f>IF(HDRAG_HAS_REC_HBRUN,_xlfn.CEILING.MATH(($N3/$G$2)*D3),"")</f>
        <v>0</v>
      </c>
      <c r="M15" s="311">
        <f>IF(HDRAG_HAS_REC_HBRUN,_xlfn.CEILING.MATH(($N3/$G$2)*E3),"")</f>
        <v>0</v>
      </c>
      <c r="N15" s="311">
        <f>IF(HDRAG_HAS_REC_HBRUN,_xlfn.CEILING.MATH(($N3/$G$2)*F3),"")</f>
        <v>0</v>
      </c>
      <c r="O15" s="311">
        <f>IF(HDRAG_HAS_REC_HBRUN,SUM(K15:N15),"")</f>
        <v>0</v>
      </c>
      <c r="P15" s="455">
        <f>IFERROR((G15-O15)/G15,"")</f>
        <v>1</v>
      </c>
      <c r="Q15" s="455"/>
      <c r="R15" s="455"/>
    </row>
    <row r="16" spans="1:20" ht="15.75" x14ac:dyDescent="0.25">
      <c r="A16" s="16"/>
      <c r="B16" s="110" t="s">
        <v>46</v>
      </c>
      <c r="C16" s="114">
        <f>IF(HDRAG_HAS_REC_HMERC,_xlfn.CEILING.MATH((HDRAG_MAX_DRAGON/$G4)*C5),"")</f>
        <v>151</v>
      </c>
      <c r="D16" s="114">
        <f>IF(HDRAG_HAS_REC_HMERC,_xlfn.CEILING.MATH((HDRAG_MAX_DRAGON/$G4)*D5),"")</f>
        <v>36</v>
      </c>
      <c r="E16" s="114">
        <f>IF(HDRAG_HAS_REC_HMERC,_xlfn.CEILING.MATH((HDRAG_MAX_DRAGON/$G4)*E5),"")</f>
        <v>12</v>
      </c>
      <c r="F16" s="114">
        <f>IF(HDRAG_HAS_REC_HMERC,_xlfn.CEILING.MATH((HDRAG_MAX_DRAGON/$G4)*F5),"")</f>
        <v>6</v>
      </c>
      <c r="G16" s="119">
        <f>IF(HDRAG_HAS_REC_HMERC,SUM(C16:F16),"")</f>
        <v>205</v>
      </c>
      <c r="J16" s="110" t="s">
        <v>46</v>
      </c>
      <c r="K16" s="312">
        <f>IF(HDRAG_HAS_REC_HMERC,_xlfn.CEILING.MATH(($N4/$G$4)*C5),"")</f>
        <v>151</v>
      </c>
      <c r="L16" s="312">
        <f>IF(HDRAG_HAS_REC_HMERC,_xlfn.CEILING.MATH(($N4/$G$4)*D5),"")</f>
        <v>36</v>
      </c>
      <c r="M16" s="312">
        <f>IF(HDRAG_HAS_REC_HMERC,_xlfn.CEILING.MATH(($N4/$G$4)*E5),"")</f>
        <v>12</v>
      </c>
      <c r="N16" s="312">
        <f>IF(HDRAG_HAS_REC_HMERC,_xlfn.CEILING.MATH(($N4/$G$4)*F5),"")</f>
        <v>6</v>
      </c>
      <c r="O16" s="312">
        <f>IF(HDRAG_HAS_REC_HMERC,SUM(K16:N16),"")</f>
        <v>205</v>
      </c>
      <c r="P16" s="455">
        <f>IFERROR((G16-O16)/G16,"")</f>
        <v>0</v>
      </c>
      <c r="Q16" s="455"/>
      <c r="R16" s="455"/>
    </row>
    <row r="17" spans="1:18" ht="15.75" x14ac:dyDescent="0.25">
      <c r="A17" s="16"/>
      <c r="B17" s="111" t="s">
        <v>35</v>
      </c>
      <c r="C17" s="115">
        <f>IF(HDRAG_HAS_REC_HMID,_xlfn.CEILING.MATH((HDRAG_MAX_DRAGON/$G6)*C7),"")</f>
        <v>123</v>
      </c>
      <c r="D17" s="115">
        <f>IF(HDRAG_HAS_REC_HMID,_xlfn.CEILING.MATH((HDRAG_MAX_DRAGON/$G6)*D7),"")</f>
        <v>41</v>
      </c>
      <c r="E17" s="115">
        <f>IF(HDRAG_HAS_REC_HMID,_xlfn.CEILING.MATH((HDRAG_MAX_DRAGON/$G6)*E7),"")</f>
        <v>15</v>
      </c>
      <c r="F17" s="115">
        <f>IF(HDRAG_HAS_REC_HMID,_xlfn.CEILING.MATH((HDRAG_MAX_DRAGON/$G6)*F7),"")</f>
        <v>12</v>
      </c>
      <c r="G17" s="120">
        <f>IF(HDRAG_HAS_REC_HMID,SUM(C17:F17),"")</f>
        <v>191</v>
      </c>
      <c r="J17" s="111" t="s">
        <v>35</v>
      </c>
      <c r="K17" s="313">
        <f>IF(HDRAG_HAS_REC_HMID,_xlfn.CEILING.MATH(($N5/$G$6)*C7),"")</f>
        <v>0</v>
      </c>
      <c r="L17" s="313">
        <f>IF(HDRAG_HAS_REC_HMID,_xlfn.CEILING.MATH(($N5/$G$6)*D7),"")</f>
        <v>0</v>
      </c>
      <c r="M17" s="313">
        <f>IF(HDRAG_HAS_REC_HMID,_xlfn.CEILING.MATH(($N5/$G$6)*E7),"")</f>
        <v>0</v>
      </c>
      <c r="N17" s="313">
        <f>IF(HDRAG_HAS_REC_HMID,_xlfn.CEILING.MATH(($N5/$G$6)*F7),"")</f>
        <v>0</v>
      </c>
      <c r="O17" s="313">
        <f>IF(HDRAG_HAS_REC_HMID,SUM(K17:N17),"")</f>
        <v>0</v>
      </c>
      <c r="P17" s="455">
        <f>IFERROR((G17-O17)/G17,"")</f>
        <v>1</v>
      </c>
      <c r="Q17" s="455"/>
      <c r="R17" s="455"/>
    </row>
    <row r="18" spans="1:18" ht="15.75" x14ac:dyDescent="0.25">
      <c r="A18" s="16"/>
      <c r="B18" s="112" t="s">
        <v>47</v>
      </c>
      <c r="C18" s="116" t="str">
        <f>IF(HDRAG_HAS_REC_HJUP,_xlfn.CEILING.MATH((HDRAG_MAX_DRAGON/$G8)*C9),"")</f>
        <v/>
      </c>
      <c r="D18" s="116" t="str">
        <f>IF(HDRAG_HAS_REC_HJUP,_xlfn.CEILING.MATH((HDRAG_MAX_DRAGON/$G8)*D9),"")</f>
        <v/>
      </c>
      <c r="E18" s="116" t="str">
        <f>IF(HDRAG_HAS_REC_HJUP,_xlfn.CEILING.MATH((HDRAG_MAX_DRAGON/$G8)*E9),"")</f>
        <v/>
      </c>
      <c r="F18" s="116" t="str">
        <f>IF(HDRAG_HAS_REC_HJUP,_xlfn.CEILING.MATH((HDRAG_MAX_DRAGON/$G8)*F9),"")</f>
        <v/>
      </c>
      <c r="G18" s="121" t="str">
        <f>IF(HDRAG_HAS_REC_HJUP,SUM(C18:F18),"")</f>
        <v/>
      </c>
      <c r="J18" s="112" t="s">
        <v>47</v>
      </c>
      <c r="K18" s="314" t="str">
        <f>IF(HDRAG_HAS_REC_HJUP,_xlfn.CEILING.MATH(($N6/$G$8)*C9),"")</f>
        <v/>
      </c>
      <c r="L18" s="314" t="str">
        <f>IF(HDRAG_HAS_REC_HJUP,_xlfn.CEILING.MATH(($N6/$G$8)*D9),"")</f>
        <v/>
      </c>
      <c r="M18" s="314" t="str">
        <f>IF(HDRAG_HAS_REC_HJUP,_xlfn.CEILING.MATH(($N6/$G$8)*E9),"")</f>
        <v/>
      </c>
      <c r="N18" s="314" t="str">
        <f>IF(HDRAG_HAS_REC_HJUP,_xlfn.CEILING.MATH(($N6/$G$8)*F9),"")</f>
        <v/>
      </c>
      <c r="O18" s="314" t="str">
        <f>IF(HDRAG_HAS_REC_HJUP,SUM(K18:N18),"")</f>
        <v/>
      </c>
      <c r="P18" s="455" t="str">
        <f>IFERROR((G18-O18)/G18,"")</f>
        <v/>
      </c>
      <c r="Q18" s="455"/>
      <c r="R18" s="455"/>
    </row>
    <row r="19" spans="1:18" ht="15.75" x14ac:dyDescent="0.25">
      <c r="A19" s="16"/>
      <c r="B19" s="71" t="s">
        <v>48</v>
      </c>
      <c r="C19" s="117" t="str">
        <f>IF(HDRAG_HAS_REC_HZOD,_xlfn.CEILING.MATH((HDRAG_MAX_DRAGON/$G10)*C11),"")</f>
        <v/>
      </c>
      <c r="D19" s="117" t="str">
        <f>IF(HDRAG_HAS_REC_HZOD,_xlfn.CEILING.MATH((HDRAG_MAX_DRAGON/$G10)*D11),"")</f>
        <v/>
      </c>
      <c r="E19" s="117" t="str">
        <f>IF(HDRAG_HAS_REC_HZOD,_xlfn.CEILING.MATH((HDRAG_MAX_DRAGON/$G10)*E11),"")</f>
        <v/>
      </c>
      <c r="F19" s="117" t="str">
        <f>IF(HDRAG_HAS_REC_HZOD,_xlfn.CEILING.MATH((HDRAG_MAX_DRAGON/$G10)*F11),"")</f>
        <v/>
      </c>
      <c r="G19" s="122" t="str">
        <f>IF(HDRAG_HAS_REC_HZOD,SUM(C19:F19),"")</f>
        <v/>
      </c>
      <c r="J19" s="305" t="s">
        <v>48</v>
      </c>
      <c r="K19" s="315" t="str">
        <f>IF(HDRAG_HAS_REC_HZOD,_xlfn.CEILING.MATH(($N7/$G$10)*C11),"")</f>
        <v/>
      </c>
      <c r="L19" s="315" t="str">
        <f>IF(HDRAG_HAS_REC_HZOD,_xlfn.CEILING.MATH(($N7/$G$10)*D11),"")</f>
        <v/>
      </c>
      <c r="M19" s="315" t="str">
        <f>IF(HDRAG_HAS_REC_HZOD,_xlfn.CEILING.MATH(($N7/$G$10)*E11),"")</f>
        <v/>
      </c>
      <c r="N19" s="315" t="str">
        <f>IF(HDRAG_HAS_REC_HZOD,_xlfn.CEILING.MATH(($N7/$G$10)*F11),"")</f>
        <v/>
      </c>
      <c r="O19" s="315" t="str">
        <f>IF(HDRAG_HAS_REC_HZOD,SUM(K19:N19),"")</f>
        <v/>
      </c>
      <c r="P19" s="455" t="str">
        <f>IFERROR((G19-O19)/G19,"")</f>
        <v/>
      </c>
      <c r="Q19" s="455"/>
      <c r="R19" s="455"/>
    </row>
    <row r="20" spans="1:18" x14ac:dyDescent="0.25">
      <c r="A20" s="16"/>
      <c r="B20" s="374" t="s">
        <v>41</v>
      </c>
      <c r="C20" s="374"/>
      <c r="D20" s="374"/>
      <c r="E20" s="374"/>
      <c r="F20" s="374"/>
      <c r="G20" s="374"/>
      <c r="K20" s="432" t="s">
        <v>134</v>
      </c>
      <c r="L20" s="432"/>
      <c r="M20" s="432"/>
      <c r="N20" s="432"/>
      <c r="O20" s="432"/>
      <c r="P20" s="432"/>
      <c r="Q20" s="432"/>
      <c r="R20" s="432"/>
    </row>
    <row r="21" spans="1:18" x14ac:dyDescent="0.25">
      <c r="A21" s="16"/>
      <c r="B21" s="16"/>
      <c r="C21" s="72">
        <v>2</v>
      </c>
      <c r="D21" s="72">
        <v>3</v>
      </c>
      <c r="E21" s="72">
        <v>4</v>
      </c>
      <c r="F21" s="72">
        <v>5</v>
      </c>
      <c r="G21" s="352" t="s">
        <v>166</v>
      </c>
      <c r="K21" s="309">
        <v>2</v>
      </c>
      <c r="L21" s="309">
        <v>3</v>
      </c>
      <c r="M21" s="309">
        <v>4</v>
      </c>
      <c r="N21" s="309">
        <v>5</v>
      </c>
      <c r="O21" s="308" t="s">
        <v>45</v>
      </c>
      <c r="P21" s="428" t="s">
        <v>28</v>
      </c>
      <c r="Q21" s="428"/>
      <c r="R21" s="428"/>
    </row>
    <row r="22" spans="1:18" ht="15.75" x14ac:dyDescent="0.25">
      <c r="A22" s="16"/>
      <c r="B22" s="70" t="s">
        <v>34</v>
      </c>
      <c r="C22" s="113">
        <f>IF(HDRAG_HAS_REC_HBRUN,_xlfn.CEILING.MATH((HDRAG_MAX_BUILDING/$G2)*C3),"")</f>
        <v>231</v>
      </c>
      <c r="D22" s="113">
        <f>IF(HDRAG_HAS_REC_HBRUN,_xlfn.CEILING.MATH((HDRAG_MAX_BUILDING/$G2)*D3),"")</f>
        <v>79</v>
      </c>
      <c r="E22" s="113">
        <f>IF(HDRAG_HAS_REC_HBRUN,_xlfn.CEILING.MATH((HDRAG_MAX_BUILDING/$G2)*E3),"")</f>
        <v>15</v>
      </c>
      <c r="F22" s="113">
        <f>IF(HDRAG_HAS_REC_HBRUN,_xlfn.CEILING.MATH((HDRAG_MAX_BUILDING/$G2)*F3),"")</f>
        <v>13</v>
      </c>
      <c r="G22" s="118">
        <f>IF(HDRAG_HAS_REC_HBRUN,SUM(C22:F22),"")</f>
        <v>338</v>
      </c>
      <c r="J22" s="304" t="s">
        <v>34</v>
      </c>
      <c r="K22" s="311">
        <f>IF(HDRAG_HAS_REC_HBRUN,_xlfn.CEILING.MATH(($L3/$G$2)*C3),"")</f>
        <v>0</v>
      </c>
      <c r="L22" s="311">
        <f>IF(HDRAG_HAS_REC_HBRUN,_xlfn.CEILING.MATH(($L3/$G$2)*D3),"")</f>
        <v>0</v>
      </c>
      <c r="M22" s="311">
        <f>IF(HDRAG_HAS_REC_HBRUN,_xlfn.CEILING.MATH(($L3/$G$2)*E3),"")</f>
        <v>0</v>
      </c>
      <c r="N22" s="311">
        <f>IF(HDRAG_HAS_REC_HBRUN,_xlfn.CEILING.MATH(($L3/$G$2)*F3),"")</f>
        <v>0</v>
      </c>
      <c r="O22" s="311">
        <f>IF(HDRAG_HAS_REC_HBRUN,SUM(K22:N22),"")</f>
        <v>0</v>
      </c>
      <c r="P22" s="455">
        <f>IFERROR((G22-O22)/G22,"")</f>
        <v>1</v>
      </c>
      <c r="Q22" s="455"/>
      <c r="R22" s="455"/>
    </row>
    <row r="23" spans="1:18" ht="15.75" x14ac:dyDescent="0.25">
      <c r="A23" s="16"/>
      <c r="B23" s="110" t="s">
        <v>46</v>
      </c>
      <c r="C23" s="114">
        <f>IF(HDRAG_HAS_REC_HMERC,_xlfn.CEILING.MATH((HDRAG_MAX_BUILDING/$G4)*C5),"")</f>
        <v>253</v>
      </c>
      <c r="D23" s="114">
        <f>IF(HDRAG_HAS_REC_HMERC,_xlfn.CEILING.MATH((HDRAG_MAX_BUILDING/$G4)*D5),"")</f>
        <v>61</v>
      </c>
      <c r="E23" s="114">
        <f>IF(HDRAG_HAS_REC_HMERC,_xlfn.CEILING.MATH((HDRAG_MAX_BUILDING/$G4)*E5),"")</f>
        <v>21</v>
      </c>
      <c r="F23" s="114">
        <f>IF(HDRAG_HAS_REC_HMERC,_xlfn.CEILING.MATH((HDRAG_MAX_BUILDING/$G4)*F5),"")</f>
        <v>11</v>
      </c>
      <c r="G23" s="119">
        <f>IF(HDRAG_HAS_REC_HMERC,SUM(C23:F23),"")</f>
        <v>346</v>
      </c>
      <c r="J23" s="110" t="s">
        <v>46</v>
      </c>
      <c r="K23" s="312">
        <f>IF(HDRAG_HAS_REC_HMERC,_xlfn.CEILING.MATH(($L4/$G$4)*C5),"")</f>
        <v>22</v>
      </c>
      <c r="L23" s="312">
        <f>IF(HDRAG_HAS_REC_HMERC,_xlfn.CEILING.MATH(($L4/$G$4)*D5),"")</f>
        <v>6</v>
      </c>
      <c r="M23" s="312">
        <f>IF(HDRAG_HAS_REC_HMERC,_xlfn.CEILING.MATH(($L4/$G$4)*E5),"")</f>
        <v>2</v>
      </c>
      <c r="N23" s="312">
        <f>IF(HDRAG_HAS_REC_HMERC,_xlfn.CEILING.MATH(($L4/$G$4)*F5),"")</f>
        <v>1</v>
      </c>
      <c r="O23" s="312">
        <f>IF(HDRAG_HAS_REC_HMERC,SUM(K23:N23),"")</f>
        <v>31</v>
      </c>
      <c r="P23" s="455">
        <f>IFERROR((G23-O23)/G23,"")</f>
        <v>0.91040462427745661</v>
      </c>
      <c r="Q23" s="455"/>
      <c r="R23" s="455"/>
    </row>
    <row r="24" spans="1:18" ht="15.75" x14ac:dyDescent="0.25">
      <c r="A24" s="16"/>
      <c r="B24" s="111" t="s">
        <v>35</v>
      </c>
      <c r="C24" s="115">
        <f>IF(HDRAG_HAS_REC_HMID,_xlfn.CEILING.MATH((HDRAG_MAX_BUILDING/$G6)*C7),"")</f>
        <v>207</v>
      </c>
      <c r="D24" s="115">
        <f>IF(HDRAG_HAS_REC_HMID,_xlfn.CEILING.MATH((HDRAG_MAX_BUILDING/$G6)*D7),"")</f>
        <v>69</v>
      </c>
      <c r="E24" s="115">
        <f>IF(HDRAG_HAS_REC_HMID,_xlfn.CEILING.MATH((HDRAG_MAX_BUILDING/$G6)*E7),"")</f>
        <v>25</v>
      </c>
      <c r="F24" s="115">
        <f>IF(HDRAG_HAS_REC_HMID,_xlfn.CEILING.MATH((HDRAG_MAX_BUILDING/$G6)*F7),"")</f>
        <v>20</v>
      </c>
      <c r="G24" s="120">
        <f>IF(HDRAG_HAS_REC_HMID,SUM(C24:F24),"")</f>
        <v>321</v>
      </c>
      <c r="J24" s="111" t="s">
        <v>35</v>
      </c>
      <c r="K24" s="313">
        <f>IF(HDRAG_HAS_REC_HMID,_xlfn.CEILING.MATH(($L5/$G$6)*C7),"")</f>
        <v>0</v>
      </c>
      <c r="L24" s="313">
        <f>IF(HDRAG_HAS_REC_HMID,_xlfn.CEILING.MATH(($L5/$G$6)*D7),"")</f>
        <v>0</v>
      </c>
      <c r="M24" s="313">
        <f>IF(HDRAG_HAS_REC_HMID,_xlfn.CEILING.MATH(($L5/$G$6)*E7),"")</f>
        <v>0</v>
      </c>
      <c r="N24" s="313">
        <f>IF(HDRAG_HAS_REC_HMID,_xlfn.CEILING.MATH(($L5/$G$6)*F7),"")</f>
        <v>0</v>
      </c>
      <c r="O24" s="313">
        <f>IF(HDRAG_HAS_REC_HMID,SUM(K24:N24),"")</f>
        <v>0</v>
      </c>
      <c r="P24" s="455">
        <f>IFERROR((G24-O24)/G24,"")</f>
        <v>1</v>
      </c>
      <c r="Q24" s="455"/>
      <c r="R24" s="455"/>
    </row>
    <row r="25" spans="1:18" ht="15.75" x14ac:dyDescent="0.25">
      <c r="A25" s="16"/>
      <c r="B25" s="112" t="s">
        <v>47</v>
      </c>
      <c r="C25" s="116" t="str">
        <f>IF(HDRAG_HAS_REC_HJUP,_xlfn.CEILING.MATH((HDRAG_MAX_BUILDING/$G8)*C9),"")</f>
        <v/>
      </c>
      <c r="D25" s="116" t="str">
        <f>IF(HDRAG_HAS_REC_HJUP,_xlfn.CEILING.MATH((HDRAG_MAX_BUILDING/$G8)*D9),"")</f>
        <v/>
      </c>
      <c r="E25" s="116" t="str">
        <f>IF(HDRAG_HAS_REC_HJUP,_xlfn.CEILING.MATH((HDRAG_MAX_BUILDING/$G8)*E9),"")</f>
        <v/>
      </c>
      <c r="F25" s="116" t="str">
        <f>IF(HDRAG_HAS_REC_HJUP,_xlfn.CEILING.MATH((HDRAG_MAX_BUILDING/$G8)*F9),"")</f>
        <v/>
      </c>
      <c r="G25" s="121" t="str">
        <f>IF(HDRAG_HAS_REC_HJUP,SUM(C25:F25),"")</f>
        <v/>
      </c>
      <c r="J25" s="112" t="s">
        <v>47</v>
      </c>
      <c r="K25" s="314" t="str">
        <f>IF(HDRAG_HAS_REC_HJUP,_xlfn.CEILING.MATH(($L6/$G$8)*C9),"")</f>
        <v/>
      </c>
      <c r="L25" s="314" t="str">
        <f>IF(HDRAG_HAS_REC_HJUP,_xlfn.CEILING.MATH(($L6/$G$8)*D9),"")</f>
        <v/>
      </c>
      <c r="M25" s="314" t="str">
        <f>IF(HDRAG_HAS_REC_HJUP,_xlfn.CEILING.MATH(($L6/$G$8)*E9),"")</f>
        <v/>
      </c>
      <c r="N25" s="314" t="str">
        <f>IF(HDRAG_HAS_REC_HJUP,_xlfn.CEILING.MATH(($L6/$G$8)*F9),"")</f>
        <v/>
      </c>
      <c r="O25" s="314" t="str">
        <f>IF(HDRAG_HAS_REC_HJUP,SUM(K25:N25),"")</f>
        <v/>
      </c>
      <c r="P25" s="455" t="str">
        <f>IFERROR((G25-O25)/G25,"")</f>
        <v/>
      </c>
      <c r="Q25" s="455"/>
      <c r="R25" s="455"/>
    </row>
    <row r="26" spans="1:18" ht="15.75" x14ac:dyDescent="0.25">
      <c r="A26" s="16"/>
      <c r="B26" s="71" t="s">
        <v>48</v>
      </c>
      <c r="C26" s="117" t="str">
        <f>IF(HDRAG_HAS_REC_HZOD,_xlfn.CEILING.MATH((HDRAG_MAX_BUILDING/$G10)*C11),"")</f>
        <v/>
      </c>
      <c r="D26" s="117" t="str">
        <f>IF(HDRAG_HAS_REC_HZOD,_xlfn.CEILING.MATH((HDRAG_MAX_BUILDING/$G10)*D11),"")</f>
        <v/>
      </c>
      <c r="E26" s="117" t="str">
        <f>IF(HDRAG_HAS_REC_HZOD,_xlfn.CEILING.MATH((HDRAG_MAX_BUILDING/$G10)*E11),"")</f>
        <v/>
      </c>
      <c r="F26" s="117" t="str">
        <f>IF(HDRAG_HAS_REC_HZOD,_xlfn.CEILING.MATH((HDRAG_MAX_BUILDING/$G10)*F11),"")</f>
        <v/>
      </c>
      <c r="G26" s="122" t="str">
        <f>IF(HDRAG_HAS_REC_HZOD,SUM(C26:F26),"")</f>
        <v/>
      </c>
      <c r="J26" s="305" t="s">
        <v>48</v>
      </c>
      <c r="K26" s="315" t="str">
        <f>IF(HDRAG_HAS_REC_HZOD,_xlfn.CEILING.MATH(($L7/$G$10)*C11),"")</f>
        <v/>
      </c>
      <c r="L26" s="315" t="str">
        <f>IF(HDRAG_HAS_REC_HZOD,_xlfn.CEILING.MATH(($L7/$G$10)*D11),"")</f>
        <v/>
      </c>
      <c r="M26" s="315" t="str">
        <f>IF(HDRAG_HAS_REC_HZOD,_xlfn.CEILING.MATH(($L7/$G$10)*E11),"")</f>
        <v/>
      </c>
      <c r="N26" s="315" t="str">
        <f>IF(HDRAG_HAS_REC_HZOD,_xlfn.CEILING.MATH(($L7/$G$10)*F11),"")</f>
        <v/>
      </c>
      <c r="O26" s="315" t="str">
        <f>IF(HDRAG_HAS_REC_HZOD,SUM(K26:N26),"")</f>
        <v/>
      </c>
      <c r="P26" s="455" t="str">
        <f>IFERROR((G26-O26)/G26,"")</f>
        <v/>
      </c>
      <c r="Q26" s="455"/>
      <c r="R26" s="455"/>
    </row>
    <row r="27" spans="1:18" x14ac:dyDescent="0.25">
      <c r="A27" s="16"/>
      <c r="B27" s="374" t="s">
        <v>119</v>
      </c>
      <c r="C27" s="374"/>
      <c r="D27" s="374"/>
      <c r="E27" s="374"/>
      <c r="F27" s="374"/>
      <c r="G27" s="374"/>
      <c r="K27" s="432" t="s">
        <v>134</v>
      </c>
      <c r="L27" s="432"/>
      <c r="M27" s="432"/>
      <c r="N27" s="432"/>
      <c r="O27" s="432"/>
      <c r="P27" s="432"/>
      <c r="Q27" s="432"/>
      <c r="R27" s="432"/>
    </row>
    <row r="28" spans="1:18" x14ac:dyDescent="0.25">
      <c r="A28" s="16"/>
      <c r="B28" s="16"/>
      <c r="C28" s="72">
        <v>2</v>
      </c>
      <c r="D28" s="72">
        <v>3</v>
      </c>
      <c r="E28" s="72">
        <v>4</v>
      </c>
      <c r="F28" s="72">
        <v>5</v>
      </c>
      <c r="G28" s="352" t="s">
        <v>166</v>
      </c>
      <c r="K28" s="309">
        <v>2</v>
      </c>
      <c r="L28" s="309">
        <v>3</v>
      </c>
      <c r="M28" s="309">
        <v>4</v>
      </c>
      <c r="N28" s="309">
        <v>5</v>
      </c>
      <c r="O28" s="308" t="s">
        <v>45</v>
      </c>
      <c r="P28" s="428" t="s">
        <v>28</v>
      </c>
      <c r="Q28" s="428"/>
      <c r="R28" s="428"/>
    </row>
    <row r="29" spans="1:18" ht="15.75" x14ac:dyDescent="0.25">
      <c r="A29" s="16"/>
      <c r="B29" s="169" t="s">
        <v>34</v>
      </c>
      <c r="C29" s="113">
        <f>IF(HDRAG_HAS_REC_HBRUN,_xlfn.CEILING.MATH((HDRAG_MAX_DRAGON_BLD_16/$G2)*C3),"")</f>
        <v>323</v>
      </c>
      <c r="D29" s="113">
        <f>IF(HDRAG_HAS_REC_HBRUN,_xlfn.CEILING.MATH((HDRAG_MAX_DRAGON_BLD_16/$G2)*D3),"")</f>
        <v>110</v>
      </c>
      <c r="E29" s="113">
        <f>IF(HDRAG_HAS_REC_HBRUN,_xlfn.CEILING.MATH((HDRAG_MAX_DRAGON_BLD_16/$G2)*E3),"")</f>
        <v>21</v>
      </c>
      <c r="F29" s="113">
        <f>IF(HDRAG_HAS_REC_HBRUN,_xlfn.CEILING.MATH((HDRAG_MAX_DRAGON_BLD_16/$G2)*F3),"")</f>
        <v>18</v>
      </c>
      <c r="G29" s="118">
        <f>IF(HDRAG_HAS_REC_HBRUN,SUM(C29:F29),"")</f>
        <v>472</v>
      </c>
      <c r="J29" s="304" t="s">
        <v>34</v>
      </c>
      <c r="K29" s="311">
        <f>IF(HDRAG_HAS_REC_HBRUN,_xlfn.CEILING.MATH(($O3/$G$2)*C3),"")</f>
        <v>0</v>
      </c>
      <c r="L29" s="311" t="str">
        <f>IF(OR($O3=0,$O3=""),"",_xlfn.CEILING.MATH(($O3/$G$2)*D3))</f>
        <v/>
      </c>
      <c r="M29" s="311" t="str">
        <f>IF(OR($O3=0,$O3=""),"",_xlfn.CEILING.MATH(($O3/$G$2)*E3))</f>
        <v/>
      </c>
      <c r="N29" s="311" t="str">
        <f>IF(OR($O3=0,$O3=""),"",_xlfn.CEILING.MATH(($O3/$G$2)*F3))</f>
        <v/>
      </c>
      <c r="O29" s="311">
        <f>IF(HDRAG_HAS_REC_HBRUN,SUM(K29:N29),"")</f>
        <v>0</v>
      </c>
      <c r="P29" s="455">
        <f>IFERROR((G29-O29)/G29,"")</f>
        <v>1</v>
      </c>
      <c r="Q29" s="455"/>
      <c r="R29" s="455"/>
    </row>
    <row r="30" spans="1:18" ht="15.75" x14ac:dyDescent="0.25">
      <c r="A30" s="16"/>
      <c r="B30" s="110" t="s">
        <v>46</v>
      </c>
      <c r="C30" s="114">
        <f>IF(HDRAG_HAS_REC_HMERC,_xlfn.CEILING.MATH((HDRAG_MAX_DRAGON_BLD_16/$G4)*C5),"")</f>
        <v>355</v>
      </c>
      <c r="D30" s="114">
        <f>IF(HDRAG_HAS_REC_HMERC,_xlfn.CEILING.MATH((HDRAG_MAX_DRAGON_BLD_16/$G4)*D5),"")</f>
        <v>85</v>
      </c>
      <c r="E30" s="114">
        <f>IF(HDRAG_HAS_REC_HMERC,_xlfn.CEILING.MATH((HDRAG_MAX_DRAGON_BLD_16/$G4)*E5),"")</f>
        <v>29</v>
      </c>
      <c r="F30" s="114">
        <f>IF(HDRAG_HAS_REC_HMERC,_xlfn.CEILING.MATH((HDRAG_MAX_DRAGON_BLD_16/$G4)*F5),"")</f>
        <v>15</v>
      </c>
      <c r="G30" s="119">
        <f>IF(HDRAG_HAS_REC_HMERC,SUM(C30:F30),"")</f>
        <v>484</v>
      </c>
      <c r="J30" s="110" t="s">
        <v>46</v>
      </c>
      <c r="K30" s="312">
        <f>IF(HDRAG_HAS_REC_HMERC,_xlfn.CEILING.MATH(($O4/$G$4)*C5),"")</f>
        <v>151</v>
      </c>
      <c r="L30" s="312">
        <f>IF(OR($O4=0,$O4=""),"",_xlfn.CEILING.MATH(($O4/$G$4)*D5))</f>
        <v>36</v>
      </c>
      <c r="M30" s="312">
        <f>IF(OR($O4=0,$O4=""),"",_xlfn.CEILING.MATH(($O4/$G$4)*E5))</f>
        <v>12</v>
      </c>
      <c r="N30" s="312">
        <f>IF(OR($O4=0,$O4=""),"",_xlfn.CEILING.MATH(($O4/$G$4)*F5))</f>
        <v>6</v>
      </c>
      <c r="O30" s="312">
        <f>IF(HDRAG_HAS_REC_HMERC,SUM(K30:N30),"")</f>
        <v>205</v>
      </c>
      <c r="P30" s="455">
        <f>IFERROR((G30-O30)/G30,"")</f>
        <v>0.57644628099173556</v>
      </c>
      <c r="Q30" s="455"/>
      <c r="R30" s="455"/>
    </row>
    <row r="31" spans="1:18" ht="15.75" x14ac:dyDescent="0.25">
      <c r="A31" s="16"/>
      <c r="B31" s="111" t="s">
        <v>35</v>
      </c>
      <c r="C31" s="115">
        <f>IF(HDRAG_HAS_REC_HMID,_xlfn.CEILING.MATH((HDRAG_MAX_DRAGON_BLD_16/$G6)*C7),"")</f>
        <v>291</v>
      </c>
      <c r="D31" s="115">
        <f>IF(HDRAG_HAS_REC_HMID,_xlfn.CEILING.MATH((HDRAG_MAX_DRAGON_BLD_16/$G6)*D7),"")</f>
        <v>96</v>
      </c>
      <c r="E31" s="115">
        <f>IF(HDRAG_HAS_REC_HMID,_xlfn.CEILING.MATH((HDRAG_MAX_DRAGON_BLD_16/$G6)*E7),"")</f>
        <v>35</v>
      </c>
      <c r="F31" s="115">
        <f>IF(HDRAG_HAS_REC_HMID,_xlfn.CEILING.MATH((HDRAG_MAX_DRAGON_BLD_16/$G6)*F7),"")</f>
        <v>28</v>
      </c>
      <c r="G31" s="120">
        <f>IF(HDRAG_HAS_REC_HMID,SUM(C31:F31),"")</f>
        <v>450</v>
      </c>
      <c r="J31" s="111" t="s">
        <v>35</v>
      </c>
      <c r="K31" s="313">
        <f>IF(HDRAG_HAS_REC_HMID,_xlfn.CEILING.MATH(($O5/$G$6)*C7),"")</f>
        <v>0</v>
      </c>
      <c r="L31" s="313" t="str">
        <f>IF(OR($O5=0,$O5=""),"",_xlfn.CEILING.MATH(($O5/$G$6)*D7))</f>
        <v/>
      </c>
      <c r="M31" s="313" t="str">
        <f>IF(OR($O5=0,$O5=""),"",_xlfn.CEILING.MATH(($O5/$G$6)*E7))</f>
        <v/>
      </c>
      <c r="N31" s="313" t="str">
        <f>IF(OR($O5=0,$O5=""),"",_xlfn.CEILING.MATH(($O5/$G$6)*F7))</f>
        <v/>
      </c>
      <c r="O31" s="313">
        <f>IF(HDRAG_HAS_REC_HMID,SUM(K31:N31),"")</f>
        <v>0</v>
      </c>
      <c r="P31" s="455">
        <f>IFERROR((G31-O31)/G31,"")</f>
        <v>1</v>
      </c>
      <c r="Q31" s="455"/>
      <c r="R31" s="455"/>
    </row>
    <row r="32" spans="1:18" ht="15.75" x14ac:dyDescent="0.25">
      <c r="A32" s="16"/>
      <c r="B32" s="112" t="s">
        <v>47</v>
      </c>
      <c r="C32" s="116" t="str">
        <f>IF(HDRAG_HAS_REC_HJUP,_xlfn.CEILING.MATH((HDRAG_MAX_DRAGON_BLD_16/$G8)*C9),"")</f>
        <v/>
      </c>
      <c r="D32" s="116" t="str">
        <f>IF(HDRAG_HAS_REC_HJUP,_xlfn.CEILING.MATH((HDRAG_MAX_DRAGON_BLD_16/$G8)*D9),"")</f>
        <v/>
      </c>
      <c r="E32" s="116" t="str">
        <f>IF(HDRAG_HAS_REC_HJUP,_xlfn.CEILING.MATH((HDRAG_MAX_DRAGON_BLD_16/$G8)*E9),"")</f>
        <v/>
      </c>
      <c r="F32" s="116" t="str">
        <f>IF(HDRAG_HAS_REC_HJUP,_xlfn.CEILING.MATH((HDRAG_MAX_DRAGON_BLD_16/$G8)*F9),"")</f>
        <v/>
      </c>
      <c r="G32" s="121" t="str">
        <f>IF(HDRAG_HAS_REC_HJUP,SUM(C32:F32),"")</f>
        <v/>
      </c>
      <c r="J32" s="112" t="s">
        <v>47</v>
      </c>
      <c r="K32" s="314" t="str">
        <f>IF(HDRAG_HAS_REC_HJUP,_xlfn.CEILING.MATH(($O6/$G$8)*C9),"")</f>
        <v/>
      </c>
      <c r="L32" s="314" t="str">
        <f>IF(OR($O6=0,$O6=""),"",_xlfn.CEILING.MATH(($O6/$G$8)*D9))</f>
        <v/>
      </c>
      <c r="M32" s="314" t="str">
        <f>IF(OR($O6=0,$O6=""),"",_xlfn.CEILING.MATH(($O6/$G$8)*E9))</f>
        <v/>
      </c>
      <c r="N32" s="314" t="str">
        <f>IF(OR($O6=0,$O6=""),"",_xlfn.CEILING.MATH(($O6/$G$8)*F9))</f>
        <v/>
      </c>
      <c r="O32" s="314" t="str">
        <f>IF(HDRAG_HAS_REC_HJUP,SUM(K32:N32),"")</f>
        <v/>
      </c>
      <c r="P32" s="455" t="str">
        <f>IFERROR((G32-O32)/G32,"")</f>
        <v/>
      </c>
      <c r="Q32" s="455"/>
      <c r="R32" s="455"/>
    </row>
    <row r="33" spans="1:18" ht="15.75" x14ac:dyDescent="0.25">
      <c r="A33" s="16"/>
      <c r="B33" s="170" t="s">
        <v>48</v>
      </c>
      <c r="C33" s="117" t="str">
        <f>IF(HDRAG_HAS_REC_HZOD,_xlfn.CEILING.MATH((HDRAG_MAX_DRAGON_BLD_16/$G10)*C11),"")</f>
        <v/>
      </c>
      <c r="D33" s="117" t="str">
        <f>IF(HDRAG_HAS_REC_HZOD,_xlfn.CEILING.MATH((HDRAG_MAX_DRAGON_BLD_16/$G10)*D11),"")</f>
        <v/>
      </c>
      <c r="E33" s="117" t="str">
        <f>IF(HDRAG_HAS_REC_HZOD,_xlfn.CEILING.MATH((HDRAG_MAX_DRAGON_BLD_16/$G10)*E11),"")</f>
        <v/>
      </c>
      <c r="F33" s="117" t="str">
        <f>IF(HDRAG_HAS_REC_HZOD,_xlfn.CEILING.MATH((HDRAG_MAX_DRAGON_BLD_16/$G10)*F11),"")</f>
        <v/>
      </c>
      <c r="G33" s="122" t="str">
        <f>IF(HDRAG_HAS_REC_HZOD,SUM(C33:F33),"")</f>
        <v/>
      </c>
      <c r="J33" s="305" t="s">
        <v>48</v>
      </c>
      <c r="K33" s="315" t="str">
        <f>IF(HDRAG_HAS_REC_HZOD,_xlfn.CEILING.MATH(($O7/$G$10)*C11),"")</f>
        <v/>
      </c>
      <c r="L33" s="315" t="str">
        <f>IF(OR($O7=0,$O7=""),"",_xlfn.CEILING.MATH(($O7/$G$10)*D11))</f>
        <v/>
      </c>
      <c r="M33" s="315" t="str">
        <f>IF(OR($O7=0,$O7=""),"",_xlfn.CEILING.MATH(($O7/$G$10)*E11))</f>
        <v/>
      </c>
      <c r="N33" s="315" t="str">
        <f>IF(OR($O7=0,$O7=""),"",_xlfn.CEILING.MATH(($O7/$G$10)*F11))</f>
        <v/>
      </c>
      <c r="O33" s="315" t="str">
        <f>IF(HDRAG_HAS_REC_HZOD,SUM(K33:N33),"")</f>
        <v/>
      </c>
      <c r="P33" s="455" t="str">
        <f>IFERROR((G33-O33)/G33,"")</f>
        <v/>
      </c>
      <c r="Q33" s="455"/>
      <c r="R33" s="455"/>
    </row>
    <row r="34" spans="1:18" x14ac:dyDescent="0.25">
      <c r="A34" s="16"/>
      <c r="B34" s="374" t="s">
        <v>42</v>
      </c>
      <c r="C34" s="374"/>
      <c r="D34" s="374"/>
      <c r="E34" s="374"/>
      <c r="F34" s="374"/>
      <c r="G34" s="374"/>
      <c r="K34" s="432" t="s">
        <v>134</v>
      </c>
      <c r="L34" s="432"/>
      <c r="M34" s="432"/>
      <c r="N34" s="432"/>
      <c r="O34" s="432"/>
      <c r="P34" s="432"/>
      <c r="Q34" s="432"/>
      <c r="R34" s="432"/>
    </row>
    <row r="35" spans="1:18" x14ac:dyDescent="0.25">
      <c r="A35" s="16"/>
      <c r="B35" s="16"/>
      <c r="C35" s="72">
        <v>2</v>
      </c>
      <c r="D35" s="72">
        <v>3</v>
      </c>
      <c r="E35" s="72">
        <v>4</v>
      </c>
      <c r="F35" s="72">
        <v>5</v>
      </c>
      <c r="G35" s="352" t="s">
        <v>166</v>
      </c>
      <c r="K35" s="309">
        <v>2</v>
      </c>
      <c r="L35" s="309">
        <v>3</v>
      </c>
      <c r="M35" s="309">
        <v>4</v>
      </c>
      <c r="N35" s="309">
        <v>5</v>
      </c>
      <c r="O35" s="308" t="s">
        <v>45</v>
      </c>
      <c r="P35" s="428" t="s">
        <v>28</v>
      </c>
      <c r="Q35" s="428"/>
      <c r="R35" s="428"/>
    </row>
    <row r="36" spans="1:18" ht="15.75" x14ac:dyDescent="0.25">
      <c r="A36" s="16"/>
      <c r="B36" s="70" t="s">
        <v>34</v>
      </c>
      <c r="C36" s="113">
        <f>IF(HDRAG_HAS_REC_HBRUN,_xlfn.CEILING.MATH((HDRAG_MAX_ALL/$G2)*C3),"")</f>
        <v>367</v>
      </c>
      <c r="D36" s="113">
        <f>IF(HDRAG_HAS_REC_HBRUN,_xlfn.CEILING.MATH((HDRAG_MAX_ALL/$G2)*D3),"")</f>
        <v>125</v>
      </c>
      <c r="E36" s="113">
        <f>IF(HDRAG_HAS_REC_HBRUN,_xlfn.CEILING.MATH((HDRAG_MAX_ALL/$G2)*E3),"")</f>
        <v>24</v>
      </c>
      <c r="F36" s="113">
        <f>IF(HDRAG_HAS_REC_HBRUN,_xlfn.CEILING.MATH((HDRAG_MAX_ALL/$G2)*F3),"")</f>
        <v>20</v>
      </c>
      <c r="G36" s="118">
        <f>IF(HDRAG_HAS_REC_HBRUN,SUM(C36:F36),"")</f>
        <v>536</v>
      </c>
      <c r="J36" s="304" t="s">
        <v>34</v>
      </c>
      <c r="K36" s="311">
        <f>IF(HDRAG_HAS_REC_HBRUN,_xlfn.CEILING.MATH(($P3/$G$2)*C3),"")</f>
        <v>0</v>
      </c>
      <c r="L36" s="311">
        <f>IF(HDRAG_HAS_REC_HBRUN,_xlfn.CEILING.MATH(($P3/$G$2)*D3),"")</f>
        <v>0</v>
      </c>
      <c r="M36" s="311">
        <f>IF(HDRAG_HAS_REC_HBRUN,_xlfn.CEILING.MATH(($P3/$G$2)*E3),"")</f>
        <v>0</v>
      </c>
      <c r="N36" s="311">
        <f>IF(HDRAG_HAS_REC_HBRUN,_xlfn.CEILING.MATH(($P3/$G$2)*F3),"")</f>
        <v>0</v>
      </c>
      <c r="O36" s="311">
        <f>IF(HDRAG_HAS_REC_HBRUN,SUM(K36:N36),"")</f>
        <v>0</v>
      </c>
      <c r="P36" s="455">
        <f>IFERROR((G36-O36)/G36,"")</f>
        <v>1</v>
      </c>
      <c r="Q36" s="455"/>
      <c r="R36" s="455"/>
    </row>
    <row r="37" spans="1:18" ht="15.75" x14ac:dyDescent="0.25">
      <c r="A37" s="16"/>
      <c r="B37" s="110" t="s">
        <v>46</v>
      </c>
      <c r="C37" s="114">
        <f>IF(HDRAG_HAS_REC_HMERC,_xlfn.CEILING.MATH((HDRAG_MAX_ALL/$G4)*C5),"")</f>
        <v>403</v>
      </c>
      <c r="D37" s="114">
        <f>IF(HDRAG_HAS_REC_HMERC,_xlfn.CEILING.MATH((HDRAG_MAX_ALL/$G4)*D5),"")</f>
        <v>96</v>
      </c>
      <c r="E37" s="114">
        <f>IF(HDRAG_HAS_REC_HMERC,_xlfn.CEILING.MATH((HDRAG_MAX_ALL/$G4)*E5),"")</f>
        <v>32</v>
      </c>
      <c r="F37" s="114">
        <f>IF(HDRAG_HAS_REC_HMERC,_xlfn.CEILING.MATH((HDRAG_MAX_ALL/$G4)*F5),"")</f>
        <v>16</v>
      </c>
      <c r="G37" s="119">
        <f>IF(HDRAG_HAS_REC_HMERC,SUM(C37:F37),"")</f>
        <v>547</v>
      </c>
      <c r="J37" s="110" t="s">
        <v>46</v>
      </c>
      <c r="K37" s="312">
        <f>IF(HDRAG_HAS_REC_HMERC,_xlfn.CEILING.MATH(($P4/$G$4)*C5),"")</f>
        <v>172</v>
      </c>
      <c r="L37" s="312">
        <f>IF(HDRAG_HAS_REC_HMERC,_xlfn.CEILING.MATH(($P4/$G$4)*D5),"")</f>
        <v>41</v>
      </c>
      <c r="M37" s="312">
        <f>IF(HDRAG_HAS_REC_HMERC,_xlfn.CEILING.MATH(($P4/$G$4)*E5),"")</f>
        <v>14</v>
      </c>
      <c r="N37" s="312">
        <f>IF(HDRAG_HAS_REC_HMERC,_xlfn.CEILING.MATH(($P4/$G$4)*F5),"")</f>
        <v>7</v>
      </c>
      <c r="O37" s="312">
        <f>IF(HDRAG_HAS_REC_HMERC,SUM(K37:N37),"")</f>
        <v>234</v>
      </c>
      <c r="P37" s="455">
        <f>IFERROR((G37-O37)/G37,"")</f>
        <v>0.57221206581352835</v>
      </c>
      <c r="Q37" s="455"/>
      <c r="R37" s="455"/>
    </row>
    <row r="38" spans="1:18" ht="15.75" x14ac:dyDescent="0.25">
      <c r="A38" s="16"/>
      <c r="B38" s="111" t="s">
        <v>35</v>
      </c>
      <c r="C38" s="115">
        <f>IF(HDRAG_HAS_REC_HMID,_xlfn.CEILING.MATH((HDRAG_MAX_ALL/$G6)*C7),"")</f>
        <v>330</v>
      </c>
      <c r="D38" s="115">
        <f>IF(HDRAG_HAS_REC_HMID,_xlfn.CEILING.MATH((HDRAG_MAX_ALL/$G6)*D7),"")</f>
        <v>109</v>
      </c>
      <c r="E38" s="115">
        <f>IF(HDRAG_HAS_REC_HMID,_xlfn.CEILING.MATH((HDRAG_MAX_ALL/$G6)*E7),"")</f>
        <v>40</v>
      </c>
      <c r="F38" s="115">
        <f>IF(HDRAG_HAS_REC_HMID,_xlfn.CEILING.MATH((HDRAG_MAX_ALL/$G6)*F7),"")</f>
        <v>32</v>
      </c>
      <c r="G38" s="120">
        <f>IF(HDRAG_HAS_REC_HMID,SUM(C38:F38),"")</f>
        <v>511</v>
      </c>
      <c r="J38" s="111" t="s">
        <v>35</v>
      </c>
      <c r="K38" s="313">
        <f>IF(HDRAG_HAS_REC_HMID,_xlfn.CEILING.MATH(($P5/$G$6)*C7),"")</f>
        <v>0</v>
      </c>
      <c r="L38" s="313">
        <f>IF(HDRAG_HAS_REC_HMID,_xlfn.CEILING.MATH(($P5/$G$6)*D7),"")</f>
        <v>0</v>
      </c>
      <c r="M38" s="313">
        <f>IF(HDRAG_HAS_REC_HMID,_xlfn.CEILING.MATH(($P5/$G$6)*E7),"")</f>
        <v>0</v>
      </c>
      <c r="N38" s="313">
        <f>IF(HDRAG_HAS_REC_HMID,_xlfn.CEILING.MATH(($P5/$G$6)*F7),"")</f>
        <v>0</v>
      </c>
      <c r="O38" s="313">
        <f>IF(HDRAG_HAS_REC_HMID,SUM(K38:N38),"")</f>
        <v>0</v>
      </c>
      <c r="P38" s="455">
        <f>IFERROR((G38-O38)/G38,"")</f>
        <v>1</v>
      </c>
      <c r="Q38" s="455"/>
      <c r="R38" s="455"/>
    </row>
    <row r="39" spans="1:18" ht="15.75" x14ac:dyDescent="0.25">
      <c r="A39" s="16"/>
      <c r="B39" s="112" t="s">
        <v>47</v>
      </c>
      <c r="C39" s="116" t="str">
        <f>IF(HDRAG_HAS_REC_HJUP,_xlfn.CEILING.MATH((HDRAG_MAX_ALL/$G8)*C9),"")</f>
        <v/>
      </c>
      <c r="D39" s="116" t="str">
        <f>IF(HDRAG_HAS_REC_HJUP,_xlfn.CEILING.MATH((HDRAG_MAX_ALL/$G8)*D9),"")</f>
        <v/>
      </c>
      <c r="E39" s="116" t="str">
        <f>IF(HDRAG_HAS_REC_HJUP,_xlfn.CEILING.MATH((HDRAG_MAX_ALL/$G8)*E9),"")</f>
        <v/>
      </c>
      <c r="F39" s="116" t="str">
        <f>IF(HDRAG_HAS_REC_HJUP,_xlfn.CEILING.MATH((HDRAG_MAX_ALL/$G8)*F9),"")</f>
        <v/>
      </c>
      <c r="G39" s="121" t="str">
        <f>IF(HDRAG_HAS_REC_HJUP,SUM(C39:F39),"")</f>
        <v/>
      </c>
      <c r="J39" s="112" t="s">
        <v>47</v>
      </c>
      <c r="K39" s="314" t="str">
        <f>IF(HDRAG_HAS_REC_HJUP,_xlfn.CEILING.MATH(($P6/$G$8)*C9),"")</f>
        <v/>
      </c>
      <c r="L39" s="314" t="str">
        <f>IF(HDRAG_HAS_REC_HJUP,_xlfn.CEILING.MATH(($P6/$G$8)*D9),"")</f>
        <v/>
      </c>
      <c r="M39" s="314" t="str">
        <f>IF(HDRAG_HAS_REC_HJUP,_xlfn.CEILING.MATH(($P6/$G$8)*E9),"")</f>
        <v/>
      </c>
      <c r="N39" s="314" t="str">
        <f>IF(HDRAG_HAS_REC_HJUP,_xlfn.CEILING.MATH(($P6/$G$8)*F9),"")</f>
        <v/>
      </c>
      <c r="O39" s="314" t="str">
        <f>IF(HDRAG_HAS_REC_HJUP,SUM(K39:N39),"")</f>
        <v/>
      </c>
      <c r="P39" s="455" t="str">
        <f>IFERROR((G39-O39)/G39,"")</f>
        <v/>
      </c>
      <c r="Q39" s="455"/>
      <c r="R39" s="455"/>
    </row>
    <row r="40" spans="1:18" ht="15.75" x14ac:dyDescent="0.25">
      <c r="A40" s="16"/>
      <c r="B40" s="71" t="s">
        <v>48</v>
      </c>
      <c r="C40" s="117" t="str">
        <f>IF(HDRAG_HAS_REC_HZOD,_xlfn.CEILING.MATH((HDRAG_MAX_ALL/$G10)*C11),"")</f>
        <v/>
      </c>
      <c r="D40" s="117" t="str">
        <f>IF(HDRAG_HAS_REC_HZOD,_xlfn.CEILING.MATH((HDRAG_MAX_ALL/$G10)*D11),"")</f>
        <v/>
      </c>
      <c r="E40" s="117" t="str">
        <f>IF(HDRAG_HAS_REC_HZOD,_xlfn.CEILING.MATH((HDRAG_MAX_ALL/$G10)*E11),"")</f>
        <v/>
      </c>
      <c r="F40" s="117" t="str">
        <f>IF(HDRAG_HAS_REC_HZOD,_xlfn.CEILING.MATH((HDRAG_MAX_ALL/$G10)*F11),"")</f>
        <v/>
      </c>
      <c r="G40" s="122" t="str">
        <f>IF(HDRAG_HAS_REC_HZOD,SUM(C40:F40),"")</f>
        <v/>
      </c>
      <c r="J40" s="305" t="s">
        <v>48</v>
      </c>
      <c r="K40" s="315" t="str">
        <f>IF(HDRAG_HAS_REC_HZOD,_xlfn.CEILING.MATH(($P7/$G$10)*C11),"")</f>
        <v/>
      </c>
      <c r="L40" s="315" t="str">
        <f>IF(HDRAG_HAS_REC_HZOD,_xlfn.CEILING.MATH(($P7/$G$10)*D11),"")</f>
        <v/>
      </c>
      <c r="M40" s="315" t="str">
        <f>IF(HDRAG_HAS_REC_HZOD,_xlfn.CEILING.MATH(($P7/$G$10)*E11),"")</f>
        <v/>
      </c>
      <c r="N40" s="315" t="str">
        <f>IF(HDRAG_HAS_REC_HZOD,_xlfn.CEILING.MATH(($P7/$G$10)*F11),"")</f>
        <v/>
      </c>
      <c r="O40" s="315" t="str">
        <f>IF(HDRAG_HAS_REC_HZOD,SUM(K40:N40),"")</f>
        <v/>
      </c>
      <c r="P40" s="455" t="str">
        <f>IFERROR((G40-O40)/G40,"")</f>
        <v/>
      </c>
      <c r="Q40" s="455"/>
      <c r="R40" s="455"/>
    </row>
    <row r="41" spans="1:18" x14ac:dyDescent="0.25">
      <c r="A41" s="16"/>
      <c r="B41" s="16"/>
    </row>
    <row r="42" spans="1:18" x14ac:dyDescent="0.25">
      <c r="A42" s="16"/>
      <c r="B42" s="16"/>
    </row>
    <row r="43" spans="1:18" x14ac:dyDescent="0.25">
      <c r="A43" s="16"/>
      <c r="B43" s="16"/>
    </row>
  </sheetData>
  <mergeCells count="52">
    <mergeCell ref="A6:A7"/>
    <mergeCell ref="B6:B7"/>
    <mergeCell ref="A4:A5"/>
    <mergeCell ref="B4:B5"/>
    <mergeCell ref="A2:A3"/>
    <mergeCell ref="B2:B3"/>
    <mergeCell ref="B34:G34"/>
    <mergeCell ref="A10:A11"/>
    <mergeCell ref="B10:B11"/>
    <mergeCell ref="A8:A9"/>
    <mergeCell ref="B8:B9"/>
    <mergeCell ref="B27:G27"/>
    <mergeCell ref="B20:G20"/>
    <mergeCell ref="B13:G13"/>
    <mergeCell ref="R1:T1"/>
    <mergeCell ref="G10:G11"/>
    <mergeCell ref="G8:G9"/>
    <mergeCell ref="G6:G7"/>
    <mergeCell ref="G4:G5"/>
    <mergeCell ref="G2:G3"/>
    <mergeCell ref="Q1:Q2"/>
    <mergeCell ref="J1:J2"/>
    <mergeCell ref="K1:L1"/>
    <mergeCell ref="M1:N1"/>
    <mergeCell ref="K27:R27"/>
    <mergeCell ref="K20:R20"/>
    <mergeCell ref="K13:R13"/>
    <mergeCell ref="P21:R21"/>
    <mergeCell ref="P22:R22"/>
    <mergeCell ref="P23:R23"/>
    <mergeCell ref="P24:R24"/>
    <mergeCell ref="P25:R25"/>
    <mergeCell ref="P26:R26"/>
    <mergeCell ref="P14:R14"/>
    <mergeCell ref="P15:R15"/>
    <mergeCell ref="P16:R16"/>
    <mergeCell ref="P17:R17"/>
    <mergeCell ref="P18:R18"/>
    <mergeCell ref="P19:R19"/>
    <mergeCell ref="P40:R40"/>
    <mergeCell ref="P28:R28"/>
    <mergeCell ref="P29:R29"/>
    <mergeCell ref="P30:R30"/>
    <mergeCell ref="P31:R31"/>
    <mergeCell ref="P32:R32"/>
    <mergeCell ref="P33:R33"/>
    <mergeCell ref="P35:R35"/>
    <mergeCell ref="P36:R36"/>
    <mergeCell ref="P37:R37"/>
    <mergeCell ref="P38:R38"/>
    <mergeCell ref="P39:R39"/>
    <mergeCell ref="K34:R34"/>
  </mergeCells>
  <conditionalFormatting sqref="K1">
    <cfRule type="dataBar" priority="26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{0056DFAE-24A5-405B-A2E1-A2F499662CCA}</x14:id>
        </ext>
      </extLst>
    </cfRule>
  </conditionalFormatting>
  <conditionalFormatting sqref="M1">
    <cfRule type="dataBar" priority="28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{71A13B54-27C1-4A68-9DA5-5272B5C9C1A6}</x14:id>
        </ext>
      </extLst>
    </cfRule>
  </conditionalFormatting>
  <conditionalFormatting sqref="Q1">
    <cfRule type="dataBar" priority="30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{E76542C4-A65B-46E7-A44A-52024589876F}</x14:id>
        </ext>
      </extLst>
    </cfRule>
  </conditionalFormatting>
  <conditionalFormatting sqref="R3:T3">
    <cfRule type="dataBar" priority="25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{180D55D6-69FA-411D-A793-6D974A034317}</x14:id>
        </ext>
      </extLst>
    </cfRule>
  </conditionalFormatting>
  <conditionalFormatting sqref="R4:T4">
    <cfRule type="dataBar" priority="24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{A688F774-7739-43AF-B6DF-D58ACEE232CA}</x14:id>
        </ext>
      </extLst>
    </cfRule>
  </conditionalFormatting>
  <conditionalFormatting sqref="R5:T5">
    <cfRule type="dataBar" priority="2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{EB4AD01C-E76D-42AE-9233-2CC3C02A3571}</x14:id>
        </ext>
      </extLst>
    </cfRule>
  </conditionalFormatting>
  <conditionalFormatting sqref="R6:T6">
    <cfRule type="dataBar" priority="22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{B331CDED-E6DC-4642-B38C-805ACD8F6793}</x14:id>
        </ext>
      </extLst>
    </cfRule>
  </conditionalFormatting>
  <conditionalFormatting sqref="R7:T7">
    <cfRule type="dataBar" priority="21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{63D294E8-9400-4F6F-868B-B48804566345}</x14:id>
        </ext>
      </extLst>
    </cfRule>
  </conditionalFormatting>
  <conditionalFormatting sqref="P15">
    <cfRule type="dataBar" priority="20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{23FDE34A-FFD1-4A02-ADC4-D144B0730B16}</x14:id>
        </ext>
      </extLst>
    </cfRule>
  </conditionalFormatting>
  <conditionalFormatting sqref="P16">
    <cfRule type="dataBar" priority="19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{6BBFAA59-116F-4D35-B341-0324729A60A3}</x14:id>
        </ext>
      </extLst>
    </cfRule>
  </conditionalFormatting>
  <conditionalFormatting sqref="P17">
    <cfRule type="dataBar" priority="18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{B2885A79-C94D-44E5-9327-7A3394732409}</x14:id>
        </ext>
      </extLst>
    </cfRule>
  </conditionalFormatting>
  <conditionalFormatting sqref="P18">
    <cfRule type="dataBar" priority="17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{953BE283-7DDF-4499-B558-F10C55141BB2}</x14:id>
        </ext>
      </extLst>
    </cfRule>
  </conditionalFormatting>
  <conditionalFormatting sqref="P19">
    <cfRule type="dataBar" priority="16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{44CAFD59-541F-4ABA-B6FF-F0B32A33CF27}</x14:id>
        </ext>
      </extLst>
    </cfRule>
  </conditionalFormatting>
  <conditionalFormatting sqref="P22">
    <cfRule type="dataBar" priority="15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{4AF1B20F-F446-428D-B477-2FBFFD9153F1}</x14:id>
        </ext>
      </extLst>
    </cfRule>
  </conditionalFormatting>
  <conditionalFormatting sqref="P23">
    <cfRule type="dataBar" priority="14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{EF638F43-1911-44A4-B751-2E8AE3AC29D8}</x14:id>
        </ext>
      </extLst>
    </cfRule>
  </conditionalFormatting>
  <conditionalFormatting sqref="P24">
    <cfRule type="dataBar" priority="1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{35F1B57D-A455-463A-98DD-BD91EDA7D2D5}</x14:id>
        </ext>
      </extLst>
    </cfRule>
  </conditionalFormatting>
  <conditionalFormatting sqref="P25">
    <cfRule type="dataBar" priority="12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{00A9CE74-8E49-415E-9ADE-5790C2F9365C}</x14:id>
        </ext>
      </extLst>
    </cfRule>
  </conditionalFormatting>
  <conditionalFormatting sqref="P26">
    <cfRule type="dataBar" priority="11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{F3917113-48AC-45D0-8CFB-B85DE6473CEA}</x14:id>
        </ext>
      </extLst>
    </cfRule>
  </conditionalFormatting>
  <conditionalFormatting sqref="P29">
    <cfRule type="dataBar" priority="10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{66D55E34-D251-4B7B-8B7B-52507483F74C}</x14:id>
        </ext>
      </extLst>
    </cfRule>
  </conditionalFormatting>
  <conditionalFormatting sqref="P30">
    <cfRule type="dataBar" priority="9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{963AC8BA-4AA8-4F4C-8180-345ECA276559}</x14:id>
        </ext>
      </extLst>
    </cfRule>
  </conditionalFormatting>
  <conditionalFormatting sqref="P31">
    <cfRule type="dataBar" priority="8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{84723150-ABE0-4592-9CE7-C01263B739BD}</x14:id>
        </ext>
      </extLst>
    </cfRule>
  </conditionalFormatting>
  <conditionalFormatting sqref="P32">
    <cfRule type="dataBar" priority="7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{48B92046-F56E-46C0-AA42-3A45CB793A86}</x14:id>
        </ext>
      </extLst>
    </cfRule>
  </conditionalFormatting>
  <conditionalFormatting sqref="P33">
    <cfRule type="dataBar" priority="6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{66F134FF-0A93-4A71-973A-43CA694D5CF9}</x14:id>
        </ext>
      </extLst>
    </cfRule>
  </conditionalFormatting>
  <conditionalFormatting sqref="P36">
    <cfRule type="dataBar" priority="5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{3390BA82-FE5F-4200-9C87-06B6028548B7}</x14:id>
        </ext>
      </extLst>
    </cfRule>
  </conditionalFormatting>
  <conditionalFormatting sqref="P37">
    <cfRule type="dataBar" priority="4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{0CAF94CB-E7B8-450E-A78E-7800D3B43DD6}</x14:id>
        </ext>
      </extLst>
    </cfRule>
  </conditionalFormatting>
  <conditionalFormatting sqref="P38">
    <cfRule type="dataBar" priority="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{EB11CCE3-F9C3-4CB4-A9B6-9A4730FACA19}</x14:id>
        </ext>
      </extLst>
    </cfRule>
  </conditionalFormatting>
  <conditionalFormatting sqref="P39">
    <cfRule type="dataBar" priority="2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{2397C74D-7E3E-4743-84F7-02B88E1E31E6}</x14:id>
        </ext>
      </extLst>
    </cfRule>
  </conditionalFormatting>
  <conditionalFormatting sqref="P40">
    <cfRule type="dataBar" priority="1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{733977E7-CC28-4BED-98E5-FCC3E89F0A74}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56DFAE-24A5-405B-A2E1-A2F499662CC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K1</xm:sqref>
        </x14:conditionalFormatting>
        <x14:conditionalFormatting xmlns:xm="http://schemas.microsoft.com/office/excel/2006/main">
          <x14:cfRule type="dataBar" id="{71A13B54-27C1-4A68-9DA5-5272B5C9C1A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M1</xm:sqref>
        </x14:conditionalFormatting>
        <x14:conditionalFormatting xmlns:xm="http://schemas.microsoft.com/office/excel/2006/main">
          <x14:cfRule type="dataBar" id="{E76542C4-A65B-46E7-A44A-52024589876F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180D55D6-69FA-411D-A793-6D974A03431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R3:T3</xm:sqref>
        </x14:conditionalFormatting>
        <x14:conditionalFormatting xmlns:xm="http://schemas.microsoft.com/office/excel/2006/main">
          <x14:cfRule type="dataBar" id="{A688F774-7739-43AF-B6DF-D58ACEE232C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R4:T4</xm:sqref>
        </x14:conditionalFormatting>
        <x14:conditionalFormatting xmlns:xm="http://schemas.microsoft.com/office/excel/2006/main">
          <x14:cfRule type="dataBar" id="{EB4AD01C-E76D-42AE-9233-2CC3C02A357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R5:T5</xm:sqref>
        </x14:conditionalFormatting>
        <x14:conditionalFormatting xmlns:xm="http://schemas.microsoft.com/office/excel/2006/main">
          <x14:cfRule type="dataBar" id="{B331CDED-E6DC-4642-B38C-805ACD8F6793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R6:T6</xm:sqref>
        </x14:conditionalFormatting>
        <x14:conditionalFormatting xmlns:xm="http://schemas.microsoft.com/office/excel/2006/main">
          <x14:cfRule type="dataBar" id="{63D294E8-9400-4F6F-868B-B48804566345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R7:T7</xm:sqref>
        </x14:conditionalFormatting>
        <x14:conditionalFormatting xmlns:xm="http://schemas.microsoft.com/office/excel/2006/main">
          <x14:cfRule type="dataBar" id="{23FDE34A-FFD1-4A02-ADC4-D144B0730B1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P15</xm:sqref>
        </x14:conditionalFormatting>
        <x14:conditionalFormatting xmlns:xm="http://schemas.microsoft.com/office/excel/2006/main">
          <x14:cfRule type="dataBar" id="{6BBFAA59-116F-4D35-B341-0324729A60A3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P16</xm:sqref>
        </x14:conditionalFormatting>
        <x14:conditionalFormatting xmlns:xm="http://schemas.microsoft.com/office/excel/2006/main">
          <x14:cfRule type="dataBar" id="{B2885A79-C94D-44E5-9327-7A339473240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P17</xm:sqref>
        </x14:conditionalFormatting>
        <x14:conditionalFormatting xmlns:xm="http://schemas.microsoft.com/office/excel/2006/main">
          <x14:cfRule type="dataBar" id="{953BE283-7DDF-4499-B558-F10C55141BB2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P18</xm:sqref>
        </x14:conditionalFormatting>
        <x14:conditionalFormatting xmlns:xm="http://schemas.microsoft.com/office/excel/2006/main">
          <x14:cfRule type="dataBar" id="{44CAFD59-541F-4ABA-B6FF-F0B32A33CF2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P19</xm:sqref>
        </x14:conditionalFormatting>
        <x14:conditionalFormatting xmlns:xm="http://schemas.microsoft.com/office/excel/2006/main">
          <x14:cfRule type="dataBar" id="{4AF1B20F-F446-428D-B477-2FBFFD9153F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P22</xm:sqref>
        </x14:conditionalFormatting>
        <x14:conditionalFormatting xmlns:xm="http://schemas.microsoft.com/office/excel/2006/main">
          <x14:cfRule type="dataBar" id="{EF638F43-1911-44A4-B751-2E8AE3AC29D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P23</xm:sqref>
        </x14:conditionalFormatting>
        <x14:conditionalFormatting xmlns:xm="http://schemas.microsoft.com/office/excel/2006/main">
          <x14:cfRule type="dataBar" id="{35F1B57D-A455-463A-98DD-BD91EDA7D2D5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P24</xm:sqref>
        </x14:conditionalFormatting>
        <x14:conditionalFormatting xmlns:xm="http://schemas.microsoft.com/office/excel/2006/main">
          <x14:cfRule type="dataBar" id="{00A9CE74-8E49-415E-9ADE-5790C2F9365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P25</xm:sqref>
        </x14:conditionalFormatting>
        <x14:conditionalFormatting xmlns:xm="http://schemas.microsoft.com/office/excel/2006/main">
          <x14:cfRule type="dataBar" id="{F3917113-48AC-45D0-8CFB-B85DE6473CE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P26</xm:sqref>
        </x14:conditionalFormatting>
        <x14:conditionalFormatting xmlns:xm="http://schemas.microsoft.com/office/excel/2006/main">
          <x14:cfRule type="dataBar" id="{66D55E34-D251-4B7B-8B7B-52507483F74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P29</xm:sqref>
        </x14:conditionalFormatting>
        <x14:conditionalFormatting xmlns:xm="http://schemas.microsoft.com/office/excel/2006/main">
          <x14:cfRule type="dataBar" id="{963AC8BA-4AA8-4F4C-8180-345ECA27655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P30</xm:sqref>
        </x14:conditionalFormatting>
        <x14:conditionalFormatting xmlns:xm="http://schemas.microsoft.com/office/excel/2006/main">
          <x14:cfRule type="dataBar" id="{84723150-ABE0-4592-9CE7-C01263B739BD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P31</xm:sqref>
        </x14:conditionalFormatting>
        <x14:conditionalFormatting xmlns:xm="http://schemas.microsoft.com/office/excel/2006/main">
          <x14:cfRule type="dataBar" id="{48B92046-F56E-46C0-AA42-3A45CB793A8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P32</xm:sqref>
        </x14:conditionalFormatting>
        <x14:conditionalFormatting xmlns:xm="http://schemas.microsoft.com/office/excel/2006/main">
          <x14:cfRule type="dataBar" id="{66F134FF-0A93-4A71-973A-43CA694D5CF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P33</xm:sqref>
        </x14:conditionalFormatting>
        <x14:conditionalFormatting xmlns:xm="http://schemas.microsoft.com/office/excel/2006/main">
          <x14:cfRule type="dataBar" id="{3390BA82-FE5F-4200-9C87-06B6028548B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P36</xm:sqref>
        </x14:conditionalFormatting>
        <x14:conditionalFormatting xmlns:xm="http://schemas.microsoft.com/office/excel/2006/main">
          <x14:cfRule type="dataBar" id="{0CAF94CB-E7B8-450E-A78E-7800D3B43DD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P37</xm:sqref>
        </x14:conditionalFormatting>
        <x14:conditionalFormatting xmlns:xm="http://schemas.microsoft.com/office/excel/2006/main">
          <x14:cfRule type="dataBar" id="{EB11CCE3-F9C3-4CB4-A9B6-9A4730FACA1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P38</xm:sqref>
        </x14:conditionalFormatting>
        <x14:conditionalFormatting xmlns:xm="http://schemas.microsoft.com/office/excel/2006/main">
          <x14:cfRule type="dataBar" id="{2397C74D-7E3E-4743-84F7-02B88E1E31E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P39</xm:sqref>
        </x14:conditionalFormatting>
        <x14:conditionalFormatting xmlns:xm="http://schemas.microsoft.com/office/excel/2006/main">
          <x14:cfRule type="dataBar" id="{733977E7-CC28-4BED-98E5-FCC3E89F0A7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P40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3A600-DCA6-49F5-831E-ACD6AC06071D}">
  <sheetPr codeName="Sheet6">
    <tabColor theme="5" tint="0.59999389629810485"/>
  </sheetPr>
  <dimension ref="A1:D32"/>
  <sheetViews>
    <sheetView workbookViewId="0">
      <selection activeCell="E12" sqref="E12"/>
    </sheetView>
  </sheetViews>
  <sheetFormatPr defaultColWidth="9.140625" defaultRowHeight="15" x14ac:dyDescent="0.25"/>
  <cols>
    <col min="1" max="16384" width="9.140625" style="1"/>
  </cols>
  <sheetData>
    <row r="1" spans="1:4" x14ac:dyDescent="0.25">
      <c r="A1" s="1" t="s">
        <v>43</v>
      </c>
      <c r="B1" s="1" t="s">
        <v>161</v>
      </c>
      <c r="C1" s="1" t="s">
        <v>44</v>
      </c>
    </row>
    <row r="2" spans="1:4" x14ac:dyDescent="0.25">
      <c r="A2" s="1">
        <v>816</v>
      </c>
      <c r="B2" s="1">
        <v>800</v>
      </c>
      <c r="C2" s="1">
        <v>485</v>
      </c>
      <c r="D2" s="320"/>
    </row>
    <row r="3" spans="1:4" x14ac:dyDescent="0.25">
      <c r="A3" s="1">
        <v>786</v>
      </c>
      <c r="B3" s="1">
        <v>800</v>
      </c>
      <c r="C3" s="1">
        <v>480</v>
      </c>
      <c r="D3" s="320"/>
    </row>
    <row r="4" spans="1:4" x14ac:dyDescent="0.25">
      <c r="A4" s="1">
        <v>783</v>
      </c>
      <c r="B4" s="1">
        <v>800</v>
      </c>
      <c r="C4" s="1">
        <f>C3-120</f>
        <v>360</v>
      </c>
      <c r="D4" s="320"/>
    </row>
    <row r="5" spans="1:4" x14ac:dyDescent="0.25">
      <c r="A5" s="1">
        <v>780</v>
      </c>
      <c r="B5" s="1">
        <v>800</v>
      </c>
      <c r="C5" s="1">
        <f>C4-120</f>
        <v>240</v>
      </c>
      <c r="D5" s="320"/>
    </row>
    <row r="6" spans="1:4" x14ac:dyDescent="0.25">
      <c r="A6" s="1">
        <v>775</v>
      </c>
      <c r="B6" s="1">
        <v>800</v>
      </c>
      <c r="C6" s="1">
        <f>C5-120</f>
        <v>120</v>
      </c>
      <c r="D6" s="320"/>
    </row>
    <row r="7" spans="1:4" x14ac:dyDescent="0.25">
      <c r="A7" s="1">
        <v>770</v>
      </c>
      <c r="B7" s="1">
        <v>790</v>
      </c>
      <c r="C7" s="1">
        <f>C6-120</f>
        <v>0</v>
      </c>
      <c r="D7" s="320"/>
    </row>
    <row r="8" spans="1:4" x14ac:dyDescent="0.25">
      <c r="A8" s="1">
        <v>763</v>
      </c>
      <c r="B8" s="1">
        <v>780</v>
      </c>
      <c r="D8" s="320"/>
    </row>
    <row r="9" spans="1:4" x14ac:dyDescent="0.25">
      <c r="A9" s="1">
        <v>756</v>
      </c>
      <c r="B9" s="1">
        <v>770</v>
      </c>
      <c r="D9" s="320"/>
    </row>
    <row r="10" spans="1:4" x14ac:dyDescent="0.25">
      <c r="A10" s="1">
        <v>749</v>
      </c>
      <c r="B10" s="1">
        <v>760</v>
      </c>
      <c r="D10" s="320"/>
    </row>
    <row r="11" spans="1:4" x14ac:dyDescent="0.25">
      <c r="A11" s="1">
        <v>739</v>
      </c>
      <c r="B11" s="1">
        <v>750</v>
      </c>
      <c r="D11" s="320"/>
    </row>
    <row r="12" spans="1:4" x14ac:dyDescent="0.25">
      <c r="A12" s="1">
        <v>729</v>
      </c>
      <c r="B12" s="1">
        <v>730</v>
      </c>
      <c r="D12" s="320"/>
    </row>
    <row r="13" spans="1:4" x14ac:dyDescent="0.25">
      <c r="A13" s="1">
        <v>717</v>
      </c>
      <c r="B13" s="1">
        <v>710</v>
      </c>
      <c r="D13" s="320"/>
    </row>
    <row r="14" spans="1:4" x14ac:dyDescent="0.25">
      <c r="A14" s="1">
        <v>705</v>
      </c>
      <c r="B14" s="1">
        <v>690</v>
      </c>
      <c r="D14" s="320"/>
    </row>
    <row r="15" spans="1:4" x14ac:dyDescent="0.25">
      <c r="A15" s="1">
        <v>690</v>
      </c>
      <c r="B15" s="1">
        <v>670</v>
      </c>
      <c r="D15" s="320"/>
    </row>
    <row r="16" spans="1:4" x14ac:dyDescent="0.25">
      <c r="A16" s="1">
        <v>675</v>
      </c>
      <c r="B16" s="1">
        <v>650</v>
      </c>
      <c r="D16" s="320"/>
    </row>
    <row r="17" spans="1:4" x14ac:dyDescent="0.25">
      <c r="A17" s="1">
        <v>660</v>
      </c>
      <c r="B17" s="1">
        <v>620</v>
      </c>
      <c r="D17" s="320"/>
    </row>
    <row r="18" spans="1:4" x14ac:dyDescent="0.25">
      <c r="A18" s="1">
        <v>640</v>
      </c>
      <c r="B18" s="1">
        <v>590</v>
      </c>
      <c r="D18" s="320"/>
    </row>
    <row r="19" spans="1:4" x14ac:dyDescent="0.25">
      <c r="A19" s="1">
        <v>620</v>
      </c>
      <c r="B19" s="1">
        <v>560</v>
      </c>
      <c r="D19" s="320"/>
    </row>
    <row r="20" spans="1:4" x14ac:dyDescent="0.25">
      <c r="A20" s="1">
        <v>600</v>
      </c>
      <c r="B20" s="1">
        <v>530</v>
      </c>
      <c r="D20" s="320"/>
    </row>
    <row r="21" spans="1:4" x14ac:dyDescent="0.25">
      <c r="A21" s="1">
        <v>570</v>
      </c>
      <c r="B21" s="1">
        <v>500</v>
      </c>
      <c r="D21" s="320"/>
    </row>
    <row r="22" spans="1:4" x14ac:dyDescent="0.25">
      <c r="A22" s="1">
        <v>540</v>
      </c>
      <c r="B22" s="1">
        <v>460</v>
      </c>
      <c r="D22" s="320"/>
    </row>
    <row r="23" spans="1:4" x14ac:dyDescent="0.25">
      <c r="A23" s="1">
        <v>500</v>
      </c>
      <c r="B23" s="1">
        <v>420</v>
      </c>
      <c r="D23" s="320"/>
    </row>
    <row r="24" spans="1:4" x14ac:dyDescent="0.25">
      <c r="A24" s="1">
        <v>460</v>
      </c>
      <c r="B24" s="1">
        <v>380</v>
      </c>
      <c r="D24" s="320"/>
    </row>
    <row r="25" spans="1:4" x14ac:dyDescent="0.25">
      <c r="A25" s="1">
        <v>420</v>
      </c>
      <c r="B25" s="1">
        <v>340</v>
      </c>
      <c r="D25" s="320"/>
    </row>
    <row r="26" spans="1:4" x14ac:dyDescent="0.25">
      <c r="A26" s="1">
        <v>370</v>
      </c>
      <c r="B26" s="1">
        <v>300</v>
      </c>
      <c r="D26" s="320"/>
    </row>
    <row r="27" spans="1:4" x14ac:dyDescent="0.25">
      <c r="A27" s="1">
        <v>320</v>
      </c>
      <c r="B27" s="1">
        <v>240</v>
      </c>
      <c r="D27" s="320"/>
    </row>
    <row r="28" spans="1:4" x14ac:dyDescent="0.25">
      <c r="A28" s="1">
        <v>260</v>
      </c>
      <c r="B28" s="1">
        <v>180</v>
      </c>
      <c r="D28" s="320"/>
    </row>
    <row r="29" spans="1:4" x14ac:dyDescent="0.25">
      <c r="A29" s="1">
        <v>200</v>
      </c>
      <c r="B29" s="1">
        <v>120</v>
      </c>
      <c r="D29" s="320"/>
    </row>
    <row r="30" spans="1:4" x14ac:dyDescent="0.25">
      <c r="A30" s="1">
        <v>140</v>
      </c>
      <c r="B30" s="1">
        <v>60</v>
      </c>
      <c r="D30" s="320"/>
    </row>
    <row r="31" spans="1:4" x14ac:dyDescent="0.25">
      <c r="A31" s="1">
        <v>70</v>
      </c>
      <c r="B31" s="1">
        <v>0</v>
      </c>
    </row>
    <row r="32" spans="1:4" x14ac:dyDescent="0.25">
      <c r="A32" s="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80CDF-D24A-4FB8-9671-F01C933B841B}">
  <sheetPr codeName="Sheet7">
    <tabColor theme="5"/>
  </sheetPr>
  <dimension ref="A1:AE20"/>
  <sheetViews>
    <sheetView workbookViewId="0">
      <selection activeCell="N7" sqref="N7"/>
    </sheetView>
  </sheetViews>
  <sheetFormatPr defaultColWidth="2.85546875" defaultRowHeight="15" customHeight="1" x14ac:dyDescent="0.25"/>
  <cols>
    <col min="1" max="16384" width="2.85546875" style="1"/>
  </cols>
  <sheetData>
    <row r="1" spans="1:31" ht="15" customHeight="1" x14ac:dyDescent="0.25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3</v>
      </c>
      <c r="G1" s="1">
        <v>4</v>
      </c>
      <c r="H1" s="1">
        <v>2</v>
      </c>
      <c r="I1" s="1">
        <v>2</v>
      </c>
      <c r="J1" s="1">
        <v>5</v>
      </c>
      <c r="K1" s="1">
        <v>2</v>
      </c>
      <c r="L1" s="1">
        <v>2</v>
      </c>
      <c r="M1" s="1">
        <v>3</v>
      </c>
      <c r="N1" s="1">
        <v>2</v>
      </c>
    </row>
    <row r="2" spans="1:31" ht="15" customHeight="1" x14ac:dyDescent="0.25">
      <c r="A2" s="1">
        <v>3</v>
      </c>
      <c r="B2" s="1">
        <v>2</v>
      </c>
      <c r="C2" s="1">
        <v>2</v>
      </c>
      <c r="D2" s="1">
        <v>3</v>
      </c>
      <c r="E2" s="1">
        <v>2</v>
      </c>
      <c r="F2" s="1">
        <v>4</v>
      </c>
      <c r="G2" s="1">
        <v>3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</row>
    <row r="3" spans="1:31" ht="15" customHeight="1" x14ac:dyDescent="0.25">
      <c r="A3" s="1">
        <v>2</v>
      </c>
      <c r="B3" s="1">
        <v>3</v>
      </c>
      <c r="C3" s="1">
        <v>2</v>
      </c>
      <c r="D3" s="1">
        <v>2</v>
      </c>
      <c r="E3" s="1">
        <v>2</v>
      </c>
      <c r="F3" s="1">
        <v>2</v>
      </c>
      <c r="G3" s="1">
        <v>3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3</v>
      </c>
    </row>
    <row r="4" spans="1:31" ht="15" customHeight="1" x14ac:dyDescent="0.25">
      <c r="A4" s="1">
        <v>2</v>
      </c>
      <c r="B4" s="1">
        <v>2</v>
      </c>
      <c r="C4" s="1">
        <v>3</v>
      </c>
      <c r="D4" s="1">
        <v>4</v>
      </c>
      <c r="E4" s="1">
        <v>3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3</v>
      </c>
      <c r="L4" s="1">
        <v>2</v>
      </c>
      <c r="M4" s="1">
        <v>4</v>
      </c>
    </row>
    <row r="5" spans="1:31" ht="15" customHeight="1" x14ac:dyDescent="0.25">
      <c r="A5" s="1">
        <v>2</v>
      </c>
      <c r="B5" s="1">
        <v>5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>
        <v>3</v>
      </c>
      <c r="I5" s="1">
        <v>2</v>
      </c>
      <c r="J5" s="1">
        <v>2</v>
      </c>
      <c r="K5" s="1">
        <v>3</v>
      </c>
      <c r="L5" s="1">
        <v>3</v>
      </c>
      <c r="M5" s="1">
        <v>3</v>
      </c>
    </row>
    <row r="6" spans="1:31" ht="15" customHeight="1" x14ac:dyDescent="0.25">
      <c r="A6" s="1">
        <v>3</v>
      </c>
      <c r="B6" s="1">
        <v>2</v>
      </c>
      <c r="C6" s="1">
        <v>2</v>
      </c>
      <c r="D6" s="1">
        <v>2</v>
      </c>
      <c r="E6" s="1">
        <v>2</v>
      </c>
      <c r="F6" s="1">
        <v>3</v>
      </c>
      <c r="G6" s="1">
        <v>3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3</v>
      </c>
    </row>
    <row r="7" spans="1:31" ht="15" customHeight="1" x14ac:dyDescent="0.25">
      <c r="A7" s="1">
        <v>2</v>
      </c>
      <c r="B7" s="1">
        <v>2</v>
      </c>
      <c r="C7" s="1">
        <v>2</v>
      </c>
      <c r="D7" s="1">
        <v>3</v>
      </c>
      <c r="E7" s="1">
        <v>2</v>
      </c>
      <c r="F7" s="1">
        <v>3</v>
      </c>
      <c r="G7" s="1">
        <v>3</v>
      </c>
      <c r="H7" s="1">
        <v>2</v>
      </c>
      <c r="I7" s="1">
        <v>2</v>
      </c>
      <c r="J7" s="1">
        <v>2</v>
      </c>
      <c r="K7" s="1">
        <v>2</v>
      </c>
      <c r="L7" s="1">
        <v>3</v>
      </c>
      <c r="M7" s="1">
        <v>2</v>
      </c>
    </row>
    <row r="8" spans="1:31" ht="15" customHeight="1" x14ac:dyDescent="0.25">
      <c r="A8" s="1">
        <v>2</v>
      </c>
      <c r="B8" s="1">
        <v>2</v>
      </c>
      <c r="C8" s="1">
        <v>3</v>
      </c>
      <c r="D8" s="1">
        <v>3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5</v>
      </c>
      <c r="M8" s="1">
        <v>2</v>
      </c>
    </row>
    <row r="9" spans="1:31" ht="15" customHeight="1" x14ac:dyDescent="0.25">
      <c r="A9" s="1">
        <v>2</v>
      </c>
      <c r="B9" s="1">
        <v>3</v>
      </c>
      <c r="C9" s="1">
        <v>2</v>
      </c>
      <c r="D9" s="1">
        <v>2</v>
      </c>
      <c r="E9" s="1">
        <v>2</v>
      </c>
      <c r="F9" s="1">
        <v>2</v>
      </c>
      <c r="G9" s="1">
        <v>4</v>
      </c>
      <c r="H9" s="1">
        <v>4</v>
      </c>
      <c r="I9" s="1">
        <v>2</v>
      </c>
      <c r="J9" s="1">
        <v>2</v>
      </c>
      <c r="K9" s="1">
        <v>3</v>
      </c>
      <c r="L9" s="1">
        <v>3</v>
      </c>
      <c r="M9" s="1">
        <v>3</v>
      </c>
    </row>
    <row r="10" spans="1:31" ht="15" customHeight="1" x14ac:dyDescent="0.25">
      <c r="A10" s="1">
        <v>2</v>
      </c>
      <c r="B10" s="1">
        <v>2</v>
      </c>
      <c r="C10" s="1">
        <v>3</v>
      </c>
      <c r="D10" s="1">
        <v>2</v>
      </c>
      <c r="E10" s="1">
        <v>2</v>
      </c>
      <c r="F10" s="1">
        <v>3</v>
      </c>
      <c r="G10" s="1">
        <v>2</v>
      </c>
      <c r="H10" s="1">
        <v>2</v>
      </c>
      <c r="I10" s="1">
        <v>3</v>
      </c>
      <c r="J10" s="1">
        <v>2</v>
      </c>
      <c r="K10" s="1">
        <v>2</v>
      </c>
      <c r="L10" s="1">
        <v>2</v>
      </c>
      <c r="M10" s="1">
        <v>2</v>
      </c>
    </row>
    <row r="11" spans="1:31" ht="15" customHeight="1" x14ac:dyDescent="0.25">
      <c r="A11" s="1">
        <v>2</v>
      </c>
      <c r="B11" s="1">
        <v>2</v>
      </c>
      <c r="C11" s="1">
        <v>2</v>
      </c>
      <c r="D11" s="1">
        <v>2</v>
      </c>
      <c r="E11" s="1">
        <v>4</v>
      </c>
      <c r="F11" s="1">
        <v>5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</row>
    <row r="12" spans="1:31" ht="15" customHeight="1" x14ac:dyDescent="0.2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3</v>
      </c>
      <c r="G12" s="1">
        <v>2</v>
      </c>
      <c r="H12" s="1">
        <v>2</v>
      </c>
      <c r="I12" s="1">
        <v>2</v>
      </c>
      <c r="J12" s="1">
        <v>3</v>
      </c>
      <c r="K12" s="1">
        <v>2</v>
      </c>
      <c r="L12" s="1">
        <v>3</v>
      </c>
      <c r="M12" s="1">
        <v>3</v>
      </c>
      <c r="N12" s="1">
        <v>2</v>
      </c>
    </row>
    <row r="13" spans="1:31" ht="15" customHeight="1" x14ac:dyDescent="0.25">
      <c r="A13" s="1">
        <v>2</v>
      </c>
      <c r="B13" s="1">
        <v>3</v>
      </c>
      <c r="C13" s="1">
        <v>2</v>
      </c>
      <c r="D13" s="21">
        <v>2</v>
      </c>
      <c r="E13" s="1">
        <v>2</v>
      </c>
      <c r="F13" s="1">
        <v>2</v>
      </c>
      <c r="G13" s="1">
        <v>2</v>
      </c>
      <c r="H13" s="1">
        <v>2</v>
      </c>
      <c r="I13" s="1">
        <v>3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3</v>
      </c>
      <c r="P13" s="1">
        <v>3</v>
      </c>
      <c r="Q13" s="1">
        <v>2</v>
      </c>
      <c r="R13" s="1">
        <v>2</v>
      </c>
      <c r="S13" s="1">
        <v>2</v>
      </c>
      <c r="T13" s="1">
        <v>2</v>
      </c>
      <c r="U13" s="1">
        <v>2</v>
      </c>
      <c r="V13" s="1">
        <v>3</v>
      </c>
      <c r="W13" s="1">
        <v>3</v>
      </c>
      <c r="X13" s="1">
        <v>2</v>
      </c>
      <c r="Y13" s="1">
        <v>2</v>
      </c>
      <c r="Z13" s="1">
        <v>5</v>
      </c>
      <c r="AA13" s="1">
        <v>3</v>
      </c>
      <c r="AB13" s="1">
        <v>2</v>
      </c>
      <c r="AC13" s="1">
        <v>2</v>
      </c>
      <c r="AD13" s="1">
        <v>3</v>
      </c>
      <c r="AE13" s="1">
        <v>2</v>
      </c>
    </row>
    <row r="14" spans="1:31" ht="15" customHeight="1" x14ac:dyDescent="0.25">
      <c r="A14" s="1">
        <v>2</v>
      </c>
      <c r="B14" s="1">
        <v>3</v>
      </c>
      <c r="C14" s="1">
        <v>4</v>
      </c>
      <c r="D14" s="21">
        <v>2</v>
      </c>
      <c r="E14" s="1">
        <v>2</v>
      </c>
      <c r="F14" s="1">
        <v>2</v>
      </c>
      <c r="G14" s="1">
        <v>2</v>
      </c>
      <c r="H14" s="1">
        <v>2</v>
      </c>
      <c r="I14" s="1">
        <v>3</v>
      </c>
      <c r="J14" s="1">
        <v>2</v>
      </c>
      <c r="K14" s="1">
        <v>2</v>
      </c>
      <c r="L14" s="1">
        <v>2</v>
      </c>
      <c r="M14" s="1">
        <v>2</v>
      </c>
      <c r="N14" s="1">
        <v>3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3</v>
      </c>
    </row>
    <row r="15" spans="1:31" ht="15" customHeight="1" x14ac:dyDescent="0.25">
      <c r="A15" s="1">
        <v>2</v>
      </c>
      <c r="B15" s="1">
        <v>4</v>
      </c>
      <c r="C15" s="1">
        <v>3</v>
      </c>
      <c r="D15" s="1">
        <v>3</v>
      </c>
      <c r="E15" s="1">
        <v>5</v>
      </c>
      <c r="F15" s="1">
        <v>2</v>
      </c>
      <c r="G15" s="1">
        <v>3</v>
      </c>
      <c r="H15" s="1">
        <v>2</v>
      </c>
      <c r="I15" s="1">
        <v>2</v>
      </c>
      <c r="J15" s="1">
        <v>2</v>
      </c>
      <c r="K15" s="1">
        <v>3</v>
      </c>
      <c r="L15" s="1">
        <v>2</v>
      </c>
      <c r="M15" s="1">
        <v>3</v>
      </c>
      <c r="N15" s="1">
        <v>5</v>
      </c>
      <c r="O15" s="1">
        <v>4</v>
      </c>
      <c r="P15" s="1">
        <v>2</v>
      </c>
      <c r="Q15" s="1">
        <v>2</v>
      </c>
      <c r="R15" s="1">
        <v>2</v>
      </c>
      <c r="S15" s="1">
        <v>4</v>
      </c>
    </row>
    <row r="16" spans="1:31" ht="15" customHeight="1" x14ac:dyDescent="0.25">
      <c r="A16" s="1">
        <v>2</v>
      </c>
      <c r="B16" s="1">
        <v>3</v>
      </c>
      <c r="C16" s="1">
        <v>2</v>
      </c>
      <c r="D16" s="1">
        <v>2</v>
      </c>
      <c r="E16" s="1">
        <v>3</v>
      </c>
      <c r="F16" s="1">
        <v>2</v>
      </c>
      <c r="G16" s="1">
        <v>2</v>
      </c>
      <c r="H16" s="1">
        <v>2</v>
      </c>
      <c r="I16" s="1">
        <v>2</v>
      </c>
      <c r="J16" s="1">
        <v>3</v>
      </c>
      <c r="K16" s="1">
        <v>4</v>
      </c>
      <c r="L16" s="1">
        <v>3</v>
      </c>
      <c r="M16" s="1">
        <v>3</v>
      </c>
    </row>
    <row r="17" spans="1:13" ht="15" customHeight="1" x14ac:dyDescent="0.25">
      <c r="A17" s="1">
        <v>2</v>
      </c>
      <c r="B17" s="1">
        <v>2</v>
      </c>
      <c r="C17" s="1">
        <v>3</v>
      </c>
      <c r="D17" s="1">
        <v>5</v>
      </c>
      <c r="E17" s="1">
        <v>2</v>
      </c>
      <c r="F17" s="1">
        <v>2</v>
      </c>
      <c r="G17" s="1">
        <v>2</v>
      </c>
      <c r="H17" s="1">
        <v>5</v>
      </c>
      <c r="I17" s="1">
        <v>3</v>
      </c>
      <c r="J17" s="1">
        <v>2</v>
      </c>
      <c r="K17" s="1">
        <v>2</v>
      </c>
      <c r="L17" s="1">
        <v>2</v>
      </c>
      <c r="M17" s="1">
        <v>2</v>
      </c>
    </row>
    <row r="18" spans="1:13" ht="15" customHeight="1" x14ac:dyDescent="0.25">
      <c r="A18" s="1">
        <v>2</v>
      </c>
      <c r="B18" s="1">
        <v>3</v>
      </c>
      <c r="C18" s="1">
        <v>2</v>
      </c>
      <c r="D18" s="1">
        <v>2</v>
      </c>
      <c r="E18" s="1">
        <v>3</v>
      </c>
      <c r="F18" s="1">
        <v>3</v>
      </c>
      <c r="G18" s="1">
        <v>3</v>
      </c>
      <c r="H18" s="1">
        <v>3</v>
      </c>
      <c r="I18" s="1">
        <v>2</v>
      </c>
      <c r="J18" s="1">
        <v>5</v>
      </c>
      <c r="K18" s="1">
        <v>2</v>
      </c>
      <c r="L18" s="1">
        <v>3</v>
      </c>
      <c r="M18" s="1">
        <v>2</v>
      </c>
    </row>
    <row r="19" spans="1:13" ht="15" customHeight="1" x14ac:dyDescent="0.25">
      <c r="A19" s="1">
        <v>2</v>
      </c>
      <c r="B19" s="1">
        <v>2</v>
      </c>
      <c r="C19" s="1">
        <v>2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">
        <v>3</v>
      </c>
      <c r="J19" s="1">
        <v>2</v>
      </c>
      <c r="K19" s="1">
        <v>3</v>
      </c>
      <c r="L19" s="1">
        <v>2</v>
      </c>
      <c r="M19" s="1">
        <v>2</v>
      </c>
    </row>
    <row r="20" spans="1:13" ht="15" customHeight="1" x14ac:dyDescent="0.25">
      <c r="A20" s="1">
        <v>2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5</v>
      </c>
      <c r="J20" s="1">
        <v>4</v>
      </c>
      <c r="K20" s="1">
        <v>2</v>
      </c>
      <c r="L20" s="1">
        <v>3</v>
      </c>
      <c r="M20" s="1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6C20F-FF2F-4963-89B7-F435E6497A7A}">
  <sheetPr>
    <tabColor theme="5"/>
  </sheetPr>
  <dimension ref="A1:I20"/>
  <sheetViews>
    <sheetView workbookViewId="0">
      <selection activeCell="AW7" sqref="AW7"/>
    </sheetView>
  </sheetViews>
  <sheetFormatPr defaultColWidth="2.85546875" defaultRowHeight="15" customHeight="1" x14ac:dyDescent="0.25"/>
  <cols>
    <col min="1" max="16384" width="2.85546875" style="1"/>
  </cols>
  <sheetData>
    <row r="1" spans="1:9" ht="15" customHeight="1" x14ac:dyDescent="0.25">
      <c r="A1" s="1">
        <v>2</v>
      </c>
      <c r="B1" s="1">
        <v>2</v>
      </c>
      <c r="C1" s="1">
        <v>2</v>
      </c>
      <c r="D1" s="1">
        <v>2</v>
      </c>
      <c r="E1" s="1">
        <v>3</v>
      </c>
      <c r="F1" s="1">
        <v>2</v>
      </c>
      <c r="G1" s="1">
        <v>2</v>
      </c>
      <c r="H1" s="1">
        <v>3</v>
      </c>
      <c r="I1" s="1">
        <v>2</v>
      </c>
    </row>
    <row r="2" spans="1:9" ht="15" customHeight="1" x14ac:dyDescent="0.25">
      <c r="A2" s="1">
        <v>3</v>
      </c>
      <c r="B2" s="1">
        <v>4</v>
      </c>
      <c r="C2" s="1">
        <v>2</v>
      </c>
      <c r="D2" s="1">
        <v>2</v>
      </c>
      <c r="E2" s="1">
        <v>5</v>
      </c>
      <c r="F2" s="1">
        <v>2</v>
      </c>
      <c r="G2" s="1">
        <v>2</v>
      </c>
      <c r="H2" s="1">
        <v>2</v>
      </c>
      <c r="I2" s="1">
        <v>3</v>
      </c>
    </row>
    <row r="3" spans="1:9" ht="15" customHeight="1" x14ac:dyDescent="0.25">
      <c r="A3" s="1">
        <v>2</v>
      </c>
      <c r="B3" s="1">
        <v>2</v>
      </c>
      <c r="C3" s="1">
        <v>3</v>
      </c>
      <c r="D3" s="1">
        <v>2</v>
      </c>
      <c r="E3" s="1">
        <v>2</v>
      </c>
      <c r="F3" s="1">
        <v>2</v>
      </c>
      <c r="G3" s="1">
        <v>2</v>
      </c>
      <c r="H3" s="1">
        <v>3</v>
      </c>
      <c r="I3" s="1">
        <v>2</v>
      </c>
    </row>
    <row r="4" spans="1:9" ht="15" customHeight="1" x14ac:dyDescent="0.25">
      <c r="A4" s="1">
        <v>2</v>
      </c>
      <c r="B4" s="1">
        <v>2</v>
      </c>
      <c r="C4" s="1">
        <v>5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</row>
    <row r="5" spans="1:9" ht="15" customHeight="1" x14ac:dyDescent="0.25">
      <c r="A5" s="1">
        <v>2</v>
      </c>
      <c r="B5" s="1">
        <v>2</v>
      </c>
      <c r="C5" s="1">
        <v>3</v>
      </c>
      <c r="D5" s="1">
        <v>3</v>
      </c>
      <c r="E5" s="1">
        <v>4</v>
      </c>
      <c r="F5" s="1">
        <v>4</v>
      </c>
      <c r="G5" s="1">
        <v>3</v>
      </c>
      <c r="H5" s="1">
        <v>3</v>
      </c>
      <c r="I5" s="1">
        <v>2</v>
      </c>
    </row>
    <row r="6" spans="1:9" ht="15" customHeight="1" x14ac:dyDescent="0.25">
      <c r="A6" s="1">
        <v>2</v>
      </c>
      <c r="B6" s="1">
        <v>2</v>
      </c>
      <c r="C6" s="1">
        <v>2</v>
      </c>
      <c r="D6" s="1">
        <v>3</v>
      </c>
      <c r="E6" s="1">
        <v>5</v>
      </c>
      <c r="F6" s="1">
        <v>2</v>
      </c>
      <c r="G6" s="1">
        <v>2</v>
      </c>
      <c r="H6" s="1">
        <v>2</v>
      </c>
      <c r="I6" s="1">
        <v>2</v>
      </c>
    </row>
    <row r="7" spans="1:9" ht="15" customHeight="1" x14ac:dyDescent="0.25">
      <c r="A7" s="1">
        <v>2</v>
      </c>
      <c r="B7" s="1">
        <v>2</v>
      </c>
      <c r="C7" s="1">
        <v>2</v>
      </c>
      <c r="D7" s="1">
        <v>2</v>
      </c>
      <c r="E7" s="1">
        <v>2</v>
      </c>
      <c r="F7" s="1">
        <v>2</v>
      </c>
      <c r="G7" s="1">
        <v>2</v>
      </c>
      <c r="H7" s="1">
        <v>3</v>
      </c>
      <c r="I7" s="1">
        <v>2</v>
      </c>
    </row>
    <row r="8" spans="1:9" ht="15" customHeight="1" x14ac:dyDescent="0.25">
      <c r="A8" s="1">
        <v>2</v>
      </c>
      <c r="B8" s="1">
        <v>2</v>
      </c>
      <c r="C8" s="1">
        <v>2</v>
      </c>
      <c r="D8" s="1">
        <v>2</v>
      </c>
      <c r="E8" s="1">
        <v>4</v>
      </c>
      <c r="F8" s="1">
        <v>2</v>
      </c>
      <c r="G8" s="1">
        <v>2</v>
      </c>
      <c r="H8" s="1">
        <v>2</v>
      </c>
      <c r="I8" s="1">
        <v>2</v>
      </c>
    </row>
    <row r="9" spans="1:9" ht="15" customHeight="1" x14ac:dyDescent="0.25">
      <c r="A9" s="1">
        <v>2</v>
      </c>
      <c r="B9" s="1">
        <v>3</v>
      </c>
      <c r="C9" s="1">
        <v>2</v>
      </c>
      <c r="D9" s="1">
        <v>3</v>
      </c>
      <c r="E9" s="1">
        <v>2</v>
      </c>
      <c r="F9" s="1">
        <v>5</v>
      </c>
      <c r="G9" s="1">
        <v>2</v>
      </c>
      <c r="H9" s="1">
        <v>2</v>
      </c>
      <c r="I9" s="1">
        <v>2</v>
      </c>
    </row>
    <row r="10" spans="1:9" ht="15" customHeight="1" x14ac:dyDescent="0.25">
      <c r="A10" s="1">
        <v>2</v>
      </c>
      <c r="B10" s="1">
        <v>3</v>
      </c>
      <c r="C10" s="1">
        <v>2</v>
      </c>
      <c r="D10" s="1">
        <v>2</v>
      </c>
      <c r="E10" s="1">
        <v>4</v>
      </c>
      <c r="F10" s="1">
        <v>2</v>
      </c>
      <c r="G10" s="1">
        <v>2</v>
      </c>
      <c r="H10" s="1">
        <v>3</v>
      </c>
      <c r="I10" s="1">
        <v>2</v>
      </c>
    </row>
    <row r="11" spans="1:9" ht="15" customHeight="1" x14ac:dyDescent="0.25">
      <c r="A11" s="1">
        <v>2</v>
      </c>
      <c r="B11" s="1">
        <v>2</v>
      </c>
      <c r="C11" s="1">
        <v>2</v>
      </c>
      <c r="D11" s="1">
        <v>3</v>
      </c>
      <c r="E11" s="1">
        <v>3</v>
      </c>
      <c r="F11" s="1">
        <v>2</v>
      </c>
      <c r="G11" s="1">
        <v>2</v>
      </c>
      <c r="H11" s="1">
        <v>2</v>
      </c>
      <c r="I11" s="1">
        <v>2</v>
      </c>
    </row>
    <row r="12" spans="1:9" ht="15" customHeight="1" x14ac:dyDescent="0.2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</row>
    <row r="13" spans="1:9" ht="15" customHeight="1" x14ac:dyDescent="0.25">
      <c r="A13" s="1">
        <v>2</v>
      </c>
      <c r="B13" s="1">
        <v>2</v>
      </c>
      <c r="C13" s="1">
        <v>4</v>
      </c>
      <c r="D13" s="1">
        <v>2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</row>
    <row r="14" spans="1:9" ht="15" customHeight="1" x14ac:dyDescent="0.25">
      <c r="A14" s="1">
        <v>2</v>
      </c>
      <c r="B14" s="1">
        <v>2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3</v>
      </c>
      <c r="I14" s="1">
        <v>3</v>
      </c>
    </row>
    <row r="15" spans="1:9" ht="15" customHeight="1" x14ac:dyDescent="0.25">
      <c r="A15" s="1">
        <v>2</v>
      </c>
      <c r="B15" s="1">
        <v>2</v>
      </c>
      <c r="C15" s="1">
        <v>2</v>
      </c>
      <c r="D15" s="1">
        <v>3</v>
      </c>
      <c r="E15" s="1">
        <v>2</v>
      </c>
      <c r="F15" s="1">
        <v>3</v>
      </c>
      <c r="G15" s="1">
        <v>4</v>
      </c>
      <c r="H15" s="1">
        <v>2</v>
      </c>
      <c r="I15" s="1">
        <v>2</v>
      </c>
    </row>
    <row r="16" spans="1:9" ht="15" customHeight="1" x14ac:dyDescent="0.25">
      <c r="A16" s="1">
        <v>2</v>
      </c>
      <c r="B16" s="1">
        <v>2</v>
      </c>
      <c r="C16" s="1">
        <v>4</v>
      </c>
      <c r="D16" s="1">
        <v>2</v>
      </c>
      <c r="E16" s="1">
        <v>3</v>
      </c>
      <c r="F16" s="1">
        <v>3</v>
      </c>
      <c r="G16" s="1">
        <v>3</v>
      </c>
      <c r="H16" s="1">
        <v>2</v>
      </c>
    </row>
    <row r="17" spans="1:7" ht="15" customHeight="1" x14ac:dyDescent="0.25">
      <c r="A17" s="1">
        <v>3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4</v>
      </c>
    </row>
    <row r="18" spans="1:7" ht="15" customHeight="1" x14ac:dyDescent="0.25">
      <c r="A18" s="1">
        <v>2</v>
      </c>
      <c r="B18" s="1">
        <v>2</v>
      </c>
      <c r="C18" s="1">
        <v>3</v>
      </c>
      <c r="D18" s="1">
        <v>2</v>
      </c>
      <c r="E18" s="1">
        <v>4</v>
      </c>
      <c r="F18" s="1">
        <v>2</v>
      </c>
      <c r="G18" s="1">
        <v>3</v>
      </c>
    </row>
    <row r="19" spans="1:7" ht="15" customHeight="1" x14ac:dyDescent="0.25">
      <c r="A19" s="1">
        <v>2</v>
      </c>
      <c r="B19" s="1">
        <v>5</v>
      </c>
      <c r="C19" s="1">
        <v>2</v>
      </c>
      <c r="D19" s="1">
        <v>2</v>
      </c>
      <c r="E19" s="1">
        <v>3</v>
      </c>
      <c r="F19" s="1">
        <v>2</v>
      </c>
      <c r="G19" s="1">
        <v>2</v>
      </c>
    </row>
    <row r="20" spans="1:7" ht="15" customHeight="1" x14ac:dyDescent="0.25">
      <c r="A20" s="1">
        <v>3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D310-33CE-46A2-B35D-DF129779300D}">
  <sheetPr>
    <tabColor theme="5"/>
  </sheetPr>
  <dimension ref="A1:BF29"/>
  <sheetViews>
    <sheetView workbookViewId="0">
      <selection activeCell="AI8" sqref="AI8"/>
    </sheetView>
  </sheetViews>
  <sheetFormatPr defaultColWidth="2.85546875" defaultRowHeight="15" x14ac:dyDescent="0.25"/>
  <cols>
    <col min="1" max="16384" width="2.85546875" style="15"/>
  </cols>
  <sheetData>
    <row r="1" spans="1:58" x14ac:dyDescent="0.25">
      <c r="A1" s="21">
        <v>3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x14ac:dyDescent="0.25">
      <c r="A2" s="21">
        <v>4</v>
      </c>
      <c r="B2" s="1">
        <v>2</v>
      </c>
      <c r="C2" s="1">
        <v>2</v>
      </c>
      <c r="D2" s="1">
        <v>5</v>
      </c>
      <c r="E2" s="1">
        <v>5</v>
      </c>
      <c r="F2" s="1">
        <v>2</v>
      </c>
      <c r="G2" s="1">
        <v>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x14ac:dyDescent="0.25">
      <c r="A3" s="21">
        <v>2</v>
      </c>
      <c r="B3" s="1">
        <v>2</v>
      </c>
      <c r="C3" s="1">
        <v>2</v>
      </c>
      <c r="D3" s="1">
        <v>3</v>
      </c>
      <c r="E3" s="1">
        <v>2</v>
      </c>
      <c r="F3" s="1">
        <v>2</v>
      </c>
      <c r="G3" s="1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x14ac:dyDescent="0.25">
      <c r="A4" s="21">
        <v>2</v>
      </c>
      <c r="B4" s="1">
        <v>2</v>
      </c>
      <c r="C4" s="1">
        <v>2</v>
      </c>
      <c r="D4" s="1">
        <v>2</v>
      </c>
      <c r="E4" s="1">
        <v>4</v>
      </c>
      <c r="F4" s="1">
        <v>2</v>
      </c>
      <c r="G4" s="1">
        <v>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x14ac:dyDescent="0.25">
      <c r="A5" s="21">
        <v>2</v>
      </c>
      <c r="B5" s="1">
        <v>2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x14ac:dyDescent="0.25">
      <c r="A6" s="21">
        <v>2</v>
      </c>
      <c r="B6" s="1">
        <v>5</v>
      </c>
      <c r="C6" s="1">
        <v>2</v>
      </c>
      <c r="D6" s="1">
        <v>2</v>
      </c>
      <c r="E6" s="1">
        <v>2</v>
      </c>
      <c r="F6" s="1">
        <v>2</v>
      </c>
      <c r="G6" s="1">
        <v>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 x14ac:dyDescent="0.25">
      <c r="A7" s="21">
        <v>2</v>
      </c>
      <c r="B7" s="1">
        <v>2</v>
      </c>
      <c r="C7" s="1">
        <v>2</v>
      </c>
      <c r="D7" s="1">
        <v>2</v>
      </c>
      <c r="E7" s="1">
        <v>2</v>
      </c>
      <c r="F7" s="1">
        <v>3</v>
      </c>
      <c r="G7" s="1">
        <v>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spans="1:58" x14ac:dyDescent="0.25">
      <c r="A8" s="21">
        <v>2</v>
      </c>
      <c r="B8" s="1">
        <v>4</v>
      </c>
      <c r="C8" s="1">
        <v>3</v>
      </c>
      <c r="D8" s="1">
        <v>3</v>
      </c>
      <c r="E8" s="1">
        <v>2</v>
      </c>
      <c r="F8" s="1">
        <v>2</v>
      </c>
      <c r="G8" s="1">
        <v>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 t="s">
        <v>133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x14ac:dyDescent="0.25">
      <c r="A9" s="21">
        <v>2</v>
      </c>
      <c r="B9" s="1">
        <v>2</v>
      </c>
      <c r="C9" s="1">
        <v>2</v>
      </c>
      <c r="D9" s="1">
        <v>3</v>
      </c>
      <c r="E9" s="1">
        <v>2</v>
      </c>
      <c r="F9" s="1">
        <v>2</v>
      </c>
      <c r="G9" s="1">
        <v>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8" x14ac:dyDescent="0.25">
      <c r="A10" s="21">
        <v>2</v>
      </c>
      <c r="B10" s="1">
        <v>4</v>
      </c>
      <c r="C10" s="1">
        <v>2</v>
      </c>
      <c r="D10" s="1">
        <v>3</v>
      </c>
      <c r="E10" s="1">
        <v>2</v>
      </c>
      <c r="F10" s="1">
        <v>2</v>
      </c>
      <c r="G10" s="1">
        <v>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</row>
    <row r="11" spans="1:58" x14ac:dyDescent="0.25">
      <c r="A11" s="21">
        <v>3</v>
      </c>
      <c r="B11" s="1">
        <v>2</v>
      </c>
      <c r="C11" s="1">
        <v>5</v>
      </c>
      <c r="D11" s="1">
        <v>2</v>
      </c>
      <c r="E11" s="1">
        <v>3</v>
      </c>
      <c r="F11" s="1">
        <v>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spans="1:58" x14ac:dyDescent="0.25">
      <c r="A12" s="21">
        <v>2</v>
      </c>
      <c r="B12" s="1">
        <v>3</v>
      </c>
      <c r="C12" s="1">
        <v>3</v>
      </c>
      <c r="D12" s="1">
        <v>5</v>
      </c>
      <c r="E12" s="1">
        <v>4</v>
      </c>
      <c r="F12" s="1">
        <v>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spans="1:58" x14ac:dyDescent="0.25">
      <c r="A13" s="21">
        <v>5</v>
      </c>
      <c r="B13" s="1">
        <v>2</v>
      </c>
      <c r="C13" s="1">
        <v>4</v>
      </c>
      <c r="D13" s="1">
        <v>2</v>
      </c>
      <c r="E13" s="1">
        <v>2</v>
      </c>
      <c r="F13" s="1">
        <v>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</row>
    <row r="14" spans="1:58" x14ac:dyDescent="0.25">
      <c r="A14" s="21">
        <v>2</v>
      </c>
      <c r="B14" s="1">
        <v>3</v>
      </c>
      <c r="C14" s="1">
        <v>2</v>
      </c>
      <c r="D14" s="1">
        <v>3</v>
      </c>
      <c r="E14" s="1">
        <v>2</v>
      </c>
      <c r="F14" s="1">
        <v>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</row>
    <row r="15" spans="1:58" x14ac:dyDescent="0.25">
      <c r="A15" s="21">
        <v>2</v>
      </c>
      <c r="B15" s="1">
        <v>2</v>
      </c>
      <c r="C15" s="1">
        <v>4</v>
      </c>
      <c r="D15" s="1">
        <v>2</v>
      </c>
      <c r="E15" s="1">
        <v>2</v>
      </c>
      <c r="F15" s="1">
        <v>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</row>
    <row r="16" spans="1:58" x14ac:dyDescent="0.25">
      <c r="A16" s="21">
        <v>3</v>
      </c>
      <c r="B16" s="1">
        <v>5</v>
      </c>
      <c r="C16" s="1">
        <v>4</v>
      </c>
      <c r="D16" s="1">
        <v>5</v>
      </c>
      <c r="E16" s="1">
        <v>4</v>
      </c>
      <c r="F16" s="1">
        <v>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</row>
    <row r="17" spans="1:58" x14ac:dyDescent="0.25">
      <c r="A17" s="21">
        <v>2</v>
      </c>
      <c r="B17" s="1">
        <v>3</v>
      </c>
      <c r="C17" s="1">
        <v>2</v>
      </c>
      <c r="D17" s="1">
        <v>2</v>
      </c>
      <c r="E17" s="1">
        <v>2</v>
      </c>
      <c r="F17" s="1">
        <v>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</row>
    <row r="18" spans="1:58" x14ac:dyDescent="0.25">
      <c r="A18" s="21">
        <v>2</v>
      </c>
      <c r="B18" s="1">
        <v>3</v>
      </c>
      <c r="C18" s="1">
        <v>2</v>
      </c>
      <c r="D18" s="1">
        <v>2</v>
      </c>
      <c r="E18" s="1">
        <v>2</v>
      </c>
      <c r="F18" s="1">
        <v>4</v>
      </c>
      <c r="G18" s="1">
        <v>2</v>
      </c>
      <c r="H18" s="1">
        <v>2</v>
      </c>
      <c r="I18" s="1">
        <v>3</v>
      </c>
      <c r="J18" s="21">
        <v>2</v>
      </c>
      <c r="K18" s="1">
        <v>2</v>
      </c>
      <c r="L18" s="1">
        <v>2</v>
      </c>
      <c r="M18" s="1">
        <v>3</v>
      </c>
      <c r="N18" s="1">
        <v>2</v>
      </c>
      <c r="O18" s="1">
        <v>2</v>
      </c>
      <c r="P18" s="1">
        <v>2</v>
      </c>
      <c r="Q18" s="1">
        <v>2</v>
      </c>
      <c r="R18" s="21">
        <v>2</v>
      </c>
      <c r="S18" s="1">
        <v>2</v>
      </c>
      <c r="T18" s="1">
        <v>3</v>
      </c>
      <c r="U18" s="1">
        <v>3</v>
      </c>
      <c r="V18" s="1">
        <v>3</v>
      </c>
      <c r="W18" s="1">
        <v>2</v>
      </c>
      <c r="X18" s="1">
        <v>2</v>
      </c>
      <c r="Y18" s="1">
        <v>2</v>
      </c>
      <c r="Z18" s="1">
        <v>4</v>
      </c>
      <c r="AA18" s="1">
        <v>3</v>
      </c>
      <c r="AB18" s="1">
        <v>3</v>
      </c>
      <c r="AC18" s="1">
        <v>2</v>
      </c>
      <c r="AD18" s="1">
        <v>4</v>
      </c>
      <c r="AE18" s="1">
        <v>2</v>
      </c>
      <c r="AF18" s="1">
        <v>2</v>
      </c>
      <c r="AG18" s="1">
        <v>2</v>
      </c>
      <c r="AH18" s="1">
        <v>2</v>
      </c>
      <c r="AI18" s="1">
        <v>2</v>
      </c>
      <c r="AJ18" s="1">
        <v>3</v>
      </c>
      <c r="AK18" s="1">
        <v>2</v>
      </c>
      <c r="AL18" s="1">
        <v>2</v>
      </c>
      <c r="AM18" s="1">
        <v>3</v>
      </c>
      <c r="AN18" s="1">
        <v>2</v>
      </c>
      <c r="AO18" s="1">
        <v>2</v>
      </c>
      <c r="AP18" s="1">
        <v>2</v>
      </c>
      <c r="AQ18" s="1">
        <v>2</v>
      </c>
      <c r="AR18" s="1">
        <v>3</v>
      </c>
      <c r="AS18" s="1">
        <v>3</v>
      </c>
      <c r="AT18" s="1">
        <v>2</v>
      </c>
      <c r="AU18" s="1">
        <v>4</v>
      </c>
      <c r="AV18" s="1">
        <v>4</v>
      </c>
      <c r="AW18" s="1">
        <v>3</v>
      </c>
      <c r="AX18" s="1">
        <v>2</v>
      </c>
      <c r="AY18" s="1">
        <v>2</v>
      </c>
      <c r="AZ18" s="1">
        <v>2</v>
      </c>
      <c r="BA18" s="1">
        <v>2</v>
      </c>
      <c r="BB18" s="1">
        <v>3</v>
      </c>
      <c r="BC18" s="1">
        <v>3</v>
      </c>
      <c r="BD18" s="1">
        <v>4</v>
      </c>
      <c r="BE18" s="1">
        <v>4</v>
      </c>
      <c r="BF18" s="1">
        <v>2</v>
      </c>
    </row>
    <row r="19" spans="1:58" x14ac:dyDescent="0.25">
      <c r="A19" s="21">
        <v>3</v>
      </c>
      <c r="B19" s="1">
        <v>3</v>
      </c>
      <c r="C19" s="1">
        <v>2</v>
      </c>
      <c r="D19" s="1">
        <v>2</v>
      </c>
      <c r="E19" s="1">
        <v>2</v>
      </c>
      <c r="F19" s="1">
        <v>3</v>
      </c>
      <c r="G19" s="1">
        <v>2</v>
      </c>
      <c r="H19" s="1">
        <v>3</v>
      </c>
      <c r="I19" s="1">
        <v>2</v>
      </c>
      <c r="J19" s="21">
        <v>2</v>
      </c>
      <c r="K19" s="1">
        <v>2</v>
      </c>
      <c r="L19" s="1">
        <v>2</v>
      </c>
      <c r="M19" s="1">
        <v>2</v>
      </c>
      <c r="N19" s="1">
        <v>3</v>
      </c>
      <c r="O19" s="1">
        <v>2</v>
      </c>
      <c r="P19" s="1">
        <v>2</v>
      </c>
      <c r="Q19" s="1">
        <v>2</v>
      </c>
      <c r="R19" s="1">
        <v>4</v>
      </c>
      <c r="S19" s="1">
        <v>3</v>
      </c>
      <c r="T19" s="1">
        <v>2</v>
      </c>
      <c r="U19" s="1">
        <v>3</v>
      </c>
      <c r="V19" s="1">
        <v>3</v>
      </c>
      <c r="W19" s="1">
        <v>2</v>
      </c>
      <c r="X19" s="1">
        <v>2</v>
      </c>
      <c r="Y19" s="1">
        <v>2</v>
      </c>
      <c r="Z19" s="1">
        <v>3</v>
      </c>
      <c r="AA19" s="1">
        <v>2</v>
      </c>
      <c r="AB19" s="1">
        <v>2</v>
      </c>
      <c r="AC19" s="1">
        <v>3</v>
      </c>
      <c r="AD19" s="1">
        <v>2</v>
      </c>
      <c r="AE19" s="1">
        <v>2</v>
      </c>
      <c r="AF19" s="1">
        <v>3</v>
      </c>
      <c r="AG19" s="1">
        <v>2</v>
      </c>
      <c r="AH19" s="1">
        <v>3</v>
      </c>
      <c r="AI19" s="1">
        <v>2</v>
      </c>
      <c r="AJ19" s="1">
        <v>2</v>
      </c>
      <c r="AK19" s="1">
        <v>4</v>
      </c>
      <c r="AL19" s="1">
        <v>2</v>
      </c>
      <c r="AM19" s="1">
        <v>2</v>
      </c>
      <c r="AN19" s="1">
        <v>3</v>
      </c>
      <c r="AO19" s="1">
        <v>2</v>
      </c>
      <c r="AP19" s="1">
        <v>2</v>
      </c>
      <c r="AQ19" s="1">
        <v>2</v>
      </c>
      <c r="AR19" s="1">
        <v>3</v>
      </c>
      <c r="AS19" s="1">
        <v>2</v>
      </c>
      <c r="AT19" s="1">
        <v>3</v>
      </c>
      <c r="AU19" s="1">
        <v>2</v>
      </c>
      <c r="AV19" s="1">
        <v>2</v>
      </c>
      <c r="AW19" s="1">
        <v>2</v>
      </c>
      <c r="AX19" s="1">
        <v>2</v>
      </c>
      <c r="AY19" s="1">
        <v>2</v>
      </c>
      <c r="AZ19" s="1">
        <v>3</v>
      </c>
      <c r="BA19" s="1">
        <v>2</v>
      </c>
      <c r="BB19" s="1">
        <v>2</v>
      </c>
      <c r="BC19" s="1">
        <v>3</v>
      </c>
      <c r="BD19" s="1">
        <v>3</v>
      </c>
      <c r="BE19" s="1">
        <v>2</v>
      </c>
      <c r="BF19" s="1">
        <v>2</v>
      </c>
    </row>
    <row r="20" spans="1:58" x14ac:dyDescent="0.25">
      <c r="A20" s="21">
        <v>2</v>
      </c>
      <c r="B20" s="1">
        <v>2</v>
      </c>
      <c r="C20" s="1">
        <v>2</v>
      </c>
      <c r="D20" s="1">
        <v>3</v>
      </c>
      <c r="E20" s="1">
        <v>5</v>
      </c>
      <c r="F20" s="1">
        <v>4</v>
      </c>
      <c r="G20" s="1">
        <v>2</v>
      </c>
      <c r="H20" s="1">
        <v>2</v>
      </c>
      <c r="I20" s="1">
        <v>4</v>
      </c>
      <c r="J20" s="21">
        <v>2</v>
      </c>
      <c r="K20" s="1">
        <v>2</v>
      </c>
      <c r="L20" s="1">
        <v>2</v>
      </c>
      <c r="M20" s="1">
        <v>2</v>
      </c>
      <c r="N20" s="1">
        <v>3</v>
      </c>
      <c r="O20" s="1">
        <v>5</v>
      </c>
      <c r="P20" s="1">
        <v>2</v>
      </c>
      <c r="Q20" s="1">
        <v>4</v>
      </c>
      <c r="R20" s="1">
        <v>2</v>
      </c>
      <c r="S20" s="1">
        <v>2</v>
      </c>
      <c r="T20" s="1">
        <v>2</v>
      </c>
      <c r="U20" s="1">
        <v>2</v>
      </c>
      <c r="V20" s="1">
        <v>4</v>
      </c>
      <c r="W20" s="1">
        <v>3</v>
      </c>
      <c r="X20" s="1">
        <v>2</v>
      </c>
      <c r="Y20" s="1">
        <v>3</v>
      </c>
      <c r="Z20" s="1">
        <v>3</v>
      </c>
      <c r="AA20" s="1">
        <v>2</v>
      </c>
      <c r="AB20" s="1">
        <v>2</v>
      </c>
      <c r="AC20" s="1">
        <v>2</v>
      </c>
      <c r="AD20" s="1">
        <v>2</v>
      </c>
      <c r="AE20" s="1">
        <v>2</v>
      </c>
      <c r="AF20" s="1">
        <v>2</v>
      </c>
      <c r="AG20" s="1">
        <v>3</v>
      </c>
      <c r="AH20" s="1">
        <v>5</v>
      </c>
      <c r="AI20" s="1">
        <v>2</v>
      </c>
      <c r="AJ20" s="1">
        <v>2</v>
      </c>
      <c r="AK20" s="1">
        <v>2</v>
      </c>
      <c r="AL20" s="1">
        <v>4</v>
      </c>
      <c r="AM20" s="1">
        <v>3</v>
      </c>
      <c r="AN20" s="1">
        <v>2</v>
      </c>
      <c r="AO20" s="1">
        <v>2</v>
      </c>
      <c r="AP20" s="1">
        <v>3</v>
      </c>
      <c r="AQ20" s="1">
        <v>5</v>
      </c>
      <c r="AR20" s="1">
        <v>2</v>
      </c>
      <c r="AS20" s="1">
        <v>2</v>
      </c>
      <c r="AT20" s="1">
        <v>3</v>
      </c>
      <c r="AU20" s="1">
        <v>2</v>
      </c>
      <c r="AV20" s="1">
        <v>2</v>
      </c>
      <c r="AW20" s="1">
        <v>4</v>
      </c>
      <c r="AX20" s="1">
        <v>2</v>
      </c>
      <c r="AY20" s="1">
        <v>3</v>
      </c>
      <c r="AZ20" s="1">
        <v>2</v>
      </c>
      <c r="BA20" s="1">
        <v>2</v>
      </c>
      <c r="BB20" s="1">
        <v>2</v>
      </c>
      <c r="BC20" s="1">
        <v>3</v>
      </c>
      <c r="BD20" s="1">
        <v>3</v>
      </c>
      <c r="BE20" s="1">
        <v>2</v>
      </c>
      <c r="BF20" s="1">
        <v>2</v>
      </c>
    </row>
    <row r="21" spans="1:58" x14ac:dyDescent="0.25">
      <c r="A21" s="21">
        <v>5</v>
      </c>
      <c r="B21" s="1">
        <v>2</v>
      </c>
      <c r="C21" s="1">
        <v>2</v>
      </c>
      <c r="D21" s="1">
        <v>5</v>
      </c>
      <c r="E21" s="1">
        <v>4</v>
      </c>
      <c r="F21" s="1">
        <v>3</v>
      </c>
      <c r="G21" s="1">
        <v>4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5</v>
      </c>
      <c r="N21" s="1">
        <v>3</v>
      </c>
      <c r="O21" s="1">
        <v>2</v>
      </c>
      <c r="P21" s="1">
        <v>2</v>
      </c>
      <c r="Q21" s="1">
        <v>2</v>
      </c>
      <c r="R21" s="1">
        <v>3</v>
      </c>
      <c r="S21" s="1">
        <v>3</v>
      </c>
      <c r="T21" s="1">
        <v>3</v>
      </c>
      <c r="U21" s="1">
        <v>4</v>
      </c>
      <c r="V21" s="1">
        <v>2</v>
      </c>
      <c r="W21" s="1">
        <v>5</v>
      </c>
      <c r="X21" s="1">
        <v>2</v>
      </c>
      <c r="Y21" s="1">
        <v>2</v>
      </c>
      <c r="Z21" s="1">
        <v>2</v>
      </c>
      <c r="AA21" s="1">
        <v>5</v>
      </c>
      <c r="AB21" s="1">
        <v>2</v>
      </c>
      <c r="AC21" s="1">
        <v>2</v>
      </c>
      <c r="AD21" s="1">
        <v>2</v>
      </c>
      <c r="AE21" s="1">
        <v>5</v>
      </c>
      <c r="AF21" s="1">
        <v>3</v>
      </c>
      <c r="AG21" s="1">
        <v>2</v>
      </c>
      <c r="AH21" s="1">
        <v>2</v>
      </c>
      <c r="AI21" s="1">
        <v>2</v>
      </c>
      <c r="AJ21" s="1">
        <v>2</v>
      </c>
      <c r="AK21" s="1">
        <v>2</v>
      </c>
      <c r="AL21" s="1">
        <v>2</v>
      </c>
      <c r="AM21" s="1">
        <v>5</v>
      </c>
      <c r="AN21" s="1">
        <v>5</v>
      </c>
      <c r="AO21" s="1">
        <v>2</v>
      </c>
      <c r="AP21" s="1">
        <v>2</v>
      </c>
      <c r="AQ21" s="1">
        <v>2</v>
      </c>
      <c r="AR21" s="1">
        <v>3</v>
      </c>
      <c r="AS21" s="1">
        <v>2</v>
      </c>
      <c r="AT21" s="1">
        <v>2</v>
      </c>
      <c r="AU21" s="1">
        <v>5</v>
      </c>
      <c r="AV21" s="1">
        <v>2</v>
      </c>
      <c r="AW21" s="1">
        <v>2</v>
      </c>
      <c r="AX21" s="1">
        <v>2</v>
      </c>
      <c r="AY21" s="1">
        <v>2</v>
      </c>
      <c r="AZ21" s="1">
        <v>3</v>
      </c>
      <c r="BA21" s="1">
        <v>2</v>
      </c>
      <c r="BB21" s="1">
        <v>2</v>
      </c>
      <c r="BC21" s="1">
        <v>2</v>
      </c>
      <c r="BD21" s="1">
        <v>2</v>
      </c>
      <c r="BE21" s="1">
        <v>3</v>
      </c>
      <c r="BF21" s="1">
        <v>3</v>
      </c>
    </row>
    <row r="22" spans="1:58" x14ac:dyDescent="0.25">
      <c r="A22" s="21">
        <v>4</v>
      </c>
      <c r="B22" s="1">
        <v>2</v>
      </c>
      <c r="C22" s="1">
        <v>3</v>
      </c>
      <c r="D22" s="1">
        <v>2</v>
      </c>
      <c r="E22" s="1">
        <v>2</v>
      </c>
      <c r="F22" s="1">
        <v>3</v>
      </c>
      <c r="G22" s="1">
        <v>3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3</v>
      </c>
      <c r="N22" s="1">
        <v>2</v>
      </c>
      <c r="O22" s="1">
        <v>2</v>
      </c>
      <c r="P22" s="1">
        <v>2</v>
      </c>
      <c r="Q22" s="1">
        <v>2</v>
      </c>
      <c r="R22" s="1">
        <v>3</v>
      </c>
      <c r="S22" s="1">
        <v>2</v>
      </c>
      <c r="T22" s="1">
        <v>3</v>
      </c>
      <c r="U22" s="1">
        <v>3</v>
      </c>
      <c r="V22" s="1">
        <v>2</v>
      </c>
      <c r="W22" s="1">
        <v>2</v>
      </c>
      <c r="X22" s="1">
        <v>3</v>
      </c>
      <c r="Y22" s="1">
        <v>5</v>
      </c>
      <c r="Z22" s="1">
        <v>2</v>
      </c>
      <c r="AA22" s="1">
        <v>3</v>
      </c>
      <c r="AB22" s="1">
        <v>2</v>
      </c>
      <c r="AC22" s="1">
        <v>4</v>
      </c>
      <c r="AD22" s="1">
        <v>2</v>
      </c>
      <c r="AE22" s="1">
        <v>3</v>
      </c>
      <c r="AF22" s="1">
        <v>3</v>
      </c>
      <c r="AG22" s="1">
        <v>2</v>
      </c>
      <c r="AH22" s="1">
        <v>2</v>
      </c>
      <c r="AI22" s="1">
        <v>2</v>
      </c>
      <c r="AJ22" s="1">
        <v>3</v>
      </c>
      <c r="AK22" s="1">
        <v>2</v>
      </c>
      <c r="AL22" s="1">
        <v>2</v>
      </c>
      <c r="AM22" s="1">
        <v>4</v>
      </c>
      <c r="AN22" s="1">
        <v>2</v>
      </c>
      <c r="AO22" s="1">
        <v>2</v>
      </c>
      <c r="AP22" s="1">
        <v>3</v>
      </c>
      <c r="AQ22" s="1">
        <v>2</v>
      </c>
      <c r="AR22" s="1">
        <v>2</v>
      </c>
      <c r="AS22" s="1">
        <v>5</v>
      </c>
      <c r="AT22" s="1">
        <v>2</v>
      </c>
      <c r="AU22" s="1">
        <v>2</v>
      </c>
      <c r="AV22" s="1">
        <v>3</v>
      </c>
      <c r="AW22" s="1">
        <v>2</v>
      </c>
      <c r="AX22" s="1">
        <v>2</v>
      </c>
      <c r="AY22" s="1">
        <v>3</v>
      </c>
      <c r="AZ22" s="1">
        <v>2</v>
      </c>
      <c r="BA22" s="1">
        <v>2</v>
      </c>
      <c r="BB22" s="1">
        <v>2</v>
      </c>
      <c r="BC22" s="1">
        <v>5</v>
      </c>
      <c r="BD22" s="1">
        <v>3</v>
      </c>
      <c r="BE22" s="1">
        <v>2</v>
      </c>
      <c r="BF22" s="1"/>
    </row>
    <row r="23" spans="1:58" x14ac:dyDescent="0.25">
      <c r="A23" s="21">
        <v>2</v>
      </c>
      <c r="B23" s="1">
        <v>2</v>
      </c>
      <c r="C23" s="1">
        <v>2</v>
      </c>
      <c r="D23" s="1">
        <v>2</v>
      </c>
      <c r="E23" s="1">
        <v>2</v>
      </c>
      <c r="F23" s="1">
        <v>2</v>
      </c>
      <c r="G23" s="1">
        <v>2</v>
      </c>
      <c r="H23" s="1">
        <v>2</v>
      </c>
      <c r="I23" s="1">
        <v>5</v>
      </c>
      <c r="J23" s="1">
        <v>3</v>
      </c>
      <c r="K23" s="1">
        <v>2</v>
      </c>
      <c r="L23" s="1">
        <v>2</v>
      </c>
      <c r="M23" s="1">
        <v>2</v>
      </c>
      <c r="N23" s="1">
        <v>3</v>
      </c>
      <c r="O23" s="1">
        <v>2</v>
      </c>
      <c r="P23" s="1">
        <v>3</v>
      </c>
      <c r="Q23" s="1">
        <v>3</v>
      </c>
      <c r="R23" s="1">
        <v>2</v>
      </c>
      <c r="S23" s="1">
        <v>3</v>
      </c>
      <c r="T23" s="1">
        <v>2</v>
      </c>
      <c r="U23" s="1">
        <v>2</v>
      </c>
      <c r="V23" s="1">
        <v>2</v>
      </c>
      <c r="W23" s="1">
        <v>2</v>
      </c>
      <c r="X23" s="1">
        <v>2</v>
      </c>
      <c r="Y23" s="1">
        <v>3</v>
      </c>
      <c r="Z23" s="1">
        <v>2</v>
      </c>
      <c r="AA23" s="1">
        <v>2</v>
      </c>
      <c r="AB23" s="1">
        <v>2</v>
      </c>
      <c r="AC23" s="1">
        <v>3</v>
      </c>
      <c r="AD23" s="1">
        <v>2</v>
      </c>
      <c r="AE23" s="1">
        <v>2</v>
      </c>
      <c r="AF23" s="1">
        <v>2</v>
      </c>
      <c r="AG23" s="1">
        <v>3</v>
      </c>
      <c r="AH23" s="1">
        <v>2</v>
      </c>
      <c r="AI23" s="1">
        <v>2</v>
      </c>
      <c r="AJ23" s="1">
        <v>2</v>
      </c>
      <c r="AK23" s="1">
        <v>2</v>
      </c>
      <c r="AL23" s="1">
        <v>2</v>
      </c>
      <c r="AM23" s="1">
        <v>3</v>
      </c>
      <c r="AN23" s="1">
        <v>5</v>
      </c>
      <c r="AO23" s="1">
        <v>3</v>
      </c>
      <c r="AP23" s="1">
        <v>3</v>
      </c>
      <c r="AQ23" s="1">
        <v>2</v>
      </c>
      <c r="AR23" s="1">
        <v>3</v>
      </c>
      <c r="AS23" s="1">
        <v>2</v>
      </c>
      <c r="AT23" s="1">
        <v>2</v>
      </c>
      <c r="AU23" s="1">
        <v>2</v>
      </c>
      <c r="AV23" s="1">
        <v>3</v>
      </c>
      <c r="AW23" s="1">
        <v>5</v>
      </c>
      <c r="AX23" s="1">
        <v>2</v>
      </c>
      <c r="AY23" s="1">
        <v>3</v>
      </c>
      <c r="AZ23" s="1">
        <v>2</v>
      </c>
      <c r="BA23" s="1">
        <v>3</v>
      </c>
      <c r="BB23" s="1">
        <v>5</v>
      </c>
      <c r="BC23" s="1">
        <v>3</v>
      </c>
      <c r="BD23" s="1">
        <v>2</v>
      </c>
      <c r="BE23" s="1">
        <v>3</v>
      </c>
      <c r="BF23" s="1"/>
    </row>
    <row r="24" spans="1:58" x14ac:dyDescent="0.25">
      <c r="A24" s="21">
        <v>3</v>
      </c>
      <c r="B24" s="1">
        <v>2</v>
      </c>
      <c r="C24" s="1">
        <v>2</v>
      </c>
      <c r="D24" s="1">
        <v>3</v>
      </c>
      <c r="E24" s="1">
        <v>3</v>
      </c>
      <c r="F24" s="1">
        <v>5</v>
      </c>
      <c r="G24" s="1">
        <v>2</v>
      </c>
      <c r="H24" s="1">
        <v>2</v>
      </c>
      <c r="I24" s="1">
        <v>5</v>
      </c>
      <c r="J24" s="1">
        <v>2</v>
      </c>
      <c r="K24" s="1">
        <v>3</v>
      </c>
      <c r="L24" s="1">
        <v>4</v>
      </c>
      <c r="M24" s="1">
        <v>2</v>
      </c>
      <c r="N24" s="1">
        <v>2</v>
      </c>
      <c r="O24" s="1">
        <v>2</v>
      </c>
      <c r="P24" s="1">
        <v>3</v>
      </c>
      <c r="Q24" s="1">
        <v>3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5</v>
      </c>
      <c r="X24" s="1">
        <v>2</v>
      </c>
      <c r="Y24" s="1">
        <v>2</v>
      </c>
      <c r="Z24" s="1">
        <v>2</v>
      </c>
      <c r="AA24" s="1">
        <v>3</v>
      </c>
      <c r="AB24" s="1">
        <v>3</v>
      </c>
      <c r="AC24" s="1">
        <v>2</v>
      </c>
      <c r="AD24" s="1">
        <v>3</v>
      </c>
      <c r="AE24" s="1">
        <v>2</v>
      </c>
      <c r="AF24" s="1">
        <v>2</v>
      </c>
      <c r="AG24" s="1">
        <v>4</v>
      </c>
      <c r="AH24" s="1">
        <v>2</v>
      </c>
      <c r="AI24" s="1">
        <v>3</v>
      </c>
      <c r="AJ24" s="1">
        <v>4</v>
      </c>
      <c r="AK24" s="1">
        <v>3</v>
      </c>
      <c r="AL24" s="1">
        <v>3</v>
      </c>
      <c r="AM24" s="1">
        <v>2</v>
      </c>
      <c r="AN24" s="1">
        <v>3</v>
      </c>
      <c r="AO24" s="1">
        <v>2</v>
      </c>
      <c r="AP24" s="1">
        <v>2</v>
      </c>
      <c r="AQ24" s="1">
        <v>2</v>
      </c>
      <c r="AR24" s="1">
        <v>3</v>
      </c>
      <c r="AS24" s="1">
        <v>2</v>
      </c>
      <c r="AT24" s="1">
        <v>3</v>
      </c>
      <c r="AU24" s="1">
        <v>2</v>
      </c>
      <c r="AV24" s="1">
        <v>2</v>
      </c>
      <c r="AW24" s="1">
        <v>3</v>
      </c>
      <c r="AX24" s="1">
        <v>4</v>
      </c>
      <c r="AY24" s="1">
        <v>2</v>
      </c>
      <c r="AZ24" s="1">
        <v>2</v>
      </c>
      <c r="BA24" s="1">
        <v>3</v>
      </c>
      <c r="BB24" s="1">
        <v>2</v>
      </c>
      <c r="BC24" s="1">
        <v>3</v>
      </c>
      <c r="BD24" s="1">
        <v>2</v>
      </c>
      <c r="BE24" s="1">
        <v>5</v>
      </c>
      <c r="BF24" s="1"/>
    </row>
    <row r="25" spans="1:58" x14ac:dyDescent="0.25">
      <c r="A25" s="21">
        <v>2</v>
      </c>
      <c r="B25" s="1">
        <v>2</v>
      </c>
      <c r="C25" s="1">
        <v>2</v>
      </c>
      <c r="D25" s="1">
        <v>5</v>
      </c>
      <c r="E25" s="1">
        <v>4</v>
      </c>
      <c r="F25" s="1">
        <v>2</v>
      </c>
      <c r="G25" s="1">
        <v>5</v>
      </c>
      <c r="H25" s="1">
        <v>2</v>
      </c>
      <c r="I25" s="1">
        <v>2</v>
      </c>
      <c r="J25" s="21">
        <v>2</v>
      </c>
      <c r="K25" s="1">
        <v>5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Q25" s="1">
        <v>2</v>
      </c>
      <c r="R25" s="1">
        <v>2</v>
      </c>
      <c r="S25" s="1">
        <v>2</v>
      </c>
      <c r="T25" s="1">
        <v>2</v>
      </c>
      <c r="U25" s="1">
        <v>2</v>
      </c>
      <c r="V25" s="1">
        <v>4</v>
      </c>
      <c r="W25" s="1">
        <v>2</v>
      </c>
      <c r="X25" s="1">
        <v>2</v>
      </c>
      <c r="Y25" s="1">
        <v>2</v>
      </c>
      <c r="Z25" s="1">
        <v>3</v>
      </c>
      <c r="AA25" s="1">
        <v>2</v>
      </c>
      <c r="AB25" s="1">
        <v>3</v>
      </c>
      <c r="AC25" s="1">
        <v>2</v>
      </c>
      <c r="AD25" s="1">
        <v>4</v>
      </c>
      <c r="AE25" s="1">
        <v>2</v>
      </c>
      <c r="AF25" s="1">
        <v>2</v>
      </c>
      <c r="AG25" s="1">
        <v>3</v>
      </c>
      <c r="AH25" s="1">
        <v>2</v>
      </c>
      <c r="AI25" s="1">
        <v>3</v>
      </c>
      <c r="AJ25" s="1">
        <v>3</v>
      </c>
      <c r="AK25" s="1">
        <v>3</v>
      </c>
      <c r="AL25" s="1">
        <v>2</v>
      </c>
      <c r="AM25" s="1">
        <v>3</v>
      </c>
      <c r="AN25" s="1">
        <v>3</v>
      </c>
      <c r="AO25" s="1">
        <v>2</v>
      </c>
      <c r="AP25" s="1">
        <v>2</v>
      </c>
      <c r="AQ25" s="1">
        <v>3</v>
      </c>
      <c r="AR25" s="1">
        <v>5</v>
      </c>
      <c r="AS25" s="1">
        <v>2</v>
      </c>
      <c r="AT25" s="1">
        <v>2</v>
      </c>
      <c r="AU25" s="1">
        <v>2</v>
      </c>
      <c r="AV25" s="1">
        <v>3</v>
      </c>
      <c r="AW25" s="1">
        <v>3</v>
      </c>
      <c r="AX25" s="1">
        <v>4</v>
      </c>
      <c r="AY25" s="1">
        <v>2</v>
      </c>
      <c r="AZ25" s="1">
        <v>4</v>
      </c>
      <c r="BA25" s="1">
        <v>2</v>
      </c>
      <c r="BB25" s="1">
        <v>2</v>
      </c>
      <c r="BC25" s="1">
        <v>2</v>
      </c>
      <c r="BD25" s="1">
        <v>2</v>
      </c>
      <c r="BE25" s="1">
        <v>2</v>
      </c>
      <c r="BF25" s="1"/>
    </row>
    <row r="26" spans="1:58" x14ac:dyDescent="0.25">
      <c r="A26" s="21">
        <v>2</v>
      </c>
      <c r="B26" s="1">
        <v>2</v>
      </c>
      <c r="C26" s="1">
        <v>2</v>
      </c>
      <c r="D26" s="1">
        <v>4</v>
      </c>
      <c r="E26" s="1">
        <v>2</v>
      </c>
      <c r="F26" s="1">
        <v>5</v>
      </c>
      <c r="G26" s="1">
        <v>2</v>
      </c>
      <c r="H26" s="1">
        <v>5</v>
      </c>
      <c r="I26" s="1">
        <v>3</v>
      </c>
      <c r="J26" s="21">
        <v>2</v>
      </c>
      <c r="K26" s="1">
        <v>4</v>
      </c>
      <c r="L26" s="1">
        <v>2</v>
      </c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1">
        <v>2</v>
      </c>
      <c r="T26" s="1">
        <v>2</v>
      </c>
      <c r="U26" s="1">
        <v>2</v>
      </c>
      <c r="V26" s="1">
        <v>3</v>
      </c>
      <c r="W26" s="1">
        <v>2</v>
      </c>
      <c r="X26" s="1">
        <v>4</v>
      </c>
      <c r="Y26" s="1">
        <v>2</v>
      </c>
      <c r="Z26" s="1">
        <v>2</v>
      </c>
      <c r="AA26" s="1">
        <v>3</v>
      </c>
      <c r="AB26" s="1">
        <v>4</v>
      </c>
      <c r="AC26" s="1">
        <v>2</v>
      </c>
      <c r="AD26" s="1">
        <v>3</v>
      </c>
      <c r="AE26" s="1">
        <v>3</v>
      </c>
      <c r="AF26" s="1">
        <v>3</v>
      </c>
      <c r="AG26" s="1">
        <v>2</v>
      </c>
      <c r="AH26" s="1">
        <v>2</v>
      </c>
      <c r="AI26" s="1">
        <v>2</v>
      </c>
      <c r="AJ26" s="1">
        <v>2</v>
      </c>
      <c r="AK26" s="1">
        <v>2</v>
      </c>
      <c r="AL26" s="1">
        <v>2</v>
      </c>
      <c r="AM26" s="1">
        <v>4</v>
      </c>
      <c r="AN26" s="1">
        <v>2</v>
      </c>
      <c r="AO26" s="1">
        <v>3</v>
      </c>
      <c r="AP26" s="1">
        <v>2</v>
      </c>
      <c r="AQ26" s="1">
        <v>2</v>
      </c>
      <c r="AR26" s="1">
        <v>2</v>
      </c>
      <c r="AS26" s="1">
        <v>3</v>
      </c>
      <c r="AT26" s="1">
        <v>3</v>
      </c>
      <c r="AU26" s="1">
        <v>2</v>
      </c>
      <c r="AV26" s="1">
        <v>2</v>
      </c>
      <c r="AW26" s="1">
        <v>2</v>
      </c>
      <c r="AX26" s="1">
        <v>2</v>
      </c>
      <c r="AY26" s="1">
        <v>5</v>
      </c>
      <c r="AZ26" s="1">
        <v>4</v>
      </c>
      <c r="BA26" s="1">
        <v>2</v>
      </c>
      <c r="BB26" s="1">
        <v>2</v>
      </c>
      <c r="BC26" s="1">
        <v>2</v>
      </c>
      <c r="BD26" s="1">
        <v>2</v>
      </c>
      <c r="BE26" s="1">
        <v>2</v>
      </c>
      <c r="BF26" s="1"/>
    </row>
    <row r="27" spans="1:58" x14ac:dyDescent="0.25">
      <c r="A27" s="21">
        <v>2</v>
      </c>
      <c r="B27" s="1">
        <v>2</v>
      </c>
      <c r="C27" s="1">
        <v>3</v>
      </c>
      <c r="D27" s="1">
        <v>3</v>
      </c>
      <c r="E27" s="1">
        <v>5</v>
      </c>
      <c r="F27" s="1">
        <v>2</v>
      </c>
      <c r="G27" s="1">
        <v>2</v>
      </c>
      <c r="H27" s="1">
        <v>2</v>
      </c>
      <c r="I27" s="1">
        <v>2</v>
      </c>
      <c r="J27" s="21">
        <v>3</v>
      </c>
      <c r="K27" s="1">
        <v>2</v>
      </c>
      <c r="L27" s="1">
        <v>2</v>
      </c>
      <c r="M27" s="1">
        <v>2</v>
      </c>
      <c r="N27" s="1">
        <v>2</v>
      </c>
      <c r="O27" s="1">
        <v>2</v>
      </c>
      <c r="P27" s="1">
        <v>4</v>
      </c>
      <c r="Q27" s="1">
        <v>2</v>
      </c>
      <c r="R27" s="1">
        <v>2</v>
      </c>
      <c r="S27" s="1">
        <v>2</v>
      </c>
      <c r="T27" s="1">
        <v>3</v>
      </c>
      <c r="U27" s="1">
        <v>3</v>
      </c>
      <c r="V27" s="1">
        <v>2</v>
      </c>
      <c r="W27" s="1">
        <v>4</v>
      </c>
      <c r="X27" s="1">
        <v>3</v>
      </c>
      <c r="Y27" s="1">
        <v>2</v>
      </c>
      <c r="Z27" s="1">
        <v>3</v>
      </c>
      <c r="AA27" s="1">
        <v>2</v>
      </c>
      <c r="AB27" s="1">
        <v>3</v>
      </c>
      <c r="AC27" s="1">
        <v>2</v>
      </c>
      <c r="AD27" s="1">
        <v>2</v>
      </c>
      <c r="AE27" s="1">
        <v>2</v>
      </c>
      <c r="AF27" s="1">
        <v>2</v>
      </c>
      <c r="AG27" s="1">
        <v>2</v>
      </c>
      <c r="AH27" s="1">
        <v>2</v>
      </c>
      <c r="AI27" s="1">
        <v>2</v>
      </c>
      <c r="AJ27" s="1">
        <v>2</v>
      </c>
      <c r="AK27" s="1">
        <v>2</v>
      </c>
      <c r="AL27" s="1">
        <v>3</v>
      </c>
      <c r="AM27" s="1">
        <v>4</v>
      </c>
      <c r="AN27" s="1">
        <v>2</v>
      </c>
      <c r="AO27" s="1">
        <v>2</v>
      </c>
      <c r="AP27" s="1">
        <v>4</v>
      </c>
      <c r="AQ27" s="1">
        <v>2</v>
      </c>
      <c r="AR27" s="1">
        <v>3</v>
      </c>
      <c r="AS27" s="1">
        <v>5</v>
      </c>
      <c r="AT27" s="1">
        <v>2</v>
      </c>
      <c r="AU27" s="1">
        <v>2</v>
      </c>
      <c r="AV27" s="1">
        <v>2</v>
      </c>
      <c r="AW27" s="1">
        <v>4</v>
      </c>
      <c r="AX27" s="1">
        <v>2</v>
      </c>
      <c r="AY27" s="1">
        <v>2</v>
      </c>
      <c r="AZ27" s="1">
        <v>2</v>
      </c>
      <c r="BA27" s="1">
        <v>2</v>
      </c>
      <c r="BB27" s="1">
        <v>4</v>
      </c>
      <c r="BC27" s="1">
        <v>4</v>
      </c>
      <c r="BD27" s="1">
        <v>2</v>
      </c>
      <c r="BE27" s="1">
        <v>2</v>
      </c>
      <c r="BF27" s="1"/>
    </row>
    <row r="28" spans="1:58" x14ac:dyDescent="0.25">
      <c r="A28" s="21">
        <v>2</v>
      </c>
      <c r="B28" s="1">
        <v>2</v>
      </c>
      <c r="C28" s="1">
        <v>2</v>
      </c>
      <c r="D28" s="1">
        <v>3</v>
      </c>
      <c r="E28" s="1">
        <v>4</v>
      </c>
      <c r="F28" s="1">
        <v>5</v>
      </c>
      <c r="G28" s="1">
        <v>2</v>
      </c>
      <c r="H28" s="1">
        <v>2</v>
      </c>
      <c r="I28" s="1">
        <v>2</v>
      </c>
      <c r="J28" s="21">
        <v>2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3</v>
      </c>
      <c r="AB28" s="1">
        <v>2</v>
      </c>
      <c r="AC28" s="1">
        <v>3</v>
      </c>
      <c r="AD28" s="1">
        <v>3</v>
      </c>
      <c r="AE28" s="1">
        <v>2</v>
      </c>
      <c r="AF28" s="1">
        <v>2</v>
      </c>
      <c r="AG28" s="1">
        <v>4</v>
      </c>
      <c r="AH28" s="1">
        <v>2</v>
      </c>
      <c r="AI28" s="1">
        <v>5</v>
      </c>
      <c r="AJ28" s="1">
        <v>3</v>
      </c>
      <c r="AK28" s="1">
        <v>2</v>
      </c>
      <c r="AL28" s="1">
        <v>2</v>
      </c>
      <c r="AM28" s="1">
        <v>3</v>
      </c>
      <c r="AN28" s="1">
        <v>2</v>
      </c>
      <c r="AO28" s="1">
        <v>2</v>
      </c>
      <c r="AP28" s="1">
        <v>5</v>
      </c>
      <c r="AQ28" s="1">
        <v>2</v>
      </c>
      <c r="AR28" s="1">
        <v>2</v>
      </c>
      <c r="AS28" s="1">
        <v>2</v>
      </c>
      <c r="AT28" s="1">
        <v>2</v>
      </c>
      <c r="AU28" s="1">
        <v>2</v>
      </c>
      <c r="AV28" s="1">
        <v>2</v>
      </c>
      <c r="AW28" s="1">
        <v>2</v>
      </c>
      <c r="AX28" s="1">
        <v>2</v>
      </c>
      <c r="AY28" s="1">
        <v>2</v>
      </c>
      <c r="AZ28" s="1">
        <v>4</v>
      </c>
      <c r="BA28" s="1">
        <v>3</v>
      </c>
      <c r="BB28" s="1">
        <v>2</v>
      </c>
      <c r="BC28" s="1">
        <v>5</v>
      </c>
      <c r="BD28" s="1">
        <v>2</v>
      </c>
      <c r="BE28" s="1">
        <v>2</v>
      </c>
      <c r="BF28" s="1"/>
    </row>
    <row r="29" spans="1:58" x14ac:dyDescent="0.25">
      <c r="A29" s="21">
        <v>2</v>
      </c>
      <c r="B29" s="1">
        <v>2</v>
      </c>
      <c r="C29" s="1">
        <v>2</v>
      </c>
      <c r="D29" s="1">
        <v>2</v>
      </c>
      <c r="E29" s="1">
        <v>4</v>
      </c>
      <c r="F29" s="1">
        <v>2</v>
      </c>
      <c r="G29" s="1">
        <v>3</v>
      </c>
      <c r="H29" s="1">
        <v>2</v>
      </c>
      <c r="I29" s="1">
        <v>2</v>
      </c>
      <c r="J29" s="21">
        <v>3</v>
      </c>
      <c r="K29" s="1">
        <v>2</v>
      </c>
      <c r="L29" s="1">
        <v>2</v>
      </c>
      <c r="M29" s="1">
        <v>2</v>
      </c>
      <c r="N29" s="1">
        <v>2</v>
      </c>
      <c r="O29" s="1">
        <v>2</v>
      </c>
      <c r="P29" s="1">
        <v>4</v>
      </c>
      <c r="Q29" s="1">
        <v>3</v>
      </c>
      <c r="R29" s="1">
        <v>4</v>
      </c>
      <c r="S29" s="1">
        <v>2</v>
      </c>
      <c r="T29" s="1">
        <v>3</v>
      </c>
      <c r="U29" s="1">
        <v>2</v>
      </c>
      <c r="V29" s="1">
        <v>2</v>
      </c>
      <c r="W29" s="1">
        <v>2</v>
      </c>
      <c r="X29" s="1">
        <v>4</v>
      </c>
      <c r="Y29" s="1">
        <v>3</v>
      </c>
      <c r="Z29" s="1">
        <v>2</v>
      </c>
      <c r="AA29" s="1">
        <v>2</v>
      </c>
      <c r="AB29" s="1">
        <v>2</v>
      </c>
      <c r="AC29" s="1">
        <v>2</v>
      </c>
      <c r="AD29" s="1">
        <v>2</v>
      </c>
      <c r="AE29" s="1">
        <v>5</v>
      </c>
      <c r="AF29" s="1">
        <v>2</v>
      </c>
      <c r="AG29" s="1">
        <v>2</v>
      </c>
      <c r="AH29" s="1">
        <v>2</v>
      </c>
      <c r="AI29" s="1">
        <v>5</v>
      </c>
      <c r="AJ29" s="1">
        <v>2</v>
      </c>
      <c r="AK29" s="1">
        <v>2</v>
      </c>
      <c r="AL29" s="1">
        <v>5</v>
      </c>
      <c r="AM29" s="1">
        <v>3</v>
      </c>
      <c r="AN29" s="1">
        <v>2</v>
      </c>
      <c r="AO29" s="1">
        <v>2</v>
      </c>
      <c r="AP29" s="1">
        <v>2</v>
      </c>
      <c r="AQ29" s="1">
        <v>2</v>
      </c>
      <c r="AR29" s="1">
        <v>2</v>
      </c>
      <c r="AS29" s="1">
        <v>3</v>
      </c>
      <c r="AT29" s="1">
        <v>2</v>
      </c>
      <c r="AU29" s="1">
        <v>5</v>
      </c>
      <c r="AV29" s="1">
        <v>2</v>
      </c>
      <c r="AW29" s="1">
        <v>2</v>
      </c>
      <c r="AX29" s="1">
        <v>2</v>
      </c>
      <c r="AY29" s="1">
        <v>2</v>
      </c>
      <c r="AZ29" s="1">
        <v>2</v>
      </c>
      <c r="BA29" s="1">
        <v>2</v>
      </c>
      <c r="BB29" s="1">
        <v>2</v>
      </c>
      <c r="BC29" s="1">
        <v>4</v>
      </c>
      <c r="BD29" s="1">
        <v>2</v>
      </c>
      <c r="BE29" s="1">
        <v>2</v>
      </c>
      <c r="BF29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E3DDB-749F-4B41-A9B1-4DD9836EDC31}">
  <sheetPr>
    <tabColor theme="5"/>
  </sheetPr>
  <dimension ref="A1"/>
  <sheetViews>
    <sheetView workbookViewId="0">
      <selection sqref="A1:XFD1048576"/>
    </sheetView>
  </sheetViews>
  <sheetFormatPr defaultColWidth="2.85546875" defaultRowHeight="15" x14ac:dyDescent="0.25"/>
  <cols>
    <col min="1" max="16384" width="2.85546875" style="1"/>
  </cols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AFC9C-A4C0-4709-8639-7097D9F704B6}">
  <sheetPr>
    <tabColor theme="5"/>
  </sheetPr>
  <dimension ref="A1"/>
  <sheetViews>
    <sheetView workbookViewId="0">
      <selection sqref="A1:XFD1048576"/>
    </sheetView>
  </sheetViews>
  <sheetFormatPr defaultColWidth="2.85546875" defaultRowHeight="15" x14ac:dyDescent="0.25"/>
  <cols>
    <col min="1" max="16384" width="2.8554687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70E02-6FBB-4CB6-AB14-C8ED71D76AE9}">
  <sheetPr>
    <tabColor rgb="FF00B050"/>
  </sheetPr>
  <dimension ref="A1:AH16"/>
  <sheetViews>
    <sheetView tabSelected="1" topLeftCell="P1" zoomScaleNormal="100" zoomScaleSheetLayoutView="100" workbookViewId="0">
      <selection activeCell="AC12" sqref="AC12"/>
    </sheetView>
  </sheetViews>
  <sheetFormatPr defaultColWidth="8.42578125" defaultRowHeight="15" x14ac:dyDescent="0.25"/>
  <cols>
    <col min="1" max="1" width="4.85546875" style="37" customWidth="1"/>
    <col min="2" max="2" width="6.140625" style="37" customWidth="1"/>
    <col min="3" max="3" width="6.28515625" style="69" customWidth="1"/>
    <col min="4" max="4" width="6.85546875" style="135" customWidth="1"/>
    <col min="5" max="5" width="5.5703125" style="135" customWidth="1"/>
    <col min="6" max="6" width="6.28515625" style="135" customWidth="1"/>
    <col min="7" max="9" width="6.28515625" style="37" customWidth="1"/>
    <col min="10" max="10" width="5.7109375" style="37" customWidth="1"/>
    <col min="11" max="11" width="7.7109375" style="135" customWidth="1"/>
    <col min="12" max="12" width="6.85546875" style="135" customWidth="1"/>
    <col min="13" max="13" width="5.5703125" style="135" customWidth="1"/>
    <col min="14" max="14" width="6.7109375" style="67" customWidth="1"/>
    <col min="15" max="15" width="23.7109375" style="37" customWidth="1"/>
    <col min="16" max="16" width="6.28515625" style="37" customWidth="1"/>
    <col min="17" max="17" width="6.85546875" style="37" customWidth="1"/>
    <col min="18" max="18" width="7.5703125" style="37" customWidth="1"/>
    <col min="19" max="19" width="8.28515625" style="37" customWidth="1"/>
    <col min="20" max="20" width="7.140625" style="167" customWidth="1"/>
    <col min="21" max="21" width="8.42578125" style="37"/>
    <col min="22" max="37" width="7.140625" style="37" customWidth="1"/>
    <col min="38" max="16384" width="8.42578125" style="37"/>
  </cols>
  <sheetData>
    <row r="1" spans="1:34" ht="15" customHeight="1" x14ac:dyDescent="0.25">
      <c r="A1" s="201"/>
      <c r="B1" s="202"/>
      <c r="C1" s="203" t="s">
        <v>26</v>
      </c>
      <c r="D1" s="204" t="s">
        <v>120</v>
      </c>
      <c r="E1" s="204" t="s">
        <v>121</v>
      </c>
      <c r="F1" s="205" t="s">
        <v>105</v>
      </c>
      <c r="G1" s="206" t="s">
        <v>106</v>
      </c>
      <c r="H1" s="206" t="s">
        <v>107</v>
      </c>
      <c r="I1" s="207" t="s">
        <v>74</v>
      </c>
      <c r="J1" s="208" t="s">
        <v>108</v>
      </c>
      <c r="K1" s="204" t="s">
        <v>118</v>
      </c>
      <c r="L1" s="204" t="s">
        <v>120</v>
      </c>
      <c r="M1" s="204" t="s">
        <v>121</v>
      </c>
      <c r="N1" s="209" t="s">
        <v>27</v>
      </c>
      <c r="O1" s="202" t="s">
        <v>28</v>
      </c>
      <c r="P1" s="202" t="s">
        <v>29</v>
      </c>
      <c r="Q1" s="210" t="s">
        <v>75</v>
      </c>
      <c r="R1" s="202" t="s">
        <v>31</v>
      </c>
      <c r="S1" s="202" t="s">
        <v>32</v>
      </c>
      <c r="T1" s="211" t="s">
        <v>33</v>
      </c>
      <c r="V1" s="79"/>
      <c r="W1" s="44" t="s">
        <v>31</v>
      </c>
      <c r="X1" s="44" t="s">
        <v>101</v>
      </c>
      <c r="Y1" s="44" t="s">
        <v>103</v>
      </c>
      <c r="Z1" s="44" t="s">
        <v>102</v>
      </c>
      <c r="AA1" s="44" t="s">
        <v>113</v>
      </c>
      <c r="AB1" s="44" t="s">
        <v>114</v>
      </c>
      <c r="AC1" s="44" t="s">
        <v>115</v>
      </c>
    </row>
    <row r="2" spans="1:34" ht="15" customHeight="1" x14ac:dyDescent="0.25">
      <c r="A2" s="393" t="s">
        <v>14</v>
      </c>
      <c r="B2" s="190" t="s">
        <v>103</v>
      </c>
      <c r="C2" s="191">
        <v>1903</v>
      </c>
      <c r="D2" s="194">
        <f>(C2-MIN(DATA_IO_OWNED_SMALL))/(MAX(DATA_IO_OWNED_SMALL)-MIN(DATA_IO_OWNED_SMALL))</f>
        <v>0.29748716563091054</v>
      </c>
      <c r="E2" s="191">
        <f>C2-MAX(DATA_IO_OWNED_SMALL)</f>
        <v>-2600</v>
      </c>
      <c r="F2" s="192">
        <f>VLOOKUP($W$9,DATA_IO,5,TRUE)+VLOOKUP($W$10,DATA_IO,5,TRUE)+VLOOKUP($AC$9,DATA_IO,5,TRUE)+VLOOKUP($AC$10,DATA_IO,5,TRUE)</f>
        <v>4960</v>
      </c>
      <c r="G2" s="193">
        <f t="shared" ref="G2:G11" si="0">H2-N2</f>
        <v>6983</v>
      </c>
      <c r="H2" s="193">
        <f>D迎擊!$AQ$3*4</f>
        <v>10040</v>
      </c>
      <c r="I2" s="191">
        <f>IF(F2-C2 &lt;= 0,ABS(F2-C2),0)</f>
        <v>0</v>
      </c>
      <c r="J2" s="191">
        <f>IFERROR(FLOOR(I2/IO_WEAPON_434,1),0)</f>
        <v>0</v>
      </c>
      <c r="K2" s="191">
        <f>I2+I3*IO_EXCHANGE_BIG_TO_SMALL</f>
        <v>1383</v>
      </c>
      <c r="L2" s="194">
        <f>(K2-MIN(DATA_IO_EXTRA_EXCHANGED_SMALL))/(MAX(DATA_IO_EXTRA_EXCHANGED_SMALL)-MIN(DATA_IO_EXTRA_EXCHANGED_SMALL))</f>
        <v>0.35461538461538461</v>
      </c>
      <c r="M2" s="191">
        <f>K2-MAX(DATA_IO_EXTRA_EXCHANGED_SMALL)</f>
        <v>-2517</v>
      </c>
      <c r="N2" s="191">
        <f t="shared" ref="N2:N11" si="1">IF(F2-C2 &lt; 0,0,F2-C2)</f>
        <v>3057</v>
      </c>
      <c r="O2" s="195">
        <f t="shared" ref="O2:O16" si="2">IF(G2/H2 &gt; 1,100%,G2/H2)</f>
        <v>0.69551792828685255</v>
      </c>
      <c r="P2" s="196">
        <f t="shared" ref="P2:P9" si="3">IFERROR(ROUND(N2/S2,0),0)</f>
        <v>0</v>
      </c>
      <c r="Q2" s="196">
        <f>IFERROR(ROUND(N2/$S$12,0),0)</f>
        <v>0</v>
      </c>
      <c r="R2" s="197">
        <f>Q2/(WINGS_RECOVER_NUM/WINGS_CONSUME_IO)*WINGS_RECOVER_DIAMS</f>
        <v>0</v>
      </c>
      <c r="S2" s="198">
        <f>IFERROR(SUMPRODUCT(D迎擊!A:A,D迎擊!C:C)/SUM(D迎擊!C:C),0)</f>
        <v>0</v>
      </c>
      <c r="T2" s="199">
        <f>SUM(D迎擊!C:C)</f>
        <v>0</v>
      </c>
      <c r="V2" s="44" t="s">
        <v>57</v>
      </c>
      <c r="W2" s="86">
        <v>384213</v>
      </c>
      <c r="X2" s="86">
        <v>5</v>
      </c>
      <c r="Y2" s="86">
        <v>3631</v>
      </c>
      <c r="Z2" s="86">
        <v>2027</v>
      </c>
      <c r="AA2" s="86">
        <v>3404</v>
      </c>
      <c r="AB2" s="86">
        <v>8042</v>
      </c>
      <c r="AC2" s="86">
        <v>69099</v>
      </c>
    </row>
    <row r="3" spans="1:34" ht="15" customHeight="1" x14ac:dyDescent="0.25">
      <c r="A3" s="394"/>
      <c r="B3" s="171" t="s">
        <v>102</v>
      </c>
      <c r="C3" s="172">
        <v>2461</v>
      </c>
      <c r="D3" s="175">
        <f>(C3-MIN(DATA_IO_OWNED_BIG))/(MAX(DATA_IO_OWNED_BIG)-MIN(DATA_IO_OWNED_BIG))</f>
        <v>0.68960414354421018</v>
      </c>
      <c r="E3" s="172">
        <f>C3-MAX(DATA_IO_OWNED_BIG)</f>
        <v>-839</v>
      </c>
      <c r="F3" s="173">
        <f>VLOOKUP($W$9,DATA_IO,6,TRUE)+VLOOKUP($W$10,DATA_IO,6,TRUE)+VLOOKUP($AC$9,DATA_IO,6,TRUE)+VLOOKUP($AC$10,DATA_IO,6,TRUE)</f>
        <v>2000</v>
      </c>
      <c r="G3" s="174">
        <f t="shared" si="0"/>
        <v>2560</v>
      </c>
      <c r="H3" s="174">
        <f>D迎擊!$AR$3*4</f>
        <v>2560</v>
      </c>
      <c r="I3" s="172">
        <f>IF(F3-C3 &lt;= 0,ABS(F3-C3),0)</f>
        <v>461</v>
      </c>
      <c r="J3" s="172">
        <f>IFERROR(FLOOR(I3/IO_WEAPON_530,1),0)</f>
        <v>2</v>
      </c>
      <c r="K3" s="172">
        <f>I3+I2*IO_EXCHANGE_SMALL_TO_BIG</f>
        <v>461</v>
      </c>
      <c r="L3" s="175">
        <f>(K3-MIN(DATA_IO_EXTRA_EXCHANGED_BIG))/(MAX(DATA_IO_EXTRA_EXCHANGED_BIG)-MIN(DATA_IO_EXTRA_EXCHANGED_BIG))</f>
        <v>0.35461538461538461</v>
      </c>
      <c r="M3" s="172">
        <f>K3-MAX(DATA_IO_EXTRA_EXCHANGED_BIG)</f>
        <v>-839</v>
      </c>
      <c r="N3" s="172">
        <f t="shared" si="1"/>
        <v>0</v>
      </c>
      <c r="O3" s="176">
        <f t="shared" si="2"/>
        <v>1</v>
      </c>
      <c r="P3" s="177">
        <f t="shared" si="3"/>
        <v>0</v>
      </c>
      <c r="Q3" s="177">
        <f>IFERROR(ROUND(N3/$S$13,0),0)</f>
        <v>0</v>
      </c>
      <c r="R3" s="178">
        <f t="shared" ref="R3:R11" si="4">Q3/(WINGS_RECOVER_NUM/WINGS_CONSUME_IO)*WINGS_RECOVER_DIAMS</f>
        <v>0</v>
      </c>
      <c r="S3" s="179">
        <f>IFERROR(SUMPRODUCT(D迎擊!D:D,D迎擊!F:F)/$T3,0)</f>
        <v>0</v>
      </c>
      <c r="T3" s="200">
        <f>SUM(D迎擊!F:F)</f>
        <v>0</v>
      </c>
      <c r="V3" s="44" t="s">
        <v>58</v>
      </c>
      <c r="W3" s="86">
        <v>384213</v>
      </c>
      <c r="X3" s="86">
        <v>5</v>
      </c>
      <c r="Y3" s="86">
        <v>3631</v>
      </c>
      <c r="Z3" s="86">
        <v>2027</v>
      </c>
      <c r="AA3" s="86">
        <v>3404</v>
      </c>
      <c r="AB3" s="86">
        <v>8042</v>
      </c>
      <c r="AC3" s="86">
        <v>69099</v>
      </c>
    </row>
    <row r="4" spans="1:34" x14ac:dyDescent="0.25">
      <c r="A4" s="399" t="s">
        <v>12</v>
      </c>
      <c r="B4" s="212" t="s">
        <v>103</v>
      </c>
      <c r="C4" s="191">
        <v>802</v>
      </c>
      <c r="D4" s="194">
        <f>(C4-MIN(DATA_IO_OWNED_SMALL))/(MAX(DATA_IO_OWNED_SMALL)-MIN(DATA_IO_OWNED_SMALL))</f>
        <v>0</v>
      </c>
      <c r="E4" s="191">
        <f>C4-MAX(DATA_IO_OWNED_SMALL)</f>
        <v>-3701</v>
      </c>
      <c r="F4" s="192">
        <f>VLOOKUP($W$11,DATA_IO,5,TRUE)+VLOOKUP($W$12,DATA_IO,5,TRUE)+VLOOKUP($AC$11,DATA_IO,5,TRUE)+VLOOKUP($AC$12,DATA_IO,5,TRUE)</f>
        <v>4960</v>
      </c>
      <c r="G4" s="193">
        <f t="shared" si="0"/>
        <v>5882</v>
      </c>
      <c r="H4" s="193">
        <f>D迎擊!$AQ$3*4</f>
        <v>10040</v>
      </c>
      <c r="I4" s="191">
        <f>IF(F4-C4 &lt;= 0,ABS(F4-C4),0)</f>
        <v>0</v>
      </c>
      <c r="J4" s="191">
        <f>IFERROR(FLOOR(I4/IO_WEAPON_434,1),0)</f>
        <v>0</v>
      </c>
      <c r="K4" s="191">
        <f>I4+I5*IO_EXCHANGE_BIG_TO_SMALL</f>
        <v>0</v>
      </c>
      <c r="L4" s="194">
        <f>(K4-MIN(DATA_IO_EXTRA_EXCHANGED_SMALL))/(MAX(DATA_IO_EXTRA_EXCHANGED_SMALL)-MIN(DATA_IO_EXTRA_EXCHANGED_SMALL))</f>
        <v>0</v>
      </c>
      <c r="M4" s="191">
        <f>K4-MAX(DATA_IO_EXTRA_EXCHANGED_SMALL)</f>
        <v>-3900</v>
      </c>
      <c r="N4" s="191">
        <f t="shared" si="1"/>
        <v>4158</v>
      </c>
      <c r="O4" s="195">
        <f t="shared" si="2"/>
        <v>0.5858565737051793</v>
      </c>
      <c r="P4" s="213">
        <f t="shared" si="3"/>
        <v>0</v>
      </c>
      <c r="Q4" s="213">
        <f>IFERROR(ROUND(N4/$S$12,0),0)</f>
        <v>0</v>
      </c>
      <c r="R4" s="214">
        <f>Q4/(WINGS_RECOVER_NUM/WINGS_CONSUME_IO)*WINGS_RECOVER_DIAMS</f>
        <v>0</v>
      </c>
      <c r="S4" s="215">
        <f>IFERROR(SUMPRODUCT(D迎擊!G:G,D迎擊!I:I)/SUM(D迎擊!I:I),0)</f>
        <v>0</v>
      </c>
      <c r="T4" s="216">
        <f>SUM(D迎擊!I:I)</f>
        <v>0</v>
      </c>
    </row>
    <row r="5" spans="1:34" x14ac:dyDescent="0.25">
      <c r="A5" s="400"/>
      <c r="B5" s="217" t="s">
        <v>102</v>
      </c>
      <c r="C5" s="172">
        <v>1963</v>
      </c>
      <c r="D5" s="175">
        <f>(C5-MIN(DATA_IO_OWNED_BIG))/(MAX(DATA_IO_OWNED_BIG)-MIN(DATA_IO_OWNED_BIG))</f>
        <v>0.50536440991490938</v>
      </c>
      <c r="E5" s="172">
        <f>C5-MAX(DATA_IO_OWNED_BIG)</f>
        <v>-1337</v>
      </c>
      <c r="F5" s="173">
        <f>VLOOKUP($W$11,DATA_IO,6,TRUE)+VLOOKUP($W$12,DATA_IO,6,TRUE)+VLOOKUP($AC$11,DATA_IO,6,TRUE)+VLOOKUP($AC$12,DATA_IO,6,TRUE)</f>
        <v>2000</v>
      </c>
      <c r="G5" s="174">
        <f t="shared" si="0"/>
        <v>2523</v>
      </c>
      <c r="H5" s="174">
        <f>D迎擊!$AR$3*4</f>
        <v>2560</v>
      </c>
      <c r="I5" s="172">
        <f>IF(F5-C5 &lt;= 0,ABS(F5-C5),0)</f>
        <v>0</v>
      </c>
      <c r="J5" s="172">
        <f>IFERROR(FLOOR(I5/IO_WEAPON_530,1),0)</f>
        <v>0</v>
      </c>
      <c r="K5" s="172">
        <f>I5+I4*IO_EXCHANGE_SMALL_TO_BIG</f>
        <v>0</v>
      </c>
      <c r="L5" s="175">
        <f>(K5-MIN(DATA_IO_EXTRA_EXCHANGED_BIG))/(MAX(DATA_IO_EXTRA_EXCHANGED_BIG)-MIN(DATA_IO_EXTRA_EXCHANGED_BIG))</f>
        <v>0</v>
      </c>
      <c r="M5" s="172">
        <f>K5-MAX(DATA_IO_EXTRA_EXCHANGED_BIG)</f>
        <v>-1300</v>
      </c>
      <c r="N5" s="172">
        <f t="shared" si="1"/>
        <v>37</v>
      </c>
      <c r="O5" s="176">
        <f t="shared" si="2"/>
        <v>0.98554687500000004</v>
      </c>
      <c r="P5" s="218">
        <f t="shared" si="3"/>
        <v>0</v>
      </c>
      <c r="Q5" s="218">
        <f>IFERROR(ROUND(N5/$S$13,0),0)</f>
        <v>0</v>
      </c>
      <c r="R5" s="219">
        <f t="shared" si="4"/>
        <v>0</v>
      </c>
      <c r="S5" s="220">
        <f>IFERROR(SUMPRODUCT(D迎擊!J:J,D迎擊!L:L)/$T5,0)</f>
        <v>0</v>
      </c>
      <c r="T5" s="221">
        <f>SUM(D迎擊!L:L)</f>
        <v>0</v>
      </c>
      <c r="V5" s="44" t="s">
        <v>29</v>
      </c>
      <c r="X5" s="44" t="s">
        <v>64</v>
      </c>
      <c r="Y5" s="19">
        <f>Y3-Y2</f>
        <v>0</v>
      </c>
      <c r="Z5" s="19">
        <f>Z3-Z2</f>
        <v>0</v>
      </c>
      <c r="AA5" s="19">
        <f>AA3-AA2</f>
        <v>0</v>
      </c>
      <c r="AB5" s="19">
        <f>AB3-AB2</f>
        <v>0</v>
      </c>
      <c r="AC5" s="19">
        <f>AC3-AC2</f>
        <v>0</v>
      </c>
    </row>
    <row r="6" spans="1:34" ht="15.75" x14ac:dyDescent="0.25">
      <c r="A6" s="395" t="s">
        <v>11</v>
      </c>
      <c r="B6" s="222" t="s">
        <v>103</v>
      </c>
      <c r="C6" s="191">
        <v>4503</v>
      </c>
      <c r="D6" s="194">
        <f>(C6-MIN(DATA_IO_OWNED_SMALL))/(MAX(DATA_IO_OWNED_SMALL)-MIN(DATA_IO_OWNED_SMALL))</f>
        <v>1</v>
      </c>
      <c r="E6" s="191">
        <f>C6-MAX(DATA_IO_OWNED_SMALL)</f>
        <v>0</v>
      </c>
      <c r="F6" s="192">
        <f>VLOOKUP($W$13,DATA_IO,5,TRUE)+VLOOKUP($W$14,DATA_IO,5,TRUE)+VLOOKUP($AC$13,DATA_IO,5,TRUE)+VLOOKUP($AC$14,DATA_IO,5,TRUE)</f>
        <v>4960</v>
      </c>
      <c r="G6" s="193">
        <f t="shared" si="0"/>
        <v>9583</v>
      </c>
      <c r="H6" s="193">
        <f>D迎擊!$AQ$3*4</f>
        <v>10040</v>
      </c>
      <c r="I6" s="191">
        <f>IF(F6-C6 &lt;= 0,ABS(F6-C6),0)</f>
        <v>0</v>
      </c>
      <c r="J6" s="191">
        <f>IFERROR(FLOOR(I6/IO_WEAPON_434,1),0)</f>
        <v>0</v>
      </c>
      <c r="K6" s="191">
        <f>I6+I7*IO_EXCHANGE_BIG_TO_SMALL</f>
        <v>3900</v>
      </c>
      <c r="L6" s="194">
        <f>(K6-MIN(DATA_IO_EXTRA_EXCHANGED_SMALL))/(MAX(DATA_IO_EXTRA_EXCHANGED_SMALL)-MIN(DATA_IO_EXTRA_EXCHANGED_SMALL))</f>
        <v>1</v>
      </c>
      <c r="M6" s="191">
        <f>K6-MAX(DATA_IO_EXTRA_EXCHANGED_SMALL)</f>
        <v>0</v>
      </c>
      <c r="N6" s="191">
        <f t="shared" si="1"/>
        <v>457</v>
      </c>
      <c r="O6" s="195">
        <f t="shared" si="2"/>
        <v>0.95448207171314736</v>
      </c>
      <c r="P6" s="223">
        <f t="shared" si="3"/>
        <v>0</v>
      </c>
      <c r="Q6" s="223">
        <f>IFERROR(ROUND(N6/$S$12,0),0)</f>
        <v>0</v>
      </c>
      <c r="R6" s="224">
        <f>Q6/(WINGS_RECOVER_NUM/WINGS_CONSUME_IO)*WINGS_RECOVER_DIAMS</f>
        <v>0</v>
      </c>
      <c r="S6" s="225">
        <f>IFERROR(SUMPRODUCT(D迎擊!M:M,D迎擊!O:O)/SUM(D迎擊!O:O),0)</f>
        <v>0</v>
      </c>
      <c r="T6" s="226">
        <f>SUM(D迎擊!O:O)</f>
        <v>0</v>
      </c>
      <c r="V6" s="78">
        <f>(W2-W3)/WINGS_RECOVER_DIAMS*6 + (X2-X3)/WINGS_CONSUME_VOID</f>
        <v>0</v>
      </c>
      <c r="X6" s="44" t="s">
        <v>32</v>
      </c>
      <c r="Y6" s="19" t="str">
        <f>IFERROR(Y5/$V$6,"")</f>
        <v/>
      </c>
      <c r="Z6" s="19" t="str">
        <f>IFERROR(Z5/$V$6,"")</f>
        <v/>
      </c>
      <c r="AA6" s="19" t="str">
        <f>IFERROR(AA5/$V$6,"")</f>
        <v/>
      </c>
      <c r="AB6" s="19" t="str">
        <f>IFERROR(AB5/$V$6,"")</f>
        <v/>
      </c>
      <c r="AC6" s="19" t="str">
        <f>IFERROR(AC5/$V$6,"")</f>
        <v/>
      </c>
    </row>
    <row r="7" spans="1:34" x14ac:dyDescent="0.25">
      <c r="A7" s="396"/>
      <c r="B7" s="227" t="s">
        <v>102</v>
      </c>
      <c r="C7" s="172">
        <v>3300</v>
      </c>
      <c r="D7" s="175">
        <f>(C7-MIN(DATA_IO_OWNED_BIG))/(MAX(DATA_IO_OWNED_BIG)-MIN(DATA_IO_OWNED_BIG))</f>
        <v>1</v>
      </c>
      <c r="E7" s="172">
        <f>C7-MAX(DATA_IO_OWNED_BIG)</f>
        <v>0</v>
      </c>
      <c r="F7" s="173">
        <f>VLOOKUP($W$13,DATA_IO,6,TRUE)+VLOOKUP($W$14,DATA_IO,6,TRUE)+VLOOKUP($AC$13,DATA_IO,6,TRUE)+VLOOKUP($AC$14,DATA_IO,6,TRUE)</f>
        <v>2000</v>
      </c>
      <c r="G7" s="174">
        <f t="shared" si="0"/>
        <v>2560</v>
      </c>
      <c r="H7" s="174">
        <f>D迎擊!$AR$3*4</f>
        <v>2560</v>
      </c>
      <c r="I7" s="172">
        <f>IF(F7-C7 &lt;= 0,ABS(F7-C7),0)</f>
        <v>1300</v>
      </c>
      <c r="J7" s="172">
        <f>IFERROR(FLOOR(I7/IO_WEAPON_530,1),0)</f>
        <v>6</v>
      </c>
      <c r="K7" s="172">
        <f>I7+I6*IO_EXCHANGE_SMALL_TO_BIG</f>
        <v>1300</v>
      </c>
      <c r="L7" s="175">
        <f>(K7-MIN(DATA_IO_EXTRA_EXCHANGED_BIG))/(MAX(DATA_IO_EXTRA_EXCHANGED_BIG)-MIN(DATA_IO_EXTRA_EXCHANGED_BIG))</f>
        <v>1</v>
      </c>
      <c r="M7" s="172">
        <f>K7-MAX(DATA_IO_EXTRA_EXCHANGED_BIG)</f>
        <v>0</v>
      </c>
      <c r="N7" s="172">
        <f t="shared" si="1"/>
        <v>0</v>
      </c>
      <c r="O7" s="176">
        <f t="shared" si="2"/>
        <v>1</v>
      </c>
      <c r="P7" s="228">
        <f t="shared" si="3"/>
        <v>0</v>
      </c>
      <c r="Q7" s="228">
        <f>IFERROR(ROUND(N7/$S$13,0),0)</f>
        <v>0</v>
      </c>
      <c r="R7" s="229">
        <f t="shared" si="4"/>
        <v>0</v>
      </c>
      <c r="S7" s="230">
        <f>IFERROR(SUMPRODUCT(D迎擊!P:P,D迎擊!R:R)/$T7,0)</f>
        <v>0</v>
      </c>
      <c r="T7" s="231">
        <f>SUM(D迎擊!R:R)</f>
        <v>0</v>
      </c>
      <c r="AH7" s="60"/>
    </row>
    <row r="8" spans="1:34" x14ac:dyDescent="0.25">
      <c r="A8" s="401" t="s">
        <v>9</v>
      </c>
      <c r="B8" s="232" t="s">
        <v>103</v>
      </c>
      <c r="C8" s="191">
        <v>3121</v>
      </c>
      <c r="D8" s="194">
        <f>(C8-MIN(DATA_IO_OWNED_SMALL))/(MAX(DATA_IO_OWNED_SMALL)-MIN(DATA_IO_OWNED_SMALL))</f>
        <v>0.62658740880843011</v>
      </c>
      <c r="E8" s="191">
        <f>C8-MAX(DATA_IO_OWNED_SMALL)</f>
        <v>-1382</v>
      </c>
      <c r="F8" s="192">
        <f>VLOOKUP($W$15,DATA_IO,5,TRUE)+VLOOKUP($W$16,DATA_IO,5,TRUE)</f>
        <v>2480</v>
      </c>
      <c r="G8" s="193">
        <f t="shared" si="0"/>
        <v>5020</v>
      </c>
      <c r="H8" s="193">
        <f>D迎擊!$AQ$3*2</f>
        <v>5020</v>
      </c>
      <c r="I8" s="191">
        <f>IF(F8-C8 &lt;= 0,ABS(F8-C8),0)</f>
        <v>641</v>
      </c>
      <c r="J8" s="191">
        <f>IFERROR(FLOOR(I8/IO_WEAPON_434,1),0)</f>
        <v>2</v>
      </c>
      <c r="K8" s="191">
        <f>I8+I9*IO_EXCHANGE_BIG_TO_SMALL</f>
        <v>3668</v>
      </c>
      <c r="L8" s="194">
        <f>(K8-MIN(DATA_IO_EXTRA_EXCHANGED_SMALL))/(MAX(DATA_IO_EXTRA_EXCHANGED_SMALL)-MIN(DATA_IO_EXTRA_EXCHANGED_SMALL))</f>
        <v>0.94051282051282048</v>
      </c>
      <c r="M8" s="191">
        <f>K8-MAX(DATA_IO_EXTRA_EXCHANGED_SMALL)</f>
        <v>-232</v>
      </c>
      <c r="N8" s="191">
        <f t="shared" si="1"/>
        <v>0</v>
      </c>
      <c r="O8" s="195">
        <f t="shared" si="2"/>
        <v>1</v>
      </c>
      <c r="P8" s="233">
        <f t="shared" si="3"/>
        <v>0</v>
      </c>
      <c r="Q8" s="233">
        <f>IFERROR(ROUND(N8/$S$12,0),0)</f>
        <v>0</v>
      </c>
      <c r="R8" s="234">
        <f>Q8/(WINGS_RECOVER_NUM/WINGS_CONSUME_IO)*WINGS_RECOVER_DIAMS</f>
        <v>0</v>
      </c>
      <c r="S8" s="235">
        <f>IFERROR(SUMPRODUCT(D迎擊!S:S,D迎擊!U:U)/T$8,0)</f>
        <v>0</v>
      </c>
      <c r="T8" s="236">
        <f>SUM(D迎擊!U:U)</f>
        <v>0</v>
      </c>
      <c r="V8" s="44" t="s">
        <v>22</v>
      </c>
      <c r="W8" s="80" t="s">
        <v>19</v>
      </c>
      <c r="X8" s="380" t="s">
        <v>21</v>
      </c>
      <c r="Y8" s="380"/>
      <c r="Z8" s="7" t="s">
        <v>23</v>
      </c>
      <c r="AA8" s="44" t="s">
        <v>24</v>
      </c>
      <c r="AB8" s="18" t="s">
        <v>22</v>
      </c>
      <c r="AC8" s="80" t="s">
        <v>19</v>
      </c>
      <c r="AD8" s="46" t="s">
        <v>21</v>
      </c>
      <c r="AE8" s="47"/>
      <c r="AF8" s="7" t="s">
        <v>23</v>
      </c>
      <c r="AG8" s="55" t="s">
        <v>24</v>
      </c>
      <c r="AH8" s="60"/>
    </row>
    <row r="9" spans="1:34" x14ac:dyDescent="0.25">
      <c r="A9" s="402"/>
      <c r="B9" s="237" t="s">
        <v>102</v>
      </c>
      <c r="C9" s="172">
        <v>2009</v>
      </c>
      <c r="D9" s="175">
        <f>(C9-MIN(DATA_IO_OWNED_BIG))/(MAX(DATA_IO_OWNED_BIG)-MIN(DATA_IO_OWNED_BIG))</f>
        <v>0.52238253792082867</v>
      </c>
      <c r="E9" s="172">
        <f>C9-MAX(DATA_IO_OWNED_BIG)</f>
        <v>-1291</v>
      </c>
      <c r="F9" s="173">
        <f>VLOOKUP($W$15,DATA_IO,6,TRUE)+VLOOKUP($W$16,DATA_IO,6,TRUE)</f>
        <v>1000</v>
      </c>
      <c r="G9" s="174">
        <f t="shared" si="0"/>
        <v>1280</v>
      </c>
      <c r="H9" s="174">
        <f>D迎擊!$AR$3*2</f>
        <v>1280</v>
      </c>
      <c r="I9" s="172">
        <f>IF(F9-C9 &lt;= 0,ABS(F9-C9),0)</f>
        <v>1009</v>
      </c>
      <c r="J9" s="172">
        <f>IFERROR(FLOOR(I9/IO_WEAPON_530,1),0)</f>
        <v>5</v>
      </c>
      <c r="K9" s="172">
        <f>I9+I8*IO_EXCHANGE_SMALL_TO_BIG</f>
        <v>1115.8333333333333</v>
      </c>
      <c r="L9" s="175">
        <f>(K9-MIN(DATA_IO_EXTRA_EXCHANGED_BIG))/(MAX(DATA_IO_EXTRA_EXCHANGED_BIG)-MIN(DATA_IO_EXTRA_EXCHANGED_BIG))</f>
        <v>0.85833333333333328</v>
      </c>
      <c r="M9" s="172">
        <f>K9-MAX(DATA_IO_EXTRA_EXCHANGED_BIG)</f>
        <v>-184.16666666666674</v>
      </c>
      <c r="N9" s="172">
        <f t="shared" si="1"/>
        <v>0</v>
      </c>
      <c r="O9" s="176">
        <f t="shared" si="2"/>
        <v>1</v>
      </c>
      <c r="P9" s="238">
        <f t="shared" si="3"/>
        <v>0</v>
      </c>
      <c r="Q9" s="238">
        <f>IFERROR(ROUND(N9/$S$13,0),0)</f>
        <v>0</v>
      </c>
      <c r="R9" s="239">
        <f t="shared" si="4"/>
        <v>0</v>
      </c>
      <c r="S9" s="240">
        <f>IFERROR(SUMPRODUCT(D迎擊!V:V,D迎擊!X:X)/T$9,0)</f>
        <v>0</v>
      </c>
      <c r="T9" s="241">
        <f>SUM(D迎擊!X:X)</f>
        <v>0</v>
      </c>
      <c r="V9" s="391" t="s">
        <v>20</v>
      </c>
      <c r="W9" s="81">
        <v>30</v>
      </c>
      <c r="X9" s="51" t="s">
        <v>1</v>
      </c>
      <c r="Y9" s="8">
        <f>VLOOKUP(W9,DATA_IO,7)+VLOOKUP(W10,DATA_IO,7)</f>
        <v>23</v>
      </c>
      <c r="Z9" s="87">
        <f>IF(VLOOKUP(W9,DATA_IO,10)=0,"",VLOOKUP(W9,DATA_IO,10))</f>
        <v>14.5</v>
      </c>
      <c r="AA9" s="45">
        <f t="shared" ref="AA9:AA16" si="5">IFERROR(Z9*BOOST_PRICE,"")</f>
        <v>1740.0000000000009</v>
      </c>
      <c r="AB9" s="392" t="s">
        <v>13</v>
      </c>
      <c r="AC9" s="81">
        <v>30</v>
      </c>
      <c r="AD9" s="51" t="s">
        <v>1</v>
      </c>
      <c r="AE9" s="8">
        <f>VLOOKUP(AC9,DATA_IO,7)+VLOOKUP(AC10,DATA_IO,7)</f>
        <v>23</v>
      </c>
      <c r="AF9" s="87">
        <f>IF(VLOOKUP(AC9,DATA_IO,10)=0,"",VLOOKUP(AC9,DATA_IO,10))</f>
        <v>14.5</v>
      </c>
      <c r="AG9" s="56">
        <f t="shared" ref="AG9:AG16" si="6">IFERROR(AF9*BOOST_PRICE,"")</f>
        <v>1740.0000000000009</v>
      </c>
      <c r="AH9" s="60"/>
    </row>
    <row r="10" spans="1:34" x14ac:dyDescent="0.25">
      <c r="A10" s="397" t="s">
        <v>8</v>
      </c>
      <c r="B10" s="242" t="s">
        <v>103</v>
      </c>
      <c r="C10" s="191">
        <v>2765</v>
      </c>
      <c r="D10" s="194">
        <f>(C10-MIN(DATA_IO_OWNED_SMALL))/(MAX(DATA_IO_OWNED_SMALL)-MIN(DATA_IO_OWNED_SMALL))</f>
        <v>0.53039718994866247</v>
      </c>
      <c r="E10" s="191">
        <f>C10-MAX(DATA_IO_OWNED_SMALL)</f>
        <v>-1738</v>
      </c>
      <c r="F10" s="192">
        <f>VLOOKUP($AC$15,DATA_IO,5,TRUE)+VLOOKUP($AC$16,DATA_IO,5,TRUE)</f>
        <v>2480</v>
      </c>
      <c r="G10" s="193">
        <f t="shared" si="0"/>
        <v>5020</v>
      </c>
      <c r="H10" s="193">
        <f>D迎擊!$AQ$3*2</f>
        <v>5020</v>
      </c>
      <c r="I10" s="191">
        <f>IF(F10-C10 &lt;= 0,ABS(F10-C10),0)</f>
        <v>285</v>
      </c>
      <c r="J10" s="191">
        <f>IFERROR(FLOOR(I10/IO_WEAPON_434,1),0)</f>
        <v>1</v>
      </c>
      <c r="K10" s="191">
        <f>I10+I11*IO_EXCHANGE_BIG_TO_SMALL</f>
        <v>285</v>
      </c>
      <c r="L10" s="194">
        <f>(K10-MIN(DATA_IO_EXTRA_EXCHANGED_SMALL))/(MAX(DATA_IO_EXTRA_EXCHANGED_SMALL)-MIN(DATA_IO_EXTRA_EXCHANGED_SMALL))</f>
        <v>7.3076923076923081E-2</v>
      </c>
      <c r="M10" s="191">
        <f>K10-MAX(DATA_IO_EXTRA_EXCHANGED_SMALL)</f>
        <v>-3615</v>
      </c>
      <c r="N10" s="191">
        <f t="shared" si="1"/>
        <v>0</v>
      </c>
      <c r="O10" s="195">
        <f t="shared" si="2"/>
        <v>1</v>
      </c>
      <c r="P10" s="243">
        <f>IFERROR(ROUND(N10/S10,0),0)</f>
        <v>0</v>
      </c>
      <c r="Q10" s="243">
        <f>IFERROR(ROUND(N10/$S$12,0),0)</f>
        <v>0</v>
      </c>
      <c r="R10" s="244">
        <f>Q10/(WINGS_RECOVER_NUM/WINGS_CONSUME_IO)*WINGS_RECOVER_DIAMS</f>
        <v>0</v>
      </c>
      <c r="S10" s="245" t="str">
        <f>IFERROR(SUMPRODUCT(D迎擊!Y:Y,D迎擊!AA:AA)/T$10,"")</f>
        <v/>
      </c>
      <c r="T10" s="246">
        <f>SUM(D迎擊!AA:AA)</f>
        <v>0</v>
      </c>
      <c r="V10" s="391"/>
      <c r="W10" s="81">
        <v>30</v>
      </c>
      <c r="X10" s="51" t="s">
        <v>0</v>
      </c>
      <c r="Y10" s="8">
        <f>VLOOKUP(W9,DATA_IO,8)+VLOOKUP(W10,DATA_IO,8)</f>
        <v>23</v>
      </c>
      <c r="Z10" s="87">
        <f>IF(VLOOKUP(W10,DATA_IO,10)=0,"",VLOOKUP(W10,DATA_IO,10))</f>
        <v>14.5</v>
      </c>
      <c r="AA10" s="45">
        <f t="shared" si="5"/>
        <v>1740.0000000000009</v>
      </c>
      <c r="AB10" s="392"/>
      <c r="AC10" s="81">
        <v>30</v>
      </c>
      <c r="AD10" s="51" t="s">
        <v>0</v>
      </c>
      <c r="AE10" s="8">
        <f>VLOOKUP(AC9,DATA_IO,8)+VLOOKUP(AC10,DATA_IO,8)</f>
        <v>23</v>
      </c>
      <c r="AF10" s="88">
        <f>IF(VLOOKUP(AC10,DATA_IO,10)=0,"",VLOOKUP(AC10,DATA_IO,10))</f>
        <v>14.5</v>
      </c>
      <c r="AG10" s="56">
        <f t="shared" si="6"/>
        <v>1740.0000000000009</v>
      </c>
      <c r="AH10" s="60"/>
    </row>
    <row r="11" spans="1:34" x14ac:dyDescent="0.25">
      <c r="A11" s="398"/>
      <c r="B11" s="247" t="s">
        <v>102</v>
      </c>
      <c r="C11" s="172">
        <v>597</v>
      </c>
      <c r="D11" s="175">
        <f>(C11-MIN(DATA_IO_OWNED_BIG))/(MAX(DATA_IO_OWNED_BIG)-MIN(DATA_IO_OWNED_BIG))</f>
        <v>0</v>
      </c>
      <c r="E11" s="172">
        <f>C11-MAX(DATA_IO_OWNED_BIG)</f>
        <v>-2703</v>
      </c>
      <c r="F11" s="173">
        <f>VLOOKUP($AC$15,DATA_IO,6,TRUE)+VLOOKUP($AC$16,DATA_IO,6,TRUE)</f>
        <v>1000</v>
      </c>
      <c r="G11" s="174">
        <f t="shared" si="0"/>
        <v>877</v>
      </c>
      <c r="H11" s="174">
        <f>D迎擊!$AR$3*2</f>
        <v>1280</v>
      </c>
      <c r="I11" s="172">
        <f>IF(F11-C11 &lt;= 0,ABS(F11-C11),0)</f>
        <v>0</v>
      </c>
      <c r="J11" s="172">
        <f>IFERROR(FLOOR(I11/IO_WEAPON_530,1),0)</f>
        <v>0</v>
      </c>
      <c r="K11" s="172">
        <f>I11+I10*IO_EXCHANGE_SMALL_TO_BIG</f>
        <v>47.5</v>
      </c>
      <c r="L11" s="175">
        <f>(K11-MIN(DATA_IO_EXTRA_EXCHANGED_BIG))/(MAX(DATA_IO_EXTRA_EXCHANGED_BIG)-MIN(DATA_IO_EXTRA_EXCHANGED_BIG))</f>
        <v>3.653846153846154E-2</v>
      </c>
      <c r="M11" s="172">
        <f>K11-MAX(DATA_IO_EXTRA_EXCHANGED_BIG)</f>
        <v>-1252.5</v>
      </c>
      <c r="N11" s="172">
        <f t="shared" si="1"/>
        <v>403</v>
      </c>
      <c r="O11" s="176">
        <f t="shared" si="2"/>
        <v>0.68515625000000002</v>
      </c>
      <c r="P11" s="248">
        <f>IFERROR(ROUND(N11/S11,0),0)</f>
        <v>0</v>
      </c>
      <c r="Q11" s="248">
        <f>IFERROR(ROUND(N11/$S$13,0),0)</f>
        <v>0</v>
      </c>
      <c r="R11" s="249">
        <f t="shared" si="4"/>
        <v>0</v>
      </c>
      <c r="S11" s="250">
        <f>IFERROR(SUMPRODUCT(D迎擊!AB:AB,D迎擊!AD:AD)/T$11,0)</f>
        <v>0</v>
      </c>
      <c r="T11" s="251">
        <f>SUM(D迎擊!AD:AD)</f>
        <v>0</v>
      </c>
      <c r="V11" s="390" t="s">
        <v>10</v>
      </c>
      <c r="W11" s="82">
        <v>30</v>
      </c>
      <c r="X11" s="50" t="s">
        <v>1</v>
      </c>
      <c r="Y11" s="9">
        <f>VLOOKUP(W11,DATA_IO,7)+VLOOKUP(W12,DATA_IO,7)</f>
        <v>23</v>
      </c>
      <c r="Z11" s="89">
        <v>14.5</v>
      </c>
      <c r="AA11" s="43">
        <f t="shared" si="5"/>
        <v>1740.0000000000009</v>
      </c>
      <c r="AB11" s="381" t="s">
        <v>7</v>
      </c>
      <c r="AC11" s="82">
        <v>30</v>
      </c>
      <c r="AD11" s="50" t="s">
        <v>1</v>
      </c>
      <c r="AE11" s="9">
        <f>VLOOKUP(AC11,DATA_IO,7)+VLOOKUP(AC12,DATA_IO,7)</f>
        <v>23</v>
      </c>
      <c r="AF11" s="89">
        <f>IF(VLOOKUP(AC11,DATA_IO,10)=0,"",VLOOKUP(AC11,DATA_IO,10))</f>
        <v>14.5</v>
      </c>
      <c r="AG11" s="57">
        <f t="shared" si="6"/>
        <v>1740.0000000000009</v>
      </c>
      <c r="AH11" s="60"/>
    </row>
    <row r="12" spans="1:34" x14ac:dyDescent="0.25">
      <c r="A12" s="403" t="s">
        <v>6</v>
      </c>
      <c r="B12" s="252" t="s">
        <v>103</v>
      </c>
      <c r="C12" s="253">
        <f t="shared" ref="C12:N13" si="7">SUM(C2,C4,C6,C8,C10)</f>
        <v>13094</v>
      </c>
      <c r="D12" s="254"/>
      <c r="E12" s="254"/>
      <c r="F12" s="192">
        <f t="shared" si="7"/>
        <v>19840</v>
      </c>
      <c r="G12" s="193">
        <f t="shared" si="7"/>
        <v>32488</v>
      </c>
      <c r="H12" s="193">
        <f t="shared" si="7"/>
        <v>40160</v>
      </c>
      <c r="I12" s="255">
        <f t="shared" si="7"/>
        <v>926</v>
      </c>
      <c r="J12" s="255">
        <f t="shared" si="7"/>
        <v>3</v>
      </c>
      <c r="K12" s="254">
        <f>I12+I13*IO_EXCHANGE_BIG_TO_SMALL</f>
        <v>9236</v>
      </c>
      <c r="L12" s="254"/>
      <c r="M12" s="254"/>
      <c r="N12" s="256">
        <f t="shared" si="7"/>
        <v>7672</v>
      </c>
      <c r="O12" s="195">
        <f t="shared" si="2"/>
        <v>0.80896414342629486</v>
      </c>
      <c r="P12" s="385">
        <f>MAX(SUM(P2,P4,P6,P8,P10),SUM(P3,P5,P7,P9,P11),P14,P15,P16)</f>
        <v>0</v>
      </c>
      <c r="Q12" s="385">
        <f>MAX(SUM(Q2,Q4,Q6,Q8,Q10),SUM(Q3,Q5,Q7,Q9,Q11),P14,P15,P16)</f>
        <v>0</v>
      </c>
      <c r="R12" s="383">
        <f>MAX(SUM(R2,R4,R6,R8,R10),SUM(R3,R5,R7,R9,R11),R14,R15,R16)</f>
        <v>0</v>
      </c>
      <c r="S12" s="257" t="e">
        <f>(S2*T2+S4*T4+S6*T6+S8*T8+S10*T10) / T$12</f>
        <v>#VALUE!</v>
      </c>
      <c r="T12" s="258">
        <f>SUM(T2,T4,T6,T8,T10)</f>
        <v>0</v>
      </c>
      <c r="V12" s="390"/>
      <c r="W12" s="82">
        <v>30</v>
      </c>
      <c r="X12" s="50" t="s">
        <v>0</v>
      </c>
      <c r="Y12" s="9">
        <f>VLOOKUP(W11,DATA_IO,8)+VLOOKUP(W12,DATA_IO,8)</f>
        <v>23</v>
      </c>
      <c r="Z12" s="89">
        <v>14.5</v>
      </c>
      <c r="AA12" s="43">
        <f t="shared" si="5"/>
        <v>1740.0000000000009</v>
      </c>
      <c r="AB12" s="381"/>
      <c r="AC12" s="82">
        <v>30</v>
      </c>
      <c r="AD12" s="50" t="s">
        <v>0</v>
      </c>
      <c r="AE12" s="9">
        <f>VLOOKUP(AC11,DATA_IO,8)+VLOOKUP(AC12,DATA_IO,8)</f>
        <v>23</v>
      </c>
      <c r="AF12" s="89">
        <f>IF(VLOOKUP(AC12,DATA_IO,10)=0,"",VLOOKUP(AC12,DATA_IO,10))</f>
        <v>14.5</v>
      </c>
      <c r="AG12" s="57">
        <f t="shared" si="6"/>
        <v>1740.0000000000009</v>
      </c>
      <c r="AH12" s="60"/>
    </row>
    <row r="13" spans="1:34" x14ac:dyDescent="0.25">
      <c r="A13" s="404"/>
      <c r="B13" s="55" t="s">
        <v>102</v>
      </c>
      <c r="C13" s="183">
        <f t="shared" si="7"/>
        <v>10330</v>
      </c>
      <c r="D13" s="184"/>
      <c r="E13" s="184"/>
      <c r="F13" s="180">
        <f t="shared" si="7"/>
        <v>8000</v>
      </c>
      <c r="G13" s="181">
        <f t="shared" si="7"/>
        <v>9800</v>
      </c>
      <c r="H13" s="181">
        <f t="shared" si="7"/>
        <v>10240</v>
      </c>
      <c r="I13" s="185">
        <f t="shared" si="7"/>
        <v>2770</v>
      </c>
      <c r="J13" s="185">
        <f t="shared" si="7"/>
        <v>13</v>
      </c>
      <c r="K13" s="184">
        <f>I13+I12*IO_EXCHANGE_SMALL_TO_BIG</f>
        <v>2924.3333333333335</v>
      </c>
      <c r="L13" s="184"/>
      <c r="M13" s="184"/>
      <c r="N13" s="186">
        <f t="shared" si="7"/>
        <v>440</v>
      </c>
      <c r="O13" s="182">
        <f t="shared" si="2"/>
        <v>0.95703125</v>
      </c>
      <c r="P13" s="386"/>
      <c r="Q13" s="386"/>
      <c r="R13" s="384"/>
      <c r="S13" s="187" t="e">
        <f>(S3*T3+S5*T5+S7*T7+S9*T9+S11*T11) / T$13</f>
        <v>#DIV/0!</v>
      </c>
      <c r="T13" s="259">
        <f>SUM(T3,T5,T7,T9,T11)</f>
        <v>0</v>
      </c>
      <c r="V13" s="389" t="s">
        <v>5</v>
      </c>
      <c r="W13" s="83">
        <v>30</v>
      </c>
      <c r="X13" s="49" t="s">
        <v>1</v>
      </c>
      <c r="Y13" s="10">
        <f>VLOOKUP(W13,DATA_IO,7)+VLOOKUP(W14,DATA_IO,7)</f>
        <v>23</v>
      </c>
      <c r="Z13" s="90">
        <v>14.5</v>
      </c>
      <c r="AA13" s="42">
        <f t="shared" si="5"/>
        <v>1740.0000000000009</v>
      </c>
      <c r="AB13" s="382" t="s">
        <v>4</v>
      </c>
      <c r="AC13" s="83">
        <v>30</v>
      </c>
      <c r="AD13" s="49" t="s">
        <v>1</v>
      </c>
      <c r="AE13" s="10">
        <f>VLOOKUP(AC13,DATA_IO,7)+VLOOKUP(AC14,DATA_IO,7)</f>
        <v>23</v>
      </c>
      <c r="AF13" s="90">
        <f>IF(VLOOKUP(AC13,DATA_IO,10)=0,"",VLOOKUP(AC13,DATA_IO,10))</f>
        <v>14.5</v>
      </c>
      <c r="AG13" s="58">
        <f t="shared" si="6"/>
        <v>1740.0000000000009</v>
      </c>
      <c r="AH13" s="60"/>
    </row>
    <row r="14" spans="1:34" x14ac:dyDescent="0.25">
      <c r="A14" s="404"/>
      <c r="B14" s="55" t="s">
        <v>113</v>
      </c>
      <c r="C14" s="188">
        <v>7951</v>
      </c>
      <c r="D14" s="184"/>
      <c r="E14" s="184"/>
      <c r="F14" s="180">
        <f>SUM(VLOOKUP($W$9,DATA_IO,4,TRUE),VLOOKUP($W$10,DATA_IO,4,TRUE),VLOOKUP($W$11,DATA_IO,4,TRUE),VLOOKUP($W$12,DATA_IO,4,TRUE),VLOOKUP($W$13,DATA_IO,4,TRUE),VLOOKUP($W$14,DATA_IO,4,TRUE),VLOOKUP($W$15,DATA_IO,4,TRUE),VLOOKUP($W$16,DATA_IO,4,TRUE),VLOOKUP($AC$9,DATA_IO,4,TRUE),VLOOKUP($AC$10,DATA_IO,4,TRUE),VLOOKUP($AC$11,DATA_IO,4,TRUE),VLOOKUP($AC$12,DATA_IO,4,TRUE),VLOOKUP($AC$13,DATA_IO,4,TRUE),VLOOKUP($AC$14,DATA_IO,4,TRUE),VLOOKUP($AC$15,DATA_IO,4,TRUE),VLOOKUP($AC$16,DATA_IO,4,TRUE))</f>
        <v>12960</v>
      </c>
      <c r="G14" s="181">
        <f>H14-N14</f>
        <v>16591</v>
      </c>
      <c r="H14" s="181">
        <f>D迎擊!$AP$3*16</f>
        <v>21600</v>
      </c>
      <c r="I14" s="185" t="str">
        <f>IF(F14-C14 &lt;= 0,ABS(F14-C14),"")</f>
        <v/>
      </c>
      <c r="J14" s="185"/>
      <c r="K14" s="184"/>
      <c r="L14" s="184"/>
      <c r="M14" s="184"/>
      <c r="N14" s="186">
        <f>IF(F14-C14 &lt; 0,0,F14-C14)</f>
        <v>5009</v>
      </c>
      <c r="O14" s="182">
        <f t="shared" si="2"/>
        <v>0.76810185185185187</v>
      </c>
      <c r="P14" s="386">
        <f>IFERROR(ROUND(N14/S14,0),0)</f>
        <v>0</v>
      </c>
      <c r="Q14" s="386"/>
      <c r="R14" s="189">
        <f>P14/(WINGS_RECOVER_NUM/WINGS_CONSUME_IO)*WINGS_RECOVER_DIAMS</f>
        <v>0</v>
      </c>
      <c r="S14" s="187" t="str">
        <f>IFERROR(SUMPRODUCT(D迎擊!AE:AE,D迎擊!AK:AK)/T$14,"")</f>
        <v/>
      </c>
      <c r="T14" s="407">
        <f>SUM(D迎擊!AK:AK)</f>
        <v>0</v>
      </c>
      <c r="V14" s="389"/>
      <c r="W14" s="83">
        <v>30</v>
      </c>
      <c r="X14" s="49" t="s">
        <v>0</v>
      </c>
      <c r="Y14" s="10">
        <f>VLOOKUP(W13,DATA_IO,8)+VLOOKUP(W14,DATA_IO,8)</f>
        <v>23</v>
      </c>
      <c r="Z14" s="90">
        <v>14.5</v>
      </c>
      <c r="AA14" s="42">
        <f t="shared" si="5"/>
        <v>1740.0000000000009</v>
      </c>
      <c r="AB14" s="382"/>
      <c r="AC14" s="83">
        <v>30</v>
      </c>
      <c r="AD14" s="49" t="s">
        <v>0</v>
      </c>
      <c r="AE14" s="10">
        <f>VLOOKUP(AC13,DATA_IO,8)+VLOOKUP(AC14,DATA_IO,8)</f>
        <v>23</v>
      </c>
      <c r="AF14" s="90">
        <f>IF(VLOOKUP(AC14,DATA_IO,10)=0,"",VLOOKUP(AC14,DATA_IO,10))</f>
        <v>14.5</v>
      </c>
      <c r="AG14" s="58">
        <f t="shared" si="6"/>
        <v>1740.0000000000009</v>
      </c>
      <c r="AH14" s="60"/>
    </row>
    <row r="15" spans="1:34" x14ac:dyDescent="0.25">
      <c r="A15" s="404"/>
      <c r="B15" s="55" t="s">
        <v>114</v>
      </c>
      <c r="C15" s="188">
        <v>11442</v>
      </c>
      <c r="D15" s="184"/>
      <c r="E15" s="184"/>
      <c r="F15" s="180">
        <f>SUM(VLOOKUP($W$9,DATA_IO,3,TRUE),VLOOKUP($W$10,DATA_IO,3,TRUE),VLOOKUP($W$11,DATA_IO,3,TRUE),VLOOKUP($W$12,DATA_IO,3,TRUE),VLOOKUP($W$13,DATA_IO,3,TRUE),VLOOKUP($W$14,DATA_IO,3,TRUE),VLOOKUP($W$15,DATA_IO,3,TRUE),VLOOKUP($W$16,DATA_IO,3,TRUE),VLOOKUP($AC$9,DATA_IO,3,TRUE),VLOOKUP($AC$10,DATA_IO,3,TRUE),VLOOKUP($AC$11,DATA_IO,3,TRUE),VLOOKUP($AC$12,DATA_IO,3,TRUE),VLOOKUP($AC$13,DATA_IO,3,TRUE),VLOOKUP($AC$14,DATA_IO,3,TRUE),VLOOKUP($AC$15,DATA_IO,3,TRUE),VLOOKUP($AC$16,DATA_IO,3,TRUE))</f>
        <v>9920</v>
      </c>
      <c r="G15" s="181">
        <f>H15-N15</f>
        <v>20080</v>
      </c>
      <c r="H15" s="181">
        <f>D迎擊!$AO$3*16</f>
        <v>20080</v>
      </c>
      <c r="I15" s="185">
        <f>IF(F15-C15 &lt;= 0,ABS(F15-C15),"")</f>
        <v>1522</v>
      </c>
      <c r="J15" s="185"/>
      <c r="K15" s="184"/>
      <c r="L15" s="184"/>
      <c r="M15" s="184"/>
      <c r="N15" s="186">
        <f>IF(F15-C15 &lt; 0,0,F15-C15)</f>
        <v>0</v>
      </c>
      <c r="O15" s="182">
        <f t="shared" si="2"/>
        <v>1</v>
      </c>
      <c r="P15" s="386">
        <f>IFERROR(ROUND(N15/S15,0),0)</f>
        <v>0</v>
      </c>
      <c r="Q15" s="386"/>
      <c r="R15" s="189">
        <f>P15/(WINGS_RECOVER_NUM/WINGS_CONSUME_IO)*WINGS_RECOVER_DIAMS</f>
        <v>0</v>
      </c>
      <c r="S15" s="187" t="str">
        <f>IFERROR(SUMPRODUCT(D迎擊!AG:AG,D迎擊!AK:AK)/T$14,"")</f>
        <v/>
      </c>
      <c r="T15" s="407"/>
      <c r="V15" s="388" t="s">
        <v>3</v>
      </c>
      <c r="W15" s="84">
        <v>30</v>
      </c>
      <c r="X15" s="17" t="s">
        <v>1</v>
      </c>
      <c r="Y15" s="11">
        <f>VLOOKUP(W15,DATA_IO,7)+VLOOKUP(W16,DATA_IO,7)</f>
        <v>23</v>
      </c>
      <c r="Z15" s="91">
        <v>14.5</v>
      </c>
      <c r="AA15" s="41">
        <f t="shared" si="5"/>
        <v>1740.0000000000009</v>
      </c>
      <c r="AB15" s="387" t="s">
        <v>2</v>
      </c>
      <c r="AC15" s="85">
        <v>30</v>
      </c>
      <c r="AD15" s="48" t="s">
        <v>1</v>
      </c>
      <c r="AE15" s="12">
        <f>VLOOKUP(AC15,DATA_IO,7)+VLOOKUP(AC16,DATA_IO,7)</f>
        <v>23</v>
      </c>
      <c r="AF15" s="92">
        <f>IF(VLOOKUP(AC15,DATA_IO,10)=0,"",VLOOKUP(AC15,DATA_IO,10))</f>
        <v>14.5</v>
      </c>
      <c r="AG15" s="59">
        <f t="shared" si="6"/>
        <v>1740.0000000000009</v>
      </c>
      <c r="AH15" s="60"/>
    </row>
    <row r="16" spans="1:34" x14ac:dyDescent="0.25">
      <c r="A16" s="405"/>
      <c r="B16" s="260" t="s">
        <v>115</v>
      </c>
      <c r="C16" s="261">
        <v>83314</v>
      </c>
      <c r="D16" s="262"/>
      <c r="E16" s="262"/>
      <c r="F16" s="173">
        <f>SUM(VLOOKUP($W$9,DATA_IO,2,TRUE),VLOOKUP($W$10,DATA_IO,2,TRUE),VLOOKUP($W$11,DATA_IO,2,TRUE),VLOOKUP($W$12,DATA_IO,2,TRUE),VLOOKUP($W$13,DATA_IO,2,TRUE),VLOOKUP($W$14,DATA_IO,2,TRUE),VLOOKUP($W$15,DATA_IO,2,TRUE),VLOOKUP($W$16,DATA_IO,2,TRUE),VLOOKUP($AC$9,DATA_IO,2,TRUE),VLOOKUP($AC$10,DATA_IO,2,TRUE),VLOOKUP($AC$11,DATA_IO,2,TRUE),VLOOKUP($AC$12,DATA_IO,2,TRUE),VLOOKUP($AC$13,DATA_IO,2,TRUE),VLOOKUP($AC$14,DATA_IO,2,TRUE),VLOOKUP($AC$15,DATA_IO,2,TRUE),VLOOKUP($AC$16,DATA_IO,2,TRUE))</f>
        <v>40000</v>
      </c>
      <c r="G16" s="174">
        <f>H16-N16</f>
        <v>73280</v>
      </c>
      <c r="H16" s="174">
        <f>D迎擊!$AN$3*16</f>
        <v>73280</v>
      </c>
      <c r="I16" s="263">
        <f>IF(F16-C16 &lt;= 0,ABS(F16-C16),"")</f>
        <v>43314</v>
      </c>
      <c r="J16" s="263"/>
      <c r="K16" s="262"/>
      <c r="L16" s="262"/>
      <c r="M16" s="262"/>
      <c r="N16" s="264">
        <f>IF(F16-C16 &lt; 0,0,F16-C16)</f>
        <v>0</v>
      </c>
      <c r="O16" s="176">
        <f t="shared" si="2"/>
        <v>1</v>
      </c>
      <c r="P16" s="406">
        <f>IFERROR(ROUND(N16/S16,0),0)</f>
        <v>0</v>
      </c>
      <c r="Q16" s="406"/>
      <c r="R16" s="265">
        <f>Q16/(WINGS_RECOVER_NUM/WINGS_CONSUME_IO)*WINGS_RECOVER_DIAMS</f>
        <v>0</v>
      </c>
      <c r="S16" s="266" t="str">
        <f>IFERROR(SUMPRODUCT(D迎擊!AI:AI,D迎擊!AK:AK)/T$14,"")</f>
        <v/>
      </c>
      <c r="T16" s="408"/>
      <c r="V16" s="388"/>
      <c r="W16" s="84">
        <v>30</v>
      </c>
      <c r="X16" s="17" t="s">
        <v>0</v>
      </c>
      <c r="Y16" s="11">
        <f>VLOOKUP(W15,DATA_IO,8)+VLOOKUP(W16,DATA_IO,8)</f>
        <v>23</v>
      </c>
      <c r="Z16" s="91">
        <v>14.5</v>
      </c>
      <c r="AA16" s="41">
        <f t="shared" si="5"/>
        <v>1740.0000000000009</v>
      </c>
      <c r="AB16" s="387"/>
      <c r="AC16" s="85">
        <v>30</v>
      </c>
      <c r="AD16" s="48" t="s">
        <v>0</v>
      </c>
      <c r="AE16" s="12">
        <f>VLOOKUP(AC15,DATA_IO,8)+VLOOKUP(AC16,DATA_IO,8)</f>
        <v>23</v>
      </c>
      <c r="AF16" s="92">
        <f>IF(VLOOKUP(AC16,DATA_IO,10)=0,"",VLOOKUP(AC16,DATA_IO,10))</f>
        <v>14.5</v>
      </c>
      <c r="AG16" s="59">
        <f t="shared" si="6"/>
        <v>1740.0000000000009</v>
      </c>
    </row>
  </sheetData>
  <mergeCells count="22">
    <mergeCell ref="A12:A16"/>
    <mergeCell ref="P14:Q14"/>
    <mergeCell ref="P15:Q15"/>
    <mergeCell ref="P16:Q16"/>
    <mergeCell ref="T14:T16"/>
    <mergeCell ref="P12:P13"/>
    <mergeCell ref="A2:A3"/>
    <mergeCell ref="A6:A7"/>
    <mergeCell ref="A10:A11"/>
    <mergeCell ref="A4:A5"/>
    <mergeCell ref="A8:A9"/>
    <mergeCell ref="AB15:AB16"/>
    <mergeCell ref="V15:V16"/>
    <mergeCell ref="V13:V14"/>
    <mergeCell ref="V11:V12"/>
    <mergeCell ref="V9:V10"/>
    <mergeCell ref="AB9:AB10"/>
    <mergeCell ref="X8:Y8"/>
    <mergeCell ref="AB11:AB12"/>
    <mergeCell ref="AB13:AB14"/>
    <mergeCell ref="R12:R13"/>
    <mergeCell ref="Q12:Q13"/>
  </mergeCells>
  <conditionalFormatting sqref="O3">
    <cfRule type="dataBar" priority="23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{D849F316-2EB3-476B-A853-CB121EB32F44}</x14:id>
        </ext>
      </extLst>
    </cfRule>
  </conditionalFormatting>
  <conditionalFormatting sqref="O4:O5">
    <cfRule type="dataBar" priority="24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{CE014E67-50D4-4826-8B66-5E0782459B41}</x14:id>
        </ext>
      </extLst>
    </cfRule>
  </conditionalFormatting>
  <conditionalFormatting sqref="O5:O7">
    <cfRule type="dataBar" priority="25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{B4539DEE-A5A8-4711-B9A1-A727FDC08BC8}</x14:id>
        </ext>
      </extLst>
    </cfRule>
  </conditionalFormatting>
  <conditionalFormatting sqref="O7:O9">
    <cfRule type="dataBar" priority="26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{33A8D5EC-E90C-4644-A754-4D330BE95D48}</x14:id>
        </ext>
      </extLst>
    </cfRule>
  </conditionalFormatting>
  <conditionalFormatting sqref="O9:O12">
    <cfRule type="dataBar" priority="27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{7CC66973-902C-42AA-A7A3-C8F9AF4EC809}</x14:id>
        </ext>
      </extLst>
    </cfRule>
  </conditionalFormatting>
  <conditionalFormatting sqref="O12:O15">
    <cfRule type="dataBar" priority="22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{D1D71DDA-FD04-4BCE-8864-A61B492CD711}</x14:id>
        </ext>
      </extLst>
    </cfRule>
  </conditionalFormatting>
  <conditionalFormatting sqref="O2">
    <cfRule type="dataBar" priority="21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{EED12BB3-5289-4DB9-A705-E71F55558C30}</x14:id>
        </ext>
      </extLst>
    </cfRule>
  </conditionalFormatting>
  <conditionalFormatting sqref="O16">
    <cfRule type="dataBar" priority="1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{1D7F4491-8C2F-441D-95D1-70C0FE1CF4E3}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49F316-2EB3-476B-A853-CB121EB32F4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O3</xm:sqref>
        </x14:conditionalFormatting>
        <x14:conditionalFormatting xmlns:xm="http://schemas.microsoft.com/office/excel/2006/main">
          <x14:cfRule type="dataBar" id="{CE014E67-50D4-4826-8B66-5E0782459B4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O4:O5</xm:sqref>
        </x14:conditionalFormatting>
        <x14:conditionalFormatting xmlns:xm="http://schemas.microsoft.com/office/excel/2006/main">
          <x14:cfRule type="dataBar" id="{B4539DEE-A5A8-4711-B9A1-A727FDC08BC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O5:O7</xm:sqref>
        </x14:conditionalFormatting>
        <x14:conditionalFormatting xmlns:xm="http://schemas.microsoft.com/office/excel/2006/main">
          <x14:cfRule type="dataBar" id="{33A8D5EC-E90C-4644-A754-4D330BE95D4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O7:O9</xm:sqref>
        </x14:conditionalFormatting>
        <x14:conditionalFormatting xmlns:xm="http://schemas.microsoft.com/office/excel/2006/main">
          <x14:cfRule type="dataBar" id="{7CC66973-902C-42AA-A7A3-C8F9AF4EC80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O9:O12</xm:sqref>
        </x14:conditionalFormatting>
        <x14:conditionalFormatting xmlns:xm="http://schemas.microsoft.com/office/excel/2006/main">
          <x14:cfRule type="dataBar" id="{D1D71DDA-FD04-4BCE-8864-A61B492CD71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9.9978637043366805E-2"/>
              <x14:negativeFillColor rgb="FFFF0000"/>
              <x14:axisColor rgb="FF000000"/>
            </x14:dataBar>
          </x14:cfRule>
          <xm:sqref>O12:O15</xm:sqref>
        </x14:conditionalFormatting>
        <x14:conditionalFormatting xmlns:xm="http://schemas.microsoft.com/office/excel/2006/main">
          <x14:cfRule type="dataBar" id="{EED12BB3-5289-4DB9-A705-E71F55558C3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1D7F4491-8C2F-441D-95D1-70C0FE1CF4E3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9.9978637043366805E-2"/>
              <x14:negativeFillColor rgb="FFFF0000"/>
              <x14:axisColor rgb="FF000000"/>
            </x14:dataBar>
          </x14:cfRule>
          <xm:sqref>O16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4811E-9DE7-44B8-BBD5-1B8820CAF05B}">
  <sheetPr codeName="Sheet4">
    <tabColor rgb="FF00B0F0"/>
  </sheetPr>
  <dimension ref="A1:BF37"/>
  <sheetViews>
    <sheetView topLeftCell="AC3" workbookViewId="0">
      <selection activeCell="AV1" sqref="AV1:AV1048576"/>
    </sheetView>
  </sheetViews>
  <sheetFormatPr defaultColWidth="9.140625" defaultRowHeight="15" x14ac:dyDescent="0.25"/>
  <cols>
    <col min="1" max="1" width="6.85546875" style="62" customWidth="1"/>
    <col min="2" max="2" width="4.85546875" style="143" customWidth="1"/>
    <col min="3" max="3" width="4.85546875" style="73" customWidth="1"/>
    <col min="4" max="4" width="6.85546875" style="62" customWidth="1"/>
    <col min="5" max="5" width="4.85546875" style="143" customWidth="1"/>
    <col min="6" max="6" width="4.85546875" style="73" customWidth="1"/>
    <col min="7" max="7" width="6.85546875" style="63" customWidth="1"/>
    <col min="8" max="8" width="4.85546875" style="150" customWidth="1"/>
    <col min="9" max="9" width="4.85546875" style="74" customWidth="1"/>
    <col min="10" max="10" width="6.85546875" style="5" customWidth="1"/>
    <col min="11" max="11" width="4.85546875" style="3" customWidth="1"/>
    <col min="12" max="12" width="4.85546875" style="74" customWidth="1"/>
    <col min="13" max="13" width="6.85546875" style="64" customWidth="1"/>
    <col min="14" max="14" width="4.85546875" style="141" customWidth="1"/>
    <col min="15" max="15" width="4.85546875" style="75" customWidth="1"/>
    <col min="16" max="16" width="6.85546875" style="64" customWidth="1"/>
    <col min="17" max="17" width="4.85546875" style="141" customWidth="1"/>
    <col min="18" max="18" width="4.85546875" style="75" customWidth="1"/>
    <col min="19" max="19" width="6.85546875" style="65" customWidth="1"/>
    <col min="20" max="20" width="4.85546875" style="139" customWidth="1"/>
    <col min="21" max="21" width="4.85546875" style="76" customWidth="1"/>
    <col min="22" max="22" width="6.85546875" style="65" customWidth="1"/>
    <col min="23" max="23" width="4.85546875" style="139" customWidth="1"/>
    <col min="24" max="24" width="4.85546875" style="76" customWidth="1"/>
    <col min="25" max="25" width="6.85546875" style="66" customWidth="1"/>
    <col min="26" max="26" width="4.85546875" style="152" customWidth="1"/>
    <col min="27" max="27" width="4.85546875" style="77" customWidth="1"/>
    <col min="28" max="28" width="6.85546875" style="66" customWidth="1"/>
    <col min="29" max="29" width="4.85546875" style="152" customWidth="1"/>
    <col min="30" max="30" width="4.85546875" style="77" customWidth="1"/>
    <col min="31" max="31" width="6.85546875" style="147" customWidth="1"/>
    <col min="32" max="32" width="4.85546875" style="154" customWidth="1"/>
    <col min="33" max="33" width="6.85546875" style="134" customWidth="1"/>
    <col min="34" max="34" width="4.85546875" style="156" customWidth="1"/>
    <col min="35" max="35" width="7.7109375" style="137" customWidth="1"/>
    <col min="36" max="36" width="4.85546875" style="158" customWidth="1"/>
    <col min="37" max="37" width="4.85546875" style="168" customWidth="1"/>
    <col min="38" max="38" width="3.42578125" customWidth="1"/>
    <col min="39" max="39" width="4.28515625" style="474" customWidth="1"/>
    <col min="40" max="46" width="5.42578125" style="60" customWidth="1"/>
    <col min="47" max="47" width="9.42578125" style="477" customWidth="1"/>
    <col min="48" max="48" width="9.42578125" style="477" hidden="1" customWidth="1"/>
    <col min="49" max="49" width="4.28515625" style="473" customWidth="1"/>
    <col min="50" max="56" width="5.42578125" style="373" customWidth="1"/>
    <col min="57" max="57" width="9.42578125" style="475" customWidth="1"/>
    <col min="58" max="58" width="9.140625" style="476"/>
    <col min="59" max="16384" width="9.140625" style="61"/>
  </cols>
  <sheetData>
    <row r="1" spans="1:57" x14ac:dyDescent="0.25">
      <c r="A1" s="409" t="s">
        <v>103</v>
      </c>
      <c r="B1" s="409"/>
      <c r="C1" s="414" t="s">
        <v>30</v>
      </c>
      <c r="D1" s="414" t="s">
        <v>102</v>
      </c>
      <c r="E1" s="414"/>
      <c r="F1" s="414" t="s">
        <v>30</v>
      </c>
      <c r="G1" s="420" t="s">
        <v>103</v>
      </c>
      <c r="H1" s="420"/>
      <c r="I1" s="415" t="s">
        <v>30</v>
      </c>
      <c r="J1" s="415" t="s">
        <v>102</v>
      </c>
      <c r="K1" s="415"/>
      <c r="L1" s="415" t="s">
        <v>30</v>
      </c>
      <c r="M1" s="419" t="s">
        <v>103</v>
      </c>
      <c r="N1" s="419"/>
      <c r="O1" s="416" t="s">
        <v>30</v>
      </c>
      <c r="P1" s="416" t="s">
        <v>102</v>
      </c>
      <c r="Q1" s="416"/>
      <c r="R1" s="416" t="s">
        <v>30</v>
      </c>
      <c r="S1" s="423" t="s">
        <v>103</v>
      </c>
      <c r="T1" s="423"/>
      <c r="U1" s="417" t="s">
        <v>30</v>
      </c>
      <c r="V1" s="417" t="s">
        <v>102</v>
      </c>
      <c r="W1" s="417"/>
      <c r="X1" s="417" t="s">
        <v>30</v>
      </c>
      <c r="Y1" s="422" t="s">
        <v>103</v>
      </c>
      <c r="Z1" s="422"/>
      <c r="AA1" s="418" t="s">
        <v>30</v>
      </c>
      <c r="AB1" s="418" t="s">
        <v>102</v>
      </c>
      <c r="AC1" s="418"/>
      <c r="AD1" s="418" t="s">
        <v>30</v>
      </c>
      <c r="AE1" s="412" t="s">
        <v>113</v>
      </c>
      <c r="AF1" s="412"/>
      <c r="AG1" s="413" t="s">
        <v>114</v>
      </c>
      <c r="AH1" s="413"/>
      <c r="AI1" s="410" t="s">
        <v>115</v>
      </c>
      <c r="AJ1" s="410"/>
      <c r="AK1" s="411" t="s">
        <v>30</v>
      </c>
      <c r="AM1" s="421" t="s">
        <v>183</v>
      </c>
      <c r="AN1" s="421"/>
      <c r="AO1" s="421"/>
      <c r="AP1" s="421"/>
      <c r="AQ1" s="421"/>
      <c r="AR1" s="421"/>
      <c r="AS1" s="421"/>
      <c r="AT1" s="421"/>
      <c r="AU1" s="421"/>
      <c r="AV1" s="373"/>
      <c r="AW1" s="421" t="s">
        <v>71</v>
      </c>
      <c r="AX1" s="421"/>
      <c r="AY1" s="421"/>
      <c r="AZ1" s="421"/>
      <c r="BA1" s="421"/>
      <c r="BB1" s="421"/>
      <c r="BC1" s="421"/>
      <c r="BD1" s="421"/>
      <c r="BE1" s="421"/>
    </row>
    <row r="2" spans="1:57" x14ac:dyDescent="0.25">
      <c r="A2" s="146" t="s">
        <v>32</v>
      </c>
      <c r="B2" s="148" t="s">
        <v>112</v>
      </c>
      <c r="C2" s="414"/>
      <c r="D2" s="145" t="s">
        <v>32</v>
      </c>
      <c r="E2" s="148" t="s">
        <v>112</v>
      </c>
      <c r="F2" s="414"/>
      <c r="G2" s="127" t="s">
        <v>32</v>
      </c>
      <c r="H2" s="149" t="s">
        <v>112</v>
      </c>
      <c r="I2" s="415"/>
      <c r="J2" s="144" t="s">
        <v>32</v>
      </c>
      <c r="K2" s="142" t="s">
        <v>112</v>
      </c>
      <c r="L2" s="415"/>
      <c r="M2" s="128" t="s">
        <v>32</v>
      </c>
      <c r="N2" s="140" t="s">
        <v>112</v>
      </c>
      <c r="O2" s="416"/>
      <c r="P2" s="128" t="s">
        <v>32</v>
      </c>
      <c r="Q2" s="140" t="s">
        <v>112</v>
      </c>
      <c r="R2" s="416"/>
      <c r="S2" s="129" t="s">
        <v>32</v>
      </c>
      <c r="T2" s="138" t="s">
        <v>112</v>
      </c>
      <c r="U2" s="417"/>
      <c r="V2" s="129" t="s">
        <v>32</v>
      </c>
      <c r="W2" s="138" t="s">
        <v>112</v>
      </c>
      <c r="X2" s="417"/>
      <c r="Y2" s="130" t="s">
        <v>32</v>
      </c>
      <c r="Z2" s="151" t="s">
        <v>112</v>
      </c>
      <c r="AA2" s="418"/>
      <c r="AB2" s="130" t="s">
        <v>32</v>
      </c>
      <c r="AC2" s="151" t="s">
        <v>112</v>
      </c>
      <c r="AD2" s="418"/>
      <c r="AE2" s="132" t="s">
        <v>32</v>
      </c>
      <c r="AF2" s="153" t="s">
        <v>112</v>
      </c>
      <c r="AG2" s="133" t="s">
        <v>32</v>
      </c>
      <c r="AH2" s="155" t="s">
        <v>112</v>
      </c>
      <c r="AI2" s="136" t="s">
        <v>32</v>
      </c>
      <c r="AJ2" s="157" t="s">
        <v>112</v>
      </c>
      <c r="AK2" s="411"/>
      <c r="AM2" s="474" t="s">
        <v>19</v>
      </c>
      <c r="AN2" s="60" t="s">
        <v>18</v>
      </c>
      <c r="AO2" s="60" t="s">
        <v>17</v>
      </c>
      <c r="AP2" s="60" t="s">
        <v>16</v>
      </c>
      <c r="AQ2" s="60" t="s">
        <v>15</v>
      </c>
      <c r="AR2" s="60" t="s">
        <v>92</v>
      </c>
      <c r="AS2" s="60" t="s">
        <v>1</v>
      </c>
      <c r="AT2" s="60" t="s">
        <v>0</v>
      </c>
      <c r="AU2" s="477" t="s">
        <v>25</v>
      </c>
      <c r="AW2" s="473" t="s">
        <v>19</v>
      </c>
      <c r="AX2" s="373" t="s">
        <v>18</v>
      </c>
      <c r="AY2" s="373" t="s">
        <v>17</v>
      </c>
      <c r="AZ2" s="373" t="s">
        <v>16</v>
      </c>
      <c r="BA2" s="373" t="s">
        <v>15</v>
      </c>
      <c r="BB2" s="373" t="s">
        <v>92</v>
      </c>
      <c r="BC2" s="373" t="s">
        <v>1</v>
      </c>
      <c r="BD2" s="373" t="s">
        <v>0</v>
      </c>
      <c r="BE2" s="475" t="s">
        <v>184</v>
      </c>
    </row>
    <row r="3" spans="1:57" x14ac:dyDescent="0.25">
      <c r="A3" s="62" t="e">
        <f>B3/C3</f>
        <v>#DIV/0!</v>
      </c>
      <c r="E3" s="4"/>
      <c r="G3" s="63" t="e">
        <f t="shared" ref="G3:G17" si="0">H3/I3</f>
        <v>#DIV/0!</v>
      </c>
      <c r="M3" s="64" t="e">
        <f t="shared" ref="M3:M9" si="1">N3/O3</f>
        <v>#DIV/0!</v>
      </c>
      <c r="P3" s="64" t="e">
        <f>Q3/R3</f>
        <v>#DIV/0!</v>
      </c>
      <c r="S3" s="65" t="e">
        <f t="shared" ref="S3:S10" si="2">T3/U3</f>
        <v>#DIV/0!</v>
      </c>
      <c r="V3" s="65" t="e">
        <f>W3/X3</f>
        <v>#DIV/0!</v>
      </c>
      <c r="Y3" s="66" t="e">
        <f t="shared" ref="Y3:Y10" si="3">Z3/AA3</f>
        <v>#DIV/0!</v>
      </c>
      <c r="AA3" s="53"/>
      <c r="AB3" s="66" t="e">
        <f>AC3/AD3</f>
        <v>#DIV/0!</v>
      </c>
      <c r="AE3" s="147" t="e">
        <f t="shared" ref="AE3:AE9" si="4">AF3/AK3</f>
        <v>#DIV/0!</v>
      </c>
      <c r="AG3" s="134" t="e">
        <f t="shared" ref="AG3:AG9" si="5">AH3/AK3</f>
        <v>#DIV/0!</v>
      </c>
      <c r="AI3" s="137" t="e">
        <f t="shared" ref="AI3:AI9" si="6">AJ3/AK3</f>
        <v>#DIV/0!</v>
      </c>
      <c r="AM3" s="474">
        <v>1</v>
      </c>
      <c r="AN3" s="60">
        <f>SUM(AX3:AX$37)</f>
        <v>4580</v>
      </c>
      <c r="AO3" s="373">
        <f>SUM(AY3:AY$37)</f>
        <v>1255</v>
      </c>
      <c r="AP3" s="373">
        <f>SUM(AZ3:AZ$37)</f>
        <v>1350</v>
      </c>
      <c r="AQ3" s="373">
        <f>SUM(BA3:BA$37)</f>
        <v>2510</v>
      </c>
      <c r="AR3" s="373">
        <f>SUM(BB3:BB$37)</f>
        <v>640</v>
      </c>
      <c r="AS3" s="60">
        <f>BC3</f>
        <v>3</v>
      </c>
      <c r="AT3" s="60">
        <f>BD3</f>
        <v>3</v>
      </c>
      <c r="AU3" s="477" t="str">
        <f>FLOOR(SUM(BE3:BE$37)/24, 1) &amp; " D " &amp; MOD(SUM(BE3:BE$37),24) &amp; " H"</f>
        <v>38 D 4.5 H</v>
      </c>
      <c r="AV3" s="477">
        <f>SUM(BE3:BE$37)/24</f>
        <v>38.1875</v>
      </c>
      <c r="AW3" s="473">
        <v>1</v>
      </c>
      <c r="AX3" s="373">
        <v>0</v>
      </c>
      <c r="AY3" s="373">
        <v>0</v>
      </c>
      <c r="AZ3" s="373">
        <v>0</v>
      </c>
      <c r="BA3" s="373">
        <v>0</v>
      </c>
      <c r="BB3" s="373">
        <v>0</v>
      </c>
      <c r="BC3" s="373">
        <v>3</v>
      </c>
      <c r="BD3" s="373">
        <v>3</v>
      </c>
      <c r="BE3" s="477">
        <v>0</v>
      </c>
    </row>
    <row r="4" spans="1:57" x14ac:dyDescent="0.25">
      <c r="A4" s="62" t="e">
        <f>B4/C4</f>
        <v>#DIV/0!</v>
      </c>
      <c r="E4" s="4"/>
      <c r="G4" s="63" t="e">
        <f t="shared" si="0"/>
        <v>#DIV/0!</v>
      </c>
      <c r="M4" s="64" t="e">
        <f t="shared" si="1"/>
        <v>#DIV/0!</v>
      </c>
      <c r="P4" s="64" t="e">
        <f>Q4/R4</f>
        <v>#DIV/0!</v>
      </c>
      <c r="S4" s="65" t="e">
        <f t="shared" si="2"/>
        <v>#DIV/0!</v>
      </c>
      <c r="V4" s="65" t="e">
        <f>W4/X4</f>
        <v>#DIV/0!</v>
      </c>
      <c r="Y4" s="66" t="e">
        <f t="shared" si="3"/>
        <v>#DIV/0!</v>
      </c>
      <c r="AA4" s="53"/>
      <c r="AB4" s="66" t="e">
        <f>AC4/AD4</f>
        <v>#DIV/0!</v>
      </c>
      <c r="AD4" s="166"/>
      <c r="AE4" s="147" t="e">
        <f t="shared" si="4"/>
        <v>#DIV/0!</v>
      </c>
      <c r="AG4" s="134" t="e">
        <f t="shared" si="5"/>
        <v>#DIV/0!</v>
      </c>
      <c r="AI4" s="137" t="e">
        <f t="shared" si="6"/>
        <v>#DIV/0!</v>
      </c>
      <c r="AM4" s="474">
        <v>2</v>
      </c>
      <c r="AN4" s="373">
        <f>SUM(AX4:AX$37)</f>
        <v>4580</v>
      </c>
      <c r="AO4" s="373">
        <f>SUM(AY4:AY$37)</f>
        <v>1255</v>
      </c>
      <c r="AP4" s="373">
        <f>SUM(AZ4:AZ$37)</f>
        <v>1350</v>
      </c>
      <c r="AQ4" s="373">
        <f>SUM(BA4:BA$37)</f>
        <v>2510</v>
      </c>
      <c r="AR4" s="373">
        <f>SUM(BB4:BB$37)</f>
        <v>640</v>
      </c>
      <c r="AS4" s="373">
        <f t="shared" ref="AS4:AS37" si="7">BC4</f>
        <v>3.5</v>
      </c>
      <c r="AT4" s="373">
        <f t="shared" ref="AT4:AT37" si="8">BD4</f>
        <v>3</v>
      </c>
      <c r="AU4" s="477" t="str">
        <f>FLOOR(SUM(BE4:BE$37)/24, 1) &amp; " D " &amp; MOD(SUM(BE4:BE$37),24) &amp; " H"</f>
        <v>38 D 4.5 H</v>
      </c>
      <c r="AV4" s="477">
        <f>SUM(BE4:BE$37)/24</f>
        <v>38.1875</v>
      </c>
      <c r="AW4" s="473">
        <v>2</v>
      </c>
      <c r="AX4" s="373">
        <v>10</v>
      </c>
      <c r="AY4" s="373">
        <v>0</v>
      </c>
      <c r="AZ4" s="373">
        <v>0</v>
      </c>
      <c r="BA4" s="373">
        <v>0</v>
      </c>
      <c r="BB4" s="373">
        <v>0</v>
      </c>
      <c r="BC4" s="373">
        <v>3.5</v>
      </c>
      <c r="BD4" s="373">
        <v>3</v>
      </c>
      <c r="BE4" s="477">
        <v>0.5</v>
      </c>
    </row>
    <row r="5" spans="1:57" x14ac:dyDescent="0.25">
      <c r="A5" s="62" t="e">
        <f>B5/C5</f>
        <v>#DIV/0!</v>
      </c>
      <c r="E5" s="4"/>
      <c r="G5" s="63" t="e">
        <f t="shared" si="0"/>
        <v>#DIV/0!</v>
      </c>
      <c r="M5" s="64" t="e">
        <f t="shared" si="1"/>
        <v>#DIV/0!</v>
      </c>
      <c r="S5" s="65" t="e">
        <f t="shared" si="2"/>
        <v>#DIV/0!</v>
      </c>
      <c r="Y5" s="66" t="e">
        <f t="shared" si="3"/>
        <v>#DIV/0!</v>
      </c>
      <c r="AA5" s="53"/>
      <c r="AB5" s="66" t="e">
        <f>AC5/AD5</f>
        <v>#DIV/0!</v>
      </c>
      <c r="AD5" s="166"/>
      <c r="AE5" s="147" t="e">
        <f t="shared" si="4"/>
        <v>#DIV/0!</v>
      </c>
      <c r="AG5" s="134" t="e">
        <f t="shared" si="5"/>
        <v>#DIV/0!</v>
      </c>
      <c r="AI5" s="137" t="e">
        <f t="shared" si="6"/>
        <v>#DIV/0!</v>
      </c>
      <c r="AM5" s="474">
        <v>3</v>
      </c>
      <c r="AN5" s="373">
        <f>SUM(AX5:AX$37)</f>
        <v>4570</v>
      </c>
      <c r="AO5" s="373">
        <f>SUM(AY5:AY$37)</f>
        <v>1255</v>
      </c>
      <c r="AP5" s="373">
        <f>SUM(AZ5:AZ$37)</f>
        <v>1350</v>
      </c>
      <c r="AQ5" s="373">
        <f>SUM(BA5:BA$37)</f>
        <v>2510</v>
      </c>
      <c r="AR5" s="373">
        <f>SUM(BB5:BB$37)</f>
        <v>640</v>
      </c>
      <c r="AS5" s="373">
        <f t="shared" si="7"/>
        <v>3.5</v>
      </c>
      <c r="AT5" s="373">
        <f t="shared" si="8"/>
        <v>3.5</v>
      </c>
      <c r="AU5" s="477" t="str">
        <f>FLOOR(SUM(BE5:BE$37)/24, 1) &amp; " D " &amp; MOD(SUM(BE5:BE$37),24) &amp; " H"</f>
        <v>38 D 4 H</v>
      </c>
      <c r="AV5" s="477">
        <f>SUM(BE5:BE$37)/24</f>
        <v>38.166666666666664</v>
      </c>
      <c r="AW5" s="473">
        <v>3</v>
      </c>
      <c r="AX5" s="373">
        <v>10</v>
      </c>
      <c r="AY5" s="373">
        <v>0</v>
      </c>
      <c r="AZ5" s="373">
        <v>0</v>
      </c>
      <c r="BA5" s="373">
        <v>0</v>
      </c>
      <c r="BB5" s="373">
        <v>0</v>
      </c>
      <c r="BC5" s="373">
        <v>3.5</v>
      </c>
      <c r="BD5" s="373">
        <v>3.5</v>
      </c>
      <c r="BE5" s="477">
        <v>1</v>
      </c>
    </row>
    <row r="6" spans="1:57" x14ac:dyDescent="0.25">
      <c r="A6" s="62" t="s">
        <v>104</v>
      </c>
      <c r="E6" s="4"/>
      <c r="G6" s="63" t="e">
        <f t="shared" si="0"/>
        <v>#DIV/0!</v>
      </c>
      <c r="M6" s="64" t="e">
        <f t="shared" si="1"/>
        <v>#DIV/0!</v>
      </c>
      <c r="S6" s="65" t="e">
        <f t="shared" si="2"/>
        <v>#DIV/0!</v>
      </c>
      <c r="Y6" s="66" t="e">
        <f t="shared" si="3"/>
        <v>#DIV/0!</v>
      </c>
      <c r="AA6" s="53"/>
      <c r="AB6" s="6"/>
      <c r="AC6" s="2"/>
      <c r="AD6" s="166"/>
      <c r="AE6" s="147" t="e">
        <f t="shared" si="4"/>
        <v>#DIV/0!</v>
      </c>
      <c r="AG6" s="134" t="e">
        <f t="shared" si="5"/>
        <v>#DIV/0!</v>
      </c>
      <c r="AI6" s="137" t="e">
        <f t="shared" si="6"/>
        <v>#DIV/0!</v>
      </c>
      <c r="AM6" s="474">
        <v>4</v>
      </c>
      <c r="AN6" s="373">
        <f>SUM(AX6:AX$37)</f>
        <v>4560</v>
      </c>
      <c r="AO6" s="373">
        <f>SUM(AY6:AY$37)</f>
        <v>1255</v>
      </c>
      <c r="AP6" s="373">
        <f>SUM(AZ6:AZ$37)</f>
        <v>1350</v>
      </c>
      <c r="AQ6" s="373">
        <f>SUM(BA6:BA$37)</f>
        <v>2510</v>
      </c>
      <c r="AR6" s="373">
        <f>SUM(BB6:BB$37)</f>
        <v>640</v>
      </c>
      <c r="AS6" s="373">
        <f t="shared" si="7"/>
        <v>4</v>
      </c>
      <c r="AT6" s="373">
        <f t="shared" si="8"/>
        <v>3.5</v>
      </c>
      <c r="AU6" s="477" t="str">
        <f>FLOOR(SUM(BE6:BE$37)/24, 1) &amp; " D " &amp; MOD(SUM(BE6:BE$37),24) &amp; " H"</f>
        <v>38 D 3 H</v>
      </c>
      <c r="AV6" s="477">
        <f>SUM(BE6:BE$37)/24</f>
        <v>38.125</v>
      </c>
      <c r="AW6" s="473">
        <v>4</v>
      </c>
      <c r="AX6" s="373">
        <v>10</v>
      </c>
      <c r="AY6" s="373">
        <v>0</v>
      </c>
      <c r="AZ6" s="373">
        <v>0</v>
      </c>
      <c r="BA6" s="373">
        <v>0</v>
      </c>
      <c r="BB6" s="373">
        <v>0</v>
      </c>
      <c r="BC6" s="373">
        <v>4</v>
      </c>
      <c r="BD6" s="373">
        <v>3.5</v>
      </c>
      <c r="BE6" s="477">
        <v>2</v>
      </c>
    </row>
    <row r="7" spans="1:57" x14ac:dyDescent="0.25">
      <c r="A7" s="62" t="s">
        <v>104</v>
      </c>
      <c r="E7" s="4"/>
      <c r="G7" s="63" t="e">
        <f t="shared" si="0"/>
        <v>#DIV/0!</v>
      </c>
      <c r="M7" s="64" t="e">
        <f t="shared" si="1"/>
        <v>#DIV/0!</v>
      </c>
      <c r="S7" s="65" t="e">
        <f t="shared" si="2"/>
        <v>#DIV/0!</v>
      </c>
      <c r="Y7" s="66" t="e">
        <f t="shared" si="3"/>
        <v>#DIV/0!</v>
      </c>
      <c r="AB7" s="6"/>
      <c r="AE7" s="147" t="e">
        <f t="shared" si="4"/>
        <v>#DIV/0!</v>
      </c>
      <c r="AG7" s="134" t="e">
        <f t="shared" si="5"/>
        <v>#DIV/0!</v>
      </c>
      <c r="AI7" s="137" t="e">
        <f t="shared" si="6"/>
        <v>#DIV/0!</v>
      </c>
      <c r="AM7" s="474">
        <v>5</v>
      </c>
      <c r="AN7" s="373">
        <f>SUM(AX7:AX$37)</f>
        <v>4550</v>
      </c>
      <c r="AO7" s="373">
        <f>SUM(AY7:AY$37)</f>
        <v>1255</v>
      </c>
      <c r="AP7" s="373">
        <f>SUM(AZ7:AZ$37)</f>
        <v>1350</v>
      </c>
      <c r="AQ7" s="373">
        <f>SUM(BA7:BA$37)</f>
        <v>2510</v>
      </c>
      <c r="AR7" s="373">
        <f>SUM(BB7:BB$37)</f>
        <v>640</v>
      </c>
      <c r="AS7" s="373">
        <f t="shared" si="7"/>
        <v>4</v>
      </c>
      <c r="AT7" s="373">
        <f t="shared" si="8"/>
        <v>4</v>
      </c>
      <c r="AU7" s="477" t="str">
        <f>FLOOR(SUM(BE7:BE$37)/24, 1) &amp; " D " &amp; MOD(SUM(BE7:BE$37),24) &amp; " H"</f>
        <v>38 D 1 H</v>
      </c>
      <c r="AV7" s="477">
        <f>SUM(BE7:BE$37)/24</f>
        <v>38.041666666666664</v>
      </c>
      <c r="AW7" s="473">
        <v>5</v>
      </c>
      <c r="AX7" s="373">
        <v>10</v>
      </c>
      <c r="AY7" s="373">
        <v>0</v>
      </c>
      <c r="AZ7" s="373">
        <v>0</v>
      </c>
      <c r="BA7" s="373">
        <v>0</v>
      </c>
      <c r="BB7" s="373">
        <v>0</v>
      </c>
      <c r="BC7" s="373">
        <v>4</v>
      </c>
      <c r="BD7" s="373">
        <v>4</v>
      </c>
      <c r="BE7" s="477">
        <v>3</v>
      </c>
    </row>
    <row r="8" spans="1:57" x14ac:dyDescent="0.25">
      <c r="A8" s="62" t="s">
        <v>104</v>
      </c>
      <c r="E8" s="4"/>
      <c r="G8" s="63" t="e">
        <f t="shared" si="0"/>
        <v>#DIV/0!</v>
      </c>
      <c r="M8" s="64" t="e">
        <f t="shared" si="1"/>
        <v>#DIV/0!</v>
      </c>
      <c r="S8" s="65" t="e">
        <f t="shared" si="2"/>
        <v>#DIV/0!</v>
      </c>
      <c r="Y8" s="66" t="e">
        <f t="shared" si="3"/>
        <v>#DIV/0!</v>
      </c>
      <c r="AE8" s="147" t="e">
        <f t="shared" si="4"/>
        <v>#DIV/0!</v>
      </c>
      <c r="AG8" s="134" t="e">
        <f t="shared" si="5"/>
        <v>#DIV/0!</v>
      </c>
      <c r="AI8" s="137" t="e">
        <f t="shared" si="6"/>
        <v>#DIV/0!</v>
      </c>
      <c r="AM8" s="474">
        <v>6</v>
      </c>
      <c r="AN8" s="373">
        <f>SUM(AX8:AX$37)</f>
        <v>4540</v>
      </c>
      <c r="AO8" s="373">
        <f>SUM(AY8:AY$37)</f>
        <v>1255</v>
      </c>
      <c r="AP8" s="373">
        <f>SUM(AZ8:AZ$37)</f>
        <v>1350</v>
      </c>
      <c r="AQ8" s="373">
        <f>SUM(BA8:BA$37)</f>
        <v>2510</v>
      </c>
      <c r="AR8" s="373">
        <f>SUM(BB8:BB$37)</f>
        <v>640</v>
      </c>
      <c r="AS8" s="373">
        <f t="shared" si="7"/>
        <v>4.5</v>
      </c>
      <c r="AT8" s="373">
        <f t="shared" si="8"/>
        <v>4</v>
      </c>
      <c r="AU8" s="477" t="str">
        <f>FLOOR(SUM(BE8:BE$37)/24, 1) &amp; " D " &amp; MOD(SUM(BE8:BE$37),24) &amp; " H"</f>
        <v>37 D 22 H</v>
      </c>
      <c r="AV8" s="477">
        <f>SUM(BE8:BE$37)/24</f>
        <v>37.916666666666664</v>
      </c>
      <c r="AW8" s="473">
        <v>6</v>
      </c>
      <c r="AX8" s="373">
        <v>20</v>
      </c>
      <c r="AY8" s="373">
        <v>0</v>
      </c>
      <c r="AZ8" s="373">
        <v>0</v>
      </c>
      <c r="BA8" s="373">
        <v>0</v>
      </c>
      <c r="BB8" s="373">
        <v>0</v>
      </c>
      <c r="BC8" s="373">
        <v>4.5</v>
      </c>
      <c r="BD8" s="373">
        <v>4</v>
      </c>
      <c r="BE8" s="477">
        <v>4</v>
      </c>
    </row>
    <row r="9" spans="1:57" x14ac:dyDescent="0.25">
      <c r="A9" s="62" t="s">
        <v>104</v>
      </c>
      <c r="E9" s="4"/>
      <c r="G9" s="63" t="e">
        <f t="shared" si="0"/>
        <v>#DIV/0!</v>
      </c>
      <c r="M9" s="64" t="e">
        <f t="shared" si="1"/>
        <v>#DIV/0!</v>
      </c>
      <c r="S9" s="65" t="e">
        <f t="shared" si="2"/>
        <v>#DIV/0!</v>
      </c>
      <c r="Y9" s="66" t="e">
        <f t="shared" si="3"/>
        <v>#DIV/0!</v>
      </c>
      <c r="AE9" s="147" t="e">
        <f t="shared" si="4"/>
        <v>#DIV/0!</v>
      </c>
      <c r="AG9" s="134" t="e">
        <f t="shared" si="5"/>
        <v>#DIV/0!</v>
      </c>
      <c r="AI9" s="137" t="e">
        <f t="shared" si="6"/>
        <v>#DIV/0!</v>
      </c>
      <c r="AM9" s="474">
        <v>7</v>
      </c>
      <c r="AN9" s="373">
        <f>SUM(AX9:AX$37)</f>
        <v>4520</v>
      </c>
      <c r="AO9" s="373">
        <f>SUM(AY9:AY$37)</f>
        <v>1255</v>
      </c>
      <c r="AP9" s="373">
        <f>SUM(AZ9:AZ$37)</f>
        <v>1350</v>
      </c>
      <c r="AQ9" s="373">
        <f>SUM(BA9:BA$37)</f>
        <v>2510</v>
      </c>
      <c r="AR9" s="373">
        <f>SUM(BB9:BB$37)</f>
        <v>640</v>
      </c>
      <c r="AS9" s="373">
        <f t="shared" si="7"/>
        <v>4.5</v>
      </c>
      <c r="AT9" s="373">
        <f t="shared" si="8"/>
        <v>4.5</v>
      </c>
      <c r="AU9" s="477" t="str">
        <f>FLOOR(SUM(BE9:BE$37)/24, 1) &amp; " D " &amp; MOD(SUM(BE9:BE$37),24) &amp; " H"</f>
        <v>37 D 18 H</v>
      </c>
      <c r="AV9" s="477">
        <f>SUM(BE9:BE$37)/24</f>
        <v>37.75</v>
      </c>
      <c r="AW9" s="473">
        <v>7</v>
      </c>
      <c r="AX9" s="373">
        <v>20</v>
      </c>
      <c r="AY9" s="373">
        <v>0</v>
      </c>
      <c r="AZ9" s="373">
        <v>0</v>
      </c>
      <c r="BA9" s="373">
        <v>0</v>
      </c>
      <c r="BB9" s="373">
        <v>0</v>
      </c>
      <c r="BC9" s="373">
        <v>4.5</v>
      </c>
      <c r="BD9" s="373">
        <v>4.5</v>
      </c>
      <c r="BE9" s="477">
        <v>5</v>
      </c>
    </row>
    <row r="10" spans="1:57" x14ac:dyDescent="0.25">
      <c r="A10" s="62" t="s">
        <v>104</v>
      </c>
      <c r="E10" s="4"/>
      <c r="G10" s="63" t="e">
        <f t="shared" si="0"/>
        <v>#DIV/0!</v>
      </c>
      <c r="M10" s="64" t="s">
        <v>104</v>
      </c>
      <c r="S10" s="65" t="e">
        <f t="shared" si="2"/>
        <v>#DIV/0!</v>
      </c>
      <c r="Y10" s="66" t="e">
        <f t="shared" si="3"/>
        <v>#DIV/0!</v>
      </c>
      <c r="AG10" s="134" t="s">
        <v>104</v>
      </c>
      <c r="AI10" s="137" t="s">
        <v>104</v>
      </c>
      <c r="AM10" s="474">
        <v>8</v>
      </c>
      <c r="AN10" s="373">
        <f>SUM(AX10:AX$37)</f>
        <v>4500</v>
      </c>
      <c r="AO10" s="373">
        <f>SUM(AY10:AY$37)</f>
        <v>1255</v>
      </c>
      <c r="AP10" s="373">
        <f>SUM(AZ10:AZ$37)</f>
        <v>1350</v>
      </c>
      <c r="AQ10" s="373">
        <f>SUM(BA10:BA$37)</f>
        <v>2510</v>
      </c>
      <c r="AR10" s="373">
        <f>SUM(BB10:BB$37)</f>
        <v>640</v>
      </c>
      <c r="AS10" s="373">
        <f t="shared" si="7"/>
        <v>5</v>
      </c>
      <c r="AT10" s="373">
        <f t="shared" si="8"/>
        <v>4.5</v>
      </c>
      <c r="AU10" s="477" t="str">
        <f>FLOOR(SUM(BE10:BE$37)/24, 1) &amp; " D " &amp; MOD(SUM(BE10:BE$37),24) &amp; " H"</f>
        <v>37 D 13 H</v>
      </c>
      <c r="AV10" s="477">
        <f>SUM(BE10:BE$37)/24</f>
        <v>37.541666666666664</v>
      </c>
      <c r="AW10" s="473">
        <v>8</v>
      </c>
      <c r="AX10" s="373">
        <v>20</v>
      </c>
      <c r="AY10" s="373">
        <v>0</v>
      </c>
      <c r="AZ10" s="373">
        <v>0</v>
      </c>
      <c r="BA10" s="373">
        <v>0</v>
      </c>
      <c r="BB10" s="373">
        <v>0</v>
      </c>
      <c r="BC10" s="373">
        <v>5</v>
      </c>
      <c r="BD10" s="373">
        <v>4.5</v>
      </c>
      <c r="BE10" s="477">
        <v>6</v>
      </c>
    </row>
    <row r="11" spans="1:57" x14ac:dyDescent="0.25">
      <c r="A11" s="62" t="s">
        <v>104</v>
      </c>
      <c r="E11" s="4"/>
      <c r="G11" s="63" t="e">
        <f t="shared" si="0"/>
        <v>#DIV/0!</v>
      </c>
      <c r="M11" s="64" t="s">
        <v>104</v>
      </c>
      <c r="S11" s="65" t="s">
        <v>104</v>
      </c>
      <c r="Y11" s="66" t="s">
        <v>104</v>
      </c>
      <c r="AG11" s="134" t="s">
        <v>104</v>
      </c>
      <c r="AI11" s="137" t="s">
        <v>104</v>
      </c>
      <c r="AM11" s="474">
        <v>9</v>
      </c>
      <c r="AN11" s="373">
        <f>SUM(AX11:AX$37)</f>
        <v>4480</v>
      </c>
      <c r="AO11" s="373">
        <f>SUM(AY11:AY$37)</f>
        <v>1255</v>
      </c>
      <c r="AP11" s="373">
        <f>SUM(AZ11:AZ$37)</f>
        <v>1350</v>
      </c>
      <c r="AQ11" s="373">
        <f>SUM(BA11:BA$37)</f>
        <v>2510</v>
      </c>
      <c r="AR11" s="373">
        <f>SUM(BB11:BB$37)</f>
        <v>640</v>
      </c>
      <c r="AS11" s="373">
        <f t="shared" si="7"/>
        <v>5</v>
      </c>
      <c r="AT11" s="373">
        <f t="shared" si="8"/>
        <v>5</v>
      </c>
      <c r="AU11" s="477" t="str">
        <f>FLOOR(SUM(BE11:BE$37)/24, 1) &amp; " D " &amp; MOD(SUM(BE11:BE$37),24) &amp; " H"</f>
        <v>37 D 7 H</v>
      </c>
      <c r="AV11" s="477">
        <f>SUM(BE11:BE$37)/24</f>
        <v>37.291666666666664</v>
      </c>
      <c r="AW11" s="473">
        <v>9</v>
      </c>
      <c r="AX11" s="373">
        <v>20</v>
      </c>
      <c r="AY11" s="373">
        <v>0</v>
      </c>
      <c r="AZ11" s="373">
        <v>0</v>
      </c>
      <c r="BA11" s="373">
        <v>0</v>
      </c>
      <c r="BB11" s="373">
        <v>0</v>
      </c>
      <c r="BC11" s="373">
        <v>5</v>
      </c>
      <c r="BD11" s="373">
        <v>5</v>
      </c>
      <c r="BE11" s="477">
        <v>7</v>
      </c>
    </row>
    <row r="12" spans="1:57" x14ac:dyDescent="0.25">
      <c r="A12" s="62" t="s">
        <v>104</v>
      </c>
      <c r="E12" s="4"/>
      <c r="G12" s="63" t="e">
        <f t="shared" si="0"/>
        <v>#DIV/0!</v>
      </c>
      <c r="M12" s="64" t="s">
        <v>104</v>
      </c>
      <c r="S12" s="65" t="s">
        <v>104</v>
      </c>
      <c r="Y12" s="66" t="s">
        <v>104</v>
      </c>
      <c r="AG12" s="134" t="s">
        <v>104</v>
      </c>
      <c r="AI12" s="137" t="s">
        <v>104</v>
      </c>
      <c r="AM12" s="474">
        <v>10</v>
      </c>
      <c r="AN12" s="373">
        <f>SUM(AX12:AX$37)</f>
        <v>4460</v>
      </c>
      <c r="AO12" s="373">
        <f>SUM(AY12:AY$37)</f>
        <v>1255</v>
      </c>
      <c r="AP12" s="373">
        <f>SUM(AZ12:AZ$37)</f>
        <v>1350</v>
      </c>
      <c r="AQ12" s="373">
        <f>SUM(BA12:BA$37)</f>
        <v>2510</v>
      </c>
      <c r="AR12" s="373">
        <f>SUM(BB12:BB$37)</f>
        <v>640</v>
      </c>
      <c r="AS12" s="373">
        <f t="shared" si="7"/>
        <v>5.5</v>
      </c>
      <c r="AT12" s="373">
        <f t="shared" si="8"/>
        <v>5</v>
      </c>
      <c r="AU12" s="477" t="str">
        <f>FLOOR(SUM(BE12:BE$37)/24, 1) &amp; " D " &amp; MOD(SUM(BE12:BE$37),24) &amp; " H"</f>
        <v>37 D 0 H</v>
      </c>
      <c r="AV12" s="477">
        <f>SUM(BE12:BE$37)/24</f>
        <v>37</v>
      </c>
      <c r="AW12" s="473">
        <v>10</v>
      </c>
      <c r="AX12" s="373">
        <v>20</v>
      </c>
      <c r="AY12" s="373">
        <v>0</v>
      </c>
      <c r="AZ12" s="373">
        <v>0</v>
      </c>
      <c r="BA12" s="373">
        <v>0</v>
      </c>
      <c r="BB12" s="373">
        <v>0</v>
      </c>
      <c r="BC12" s="373">
        <v>5.5</v>
      </c>
      <c r="BD12" s="373">
        <v>5</v>
      </c>
      <c r="BE12" s="477">
        <v>8</v>
      </c>
    </row>
    <row r="13" spans="1:57" x14ac:dyDescent="0.25">
      <c r="A13" s="62" t="s">
        <v>104</v>
      </c>
      <c r="E13" s="4"/>
      <c r="G13" s="63" t="e">
        <f t="shared" si="0"/>
        <v>#DIV/0!</v>
      </c>
      <c r="M13" s="64" t="s">
        <v>104</v>
      </c>
      <c r="S13" s="65" t="s">
        <v>104</v>
      </c>
      <c r="Y13" s="66" t="s">
        <v>104</v>
      </c>
      <c r="AG13" s="134" t="s">
        <v>104</v>
      </c>
      <c r="AI13" s="137" t="s">
        <v>104</v>
      </c>
      <c r="AM13" s="474">
        <v>11</v>
      </c>
      <c r="AN13" s="373">
        <f>SUM(AX13:AX$37)</f>
        <v>4440</v>
      </c>
      <c r="AO13" s="373">
        <f>SUM(AY13:AY$37)</f>
        <v>1255</v>
      </c>
      <c r="AP13" s="373">
        <f>SUM(AZ13:AZ$37)</f>
        <v>1350</v>
      </c>
      <c r="AQ13" s="373">
        <f>SUM(BA13:BA$37)</f>
        <v>2510</v>
      </c>
      <c r="AR13" s="373">
        <f>SUM(BB13:BB$37)</f>
        <v>640</v>
      </c>
      <c r="AS13" s="373">
        <f t="shared" si="7"/>
        <v>5.5</v>
      </c>
      <c r="AT13" s="373">
        <f t="shared" si="8"/>
        <v>5.5</v>
      </c>
      <c r="AU13" s="477" t="str">
        <f>FLOOR(SUM(BE13:BE$37)/24, 1) &amp; " D " &amp; MOD(SUM(BE13:BE$37),24) &amp; " H"</f>
        <v>36 D 16 H</v>
      </c>
      <c r="AV13" s="477">
        <f>SUM(BE13:BE$37)/24</f>
        <v>36.666666666666664</v>
      </c>
      <c r="AW13" s="473">
        <v>11</v>
      </c>
      <c r="AX13" s="373">
        <v>30</v>
      </c>
      <c r="AY13" s="373">
        <v>5</v>
      </c>
      <c r="AZ13" s="373">
        <v>0</v>
      </c>
      <c r="BA13" s="373">
        <v>10</v>
      </c>
      <c r="BB13" s="373">
        <v>0</v>
      </c>
      <c r="BC13" s="373">
        <v>5.5</v>
      </c>
      <c r="BD13" s="373">
        <v>5.5</v>
      </c>
      <c r="BE13" s="477">
        <v>10</v>
      </c>
    </row>
    <row r="14" spans="1:57" x14ac:dyDescent="0.25">
      <c r="A14" s="62" t="s">
        <v>104</v>
      </c>
      <c r="E14" s="4"/>
      <c r="G14" s="63" t="e">
        <f t="shared" si="0"/>
        <v>#DIV/0!</v>
      </c>
      <c r="M14" s="64" t="s">
        <v>104</v>
      </c>
      <c r="S14" s="65" t="s">
        <v>104</v>
      </c>
      <c r="Y14" s="66" t="s">
        <v>104</v>
      </c>
      <c r="AG14" s="134" t="s">
        <v>104</v>
      </c>
      <c r="AI14" s="137" t="s">
        <v>104</v>
      </c>
      <c r="AM14" s="474">
        <v>12</v>
      </c>
      <c r="AN14" s="373">
        <f>SUM(AX14:AX$37)</f>
        <v>4410</v>
      </c>
      <c r="AO14" s="373">
        <f>SUM(AY14:AY$37)</f>
        <v>1250</v>
      </c>
      <c r="AP14" s="373">
        <f>SUM(AZ14:AZ$37)</f>
        <v>1350</v>
      </c>
      <c r="AQ14" s="373">
        <f>SUM(BA14:BA$37)</f>
        <v>2500</v>
      </c>
      <c r="AR14" s="373">
        <f>SUM(BB14:BB$37)</f>
        <v>640</v>
      </c>
      <c r="AS14" s="373">
        <f t="shared" si="7"/>
        <v>6</v>
      </c>
      <c r="AT14" s="373">
        <f t="shared" si="8"/>
        <v>5.5</v>
      </c>
      <c r="AU14" s="477" t="str">
        <f>FLOOR(SUM(BE14:BE$37)/24, 1) &amp; " D " &amp; MOD(SUM(BE14:BE$37),24) &amp; " H"</f>
        <v>36 D 6 H</v>
      </c>
      <c r="AV14" s="477">
        <f>SUM(BE14:BE$37)/24</f>
        <v>36.25</v>
      </c>
      <c r="AW14" s="473">
        <v>12</v>
      </c>
      <c r="AX14" s="373">
        <v>30</v>
      </c>
      <c r="AY14" s="373">
        <v>5</v>
      </c>
      <c r="AZ14" s="373">
        <v>0</v>
      </c>
      <c r="BA14" s="373">
        <v>10</v>
      </c>
      <c r="BB14" s="373">
        <v>0</v>
      </c>
      <c r="BC14" s="373">
        <v>6</v>
      </c>
      <c r="BD14" s="373">
        <v>5.5</v>
      </c>
      <c r="BE14" s="477">
        <v>12</v>
      </c>
    </row>
    <row r="15" spans="1:57" x14ac:dyDescent="0.25">
      <c r="A15" s="62" t="s">
        <v>104</v>
      </c>
      <c r="E15" s="4"/>
      <c r="G15" s="63" t="e">
        <f t="shared" si="0"/>
        <v>#DIV/0!</v>
      </c>
      <c r="M15" s="64" t="s">
        <v>104</v>
      </c>
      <c r="S15" s="65" t="s">
        <v>104</v>
      </c>
      <c r="Y15" s="66" t="s">
        <v>104</v>
      </c>
      <c r="AG15" s="134" t="s">
        <v>104</v>
      </c>
      <c r="AI15" s="137" t="s">
        <v>104</v>
      </c>
      <c r="AM15" s="474">
        <v>13</v>
      </c>
      <c r="AN15" s="373">
        <f>SUM(AX15:AX$37)</f>
        <v>4380</v>
      </c>
      <c r="AO15" s="373">
        <f>SUM(AY15:AY$37)</f>
        <v>1245</v>
      </c>
      <c r="AP15" s="373">
        <f>SUM(AZ15:AZ$37)</f>
        <v>1350</v>
      </c>
      <c r="AQ15" s="373">
        <f>SUM(BA15:BA$37)</f>
        <v>2490</v>
      </c>
      <c r="AR15" s="373">
        <f>SUM(BB15:BB$37)</f>
        <v>640</v>
      </c>
      <c r="AS15" s="373">
        <f t="shared" si="7"/>
        <v>6</v>
      </c>
      <c r="AT15" s="373">
        <f t="shared" si="8"/>
        <v>6</v>
      </c>
      <c r="AU15" s="477" t="str">
        <f>FLOOR(SUM(BE15:BE$37)/24, 1) &amp; " D " &amp; MOD(SUM(BE15:BE$37),24) &amp; " H"</f>
        <v>35 D 18 H</v>
      </c>
      <c r="AV15" s="477">
        <f>SUM(BE15:BE$37)/24</f>
        <v>35.75</v>
      </c>
      <c r="AW15" s="473">
        <v>13</v>
      </c>
      <c r="AX15" s="373">
        <v>30</v>
      </c>
      <c r="AY15" s="373">
        <v>5</v>
      </c>
      <c r="AZ15" s="373">
        <v>0</v>
      </c>
      <c r="BA15" s="373">
        <v>10</v>
      </c>
      <c r="BB15" s="373">
        <v>0</v>
      </c>
      <c r="BC15" s="373">
        <v>6</v>
      </c>
      <c r="BD15" s="373">
        <v>6</v>
      </c>
      <c r="BE15" s="477">
        <v>14</v>
      </c>
    </row>
    <row r="16" spans="1:57" x14ac:dyDescent="0.25">
      <c r="A16" s="62" t="s">
        <v>104</v>
      </c>
      <c r="E16" s="4"/>
      <c r="G16" s="63" t="e">
        <f t="shared" si="0"/>
        <v>#DIV/0!</v>
      </c>
      <c r="M16" s="64" t="s">
        <v>104</v>
      </c>
      <c r="S16" s="65" t="s">
        <v>104</v>
      </c>
      <c r="Y16" s="66" t="s">
        <v>104</v>
      </c>
      <c r="AG16" s="134" t="s">
        <v>104</v>
      </c>
      <c r="AI16" s="137" t="s">
        <v>104</v>
      </c>
      <c r="AM16" s="474">
        <v>14</v>
      </c>
      <c r="AN16" s="373">
        <f>SUM(AX16:AX$37)</f>
        <v>4350</v>
      </c>
      <c r="AO16" s="373">
        <f>SUM(AY16:AY$37)</f>
        <v>1240</v>
      </c>
      <c r="AP16" s="373">
        <f>SUM(AZ16:AZ$37)</f>
        <v>1350</v>
      </c>
      <c r="AQ16" s="373">
        <f>SUM(BA16:BA$37)</f>
        <v>2480</v>
      </c>
      <c r="AR16" s="373">
        <f>SUM(BB16:BB$37)</f>
        <v>640</v>
      </c>
      <c r="AS16" s="373">
        <f t="shared" si="7"/>
        <v>6.5</v>
      </c>
      <c r="AT16" s="373">
        <f t="shared" si="8"/>
        <v>6</v>
      </c>
      <c r="AU16" s="477" t="str">
        <f>FLOOR(SUM(BE16:BE$37)/24, 1) &amp; " D " &amp; MOD(SUM(BE16:BE$37),24) &amp; " H"</f>
        <v>35 D 4 H</v>
      </c>
      <c r="AV16" s="477">
        <f>SUM(BE16:BE$37)/24</f>
        <v>35.166666666666664</v>
      </c>
      <c r="AW16" s="473">
        <v>14</v>
      </c>
      <c r="AX16" s="373">
        <v>30</v>
      </c>
      <c r="AY16" s="373">
        <v>10</v>
      </c>
      <c r="AZ16" s="373">
        <v>0</v>
      </c>
      <c r="BA16" s="373">
        <v>20</v>
      </c>
      <c r="BB16" s="373">
        <v>0</v>
      </c>
      <c r="BC16" s="373">
        <v>6.5</v>
      </c>
      <c r="BD16" s="373">
        <v>6</v>
      </c>
      <c r="BE16" s="477">
        <v>16</v>
      </c>
    </row>
    <row r="17" spans="1:57" x14ac:dyDescent="0.25">
      <c r="A17" s="62" t="s">
        <v>104</v>
      </c>
      <c r="E17" s="4"/>
      <c r="G17" s="63" t="e">
        <f t="shared" si="0"/>
        <v>#DIV/0!</v>
      </c>
      <c r="M17" s="64" t="s">
        <v>104</v>
      </c>
      <c r="S17" s="65" t="s">
        <v>104</v>
      </c>
      <c r="Y17" s="66" t="s">
        <v>104</v>
      </c>
      <c r="AG17" s="134" t="s">
        <v>104</v>
      </c>
      <c r="AI17" s="137" t="s">
        <v>104</v>
      </c>
      <c r="AM17" s="474">
        <v>15</v>
      </c>
      <c r="AN17" s="373">
        <f>SUM(AX17:AX$37)</f>
        <v>4320</v>
      </c>
      <c r="AO17" s="373">
        <f>SUM(AY17:AY$37)</f>
        <v>1230</v>
      </c>
      <c r="AP17" s="373">
        <f>SUM(AZ17:AZ$37)</f>
        <v>1350</v>
      </c>
      <c r="AQ17" s="373">
        <f>SUM(BA17:BA$37)</f>
        <v>2460</v>
      </c>
      <c r="AR17" s="373">
        <f>SUM(BB17:BB$37)</f>
        <v>640</v>
      </c>
      <c r="AS17" s="373">
        <f t="shared" si="7"/>
        <v>6.5</v>
      </c>
      <c r="AT17" s="373">
        <f t="shared" si="8"/>
        <v>6.5</v>
      </c>
      <c r="AU17" s="477" t="str">
        <f>FLOOR(SUM(BE17:BE$37)/24, 1) &amp; " D " &amp; MOD(SUM(BE17:BE$37),24) &amp; " H"</f>
        <v>34 D 12 H</v>
      </c>
      <c r="AV17" s="477">
        <f>SUM(BE17:BE$37)/24</f>
        <v>34.5</v>
      </c>
      <c r="AW17" s="473">
        <v>15</v>
      </c>
      <c r="AX17" s="373">
        <v>30</v>
      </c>
      <c r="AY17" s="373">
        <v>10</v>
      </c>
      <c r="AZ17" s="373">
        <v>0</v>
      </c>
      <c r="BA17" s="373">
        <v>20</v>
      </c>
      <c r="BB17" s="373">
        <v>0</v>
      </c>
      <c r="BC17" s="373">
        <v>6.5</v>
      </c>
      <c r="BD17" s="373">
        <v>6.5</v>
      </c>
      <c r="BE17" s="477">
        <v>18</v>
      </c>
    </row>
    <row r="18" spans="1:57" x14ac:dyDescent="0.25">
      <c r="A18" s="62" t="s">
        <v>104</v>
      </c>
      <c r="E18" s="4"/>
      <c r="G18" s="63" t="s">
        <v>104</v>
      </c>
      <c r="M18" s="64" t="s">
        <v>104</v>
      </c>
      <c r="S18" s="65" t="s">
        <v>104</v>
      </c>
      <c r="Y18" s="66" t="s">
        <v>104</v>
      </c>
      <c r="AG18" s="134" t="s">
        <v>104</v>
      </c>
      <c r="AI18" s="137" t="s">
        <v>104</v>
      </c>
      <c r="AM18" s="474">
        <v>16</v>
      </c>
      <c r="AN18" s="373">
        <f>SUM(AX18:AX$37)</f>
        <v>4290</v>
      </c>
      <c r="AO18" s="373">
        <f>SUM(AY18:AY$37)</f>
        <v>1220</v>
      </c>
      <c r="AP18" s="373">
        <f>SUM(AZ18:AZ$37)</f>
        <v>1350</v>
      </c>
      <c r="AQ18" s="373">
        <f>SUM(BA18:BA$37)</f>
        <v>2440</v>
      </c>
      <c r="AR18" s="373">
        <f>SUM(BB18:BB$37)</f>
        <v>640</v>
      </c>
      <c r="AS18" s="373">
        <f t="shared" si="7"/>
        <v>8</v>
      </c>
      <c r="AT18" s="373">
        <f t="shared" si="8"/>
        <v>8</v>
      </c>
      <c r="AU18" s="477" t="str">
        <f>FLOOR(SUM(BE18:BE$37)/24, 1) &amp; " D " &amp; MOD(SUM(BE18:BE$37),24) &amp; " H"</f>
        <v>33 D 18 H</v>
      </c>
      <c r="AV18" s="477">
        <f>SUM(BE18:BE$37)/24</f>
        <v>33.75</v>
      </c>
      <c r="AW18" s="473">
        <v>16</v>
      </c>
      <c r="AX18" s="373">
        <v>50</v>
      </c>
      <c r="AY18" s="373">
        <v>20</v>
      </c>
      <c r="AZ18" s="373">
        <v>0</v>
      </c>
      <c r="BA18" s="373">
        <v>40</v>
      </c>
      <c r="BB18" s="373">
        <v>0</v>
      </c>
      <c r="BC18" s="373">
        <v>8</v>
      </c>
      <c r="BD18" s="373">
        <v>8</v>
      </c>
      <c r="BE18" s="477">
        <v>20</v>
      </c>
    </row>
    <row r="19" spans="1:57" x14ac:dyDescent="0.25">
      <c r="A19" s="62" t="s">
        <v>104</v>
      </c>
      <c r="E19" s="4"/>
      <c r="G19" s="63" t="s">
        <v>104</v>
      </c>
      <c r="M19" s="64" t="s">
        <v>104</v>
      </c>
      <c r="S19" s="65" t="s">
        <v>104</v>
      </c>
      <c r="Y19" s="66" t="s">
        <v>104</v>
      </c>
      <c r="AG19" s="134" t="s">
        <v>104</v>
      </c>
      <c r="AI19" s="137" t="s">
        <v>104</v>
      </c>
      <c r="AM19" s="474">
        <v>17</v>
      </c>
      <c r="AN19" s="373">
        <f>SUM(AX19:AX$37)</f>
        <v>4240</v>
      </c>
      <c r="AO19" s="373">
        <f>SUM(AY19:AY$37)</f>
        <v>1200</v>
      </c>
      <c r="AP19" s="373">
        <f>SUM(AZ19:AZ$37)</f>
        <v>1350</v>
      </c>
      <c r="AQ19" s="373">
        <f>SUM(BA19:BA$37)</f>
        <v>2400</v>
      </c>
      <c r="AR19" s="373">
        <f>SUM(BB19:BB$37)</f>
        <v>640</v>
      </c>
      <c r="AS19" s="373">
        <f t="shared" si="7"/>
        <v>8</v>
      </c>
      <c r="AT19" s="373">
        <f t="shared" si="8"/>
        <v>8.5</v>
      </c>
      <c r="AU19" s="477" t="str">
        <f>FLOOR(SUM(BE19:BE$37)/24, 1) &amp; " D " &amp; MOD(SUM(BE19:BE$37),24) &amp; " H"</f>
        <v>32 D 22 H</v>
      </c>
      <c r="AV19" s="477">
        <f>SUM(BE19:BE$37)/24</f>
        <v>32.916666666666664</v>
      </c>
      <c r="AW19" s="473">
        <v>17</v>
      </c>
      <c r="AX19" s="373">
        <v>50</v>
      </c>
      <c r="AY19" s="373">
        <v>20</v>
      </c>
      <c r="AZ19" s="373">
        <v>0</v>
      </c>
      <c r="BA19" s="373">
        <v>40</v>
      </c>
      <c r="BB19" s="373">
        <v>0</v>
      </c>
      <c r="BC19" s="373">
        <v>8</v>
      </c>
      <c r="BD19" s="373">
        <v>8.5</v>
      </c>
      <c r="BE19" s="477">
        <v>22</v>
      </c>
    </row>
    <row r="20" spans="1:57" x14ac:dyDescent="0.25">
      <c r="A20" s="62" t="s">
        <v>104</v>
      </c>
      <c r="E20" s="4"/>
      <c r="G20" s="63" t="s">
        <v>104</v>
      </c>
      <c r="M20" s="64" t="s">
        <v>104</v>
      </c>
      <c r="S20" s="65" t="s">
        <v>104</v>
      </c>
      <c r="Y20" s="66" t="s">
        <v>104</v>
      </c>
      <c r="AG20" s="134" t="s">
        <v>104</v>
      </c>
      <c r="AI20" s="137" t="s">
        <v>104</v>
      </c>
      <c r="AM20" s="474">
        <v>18</v>
      </c>
      <c r="AN20" s="373">
        <f>SUM(AX20:AX$37)</f>
        <v>4190</v>
      </c>
      <c r="AO20" s="373">
        <f>SUM(AY20:AY$37)</f>
        <v>1180</v>
      </c>
      <c r="AP20" s="373">
        <f>SUM(AZ20:AZ$37)</f>
        <v>1350</v>
      </c>
      <c r="AQ20" s="373">
        <f>SUM(BA20:BA$37)</f>
        <v>2360</v>
      </c>
      <c r="AR20" s="373">
        <f>SUM(BB20:BB$37)</f>
        <v>640</v>
      </c>
      <c r="AS20" s="373">
        <f t="shared" si="7"/>
        <v>8.5</v>
      </c>
      <c r="AT20" s="373">
        <f t="shared" si="8"/>
        <v>8.5</v>
      </c>
      <c r="AU20" s="477" t="str">
        <f>FLOOR(SUM(BE20:BE$37)/24, 1) &amp; " D " &amp; MOD(SUM(BE20:BE$37),24) &amp; " H"</f>
        <v>32 D 0 H</v>
      </c>
      <c r="AV20" s="477">
        <f>SUM(BE20:BE$37)/24</f>
        <v>32</v>
      </c>
      <c r="AW20" s="473">
        <v>18</v>
      </c>
      <c r="AX20" s="373">
        <v>50</v>
      </c>
      <c r="AY20" s="373">
        <v>20</v>
      </c>
      <c r="AZ20" s="373">
        <v>0</v>
      </c>
      <c r="BA20" s="373">
        <v>40</v>
      </c>
      <c r="BB20" s="373">
        <v>0</v>
      </c>
      <c r="BC20" s="373">
        <v>8.5</v>
      </c>
      <c r="BD20" s="373">
        <v>8.5</v>
      </c>
      <c r="BE20" s="477">
        <v>24</v>
      </c>
    </row>
    <row r="21" spans="1:57" x14ac:dyDescent="0.25">
      <c r="A21" s="62" t="s">
        <v>104</v>
      </c>
      <c r="E21" s="4"/>
      <c r="G21" s="63" t="s">
        <v>104</v>
      </c>
      <c r="M21" s="64" t="s">
        <v>104</v>
      </c>
      <c r="S21" s="65" t="s">
        <v>104</v>
      </c>
      <c r="Y21" s="66" t="s">
        <v>104</v>
      </c>
      <c r="AG21" s="134" t="s">
        <v>104</v>
      </c>
      <c r="AI21" s="137" t="s">
        <v>104</v>
      </c>
      <c r="AM21" s="474">
        <v>19</v>
      </c>
      <c r="AN21" s="373">
        <f>SUM(AX21:AX$37)</f>
        <v>4140</v>
      </c>
      <c r="AO21" s="373">
        <f>SUM(AY21:AY$37)</f>
        <v>1160</v>
      </c>
      <c r="AP21" s="373">
        <f>SUM(AZ21:AZ$37)</f>
        <v>1350</v>
      </c>
      <c r="AQ21" s="373">
        <f>SUM(BA21:BA$37)</f>
        <v>2320</v>
      </c>
      <c r="AR21" s="373">
        <f>SUM(BB21:BB$37)</f>
        <v>640</v>
      </c>
      <c r="AS21" s="373">
        <f t="shared" si="7"/>
        <v>8.5</v>
      </c>
      <c r="AT21" s="373">
        <f t="shared" si="8"/>
        <v>9</v>
      </c>
      <c r="AU21" s="477" t="str">
        <f>FLOOR(SUM(BE21:BE$37)/24, 1) &amp; " D " &amp; MOD(SUM(BE21:BE$37),24) &amp; " H"</f>
        <v>31 D 0 H</v>
      </c>
      <c r="AV21" s="477">
        <f>SUM(BE21:BE$37)/24</f>
        <v>31</v>
      </c>
      <c r="AW21" s="473">
        <v>19</v>
      </c>
      <c r="AX21" s="373">
        <v>70</v>
      </c>
      <c r="AY21" s="373">
        <v>30</v>
      </c>
      <c r="AZ21" s="373">
        <v>0</v>
      </c>
      <c r="BA21" s="373">
        <v>60</v>
      </c>
      <c r="BB21" s="373">
        <v>0</v>
      </c>
      <c r="BC21" s="373">
        <v>8.5</v>
      </c>
      <c r="BD21" s="373">
        <v>9</v>
      </c>
      <c r="BE21" s="477">
        <v>26</v>
      </c>
    </row>
    <row r="22" spans="1:57" x14ac:dyDescent="0.25">
      <c r="A22" s="62" t="s">
        <v>104</v>
      </c>
      <c r="E22" s="4"/>
      <c r="G22" s="63" t="s">
        <v>104</v>
      </c>
      <c r="M22" s="64" t="s">
        <v>104</v>
      </c>
      <c r="S22" s="65" t="s">
        <v>104</v>
      </c>
      <c r="Y22" s="66" t="s">
        <v>104</v>
      </c>
      <c r="AG22" s="134" t="s">
        <v>104</v>
      </c>
      <c r="AI22" s="137" t="s">
        <v>104</v>
      </c>
      <c r="AM22" s="474">
        <v>20</v>
      </c>
      <c r="AN22" s="373">
        <f>SUM(AX22:AX$37)</f>
        <v>4070</v>
      </c>
      <c r="AO22" s="373">
        <f>SUM(AY22:AY$37)</f>
        <v>1130</v>
      </c>
      <c r="AP22" s="373">
        <f>SUM(AZ22:AZ$37)</f>
        <v>1350</v>
      </c>
      <c r="AQ22" s="373">
        <f>SUM(BA22:BA$37)</f>
        <v>2260</v>
      </c>
      <c r="AR22" s="373">
        <f>SUM(BB22:BB$37)</f>
        <v>640</v>
      </c>
      <c r="AS22" s="373">
        <f t="shared" si="7"/>
        <v>9</v>
      </c>
      <c r="AT22" s="373">
        <f t="shared" si="8"/>
        <v>9</v>
      </c>
      <c r="AU22" s="477" t="str">
        <f>FLOOR(SUM(BE22:BE$37)/24, 1) &amp; " D " &amp; MOD(SUM(BE22:BE$37),24) &amp; " H"</f>
        <v>29 D 22 H</v>
      </c>
      <c r="AV22" s="477">
        <f>SUM(BE22:BE$37)/24</f>
        <v>29.916666666666668</v>
      </c>
      <c r="AW22" s="473">
        <v>20</v>
      </c>
      <c r="AX22" s="373">
        <v>70</v>
      </c>
      <c r="AY22" s="373">
        <v>30</v>
      </c>
      <c r="AZ22" s="373">
        <v>0</v>
      </c>
      <c r="BA22" s="373">
        <v>60</v>
      </c>
      <c r="BB22" s="373">
        <v>0</v>
      </c>
      <c r="BC22" s="373">
        <v>9</v>
      </c>
      <c r="BD22" s="373">
        <v>9</v>
      </c>
      <c r="BE22" s="477">
        <v>28</v>
      </c>
    </row>
    <row r="23" spans="1:57" x14ac:dyDescent="0.25">
      <c r="A23" s="62" t="s">
        <v>104</v>
      </c>
      <c r="E23" s="4"/>
      <c r="G23" s="63" t="s">
        <v>104</v>
      </c>
      <c r="M23" s="64" t="s">
        <v>104</v>
      </c>
      <c r="S23" s="65" t="s">
        <v>104</v>
      </c>
      <c r="Y23" s="66" t="s">
        <v>104</v>
      </c>
      <c r="AG23" s="134" t="s">
        <v>104</v>
      </c>
      <c r="AI23" s="137" t="s">
        <v>104</v>
      </c>
      <c r="AM23" s="474">
        <v>21</v>
      </c>
      <c r="AN23" s="373">
        <f>SUM(AX23:AX$37)</f>
        <v>4000</v>
      </c>
      <c r="AO23" s="373">
        <f>SUM(AY23:AY$37)</f>
        <v>1100</v>
      </c>
      <c r="AP23" s="373">
        <f>SUM(AZ23:AZ$37)</f>
        <v>1350</v>
      </c>
      <c r="AQ23" s="373">
        <f>SUM(BA23:BA$37)</f>
        <v>2200</v>
      </c>
      <c r="AR23" s="373">
        <f>SUM(BB23:BB$37)</f>
        <v>640</v>
      </c>
      <c r="AS23" s="373">
        <f t="shared" si="7"/>
        <v>9</v>
      </c>
      <c r="AT23" s="373">
        <f t="shared" si="8"/>
        <v>9.5</v>
      </c>
      <c r="AU23" s="477" t="str">
        <f>FLOOR(SUM(BE23:BE$37)/24, 1) &amp; " D " &amp; MOD(SUM(BE23:BE$37),24) &amp; " H"</f>
        <v>28 D 18 H</v>
      </c>
      <c r="AV23" s="477">
        <f>SUM(BE23:BE$37)/24</f>
        <v>28.75</v>
      </c>
      <c r="AW23" s="473">
        <v>21</v>
      </c>
      <c r="AX23" s="373">
        <v>100</v>
      </c>
      <c r="AY23" s="373">
        <v>40</v>
      </c>
      <c r="AZ23" s="373">
        <v>20</v>
      </c>
      <c r="BA23" s="373">
        <v>80</v>
      </c>
      <c r="BB23" s="373">
        <v>0</v>
      </c>
      <c r="BC23" s="373">
        <v>9</v>
      </c>
      <c r="BD23" s="373">
        <v>9.5</v>
      </c>
      <c r="BE23" s="477">
        <v>30</v>
      </c>
    </row>
    <row r="24" spans="1:57" x14ac:dyDescent="0.25">
      <c r="A24" s="62" t="s">
        <v>104</v>
      </c>
      <c r="E24" s="4"/>
      <c r="G24" s="63" t="s">
        <v>104</v>
      </c>
      <c r="M24" s="64" t="s">
        <v>104</v>
      </c>
      <c r="S24" s="65" t="s">
        <v>104</v>
      </c>
      <c r="Y24" s="66" t="s">
        <v>104</v>
      </c>
      <c r="AG24" s="134" t="s">
        <v>104</v>
      </c>
      <c r="AI24" s="137" t="s">
        <v>104</v>
      </c>
      <c r="AM24" s="474">
        <v>22</v>
      </c>
      <c r="AN24" s="373">
        <f>SUM(AX24:AX$37)</f>
        <v>3900</v>
      </c>
      <c r="AO24" s="373">
        <f>SUM(AY24:AY$37)</f>
        <v>1060</v>
      </c>
      <c r="AP24" s="373">
        <f>SUM(AZ24:AZ$37)</f>
        <v>1330</v>
      </c>
      <c r="AQ24" s="373">
        <f>SUM(BA24:BA$37)</f>
        <v>2120</v>
      </c>
      <c r="AR24" s="373">
        <f>SUM(BB24:BB$37)</f>
        <v>640</v>
      </c>
      <c r="AS24" s="373">
        <f t="shared" si="7"/>
        <v>9.5</v>
      </c>
      <c r="AT24" s="373">
        <f t="shared" si="8"/>
        <v>9.5</v>
      </c>
      <c r="AU24" s="477" t="str">
        <f>FLOOR(SUM(BE24:BE$37)/24, 1) &amp; " D " &amp; MOD(SUM(BE24:BE$37),24) &amp; " H"</f>
        <v>27 D 12 H</v>
      </c>
      <c r="AV24" s="477">
        <f>SUM(BE24:BE$37)/24</f>
        <v>27.5</v>
      </c>
      <c r="AW24" s="473">
        <v>22</v>
      </c>
      <c r="AX24" s="373">
        <v>100</v>
      </c>
      <c r="AY24" s="373">
        <v>40</v>
      </c>
      <c r="AZ24" s="373">
        <v>30</v>
      </c>
      <c r="BA24" s="373">
        <v>80</v>
      </c>
      <c r="BB24" s="373">
        <v>0</v>
      </c>
      <c r="BC24" s="373">
        <v>9.5</v>
      </c>
      <c r="BD24" s="373">
        <v>9.5</v>
      </c>
      <c r="BE24" s="477">
        <v>32</v>
      </c>
    </row>
    <row r="25" spans="1:57" x14ac:dyDescent="0.25">
      <c r="A25" s="62" t="s">
        <v>104</v>
      </c>
      <c r="E25" s="4"/>
      <c r="G25" s="63" t="s">
        <v>104</v>
      </c>
      <c r="M25" s="64" t="s">
        <v>104</v>
      </c>
      <c r="S25" s="65" t="s">
        <v>104</v>
      </c>
      <c r="Y25" s="66" t="s">
        <v>104</v>
      </c>
      <c r="AG25" s="134" t="s">
        <v>104</v>
      </c>
      <c r="AI25" s="137" t="s">
        <v>104</v>
      </c>
      <c r="AM25" s="474">
        <v>23</v>
      </c>
      <c r="AN25" s="373">
        <f>SUM(AX25:AX$37)</f>
        <v>3800</v>
      </c>
      <c r="AO25" s="373">
        <f>SUM(AY25:AY$37)</f>
        <v>1020</v>
      </c>
      <c r="AP25" s="373">
        <f>SUM(AZ25:AZ$37)</f>
        <v>1300</v>
      </c>
      <c r="AQ25" s="373">
        <f>SUM(BA25:BA$37)</f>
        <v>2040</v>
      </c>
      <c r="AR25" s="373">
        <f>SUM(BB25:BB$37)</f>
        <v>640</v>
      </c>
      <c r="AS25" s="373">
        <f t="shared" si="7"/>
        <v>9.5</v>
      </c>
      <c r="AT25" s="373">
        <f t="shared" si="8"/>
        <v>10</v>
      </c>
      <c r="AU25" s="477" t="str">
        <f>FLOOR(SUM(BE25:BE$37)/24, 1) &amp; " D " &amp; MOD(SUM(BE25:BE$37),24) &amp; " H"</f>
        <v>26 D 4 H</v>
      </c>
      <c r="AV25" s="477">
        <f>SUM(BE25:BE$37)/24</f>
        <v>26.166666666666668</v>
      </c>
      <c r="AW25" s="473">
        <v>23</v>
      </c>
      <c r="AX25" s="373">
        <v>100</v>
      </c>
      <c r="AY25" s="373">
        <v>40</v>
      </c>
      <c r="AZ25" s="373">
        <v>40</v>
      </c>
      <c r="BA25" s="373">
        <v>80</v>
      </c>
      <c r="BB25" s="373">
        <v>0</v>
      </c>
      <c r="BC25" s="373">
        <v>9.5</v>
      </c>
      <c r="BD25" s="373">
        <v>10</v>
      </c>
      <c r="BE25" s="477">
        <v>34</v>
      </c>
    </row>
    <row r="26" spans="1:57" x14ac:dyDescent="0.25">
      <c r="A26" s="62" t="s">
        <v>104</v>
      </c>
      <c r="E26" s="4"/>
      <c r="G26" s="63" t="s">
        <v>104</v>
      </c>
      <c r="M26" s="64" t="s">
        <v>104</v>
      </c>
      <c r="S26" s="65" t="s">
        <v>104</v>
      </c>
      <c r="Y26" s="66" t="s">
        <v>104</v>
      </c>
      <c r="AG26" s="134" t="s">
        <v>104</v>
      </c>
      <c r="AI26" s="137" t="s">
        <v>104</v>
      </c>
      <c r="AM26" s="474">
        <v>24</v>
      </c>
      <c r="AN26" s="373">
        <f>SUM(AX26:AX$37)</f>
        <v>3700</v>
      </c>
      <c r="AO26" s="373">
        <f>SUM(AY26:AY$37)</f>
        <v>980</v>
      </c>
      <c r="AP26" s="373">
        <f>SUM(AZ26:AZ$37)</f>
        <v>1260</v>
      </c>
      <c r="AQ26" s="373">
        <f>SUM(BA26:BA$37)</f>
        <v>1960</v>
      </c>
      <c r="AR26" s="373">
        <f>SUM(BB26:BB$37)</f>
        <v>640</v>
      </c>
      <c r="AS26" s="373">
        <f t="shared" si="7"/>
        <v>10</v>
      </c>
      <c r="AT26" s="373">
        <f t="shared" si="8"/>
        <v>10</v>
      </c>
      <c r="AU26" s="477" t="str">
        <f>FLOOR(SUM(BE26:BE$37)/24, 1) &amp; " D " &amp; MOD(SUM(BE26:BE$37),24) &amp; " H"</f>
        <v>24 D 18 H</v>
      </c>
      <c r="AV26" s="477">
        <f>SUM(BE26:BE$37)/24</f>
        <v>24.75</v>
      </c>
      <c r="AW26" s="473">
        <v>24</v>
      </c>
      <c r="AX26" s="373">
        <v>150</v>
      </c>
      <c r="AY26" s="373">
        <v>50</v>
      </c>
      <c r="AZ26" s="373">
        <v>50</v>
      </c>
      <c r="BA26" s="373">
        <v>100</v>
      </c>
      <c r="BB26" s="373">
        <v>0</v>
      </c>
      <c r="BC26" s="373">
        <v>10</v>
      </c>
      <c r="BD26" s="373">
        <v>10</v>
      </c>
      <c r="BE26" s="477">
        <v>36</v>
      </c>
    </row>
    <row r="27" spans="1:57" x14ac:dyDescent="0.25">
      <c r="E27" s="4"/>
      <c r="AM27" s="474">
        <v>25</v>
      </c>
      <c r="AN27" s="373">
        <f>SUM(AX27:AX$37)</f>
        <v>3550</v>
      </c>
      <c r="AO27" s="373">
        <f>SUM(AY27:AY$37)</f>
        <v>930</v>
      </c>
      <c r="AP27" s="373">
        <f>SUM(AZ27:AZ$37)</f>
        <v>1210</v>
      </c>
      <c r="AQ27" s="373">
        <f>SUM(BA27:BA$37)</f>
        <v>1860</v>
      </c>
      <c r="AR27" s="373">
        <f>SUM(BB27:BB$37)</f>
        <v>640</v>
      </c>
      <c r="AS27" s="373">
        <f t="shared" si="7"/>
        <v>10</v>
      </c>
      <c r="AT27" s="373">
        <f t="shared" si="8"/>
        <v>10.5</v>
      </c>
      <c r="AU27" s="477" t="str">
        <f>FLOOR(SUM(BE27:BE$37)/24, 1) &amp; " D " &amp; MOD(SUM(BE27:BE$37),24) &amp; " H"</f>
        <v>23 D 6 H</v>
      </c>
      <c r="AV27" s="477">
        <f>SUM(BE27:BE$37)/24</f>
        <v>23.25</v>
      </c>
      <c r="AW27" s="473">
        <v>25</v>
      </c>
      <c r="AX27" s="373">
        <v>150</v>
      </c>
      <c r="AY27" s="373">
        <v>50</v>
      </c>
      <c r="AZ27" s="373">
        <v>60</v>
      </c>
      <c r="BA27" s="373">
        <v>100</v>
      </c>
      <c r="BB27" s="373">
        <v>0</v>
      </c>
      <c r="BC27" s="373">
        <v>10</v>
      </c>
      <c r="BD27" s="373">
        <v>10.5</v>
      </c>
      <c r="BE27" s="477">
        <v>38</v>
      </c>
    </row>
    <row r="28" spans="1:57" x14ac:dyDescent="0.25">
      <c r="E28" s="4"/>
      <c r="AM28" s="474">
        <v>26</v>
      </c>
      <c r="AN28" s="373">
        <f>SUM(AX28:AX$37)</f>
        <v>3400</v>
      </c>
      <c r="AO28" s="373">
        <f>SUM(AY28:AY$37)</f>
        <v>880</v>
      </c>
      <c r="AP28" s="373">
        <f>SUM(AZ28:AZ$37)</f>
        <v>1150</v>
      </c>
      <c r="AQ28" s="373">
        <f>SUM(BA28:BA$37)</f>
        <v>1760</v>
      </c>
      <c r="AR28" s="373">
        <f>SUM(BB28:BB$37)</f>
        <v>640</v>
      </c>
      <c r="AS28" s="373">
        <f t="shared" si="7"/>
        <v>10.5</v>
      </c>
      <c r="AT28" s="373">
        <f t="shared" si="8"/>
        <v>10.5</v>
      </c>
      <c r="AU28" s="477" t="str">
        <f>FLOOR(SUM(BE28:BE$37)/24, 1) &amp; " D " &amp; MOD(SUM(BE28:BE$37),24) &amp; " H"</f>
        <v>21 D 16 H</v>
      </c>
      <c r="AV28" s="477">
        <f>SUM(BE28:BE$37)/24</f>
        <v>21.666666666666668</v>
      </c>
      <c r="AW28" s="473">
        <v>26</v>
      </c>
      <c r="AX28" s="373">
        <v>200</v>
      </c>
      <c r="AY28" s="373">
        <v>60</v>
      </c>
      <c r="AZ28" s="373">
        <v>70</v>
      </c>
      <c r="BA28" s="373">
        <v>120</v>
      </c>
      <c r="BB28" s="373">
        <v>20</v>
      </c>
      <c r="BC28" s="373">
        <v>10.5</v>
      </c>
      <c r="BD28" s="373">
        <v>10.5</v>
      </c>
      <c r="BE28" s="477">
        <v>40</v>
      </c>
    </row>
    <row r="29" spans="1:57" x14ac:dyDescent="0.25">
      <c r="E29" s="4"/>
      <c r="AM29" s="474">
        <v>27</v>
      </c>
      <c r="AN29" s="373">
        <f>SUM(AX29:AX$37)</f>
        <v>3200</v>
      </c>
      <c r="AO29" s="373">
        <f>SUM(AY29:AY$37)</f>
        <v>820</v>
      </c>
      <c r="AP29" s="373">
        <f>SUM(AZ29:AZ$37)</f>
        <v>1080</v>
      </c>
      <c r="AQ29" s="373">
        <f>SUM(BA29:BA$37)</f>
        <v>1640</v>
      </c>
      <c r="AR29" s="373">
        <f>SUM(BB29:BB$37)</f>
        <v>620</v>
      </c>
      <c r="AS29" s="373">
        <f t="shared" si="7"/>
        <v>10.5</v>
      </c>
      <c r="AT29" s="373">
        <f t="shared" si="8"/>
        <v>11</v>
      </c>
      <c r="AU29" s="477" t="str">
        <f>FLOOR(SUM(BE29:BE$37)/24, 1) &amp; " D " &amp; MOD(SUM(BE29:BE$37),24) &amp; " H"</f>
        <v>20 D 0 H</v>
      </c>
      <c r="AV29" s="477">
        <f>SUM(BE29:BE$37)/24</f>
        <v>20</v>
      </c>
      <c r="AW29" s="473">
        <v>27</v>
      </c>
      <c r="AX29" s="373">
        <v>200</v>
      </c>
      <c r="AY29" s="373">
        <v>60</v>
      </c>
      <c r="AZ29" s="373">
        <v>80</v>
      </c>
      <c r="BA29" s="373">
        <v>120</v>
      </c>
      <c r="BB29" s="373">
        <v>30</v>
      </c>
      <c r="BC29" s="373">
        <v>10.5</v>
      </c>
      <c r="BD29" s="373">
        <v>11</v>
      </c>
      <c r="BE29" s="477">
        <v>42</v>
      </c>
    </row>
    <row r="30" spans="1:57" x14ac:dyDescent="0.25">
      <c r="E30" s="4"/>
      <c r="AM30" s="474">
        <v>28</v>
      </c>
      <c r="AN30" s="373">
        <f>SUM(AX30:AX$37)</f>
        <v>3000</v>
      </c>
      <c r="AO30" s="373">
        <f>SUM(AY30:AY$37)</f>
        <v>760</v>
      </c>
      <c r="AP30" s="373">
        <f>SUM(AZ30:AZ$37)</f>
        <v>1000</v>
      </c>
      <c r="AQ30" s="373">
        <f>SUM(BA30:BA$37)</f>
        <v>1520</v>
      </c>
      <c r="AR30" s="373">
        <f>SUM(BB30:BB$37)</f>
        <v>590</v>
      </c>
      <c r="AS30" s="373">
        <f t="shared" si="7"/>
        <v>11</v>
      </c>
      <c r="AT30" s="373">
        <f t="shared" si="8"/>
        <v>11</v>
      </c>
      <c r="AU30" s="477" t="str">
        <f>FLOOR(SUM(BE30:BE$37)/24, 1) &amp; " D " &amp; MOD(SUM(BE30:BE$37),24) &amp; " H"</f>
        <v>18 D 6 H</v>
      </c>
      <c r="AV30" s="477">
        <f>SUM(BE30:BE$37)/24</f>
        <v>18.25</v>
      </c>
      <c r="AW30" s="473">
        <v>28</v>
      </c>
      <c r="AX30" s="373">
        <v>200</v>
      </c>
      <c r="AY30" s="373">
        <v>60</v>
      </c>
      <c r="AZ30" s="373">
        <v>90</v>
      </c>
      <c r="BA30" s="373">
        <v>120</v>
      </c>
      <c r="BB30" s="373">
        <v>40</v>
      </c>
      <c r="BC30" s="373">
        <v>11</v>
      </c>
      <c r="BD30" s="373">
        <v>11</v>
      </c>
      <c r="BE30" s="477">
        <v>44</v>
      </c>
    </row>
    <row r="31" spans="1:57" x14ac:dyDescent="0.25">
      <c r="E31" s="4"/>
      <c r="AM31" s="474">
        <v>29</v>
      </c>
      <c r="AN31" s="373">
        <f>SUM(AX31:AX$37)</f>
        <v>2800</v>
      </c>
      <c r="AO31" s="373">
        <f>SUM(AY31:AY$37)</f>
        <v>700</v>
      </c>
      <c r="AP31" s="373">
        <f>SUM(AZ31:AZ$37)</f>
        <v>910</v>
      </c>
      <c r="AQ31" s="373">
        <f>SUM(BA31:BA$37)</f>
        <v>1400</v>
      </c>
      <c r="AR31" s="373">
        <f>SUM(BB31:BB$37)</f>
        <v>550</v>
      </c>
      <c r="AS31" s="373">
        <f t="shared" si="7"/>
        <v>11</v>
      </c>
      <c r="AT31" s="373">
        <f t="shared" si="8"/>
        <v>11.5</v>
      </c>
      <c r="AU31" s="477" t="str">
        <f>FLOOR(SUM(BE31:BE$37)/24, 1) &amp; " D " &amp; MOD(SUM(BE31:BE$37),24) &amp; " H"</f>
        <v>16 D 10 H</v>
      </c>
      <c r="AV31" s="477">
        <f>SUM(BE31:BE$37)/24</f>
        <v>16.416666666666668</v>
      </c>
      <c r="AW31" s="473">
        <v>29</v>
      </c>
      <c r="AX31" s="373">
        <v>300</v>
      </c>
      <c r="AY31" s="373">
        <v>80</v>
      </c>
      <c r="AZ31" s="373">
        <v>100</v>
      </c>
      <c r="BA31" s="373">
        <v>160</v>
      </c>
      <c r="BB31" s="373">
        <v>50</v>
      </c>
      <c r="BC31" s="373">
        <v>11</v>
      </c>
      <c r="BD31" s="373">
        <v>11.5</v>
      </c>
      <c r="BE31" s="477">
        <v>46</v>
      </c>
    </row>
    <row r="32" spans="1:57" x14ac:dyDescent="0.25">
      <c r="E32" s="4"/>
      <c r="AM32" s="474">
        <v>30</v>
      </c>
      <c r="AN32" s="373">
        <f>SUM(AX32:AX$37)</f>
        <v>2500</v>
      </c>
      <c r="AO32" s="373">
        <f>SUM(AY32:AY$37)</f>
        <v>620</v>
      </c>
      <c r="AP32" s="373">
        <f>SUM(AZ32:AZ$37)</f>
        <v>810</v>
      </c>
      <c r="AQ32" s="373">
        <f>SUM(BA32:BA$37)</f>
        <v>1240</v>
      </c>
      <c r="AR32" s="373">
        <f>SUM(BB32:BB$37)</f>
        <v>500</v>
      </c>
      <c r="AS32" s="373">
        <f t="shared" si="7"/>
        <v>11.5</v>
      </c>
      <c r="AT32" s="373">
        <f t="shared" si="8"/>
        <v>11.5</v>
      </c>
      <c r="AU32" s="477" t="str">
        <f>FLOOR(SUM(BE32:BE$37)/24, 1) &amp; " D " &amp; MOD(SUM(BE32:BE$37),24) &amp; " H"</f>
        <v>14 D 12 H</v>
      </c>
      <c r="AV32" s="477">
        <f>SUM(BE32:BE$37)/24</f>
        <v>14.5</v>
      </c>
      <c r="AW32" s="473">
        <v>30</v>
      </c>
      <c r="AX32" s="373">
        <v>300</v>
      </c>
      <c r="AY32" s="373">
        <v>80</v>
      </c>
      <c r="AZ32" s="373">
        <v>110</v>
      </c>
      <c r="BA32" s="373">
        <v>160</v>
      </c>
      <c r="BB32" s="373">
        <v>60</v>
      </c>
      <c r="BC32" s="373">
        <v>11.5</v>
      </c>
      <c r="BD32" s="373">
        <v>11.5</v>
      </c>
      <c r="BE32" s="477">
        <v>48</v>
      </c>
    </row>
    <row r="33" spans="5:57" x14ac:dyDescent="0.25">
      <c r="E33" s="4"/>
      <c r="AM33" s="474">
        <v>31</v>
      </c>
      <c r="AN33" s="373">
        <f>SUM(AX33:AX$37)</f>
        <v>2200</v>
      </c>
      <c r="AO33" s="373">
        <f>SUM(AY33:AY$37)</f>
        <v>540</v>
      </c>
      <c r="AP33" s="373">
        <f>SUM(AZ33:AZ$37)</f>
        <v>700</v>
      </c>
      <c r="AQ33" s="373">
        <f>SUM(BA33:BA$37)</f>
        <v>1080</v>
      </c>
      <c r="AR33" s="373">
        <f>SUM(BB33:BB$37)</f>
        <v>440</v>
      </c>
      <c r="AS33" s="373">
        <f t="shared" si="7"/>
        <v>14</v>
      </c>
      <c r="AT33" s="373">
        <f t="shared" si="8"/>
        <v>14</v>
      </c>
      <c r="AU33" s="477" t="str">
        <f>FLOOR(SUM(BE33:BE$37)/24, 1) &amp; " D " &amp; MOD(SUM(BE33:BE$37),24) &amp; " H"</f>
        <v>12 D 12 H</v>
      </c>
      <c r="AV33" s="477">
        <f>SUM(BE33:BE$37)/24</f>
        <v>12.5</v>
      </c>
      <c r="AW33" s="473">
        <v>31</v>
      </c>
      <c r="AX33" s="373">
        <v>400</v>
      </c>
      <c r="AY33" s="373">
        <v>100</v>
      </c>
      <c r="AZ33" s="373">
        <v>120</v>
      </c>
      <c r="BA33" s="373">
        <v>200</v>
      </c>
      <c r="BB33" s="373">
        <v>80</v>
      </c>
      <c r="BC33" s="373">
        <v>14</v>
      </c>
      <c r="BD33" s="373">
        <v>14</v>
      </c>
      <c r="BE33" s="477">
        <v>52</v>
      </c>
    </row>
    <row r="34" spans="5:57" x14ac:dyDescent="0.25">
      <c r="AM34" s="474">
        <v>32</v>
      </c>
      <c r="AN34" s="373">
        <f>SUM(AX34:AX$37)</f>
        <v>1800</v>
      </c>
      <c r="AO34" s="373">
        <f>SUM(AY34:AY$37)</f>
        <v>440</v>
      </c>
      <c r="AP34" s="373">
        <f>SUM(AZ34:AZ$37)</f>
        <v>580</v>
      </c>
      <c r="AQ34" s="373">
        <f>SUM(BA34:BA$37)</f>
        <v>880</v>
      </c>
      <c r="AR34" s="373">
        <f>SUM(BB34:BB$37)</f>
        <v>360</v>
      </c>
      <c r="AS34" s="373">
        <f t="shared" si="7"/>
        <v>14.5</v>
      </c>
      <c r="AT34" s="373">
        <f t="shared" si="8"/>
        <v>14</v>
      </c>
      <c r="AU34" s="477" t="str">
        <f>FLOOR(SUM(BE34:BE$37)/24, 1) &amp; " D " &amp; MOD(SUM(BE34:BE$37),24) &amp; " H"</f>
        <v>10 D 8 H</v>
      </c>
      <c r="AV34" s="477">
        <f>SUM(BE34:BE$37)/24</f>
        <v>10.333333333333334</v>
      </c>
      <c r="AW34" s="473">
        <v>32</v>
      </c>
      <c r="AX34" s="373">
        <v>400</v>
      </c>
      <c r="AY34" s="373">
        <v>100</v>
      </c>
      <c r="AZ34" s="373">
        <v>130</v>
      </c>
      <c r="BA34" s="373">
        <v>200</v>
      </c>
      <c r="BB34" s="373">
        <v>80</v>
      </c>
      <c r="BC34" s="373">
        <v>14.5</v>
      </c>
      <c r="BD34" s="373">
        <v>14</v>
      </c>
      <c r="BE34" s="477">
        <v>56</v>
      </c>
    </row>
    <row r="35" spans="5:57" x14ac:dyDescent="0.25">
      <c r="AM35" s="474">
        <v>33</v>
      </c>
      <c r="AN35" s="373">
        <f>SUM(AX35:AX$37)</f>
        <v>1400</v>
      </c>
      <c r="AO35" s="373">
        <f>SUM(AY35:AY$37)</f>
        <v>340</v>
      </c>
      <c r="AP35" s="373">
        <f>SUM(AZ35:AZ$37)</f>
        <v>450</v>
      </c>
      <c r="AQ35" s="373">
        <f>SUM(BA35:BA$37)</f>
        <v>680</v>
      </c>
      <c r="AR35" s="373">
        <f>SUM(BB35:BB$37)</f>
        <v>280</v>
      </c>
      <c r="AS35" s="373">
        <f t="shared" si="7"/>
        <v>14.5</v>
      </c>
      <c r="AT35" s="373">
        <f t="shared" si="8"/>
        <v>14.5</v>
      </c>
      <c r="AU35" s="477" t="str">
        <f>FLOOR(SUM(BE35:BE$37)/24, 1) &amp; " D " &amp; MOD(SUM(BE35:BE$37),24) &amp; " H"</f>
        <v>8 D 0 H</v>
      </c>
      <c r="AV35" s="477">
        <f>SUM(BE35:BE$37)/24</f>
        <v>8</v>
      </c>
      <c r="AW35" s="473">
        <v>33</v>
      </c>
      <c r="AX35" s="373">
        <v>400</v>
      </c>
      <c r="AY35" s="373">
        <v>100</v>
      </c>
      <c r="AZ35" s="373">
        <v>140</v>
      </c>
      <c r="BA35" s="373">
        <v>200</v>
      </c>
      <c r="BB35" s="373">
        <v>80</v>
      </c>
      <c r="BC35" s="373">
        <v>14.5</v>
      </c>
      <c r="BD35" s="373">
        <v>14.5</v>
      </c>
      <c r="BE35" s="477">
        <v>60</v>
      </c>
    </row>
    <row r="36" spans="5:57" x14ac:dyDescent="0.25">
      <c r="AM36" s="474">
        <v>34</v>
      </c>
      <c r="AN36" s="373">
        <f>SUM(AX36:AX$37)</f>
        <v>1000</v>
      </c>
      <c r="AO36" s="373">
        <f>SUM(AY36:AY$37)</f>
        <v>240</v>
      </c>
      <c r="AP36" s="373">
        <f>SUM(AZ36:AZ$37)</f>
        <v>310</v>
      </c>
      <c r="AQ36" s="373">
        <f>SUM(BA36:BA$37)</f>
        <v>480</v>
      </c>
      <c r="AR36" s="373">
        <f>SUM(BB36:BB$37)</f>
        <v>200</v>
      </c>
      <c r="AS36" s="373">
        <f t="shared" si="7"/>
        <v>15</v>
      </c>
      <c r="AT36" s="373">
        <f t="shared" si="8"/>
        <v>14.5</v>
      </c>
      <c r="AU36" s="477" t="str">
        <f>FLOOR(SUM(BE36:BE$37)/24, 1) &amp; " D " &amp; MOD(SUM(BE36:BE$37),24) &amp; " H"</f>
        <v>5 D 12 H</v>
      </c>
      <c r="AV36" s="477">
        <f>SUM(BE36:BE$37)/24</f>
        <v>5.5</v>
      </c>
      <c r="AW36" s="473">
        <v>34</v>
      </c>
      <c r="AX36" s="373">
        <v>500</v>
      </c>
      <c r="AY36" s="373">
        <v>120</v>
      </c>
      <c r="AZ36" s="373">
        <v>150</v>
      </c>
      <c r="BA36" s="373">
        <v>240</v>
      </c>
      <c r="BB36" s="373">
        <v>100</v>
      </c>
      <c r="BC36" s="373">
        <v>15</v>
      </c>
      <c r="BD36" s="373">
        <v>14.5</v>
      </c>
      <c r="BE36" s="477">
        <v>64</v>
      </c>
    </row>
    <row r="37" spans="5:57" x14ac:dyDescent="0.25">
      <c r="AM37" s="474">
        <v>35</v>
      </c>
      <c r="AN37" s="373">
        <f>SUM(AX37:AX$37)</f>
        <v>500</v>
      </c>
      <c r="AO37" s="373">
        <f>SUM(AY37:AY$37)</f>
        <v>120</v>
      </c>
      <c r="AP37" s="373">
        <f>SUM(AZ37:AZ$37)</f>
        <v>160</v>
      </c>
      <c r="AQ37" s="373">
        <f>SUM(BA37:BA$37)</f>
        <v>240</v>
      </c>
      <c r="AR37" s="373">
        <f>SUM(BB37:BB$37)</f>
        <v>100</v>
      </c>
      <c r="AS37" s="373">
        <f t="shared" si="7"/>
        <v>15</v>
      </c>
      <c r="AT37" s="373">
        <f t="shared" si="8"/>
        <v>15</v>
      </c>
      <c r="AU37" s="477" t="str">
        <f>FLOOR(SUM(BE37:BE$37)/24, 1) &amp; " D " &amp; MOD(SUM(BE37:BE$37),24) &amp; " H"</f>
        <v>2 D 20 H</v>
      </c>
      <c r="AV37" s="477">
        <f>SUM(BE37:BE$37)/24</f>
        <v>2.8333333333333335</v>
      </c>
      <c r="AW37" s="473">
        <v>35</v>
      </c>
      <c r="AX37" s="373">
        <v>500</v>
      </c>
      <c r="AY37" s="373">
        <v>120</v>
      </c>
      <c r="AZ37" s="373">
        <v>160</v>
      </c>
      <c r="BA37" s="373">
        <v>240</v>
      </c>
      <c r="BB37" s="373">
        <v>100</v>
      </c>
      <c r="BC37" s="373">
        <v>15</v>
      </c>
      <c r="BD37" s="373">
        <v>15</v>
      </c>
      <c r="BE37" s="477">
        <v>68</v>
      </c>
    </row>
  </sheetData>
  <mergeCells count="26">
    <mergeCell ref="AW1:BE1"/>
    <mergeCell ref="J1:K1"/>
    <mergeCell ref="D1:E1"/>
    <mergeCell ref="AM1:AU1"/>
    <mergeCell ref="AA1:AA2"/>
    <mergeCell ref="Y1:Z1"/>
    <mergeCell ref="AB1:AC1"/>
    <mergeCell ref="U1:U2"/>
    <mergeCell ref="S1:T1"/>
    <mergeCell ref="V1:W1"/>
    <mergeCell ref="A1:B1"/>
    <mergeCell ref="AI1:AJ1"/>
    <mergeCell ref="AK1:AK2"/>
    <mergeCell ref="AE1:AF1"/>
    <mergeCell ref="AG1:AH1"/>
    <mergeCell ref="F1:F2"/>
    <mergeCell ref="L1:L2"/>
    <mergeCell ref="R1:R2"/>
    <mergeCell ref="X1:X2"/>
    <mergeCell ref="AD1:AD2"/>
    <mergeCell ref="C1:C2"/>
    <mergeCell ref="I1:I2"/>
    <mergeCell ref="O1:O2"/>
    <mergeCell ref="M1:N1"/>
    <mergeCell ref="P1:Q1"/>
    <mergeCell ref="G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1F150-7F4C-41F2-B867-3821157DD2BF}">
  <sheetPr>
    <tabColor rgb="FF00B050"/>
  </sheetPr>
  <dimension ref="A1:P22"/>
  <sheetViews>
    <sheetView zoomScaleNormal="60" zoomScaleSheetLayoutView="100" workbookViewId="0">
      <selection activeCell="J15" sqref="J15"/>
    </sheetView>
  </sheetViews>
  <sheetFormatPr defaultColWidth="8.42578125" defaultRowHeight="25.5" customHeight="1" x14ac:dyDescent="0.25"/>
  <cols>
    <col min="1" max="1" width="8.42578125" style="60"/>
    <col min="2" max="2" width="16.28515625" style="60" customWidth="1"/>
    <col min="3" max="5" width="8.42578125" style="60"/>
    <col min="6" max="6" width="14.7109375" style="60" customWidth="1"/>
    <col min="7" max="7" width="8.42578125" style="60"/>
    <col min="8" max="8" width="3.42578125" style="60" customWidth="1"/>
    <col min="9" max="10" width="8.42578125" style="60"/>
    <col min="11" max="12" width="12.140625" style="60" customWidth="1"/>
    <col min="13" max="15" width="8.42578125" style="60"/>
    <col min="16" max="16" width="14.7109375" style="60" customWidth="1"/>
    <col min="17" max="16384" width="8.42578125" style="60"/>
  </cols>
  <sheetData>
    <row r="1" spans="1:16" ht="25.5" customHeight="1" x14ac:dyDescent="0.25">
      <c r="A1" s="426" t="s">
        <v>111</v>
      </c>
      <c r="B1" s="426"/>
      <c r="C1" s="426"/>
      <c r="D1" s="426"/>
      <c r="E1" s="426"/>
      <c r="F1" s="426"/>
      <c r="G1" s="426"/>
      <c r="J1" s="24"/>
      <c r="K1" s="23" t="s">
        <v>31</v>
      </c>
      <c r="L1" s="23" t="s">
        <v>56</v>
      </c>
      <c r="M1" s="23" t="s">
        <v>59</v>
      </c>
      <c r="N1" s="23" t="s">
        <v>60</v>
      </c>
      <c r="O1" s="23" t="s">
        <v>61</v>
      </c>
      <c r="P1" s="23" t="s">
        <v>62</v>
      </c>
    </row>
    <row r="2" spans="1:16" ht="25.5" customHeight="1" x14ac:dyDescent="0.25">
      <c r="A2" s="429" t="s">
        <v>64</v>
      </c>
      <c r="B2" s="429"/>
      <c r="C2" s="430" t="s">
        <v>66</v>
      </c>
      <c r="D2" s="430"/>
      <c r="E2" s="428" t="s">
        <v>68</v>
      </c>
      <c r="F2" s="428"/>
      <c r="G2" s="428"/>
      <c r="J2" s="23" t="s">
        <v>57</v>
      </c>
      <c r="K2" s="162">
        <v>247964</v>
      </c>
      <c r="L2" s="162">
        <v>9</v>
      </c>
      <c r="M2" s="162">
        <v>9603</v>
      </c>
      <c r="N2" s="163">
        <v>322</v>
      </c>
      <c r="O2" s="163">
        <v>44</v>
      </c>
      <c r="P2" s="163">
        <f>M2*DRAGEXP_S+N2*DRAGEXP_M+O2*DRAGEXP_L</f>
        <v>1916450</v>
      </c>
    </row>
    <row r="3" spans="1:16" ht="25.5" customHeight="1" x14ac:dyDescent="0.25">
      <c r="A3" s="97" t="s">
        <v>59</v>
      </c>
      <c r="B3" s="98">
        <v>6670</v>
      </c>
      <c r="C3" s="99" t="s">
        <v>116</v>
      </c>
      <c r="D3" s="125">
        <v>0</v>
      </c>
      <c r="E3" s="68" t="s">
        <v>69</v>
      </c>
      <c r="F3" s="424">
        <f>_xlfn.FLOOR.MATH(B7/MAX(DATA_DRAG_ACCU_EXP))</f>
        <v>17</v>
      </c>
      <c r="G3" s="424"/>
      <c r="J3" s="23" t="s">
        <v>58</v>
      </c>
      <c r="K3" s="162">
        <v>247864</v>
      </c>
      <c r="L3" s="162">
        <v>1</v>
      </c>
      <c r="M3" s="162">
        <v>9734</v>
      </c>
      <c r="N3" s="163">
        <v>342</v>
      </c>
      <c r="O3" s="163">
        <v>44</v>
      </c>
      <c r="P3" s="163">
        <f>M3*DRAGEXP_S+N3*DRAGEXP_M+O3*DRAGEXP_L</f>
        <v>1956100</v>
      </c>
    </row>
    <row r="4" spans="1:16" ht="25.5" customHeight="1" x14ac:dyDescent="0.25">
      <c r="A4" s="97" t="s">
        <v>60</v>
      </c>
      <c r="B4" s="98">
        <v>6488</v>
      </c>
      <c r="C4" s="99" t="s">
        <v>117</v>
      </c>
      <c r="D4" s="125">
        <v>0</v>
      </c>
      <c r="E4" s="96" t="s">
        <v>50</v>
      </c>
      <c r="F4" s="424">
        <f>MATCH(B10,DATA_DRAG_ACCU_EXP,0)</f>
        <v>82</v>
      </c>
      <c r="G4" s="424"/>
      <c r="J4" s="13"/>
      <c r="K4" s="13"/>
      <c r="L4" s="13"/>
      <c r="M4" s="13"/>
      <c r="N4" s="13"/>
      <c r="O4" s="13"/>
      <c r="P4" s="1"/>
    </row>
    <row r="5" spans="1:16" ht="25.5" customHeight="1" x14ac:dyDescent="0.25">
      <c r="A5" s="97" t="s">
        <v>61</v>
      </c>
      <c r="B5" s="98">
        <v>4077</v>
      </c>
      <c r="C5" s="124" t="s">
        <v>70</v>
      </c>
      <c r="D5" s="125">
        <v>0</v>
      </c>
      <c r="E5" s="96" t="s">
        <v>67</v>
      </c>
      <c r="F5" s="424">
        <f>INDEX(DATA_DRAG_LV_EXP,F4)-(B9-B10)</f>
        <v>19840</v>
      </c>
      <c r="G5" s="424"/>
      <c r="J5" s="22" t="s">
        <v>76</v>
      </c>
      <c r="K5" s="38">
        <f>P3-P2</f>
        <v>39650</v>
      </c>
      <c r="L5" s="38"/>
      <c r="M5" s="22" t="s">
        <v>63</v>
      </c>
      <c r="N5" s="427">
        <f>IF(K6&gt;0,K5/K6,"")</f>
        <v>2478.125</v>
      </c>
      <c r="O5" s="427"/>
      <c r="P5" s="1"/>
    </row>
    <row r="6" spans="1:16" ht="25.5" customHeight="1" x14ac:dyDescent="0.25">
      <c r="A6" s="160" t="s">
        <v>65</v>
      </c>
      <c r="B6" s="161">
        <f>B3*DRAGEXP_S+B4*DRAGEXP_M+B5*DRAGEXP_L</f>
        <v>21758000</v>
      </c>
      <c r="C6" s="99" t="s">
        <v>50</v>
      </c>
      <c r="D6" s="100">
        <v>1</v>
      </c>
      <c r="J6" s="22" t="s">
        <v>29</v>
      </c>
      <c r="K6" s="40">
        <f>(K2-K3)/WINGS_RECOVER_DIAMS*6 + (L2-L3)/WINGS_CONSUME_DRAGON</f>
        <v>16</v>
      </c>
      <c r="L6" s="40"/>
      <c r="M6" s="1"/>
      <c r="N6" s="1"/>
      <c r="O6" s="1"/>
      <c r="P6" s="1"/>
    </row>
    <row r="7" spans="1:16" ht="25.5" customHeight="1" x14ac:dyDescent="0.25">
      <c r="A7" s="160" t="s">
        <v>109</v>
      </c>
      <c r="B7" s="161">
        <f>B6-B8</f>
        <v>21757760</v>
      </c>
      <c r="C7" s="99" t="s">
        <v>67</v>
      </c>
      <c r="D7" s="100"/>
      <c r="E7" s="374" t="s">
        <v>79</v>
      </c>
      <c r="F7" s="374"/>
      <c r="G7" s="374"/>
      <c r="J7" s="1"/>
      <c r="K7" s="1"/>
      <c r="L7" s="1"/>
      <c r="M7" s="1"/>
      <c r="N7" s="1"/>
      <c r="O7" s="1"/>
      <c r="P7" s="1"/>
    </row>
    <row r="8" spans="1:16" ht="25.5" customHeight="1" x14ac:dyDescent="0.25">
      <c r="A8" s="126" t="s">
        <v>110</v>
      </c>
      <c r="B8" s="126">
        <f>D3*DRAGON_EXP_60+D4*DRAGON_EXP_80+D5*DRAGON_EXP_100+INDEX(DATA_DRAG_ACCU_EXP,D6)+(INDEX(DATA_DRAG_LV_EXP,D6)-D7)</f>
        <v>240</v>
      </c>
      <c r="E8" s="374" t="s">
        <v>63</v>
      </c>
      <c r="F8" s="425">
        <f>IF(G9 &gt; 0,SUM(DATA_DRAGON_EXP)/G9,0)</f>
        <v>2673.9277652370201</v>
      </c>
      <c r="G8" s="72" t="s">
        <v>33</v>
      </c>
      <c r="M8" s="1"/>
      <c r="N8" s="1"/>
      <c r="O8" s="1"/>
      <c r="P8" s="1"/>
    </row>
    <row r="9" spans="1:16" ht="25.5" customHeight="1" x14ac:dyDescent="0.25">
      <c r="A9" s="126" t="s">
        <v>105</v>
      </c>
      <c r="B9" s="126">
        <f>MOD(B7,DRAGON_EXP_100)</f>
        <v>677420</v>
      </c>
      <c r="E9" s="374"/>
      <c r="F9" s="425"/>
      <c r="G9" s="93">
        <f>SUM(DATA_DRAGON_PLAYS)</f>
        <v>443</v>
      </c>
      <c r="M9" s="1"/>
      <c r="N9" s="1"/>
      <c r="O9" s="1"/>
      <c r="P9" s="1"/>
    </row>
    <row r="10" spans="1:16" ht="25.5" customHeight="1" x14ac:dyDescent="0.25">
      <c r="A10" s="95" t="s">
        <v>72</v>
      </c>
      <c r="B10" s="126">
        <f>SMALL(DATA_DRAG_ACCU_EXP,COUNTIF(DATA_DRAG_ACCU_EXP,"&lt;"&amp;B9))</f>
        <v>672480</v>
      </c>
      <c r="E10" s="123">
        <v>60</v>
      </c>
      <c r="F10" s="93">
        <f>IF($F$8&gt;0,_xlfn.CEILING.MATH(INDEX(DATA_DRAG_ACCU_EXP,E10)/$F$8),"")</f>
        <v>104</v>
      </c>
      <c r="G10" s="72" t="s">
        <v>30</v>
      </c>
    </row>
    <row r="11" spans="1:16" ht="25.5" customHeight="1" x14ac:dyDescent="0.25">
      <c r="A11" s="94"/>
      <c r="E11" s="123">
        <v>80</v>
      </c>
      <c r="F11" s="40">
        <f>IF($F$8&gt;0,_xlfn.CEILING.MATH(INDEX(DATA_DRAG_ACCU_EXP,E11)/$F$8),"")</f>
        <v>234</v>
      </c>
      <c r="G11" s="72" t="s">
        <v>30</v>
      </c>
    </row>
    <row r="12" spans="1:16" ht="25.5" customHeight="1" x14ac:dyDescent="0.25">
      <c r="A12" s="94"/>
      <c r="E12" s="123">
        <v>100</v>
      </c>
      <c r="F12" s="40">
        <f>IF($F$8&gt;0,_xlfn.CEILING.MATH(INDEX(DATA_DRAG_ACCU_EXP,E12)/$F$8),"")</f>
        <v>464</v>
      </c>
      <c r="G12" s="72" t="s">
        <v>30</v>
      </c>
    </row>
    <row r="13" spans="1:16" s="359" customFormat="1" ht="25.5" customHeight="1" x14ac:dyDescent="0.25">
      <c r="A13" s="431" t="s">
        <v>174</v>
      </c>
      <c r="B13" s="431"/>
      <c r="C13" s="431"/>
      <c r="D13" s="431"/>
      <c r="E13" s="431"/>
      <c r="F13" s="431"/>
      <c r="G13" s="431"/>
    </row>
    <row r="14" spans="1:16" ht="25.5" customHeight="1" x14ac:dyDescent="0.25">
      <c r="A14" s="429" t="s">
        <v>64</v>
      </c>
      <c r="B14" s="429"/>
      <c r="C14" s="430" t="s">
        <v>66</v>
      </c>
      <c r="D14" s="430"/>
      <c r="E14" s="428" t="s">
        <v>68</v>
      </c>
      <c r="F14" s="428"/>
      <c r="G14" s="428"/>
    </row>
    <row r="15" spans="1:16" ht="25.5" customHeight="1" x14ac:dyDescent="0.25">
      <c r="A15" s="97" t="s">
        <v>59</v>
      </c>
      <c r="B15" s="98">
        <v>5694</v>
      </c>
      <c r="C15" s="356" t="s">
        <v>116</v>
      </c>
      <c r="D15" s="125">
        <v>0</v>
      </c>
      <c r="E15" s="355" t="s">
        <v>69</v>
      </c>
      <c r="F15" s="424">
        <f>_xlfn.FLOOR.MATH(B19/MAX(DATA_WYRM_ACCU_EXP))</f>
        <v>3</v>
      </c>
      <c r="G15" s="424"/>
    </row>
    <row r="16" spans="1:16" ht="25.5" customHeight="1" x14ac:dyDescent="0.25">
      <c r="A16" s="97" t="s">
        <v>60</v>
      </c>
      <c r="B16" s="98">
        <v>4</v>
      </c>
      <c r="C16" s="356" t="s">
        <v>117</v>
      </c>
      <c r="D16" s="125">
        <v>0</v>
      </c>
      <c r="E16" s="96" t="s">
        <v>50</v>
      </c>
      <c r="F16" s="424">
        <f>MATCH(B22,DATA_WYRM_ACCU_EXP,0)</f>
        <v>64</v>
      </c>
      <c r="G16" s="424"/>
    </row>
    <row r="17" spans="1:7" ht="25.5" customHeight="1" x14ac:dyDescent="0.25">
      <c r="A17" s="97" t="s">
        <v>61</v>
      </c>
      <c r="B17" s="98">
        <v>65</v>
      </c>
      <c r="C17" s="124" t="s">
        <v>70</v>
      </c>
      <c r="D17" s="125">
        <v>0</v>
      </c>
      <c r="E17" s="96" t="s">
        <v>67</v>
      </c>
      <c r="F17" s="424">
        <f>INDEX(DATA_WYRM_LV_EXP,F16)-(B21-B22)</f>
        <v>0</v>
      </c>
      <c r="G17" s="424"/>
    </row>
    <row r="18" spans="1:7" ht="25.5" customHeight="1" x14ac:dyDescent="0.25">
      <c r="A18" s="160" t="s">
        <v>65</v>
      </c>
      <c r="B18" s="161">
        <f>B15*WYRMEXP_S+B16*WYRMEXP_M+B17*WYRMEXP_L</f>
        <v>3078500</v>
      </c>
      <c r="C18" s="356" t="s">
        <v>50</v>
      </c>
      <c r="D18" s="100">
        <v>1</v>
      </c>
      <c r="E18" s="354"/>
      <c r="F18" s="354"/>
      <c r="G18" s="354"/>
    </row>
    <row r="19" spans="1:7" ht="25.5" customHeight="1" x14ac:dyDescent="0.25">
      <c r="A19" s="160" t="s">
        <v>109</v>
      </c>
      <c r="B19" s="161">
        <f>B18-B20</f>
        <v>3078350</v>
      </c>
      <c r="C19" s="356" t="s">
        <v>67</v>
      </c>
      <c r="D19" s="100"/>
      <c r="E19" s="358"/>
      <c r="F19" s="358"/>
      <c r="G19" s="358"/>
    </row>
    <row r="20" spans="1:7" ht="25.5" customHeight="1" x14ac:dyDescent="0.25">
      <c r="A20" s="126" t="s">
        <v>110</v>
      </c>
      <c r="B20" s="126">
        <f>D15*WYRM_EXP_60+D16*WYRM_EXP_80+D17*WYRM_EXP_100+INDEX(DATA_WYRM_ACCU_EXP,D18)+(INDEX(DATA_WYRM_LV_EXP,D18)-D19)</f>
        <v>150</v>
      </c>
      <c r="C20" s="354"/>
      <c r="D20" s="354"/>
      <c r="E20"/>
      <c r="F20"/>
      <c r="G20"/>
    </row>
    <row r="21" spans="1:7" ht="25.5" customHeight="1" x14ac:dyDescent="0.25">
      <c r="A21" s="126" t="s">
        <v>105</v>
      </c>
      <c r="B21" s="126">
        <f>MOD(B19,WYRM_EXP_100)</f>
        <v>263000</v>
      </c>
      <c r="C21" s="354"/>
      <c r="D21" s="354"/>
      <c r="E21"/>
      <c r="F21"/>
      <c r="G21"/>
    </row>
    <row r="22" spans="1:7" ht="25.5" customHeight="1" x14ac:dyDescent="0.25">
      <c r="A22" s="95" t="s">
        <v>72</v>
      </c>
      <c r="B22" s="126">
        <f>SMALL(DATA_WYRM_ACCU_EXP,COUNTIF(DATA_WYRM_ACCU_EXP,"&lt;"&amp;B21))</f>
        <v>251940</v>
      </c>
      <c r="C22" s="354"/>
      <c r="D22" s="354"/>
      <c r="E22"/>
      <c r="F22"/>
      <c r="G22"/>
    </row>
  </sheetData>
  <mergeCells count="18">
    <mergeCell ref="F16:G16"/>
    <mergeCell ref="F17:G17"/>
    <mergeCell ref="A13:G13"/>
    <mergeCell ref="A14:B14"/>
    <mergeCell ref="C14:D14"/>
    <mergeCell ref="E14:G14"/>
    <mergeCell ref="F15:G15"/>
    <mergeCell ref="F5:G5"/>
    <mergeCell ref="E8:E9"/>
    <mergeCell ref="F8:F9"/>
    <mergeCell ref="A1:G1"/>
    <mergeCell ref="N5:O5"/>
    <mergeCell ref="E2:G2"/>
    <mergeCell ref="E7:G7"/>
    <mergeCell ref="F3:G3"/>
    <mergeCell ref="F4:G4"/>
    <mergeCell ref="A2:B2"/>
    <mergeCell ref="C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B110C-60DE-4CF0-83EF-8B03DBFD5552}">
  <sheetPr codeName="Sheet8">
    <tabColor rgb="FF00B0F0"/>
  </sheetPr>
  <dimension ref="A1:J101"/>
  <sheetViews>
    <sheetView workbookViewId="0">
      <selection activeCell="H1" sqref="H1:J1048576"/>
    </sheetView>
  </sheetViews>
  <sheetFormatPr defaultColWidth="9.140625" defaultRowHeight="15" x14ac:dyDescent="0.25"/>
  <cols>
    <col min="1" max="2" width="9.140625" style="13"/>
    <col min="3" max="3" width="9.140625" style="25"/>
    <col min="4" max="7" width="9.140625" style="13"/>
    <col min="8" max="10" width="9.140625" style="357"/>
    <col min="11" max="16384" width="9.140625" style="13"/>
  </cols>
  <sheetData>
    <row r="1" spans="1:10" x14ac:dyDescent="0.25">
      <c r="A1" s="13" t="s">
        <v>76</v>
      </c>
      <c r="B1" s="13" t="s">
        <v>29</v>
      </c>
      <c r="C1" s="25" t="s">
        <v>32</v>
      </c>
      <c r="E1" s="13" t="s">
        <v>50</v>
      </c>
      <c r="F1" s="13" t="s">
        <v>72</v>
      </c>
      <c r="G1" s="13" t="s">
        <v>73</v>
      </c>
      <c r="H1" s="357" t="s">
        <v>50</v>
      </c>
      <c r="I1" s="357" t="s">
        <v>72</v>
      </c>
      <c r="J1" s="357" t="s">
        <v>73</v>
      </c>
    </row>
    <row r="2" spans="1:10" x14ac:dyDescent="0.25">
      <c r="A2" s="13">
        <v>15850</v>
      </c>
      <c r="B2" s="13">
        <v>7</v>
      </c>
      <c r="C2" s="25">
        <f t="shared" ref="C2:C33" si="0">IF(ISBLANK(A2),"",A2/B2)</f>
        <v>2264.2857142857142</v>
      </c>
      <c r="E2" s="14">
        <v>1</v>
      </c>
      <c r="F2" s="14">
        <v>240</v>
      </c>
      <c r="G2" s="14">
        <v>0</v>
      </c>
      <c r="H2" s="357">
        <v>1</v>
      </c>
      <c r="I2" s="357">
        <v>150</v>
      </c>
      <c r="J2" s="357">
        <v>0</v>
      </c>
    </row>
    <row r="3" spans="1:10" x14ac:dyDescent="0.25">
      <c r="A3" s="13">
        <v>46200</v>
      </c>
      <c r="B3" s="13">
        <v>19</v>
      </c>
      <c r="C3" s="25">
        <f t="shared" si="0"/>
        <v>2431.5789473684213</v>
      </c>
      <c r="E3" s="14">
        <v>2</v>
      </c>
      <c r="F3" s="14">
        <v>300</v>
      </c>
      <c r="G3" s="14">
        <v>240</v>
      </c>
      <c r="H3" s="357">
        <v>2</v>
      </c>
      <c r="I3" s="357">
        <v>200</v>
      </c>
      <c r="J3" s="357">
        <v>150</v>
      </c>
    </row>
    <row r="4" spans="1:10" x14ac:dyDescent="0.25">
      <c r="A4" s="13">
        <v>115100</v>
      </c>
      <c r="B4" s="13">
        <v>36</v>
      </c>
      <c r="C4" s="25">
        <f t="shared" si="0"/>
        <v>3197.2222222222222</v>
      </c>
      <c r="E4" s="14">
        <v>3</v>
      </c>
      <c r="F4" s="14">
        <v>360</v>
      </c>
      <c r="G4" s="14">
        <v>540</v>
      </c>
      <c r="H4" s="357">
        <v>3</v>
      </c>
      <c r="I4" s="357">
        <v>250</v>
      </c>
      <c r="J4" s="357">
        <v>350</v>
      </c>
    </row>
    <row r="5" spans="1:10" x14ac:dyDescent="0.25">
      <c r="A5" s="13">
        <v>14900</v>
      </c>
      <c r="B5" s="13">
        <v>6</v>
      </c>
      <c r="C5" s="25">
        <f t="shared" si="0"/>
        <v>2483.3333333333335</v>
      </c>
      <c r="E5" s="14">
        <v>4</v>
      </c>
      <c r="F5" s="14">
        <v>420</v>
      </c>
      <c r="G5" s="14">
        <v>900</v>
      </c>
      <c r="H5" s="357">
        <v>4</v>
      </c>
      <c r="I5" s="357">
        <v>300</v>
      </c>
      <c r="J5" s="357">
        <v>600</v>
      </c>
    </row>
    <row r="6" spans="1:10" x14ac:dyDescent="0.25">
      <c r="A6" s="13">
        <v>149500</v>
      </c>
      <c r="B6" s="13">
        <v>57</v>
      </c>
      <c r="C6" s="25">
        <f t="shared" si="0"/>
        <v>2622.8070175438597</v>
      </c>
      <c r="E6" s="14">
        <v>5</v>
      </c>
      <c r="F6" s="14">
        <v>480</v>
      </c>
      <c r="G6" s="14">
        <v>1320</v>
      </c>
      <c r="H6" s="357">
        <v>5</v>
      </c>
      <c r="I6" s="357">
        <v>350</v>
      </c>
      <c r="J6" s="357">
        <v>900</v>
      </c>
    </row>
    <row r="7" spans="1:10" x14ac:dyDescent="0.25">
      <c r="A7" s="13">
        <v>14300</v>
      </c>
      <c r="B7" s="13">
        <v>5</v>
      </c>
      <c r="C7" s="25">
        <f t="shared" si="0"/>
        <v>2860</v>
      </c>
      <c r="E7" s="14">
        <v>6</v>
      </c>
      <c r="F7" s="14">
        <v>540</v>
      </c>
      <c r="G7" s="14">
        <v>1800</v>
      </c>
      <c r="H7" s="357">
        <v>6</v>
      </c>
      <c r="I7" s="357">
        <v>400</v>
      </c>
      <c r="J7" s="357">
        <v>1250</v>
      </c>
    </row>
    <row r="8" spans="1:10" x14ac:dyDescent="0.25">
      <c r="A8" s="13">
        <v>6400</v>
      </c>
      <c r="B8" s="13">
        <v>2</v>
      </c>
      <c r="C8" s="25">
        <f t="shared" si="0"/>
        <v>3200</v>
      </c>
      <c r="E8" s="14">
        <v>7</v>
      </c>
      <c r="F8" s="14">
        <v>600</v>
      </c>
      <c r="G8" s="14">
        <v>2340</v>
      </c>
      <c r="H8" s="357">
        <v>7</v>
      </c>
      <c r="I8" s="357">
        <v>450</v>
      </c>
      <c r="J8" s="357">
        <v>1650</v>
      </c>
    </row>
    <row r="9" spans="1:10" x14ac:dyDescent="0.25">
      <c r="A9" s="13">
        <v>364050</v>
      </c>
      <c r="B9" s="13">
        <v>145</v>
      </c>
      <c r="C9" s="25">
        <f t="shared" si="0"/>
        <v>2510.6896551724139</v>
      </c>
      <c r="E9" s="14">
        <v>8</v>
      </c>
      <c r="F9" s="14">
        <v>660</v>
      </c>
      <c r="G9" s="14">
        <v>2940</v>
      </c>
      <c r="H9" s="357">
        <v>8</v>
      </c>
      <c r="I9" s="357">
        <v>500</v>
      </c>
      <c r="J9" s="357">
        <v>2100</v>
      </c>
    </row>
    <row r="10" spans="1:10" x14ac:dyDescent="0.25">
      <c r="A10" s="13">
        <v>17400</v>
      </c>
      <c r="B10" s="13">
        <v>7</v>
      </c>
      <c r="C10" s="25">
        <f t="shared" si="0"/>
        <v>2485.7142857142858</v>
      </c>
      <c r="E10" s="14">
        <v>9</v>
      </c>
      <c r="F10" s="14">
        <v>720</v>
      </c>
      <c r="G10" s="14">
        <v>3600</v>
      </c>
      <c r="H10" s="357">
        <v>9</v>
      </c>
      <c r="I10" s="357">
        <v>550</v>
      </c>
      <c r="J10" s="357">
        <v>2600</v>
      </c>
    </row>
    <row r="11" spans="1:10" x14ac:dyDescent="0.25">
      <c r="A11" s="13">
        <v>12300</v>
      </c>
      <c r="B11" s="13">
        <v>5</v>
      </c>
      <c r="C11" s="25">
        <f t="shared" si="0"/>
        <v>2460</v>
      </c>
      <c r="E11" s="14">
        <v>10</v>
      </c>
      <c r="F11" s="14">
        <v>780</v>
      </c>
      <c r="G11" s="14">
        <v>4320</v>
      </c>
      <c r="H11" s="357">
        <v>10</v>
      </c>
      <c r="I11" s="357">
        <v>600</v>
      </c>
      <c r="J11" s="357">
        <v>3150</v>
      </c>
    </row>
    <row r="12" spans="1:10" x14ac:dyDescent="0.25">
      <c r="A12" s="13">
        <v>13150</v>
      </c>
      <c r="B12" s="13">
        <v>5</v>
      </c>
      <c r="C12" s="25">
        <f t="shared" si="0"/>
        <v>2630</v>
      </c>
      <c r="E12" s="14">
        <v>11</v>
      </c>
      <c r="F12" s="14">
        <v>900</v>
      </c>
      <c r="G12" s="14">
        <v>5100</v>
      </c>
      <c r="H12" s="357">
        <v>11</v>
      </c>
      <c r="I12" s="357">
        <v>690</v>
      </c>
      <c r="J12" s="357">
        <v>3750</v>
      </c>
    </row>
    <row r="13" spans="1:10" x14ac:dyDescent="0.25">
      <c r="A13" s="13">
        <v>62700</v>
      </c>
      <c r="B13" s="13">
        <v>26</v>
      </c>
      <c r="C13" s="25">
        <f t="shared" si="0"/>
        <v>2411.5384615384614</v>
      </c>
      <c r="E13" s="14">
        <v>12</v>
      </c>
      <c r="F13" s="14">
        <v>1020</v>
      </c>
      <c r="G13" s="14">
        <v>6000</v>
      </c>
      <c r="H13" s="357">
        <v>12</v>
      </c>
      <c r="I13" s="357">
        <v>780</v>
      </c>
      <c r="J13" s="357">
        <v>4440</v>
      </c>
    </row>
    <row r="14" spans="1:10" x14ac:dyDescent="0.25">
      <c r="A14" s="13">
        <v>13800</v>
      </c>
      <c r="B14" s="13">
        <v>4</v>
      </c>
      <c r="C14" s="25">
        <f t="shared" si="0"/>
        <v>3450</v>
      </c>
      <c r="E14" s="14">
        <v>13</v>
      </c>
      <c r="F14" s="14">
        <v>1140</v>
      </c>
      <c r="G14" s="14">
        <v>7020</v>
      </c>
      <c r="H14" s="357">
        <v>13</v>
      </c>
      <c r="I14" s="357">
        <v>870</v>
      </c>
      <c r="J14" s="357">
        <v>5220</v>
      </c>
    </row>
    <row r="15" spans="1:10" x14ac:dyDescent="0.25">
      <c r="A15" s="13">
        <v>255900</v>
      </c>
      <c r="B15" s="13">
        <v>88</v>
      </c>
      <c r="C15" s="25">
        <f t="shared" si="0"/>
        <v>2907.9545454545455</v>
      </c>
      <c r="E15" s="14">
        <v>14</v>
      </c>
      <c r="F15" s="14">
        <v>1260</v>
      </c>
      <c r="G15" s="14">
        <v>8160</v>
      </c>
      <c r="H15" s="357">
        <v>14</v>
      </c>
      <c r="I15" s="357">
        <v>960</v>
      </c>
      <c r="J15" s="357">
        <v>6090</v>
      </c>
    </row>
    <row r="16" spans="1:10" x14ac:dyDescent="0.25">
      <c r="A16" s="13">
        <v>43350</v>
      </c>
      <c r="B16" s="13">
        <v>15</v>
      </c>
      <c r="C16" s="25">
        <f t="shared" si="0"/>
        <v>2890</v>
      </c>
      <c r="E16" s="14">
        <v>15</v>
      </c>
      <c r="F16" s="14">
        <v>1380</v>
      </c>
      <c r="G16" s="14">
        <v>9420</v>
      </c>
      <c r="H16" s="357">
        <v>15</v>
      </c>
      <c r="I16" s="357">
        <v>1050</v>
      </c>
      <c r="J16" s="357">
        <v>7050</v>
      </c>
    </row>
    <row r="17" spans="1:10" x14ac:dyDescent="0.25">
      <c r="A17" s="13">
        <v>39650</v>
      </c>
      <c r="B17" s="13">
        <v>16</v>
      </c>
      <c r="C17" s="25">
        <f t="shared" si="0"/>
        <v>2478.125</v>
      </c>
      <c r="E17" s="14">
        <v>16</v>
      </c>
      <c r="F17" s="14">
        <v>1500</v>
      </c>
      <c r="G17" s="14">
        <v>10800</v>
      </c>
      <c r="H17" s="357">
        <v>16</v>
      </c>
      <c r="I17" s="357">
        <v>1140</v>
      </c>
      <c r="J17" s="357">
        <v>8100</v>
      </c>
    </row>
    <row r="18" spans="1:10" x14ac:dyDescent="0.25">
      <c r="C18" s="25" t="str">
        <f t="shared" si="0"/>
        <v/>
      </c>
      <c r="E18" s="14">
        <v>17</v>
      </c>
      <c r="F18" s="14">
        <v>1620</v>
      </c>
      <c r="G18" s="14">
        <v>12300</v>
      </c>
      <c r="H18" s="357">
        <v>17</v>
      </c>
      <c r="I18" s="357">
        <v>1230</v>
      </c>
      <c r="J18" s="357">
        <v>9240</v>
      </c>
    </row>
    <row r="19" spans="1:10" x14ac:dyDescent="0.25">
      <c r="C19" s="25" t="str">
        <f t="shared" si="0"/>
        <v/>
      </c>
      <c r="E19" s="14">
        <v>18</v>
      </c>
      <c r="F19" s="14">
        <v>1740</v>
      </c>
      <c r="G19" s="14">
        <v>13920</v>
      </c>
      <c r="H19" s="357">
        <v>18</v>
      </c>
      <c r="I19" s="357">
        <v>1320</v>
      </c>
      <c r="J19" s="357">
        <v>10470</v>
      </c>
    </row>
    <row r="20" spans="1:10" x14ac:dyDescent="0.25">
      <c r="C20" s="25" t="str">
        <f t="shared" si="0"/>
        <v/>
      </c>
      <c r="E20" s="14">
        <v>19</v>
      </c>
      <c r="F20" s="14">
        <v>1860</v>
      </c>
      <c r="G20" s="14">
        <v>15660</v>
      </c>
      <c r="H20" s="357">
        <v>19</v>
      </c>
      <c r="I20" s="357">
        <v>1410</v>
      </c>
      <c r="J20" s="357">
        <v>11790</v>
      </c>
    </row>
    <row r="21" spans="1:10" x14ac:dyDescent="0.25">
      <c r="C21" s="25" t="str">
        <f t="shared" si="0"/>
        <v/>
      </c>
      <c r="E21" s="14">
        <v>20</v>
      </c>
      <c r="F21" s="14">
        <v>1980</v>
      </c>
      <c r="G21" s="14">
        <v>17520</v>
      </c>
      <c r="H21" s="357">
        <v>20</v>
      </c>
      <c r="I21" s="357">
        <v>1500</v>
      </c>
      <c r="J21" s="357">
        <v>13200</v>
      </c>
    </row>
    <row r="22" spans="1:10" x14ac:dyDescent="0.25">
      <c r="C22" s="25" t="str">
        <f t="shared" si="0"/>
        <v/>
      </c>
      <c r="E22" s="14">
        <v>21</v>
      </c>
      <c r="F22" s="14">
        <v>2160</v>
      </c>
      <c r="G22" s="14">
        <v>19500</v>
      </c>
      <c r="H22" s="357">
        <v>21</v>
      </c>
      <c r="I22" s="357">
        <v>1640</v>
      </c>
      <c r="J22" s="357">
        <v>14700</v>
      </c>
    </row>
    <row r="23" spans="1:10" x14ac:dyDescent="0.25">
      <c r="C23" s="25" t="str">
        <f t="shared" si="0"/>
        <v/>
      </c>
      <c r="E23" s="14">
        <v>22</v>
      </c>
      <c r="F23" s="14">
        <v>2340</v>
      </c>
      <c r="G23" s="14">
        <v>21660</v>
      </c>
      <c r="H23" s="357">
        <v>22</v>
      </c>
      <c r="I23" s="357">
        <v>1780</v>
      </c>
      <c r="J23" s="357">
        <v>16340</v>
      </c>
    </row>
    <row r="24" spans="1:10" x14ac:dyDescent="0.25">
      <c r="C24" s="25" t="str">
        <f t="shared" si="0"/>
        <v/>
      </c>
      <c r="E24" s="14">
        <v>23</v>
      </c>
      <c r="F24" s="14">
        <v>2520</v>
      </c>
      <c r="G24" s="14">
        <v>24000</v>
      </c>
      <c r="H24" s="357">
        <v>23</v>
      </c>
      <c r="I24" s="357">
        <v>1920</v>
      </c>
      <c r="J24" s="357">
        <v>18120</v>
      </c>
    </row>
    <row r="25" spans="1:10" x14ac:dyDescent="0.25">
      <c r="C25" s="25" t="str">
        <f t="shared" si="0"/>
        <v/>
      </c>
      <c r="E25" s="14">
        <v>24</v>
      </c>
      <c r="F25" s="14">
        <v>2700</v>
      </c>
      <c r="G25" s="14">
        <v>26520</v>
      </c>
      <c r="H25" s="357">
        <v>24</v>
      </c>
      <c r="I25" s="357">
        <v>2060</v>
      </c>
      <c r="J25" s="357">
        <v>20040</v>
      </c>
    </row>
    <row r="26" spans="1:10" x14ac:dyDescent="0.25">
      <c r="C26" s="25" t="str">
        <f t="shared" si="0"/>
        <v/>
      </c>
      <c r="E26" s="14">
        <v>25</v>
      </c>
      <c r="F26" s="14">
        <v>2880</v>
      </c>
      <c r="G26" s="14">
        <v>29220</v>
      </c>
      <c r="H26" s="357">
        <v>25</v>
      </c>
      <c r="I26" s="357">
        <v>2200</v>
      </c>
      <c r="J26" s="357">
        <v>22100</v>
      </c>
    </row>
    <row r="27" spans="1:10" x14ac:dyDescent="0.25">
      <c r="C27" s="25" t="str">
        <f t="shared" si="0"/>
        <v/>
      </c>
      <c r="E27" s="14">
        <v>26</v>
      </c>
      <c r="F27" s="14">
        <v>3060</v>
      </c>
      <c r="G27" s="14">
        <v>32100</v>
      </c>
      <c r="H27" s="357">
        <v>26</v>
      </c>
      <c r="I27" s="357">
        <v>2340</v>
      </c>
      <c r="J27" s="357">
        <v>24300</v>
      </c>
    </row>
    <row r="28" spans="1:10" x14ac:dyDescent="0.25">
      <c r="C28" s="25" t="str">
        <f t="shared" si="0"/>
        <v/>
      </c>
      <c r="E28" s="14">
        <v>27</v>
      </c>
      <c r="F28" s="14">
        <v>3240</v>
      </c>
      <c r="G28" s="14">
        <v>35160</v>
      </c>
      <c r="H28" s="357">
        <v>27</v>
      </c>
      <c r="I28" s="357">
        <v>2480</v>
      </c>
      <c r="J28" s="357">
        <v>26640</v>
      </c>
    </row>
    <row r="29" spans="1:10" x14ac:dyDescent="0.25">
      <c r="C29" s="25" t="str">
        <f t="shared" si="0"/>
        <v/>
      </c>
      <c r="E29" s="14">
        <v>28</v>
      </c>
      <c r="F29" s="14">
        <v>3420</v>
      </c>
      <c r="G29" s="14">
        <v>38400</v>
      </c>
      <c r="H29" s="357">
        <v>28</v>
      </c>
      <c r="I29" s="357">
        <v>2620</v>
      </c>
      <c r="J29" s="357">
        <v>29120</v>
      </c>
    </row>
    <row r="30" spans="1:10" x14ac:dyDescent="0.25">
      <c r="C30" s="25" t="str">
        <f t="shared" si="0"/>
        <v/>
      </c>
      <c r="E30" s="14">
        <v>29</v>
      </c>
      <c r="F30" s="14">
        <v>3600</v>
      </c>
      <c r="G30" s="14">
        <v>41820</v>
      </c>
      <c r="H30" s="357">
        <v>29</v>
      </c>
      <c r="I30" s="357">
        <v>2760</v>
      </c>
      <c r="J30" s="357">
        <v>31740</v>
      </c>
    </row>
    <row r="31" spans="1:10" x14ac:dyDescent="0.25">
      <c r="C31" s="25" t="str">
        <f t="shared" si="0"/>
        <v/>
      </c>
      <c r="E31" s="14">
        <v>30</v>
      </c>
      <c r="F31" s="14">
        <v>3780</v>
      </c>
      <c r="G31" s="14">
        <v>45420</v>
      </c>
      <c r="H31" s="357">
        <v>30</v>
      </c>
      <c r="I31" s="357">
        <v>2900</v>
      </c>
      <c r="J31" s="357">
        <v>34500</v>
      </c>
    </row>
    <row r="32" spans="1:10" x14ac:dyDescent="0.25">
      <c r="C32" s="25" t="str">
        <f t="shared" si="0"/>
        <v/>
      </c>
      <c r="E32" s="14">
        <v>31</v>
      </c>
      <c r="F32" s="14">
        <v>4020</v>
      </c>
      <c r="G32" s="14">
        <v>49200</v>
      </c>
      <c r="H32" s="357">
        <v>31</v>
      </c>
      <c r="I32" s="357">
        <v>3080</v>
      </c>
      <c r="J32" s="357">
        <v>37400</v>
      </c>
    </row>
    <row r="33" spans="3:10" x14ac:dyDescent="0.25">
      <c r="C33" s="25" t="str">
        <f t="shared" si="0"/>
        <v/>
      </c>
      <c r="E33" s="14">
        <v>32</v>
      </c>
      <c r="F33" s="14">
        <v>4260</v>
      </c>
      <c r="G33" s="14">
        <v>53220</v>
      </c>
      <c r="H33" s="357">
        <v>32</v>
      </c>
      <c r="I33" s="357">
        <v>3260</v>
      </c>
      <c r="J33" s="357">
        <v>40480</v>
      </c>
    </row>
    <row r="34" spans="3:10" x14ac:dyDescent="0.25">
      <c r="C34" s="25" t="str">
        <f t="shared" ref="C34:C65" si="1">IF(ISBLANK(A34),"",A34/B34)</f>
        <v/>
      </c>
      <c r="E34" s="14">
        <v>33</v>
      </c>
      <c r="F34" s="14">
        <v>4500</v>
      </c>
      <c r="G34" s="14">
        <v>57480</v>
      </c>
      <c r="H34" s="357">
        <v>33</v>
      </c>
      <c r="I34" s="357">
        <v>3440</v>
      </c>
      <c r="J34" s="357">
        <v>43740</v>
      </c>
    </row>
    <row r="35" spans="3:10" x14ac:dyDescent="0.25">
      <c r="C35" s="25" t="str">
        <f t="shared" si="1"/>
        <v/>
      </c>
      <c r="E35" s="14">
        <v>34</v>
      </c>
      <c r="F35" s="14">
        <v>4740</v>
      </c>
      <c r="G35" s="14">
        <v>61980</v>
      </c>
      <c r="H35" s="357">
        <v>34</v>
      </c>
      <c r="I35" s="357">
        <v>3620</v>
      </c>
      <c r="J35" s="357">
        <v>47180</v>
      </c>
    </row>
    <row r="36" spans="3:10" x14ac:dyDescent="0.25">
      <c r="C36" s="25" t="str">
        <f t="shared" si="1"/>
        <v/>
      </c>
      <c r="E36" s="14">
        <v>35</v>
      </c>
      <c r="F36" s="14">
        <v>4980</v>
      </c>
      <c r="G36" s="14">
        <v>66720</v>
      </c>
      <c r="H36" s="357">
        <v>35</v>
      </c>
      <c r="I36" s="357">
        <v>3800</v>
      </c>
      <c r="J36" s="357">
        <v>50800</v>
      </c>
    </row>
    <row r="37" spans="3:10" x14ac:dyDescent="0.25">
      <c r="C37" s="25" t="str">
        <f t="shared" si="1"/>
        <v/>
      </c>
      <c r="E37" s="14">
        <v>36</v>
      </c>
      <c r="F37" s="14">
        <v>5220</v>
      </c>
      <c r="G37" s="14">
        <v>71700</v>
      </c>
      <c r="H37" s="357">
        <v>36</v>
      </c>
      <c r="I37" s="357">
        <v>3980</v>
      </c>
      <c r="J37" s="357">
        <v>54600</v>
      </c>
    </row>
    <row r="38" spans="3:10" x14ac:dyDescent="0.25">
      <c r="C38" s="25" t="str">
        <f t="shared" si="1"/>
        <v/>
      </c>
      <c r="E38" s="14">
        <v>37</v>
      </c>
      <c r="F38" s="14">
        <v>5460</v>
      </c>
      <c r="G38" s="14">
        <v>76920</v>
      </c>
      <c r="H38" s="357">
        <v>37</v>
      </c>
      <c r="I38" s="357">
        <v>4160</v>
      </c>
      <c r="J38" s="357">
        <v>58580</v>
      </c>
    </row>
    <row r="39" spans="3:10" x14ac:dyDescent="0.25">
      <c r="C39" s="25" t="str">
        <f t="shared" si="1"/>
        <v/>
      </c>
      <c r="E39" s="14">
        <v>38</v>
      </c>
      <c r="F39" s="14">
        <v>5700</v>
      </c>
      <c r="G39" s="14">
        <v>82380</v>
      </c>
      <c r="H39" s="357">
        <v>38</v>
      </c>
      <c r="I39" s="357">
        <v>4340</v>
      </c>
      <c r="J39" s="357">
        <v>62740</v>
      </c>
    </row>
    <row r="40" spans="3:10" x14ac:dyDescent="0.25">
      <c r="C40" s="25" t="str">
        <f t="shared" si="1"/>
        <v/>
      </c>
      <c r="E40" s="14">
        <v>39</v>
      </c>
      <c r="F40" s="14">
        <v>5940</v>
      </c>
      <c r="G40" s="14">
        <v>88080</v>
      </c>
      <c r="H40" s="357">
        <v>39</v>
      </c>
      <c r="I40" s="357">
        <v>4520</v>
      </c>
      <c r="J40" s="357">
        <v>67080</v>
      </c>
    </row>
    <row r="41" spans="3:10" x14ac:dyDescent="0.25">
      <c r="C41" s="25" t="str">
        <f t="shared" si="1"/>
        <v/>
      </c>
      <c r="E41" s="14">
        <v>40</v>
      </c>
      <c r="F41" s="14">
        <v>6180</v>
      </c>
      <c r="G41" s="14">
        <v>94020</v>
      </c>
      <c r="H41" s="357">
        <v>40</v>
      </c>
      <c r="I41" s="357">
        <v>4700</v>
      </c>
      <c r="J41" s="357">
        <v>71600</v>
      </c>
    </row>
    <row r="42" spans="3:10" x14ac:dyDescent="0.25">
      <c r="C42" s="25" t="str">
        <f t="shared" si="1"/>
        <v/>
      </c>
      <c r="E42" s="14">
        <v>41</v>
      </c>
      <c r="F42" s="14">
        <v>6480</v>
      </c>
      <c r="G42" s="14">
        <v>100200</v>
      </c>
      <c r="H42" s="357">
        <v>41</v>
      </c>
      <c r="I42" s="357">
        <v>4930</v>
      </c>
      <c r="J42" s="357">
        <v>76300</v>
      </c>
    </row>
    <row r="43" spans="3:10" x14ac:dyDescent="0.25">
      <c r="C43" s="25" t="str">
        <f t="shared" si="1"/>
        <v/>
      </c>
      <c r="E43" s="14">
        <v>42</v>
      </c>
      <c r="F43" s="14">
        <v>6780</v>
      </c>
      <c r="G43" s="14">
        <v>106680</v>
      </c>
      <c r="H43" s="357">
        <v>42</v>
      </c>
      <c r="I43" s="357">
        <v>5160</v>
      </c>
      <c r="J43" s="357">
        <v>81230</v>
      </c>
    </row>
    <row r="44" spans="3:10" x14ac:dyDescent="0.25">
      <c r="C44" s="25" t="str">
        <f t="shared" si="1"/>
        <v/>
      </c>
      <c r="E44" s="14">
        <v>43</v>
      </c>
      <c r="F44" s="14">
        <v>7080</v>
      </c>
      <c r="G44" s="14">
        <v>113460</v>
      </c>
      <c r="H44" s="357">
        <v>43</v>
      </c>
      <c r="I44" s="357">
        <v>5390</v>
      </c>
      <c r="J44" s="357">
        <v>86390</v>
      </c>
    </row>
    <row r="45" spans="3:10" x14ac:dyDescent="0.25">
      <c r="C45" s="25" t="str">
        <f t="shared" si="1"/>
        <v/>
      </c>
      <c r="E45" s="14">
        <v>44</v>
      </c>
      <c r="F45" s="14">
        <v>7380</v>
      </c>
      <c r="G45" s="14">
        <v>120540</v>
      </c>
      <c r="H45" s="357">
        <v>44</v>
      </c>
      <c r="I45" s="357">
        <v>5620</v>
      </c>
      <c r="J45" s="357">
        <v>91780</v>
      </c>
    </row>
    <row r="46" spans="3:10" x14ac:dyDescent="0.25">
      <c r="C46" s="25" t="str">
        <f t="shared" si="1"/>
        <v/>
      </c>
      <c r="E46" s="14">
        <v>45</v>
      </c>
      <c r="F46" s="14">
        <v>7680</v>
      </c>
      <c r="G46" s="14">
        <v>127920</v>
      </c>
      <c r="H46" s="357">
        <v>45</v>
      </c>
      <c r="I46" s="357">
        <v>5850</v>
      </c>
      <c r="J46" s="357">
        <v>97400</v>
      </c>
    </row>
    <row r="47" spans="3:10" x14ac:dyDescent="0.25">
      <c r="C47" s="25" t="str">
        <f t="shared" si="1"/>
        <v/>
      </c>
      <c r="E47" s="14">
        <v>46</v>
      </c>
      <c r="F47" s="14">
        <v>7980</v>
      </c>
      <c r="G47" s="14">
        <v>135600</v>
      </c>
      <c r="H47" s="357">
        <v>46</v>
      </c>
      <c r="I47" s="357">
        <v>6080</v>
      </c>
      <c r="J47" s="357">
        <v>103250</v>
      </c>
    </row>
    <row r="48" spans="3:10" x14ac:dyDescent="0.25">
      <c r="C48" s="25" t="str">
        <f t="shared" si="1"/>
        <v/>
      </c>
      <c r="E48" s="14">
        <v>47</v>
      </c>
      <c r="F48" s="14">
        <v>8280</v>
      </c>
      <c r="G48" s="14">
        <v>143580</v>
      </c>
      <c r="H48" s="357">
        <v>47</v>
      </c>
      <c r="I48" s="357">
        <v>6310</v>
      </c>
      <c r="J48" s="357">
        <v>109330</v>
      </c>
    </row>
    <row r="49" spans="3:10" x14ac:dyDescent="0.25">
      <c r="C49" s="25" t="str">
        <f t="shared" si="1"/>
        <v/>
      </c>
      <c r="E49" s="14">
        <v>48</v>
      </c>
      <c r="F49" s="14">
        <v>8580</v>
      </c>
      <c r="G49" s="14">
        <v>151860</v>
      </c>
      <c r="H49" s="357">
        <v>48</v>
      </c>
      <c r="I49" s="357">
        <v>6540</v>
      </c>
      <c r="J49" s="357">
        <v>115640</v>
      </c>
    </row>
    <row r="50" spans="3:10" x14ac:dyDescent="0.25">
      <c r="C50" s="25" t="str">
        <f t="shared" si="1"/>
        <v/>
      </c>
      <c r="E50" s="14">
        <v>49</v>
      </c>
      <c r="F50" s="14">
        <v>8880</v>
      </c>
      <c r="G50" s="14">
        <v>160440</v>
      </c>
      <c r="H50" s="357">
        <v>49</v>
      </c>
      <c r="I50" s="357">
        <v>6770</v>
      </c>
      <c r="J50" s="357">
        <v>122180</v>
      </c>
    </row>
    <row r="51" spans="3:10" x14ac:dyDescent="0.25">
      <c r="C51" s="25" t="str">
        <f t="shared" si="1"/>
        <v/>
      </c>
      <c r="E51" s="14">
        <v>50</v>
      </c>
      <c r="F51" s="14">
        <v>9180</v>
      </c>
      <c r="G51" s="14">
        <v>169320</v>
      </c>
      <c r="H51" s="357">
        <v>50</v>
      </c>
      <c r="I51" s="357">
        <v>7000</v>
      </c>
      <c r="J51" s="357">
        <v>128950</v>
      </c>
    </row>
    <row r="52" spans="3:10" x14ac:dyDescent="0.25">
      <c r="C52" s="25" t="str">
        <f t="shared" si="1"/>
        <v/>
      </c>
      <c r="E52" s="14">
        <v>51</v>
      </c>
      <c r="F52" s="14">
        <v>9540</v>
      </c>
      <c r="G52" s="14">
        <v>178500</v>
      </c>
      <c r="H52" s="357">
        <v>51</v>
      </c>
      <c r="I52" s="357">
        <v>7270</v>
      </c>
      <c r="J52" s="357">
        <v>135950</v>
      </c>
    </row>
    <row r="53" spans="3:10" x14ac:dyDescent="0.25">
      <c r="C53" s="25" t="str">
        <f t="shared" si="1"/>
        <v/>
      </c>
      <c r="E53" s="14">
        <v>52</v>
      </c>
      <c r="F53" s="14">
        <v>9900</v>
      </c>
      <c r="G53" s="14">
        <v>188040</v>
      </c>
      <c r="H53" s="357">
        <v>52</v>
      </c>
      <c r="I53" s="357">
        <v>7540</v>
      </c>
      <c r="J53" s="357">
        <v>143220</v>
      </c>
    </row>
    <row r="54" spans="3:10" x14ac:dyDescent="0.25">
      <c r="C54" s="25" t="str">
        <f t="shared" si="1"/>
        <v/>
      </c>
      <c r="E54" s="14">
        <v>53</v>
      </c>
      <c r="F54" s="14">
        <v>10260</v>
      </c>
      <c r="G54" s="14">
        <v>197940</v>
      </c>
      <c r="H54" s="357">
        <v>53</v>
      </c>
      <c r="I54" s="357">
        <v>7810</v>
      </c>
      <c r="J54" s="357">
        <v>150760</v>
      </c>
    </row>
    <row r="55" spans="3:10" x14ac:dyDescent="0.25">
      <c r="C55" s="25" t="str">
        <f t="shared" si="1"/>
        <v/>
      </c>
      <c r="E55" s="14">
        <v>54</v>
      </c>
      <c r="F55" s="14">
        <v>10620</v>
      </c>
      <c r="G55" s="14">
        <v>208200</v>
      </c>
      <c r="H55" s="357">
        <v>54</v>
      </c>
      <c r="I55" s="357">
        <v>8080</v>
      </c>
      <c r="J55" s="357">
        <v>158570</v>
      </c>
    </row>
    <row r="56" spans="3:10" x14ac:dyDescent="0.25">
      <c r="C56" s="25" t="str">
        <f t="shared" si="1"/>
        <v/>
      </c>
      <c r="E56" s="14">
        <v>55</v>
      </c>
      <c r="F56" s="14">
        <v>10980</v>
      </c>
      <c r="G56" s="14">
        <v>218820</v>
      </c>
      <c r="H56" s="357">
        <v>55</v>
      </c>
      <c r="I56" s="357">
        <v>8350</v>
      </c>
      <c r="J56" s="357">
        <v>166650</v>
      </c>
    </row>
    <row r="57" spans="3:10" x14ac:dyDescent="0.25">
      <c r="C57" s="25" t="str">
        <f t="shared" si="1"/>
        <v/>
      </c>
      <c r="E57" s="14">
        <v>56</v>
      </c>
      <c r="F57" s="14">
        <v>11340</v>
      </c>
      <c r="G57" s="14">
        <v>229800</v>
      </c>
      <c r="H57" s="357">
        <v>56</v>
      </c>
      <c r="I57" s="357">
        <v>8620</v>
      </c>
      <c r="J57" s="357">
        <v>175000</v>
      </c>
    </row>
    <row r="58" spans="3:10" x14ac:dyDescent="0.25">
      <c r="C58" s="25" t="str">
        <f t="shared" si="1"/>
        <v/>
      </c>
      <c r="E58" s="14">
        <v>57</v>
      </c>
      <c r="F58" s="14">
        <v>11700</v>
      </c>
      <c r="G58" s="14">
        <v>241140</v>
      </c>
      <c r="H58" s="357">
        <v>57</v>
      </c>
      <c r="I58" s="357">
        <v>8890</v>
      </c>
      <c r="J58" s="357">
        <v>183620</v>
      </c>
    </row>
    <row r="59" spans="3:10" x14ac:dyDescent="0.25">
      <c r="C59" s="25" t="str">
        <f t="shared" si="1"/>
        <v/>
      </c>
      <c r="E59" s="14">
        <v>58</v>
      </c>
      <c r="F59" s="14">
        <v>12060</v>
      </c>
      <c r="G59" s="14">
        <v>252840</v>
      </c>
      <c r="H59" s="357">
        <v>58</v>
      </c>
      <c r="I59" s="357">
        <v>9160</v>
      </c>
      <c r="J59" s="357">
        <v>192510</v>
      </c>
    </row>
    <row r="60" spans="3:10" x14ac:dyDescent="0.25">
      <c r="C60" s="25" t="str">
        <f t="shared" si="1"/>
        <v/>
      </c>
      <c r="E60" s="14">
        <v>59</v>
      </c>
      <c r="F60" s="14">
        <v>12420</v>
      </c>
      <c r="G60" s="14">
        <v>264900</v>
      </c>
      <c r="H60" s="357">
        <v>59</v>
      </c>
      <c r="I60" s="357">
        <v>9430</v>
      </c>
      <c r="J60" s="357">
        <v>201670</v>
      </c>
    </row>
    <row r="61" spans="3:10" x14ac:dyDescent="0.25">
      <c r="C61" s="25" t="str">
        <f t="shared" si="1"/>
        <v/>
      </c>
      <c r="E61" s="14">
        <v>60</v>
      </c>
      <c r="F61" s="14">
        <v>12780</v>
      </c>
      <c r="G61" s="14">
        <v>277320</v>
      </c>
      <c r="H61" s="357">
        <v>60</v>
      </c>
      <c r="I61" s="357">
        <v>9700</v>
      </c>
      <c r="J61" s="357">
        <v>211100</v>
      </c>
    </row>
    <row r="62" spans="3:10" x14ac:dyDescent="0.25">
      <c r="C62" s="25" t="str">
        <f t="shared" si="1"/>
        <v/>
      </c>
      <c r="E62" s="14">
        <v>61</v>
      </c>
      <c r="F62" s="14">
        <v>13230</v>
      </c>
      <c r="G62" s="14">
        <v>290100</v>
      </c>
      <c r="H62" s="357">
        <v>61</v>
      </c>
      <c r="I62" s="357">
        <v>10040</v>
      </c>
      <c r="J62" s="357">
        <v>220800</v>
      </c>
    </row>
    <row r="63" spans="3:10" x14ac:dyDescent="0.25">
      <c r="C63" s="25" t="str">
        <f t="shared" si="1"/>
        <v/>
      </c>
      <c r="E63" s="14">
        <v>62</v>
      </c>
      <c r="F63" s="14">
        <v>13680</v>
      </c>
      <c r="G63" s="14">
        <v>303330</v>
      </c>
      <c r="H63" s="357">
        <v>62</v>
      </c>
      <c r="I63" s="357">
        <v>10380</v>
      </c>
      <c r="J63" s="357">
        <v>230840</v>
      </c>
    </row>
    <row r="64" spans="3:10" x14ac:dyDescent="0.25">
      <c r="C64" s="25" t="str">
        <f t="shared" si="1"/>
        <v/>
      </c>
      <c r="E64" s="14">
        <v>63</v>
      </c>
      <c r="F64" s="14">
        <v>14130</v>
      </c>
      <c r="G64" s="14">
        <v>317010</v>
      </c>
      <c r="H64" s="357">
        <v>63</v>
      </c>
      <c r="I64" s="357">
        <v>10720</v>
      </c>
      <c r="J64" s="357">
        <v>241220</v>
      </c>
    </row>
    <row r="65" spans="3:10" x14ac:dyDescent="0.25">
      <c r="C65" s="25" t="str">
        <f t="shared" si="1"/>
        <v/>
      </c>
      <c r="E65" s="14">
        <v>64</v>
      </c>
      <c r="F65" s="14">
        <v>14580</v>
      </c>
      <c r="G65" s="14">
        <v>331140</v>
      </c>
      <c r="H65" s="357">
        <v>64</v>
      </c>
      <c r="I65" s="357">
        <v>11060</v>
      </c>
      <c r="J65" s="357">
        <v>251940</v>
      </c>
    </row>
    <row r="66" spans="3:10" x14ac:dyDescent="0.25">
      <c r="C66" s="25" t="str">
        <f t="shared" ref="C66:C97" si="2">IF(ISBLANK(A66),"",A66/B66)</f>
        <v/>
      </c>
      <c r="E66" s="14">
        <v>65</v>
      </c>
      <c r="F66" s="14">
        <v>15030</v>
      </c>
      <c r="G66" s="14">
        <v>345720</v>
      </c>
      <c r="H66" s="357">
        <v>65</v>
      </c>
      <c r="I66" s="357">
        <v>11400</v>
      </c>
      <c r="J66" s="357">
        <v>263000</v>
      </c>
    </row>
    <row r="67" spans="3:10" x14ac:dyDescent="0.25">
      <c r="C67" s="25" t="str">
        <f t="shared" si="2"/>
        <v/>
      </c>
      <c r="E67" s="14">
        <v>66</v>
      </c>
      <c r="F67" s="14">
        <v>15480</v>
      </c>
      <c r="G67" s="14">
        <v>360750</v>
      </c>
      <c r="H67" s="357">
        <v>66</v>
      </c>
      <c r="I67" s="357">
        <v>11740</v>
      </c>
      <c r="J67" s="357">
        <v>274400</v>
      </c>
    </row>
    <row r="68" spans="3:10" x14ac:dyDescent="0.25">
      <c r="C68" s="25" t="str">
        <f t="shared" si="2"/>
        <v/>
      </c>
      <c r="E68" s="14">
        <v>67</v>
      </c>
      <c r="F68" s="14">
        <v>15930</v>
      </c>
      <c r="G68" s="14">
        <v>376230</v>
      </c>
      <c r="H68" s="357">
        <v>67</v>
      </c>
      <c r="I68" s="357">
        <v>12080</v>
      </c>
      <c r="J68" s="357">
        <v>286140</v>
      </c>
    </row>
    <row r="69" spans="3:10" x14ac:dyDescent="0.25">
      <c r="C69" s="25" t="str">
        <f t="shared" si="2"/>
        <v/>
      </c>
      <c r="E69" s="14">
        <v>68</v>
      </c>
      <c r="F69" s="14">
        <v>16380</v>
      </c>
      <c r="G69" s="14">
        <v>392160</v>
      </c>
      <c r="H69" s="357">
        <v>68</v>
      </c>
      <c r="I69" s="357">
        <v>12420</v>
      </c>
      <c r="J69" s="357">
        <v>298220</v>
      </c>
    </row>
    <row r="70" spans="3:10" x14ac:dyDescent="0.25">
      <c r="C70" s="25" t="str">
        <f t="shared" si="2"/>
        <v/>
      </c>
      <c r="E70" s="14">
        <v>69</v>
      </c>
      <c r="F70" s="14">
        <v>16830</v>
      </c>
      <c r="G70" s="14">
        <v>408540</v>
      </c>
      <c r="H70" s="357">
        <v>69</v>
      </c>
      <c r="I70" s="357">
        <v>12760</v>
      </c>
      <c r="J70" s="357">
        <v>310640</v>
      </c>
    </row>
    <row r="71" spans="3:10" x14ac:dyDescent="0.25">
      <c r="C71" s="25" t="str">
        <f t="shared" si="2"/>
        <v/>
      </c>
      <c r="E71" s="14">
        <v>70</v>
      </c>
      <c r="F71" s="14">
        <v>17280</v>
      </c>
      <c r="G71" s="14">
        <v>425370</v>
      </c>
      <c r="H71" s="357">
        <v>70</v>
      </c>
      <c r="I71" s="357">
        <v>13100</v>
      </c>
      <c r="J71" s="357">
        <v>323400</v>
      </c>
    </row>
    <row r="72" spans="3:10" x14ac:dyDescent="0.25">
      <c r="C72" s="25" t="str">
        <f t="shared" si="2"/>
        <v/>
      </c>
      <c r="E72" s="14">
        <v>71</v>
      </c>
      <c r="F72" s="14">
        <v>17880</v>
      </c>
      <c r="G72" s="14">
        <v>442650</v>
      </c>
      <c r="H72" s="357">
        <v>71</v>
      </c>
      <c r="I72" s="357">
        <v>13550</v>
      </c>
      <c r="J72" s="357">
        <v>336500</v>
      </c>
    </row>
    <row r="73" spans="3:10" x14ac:dyDescent="0.25">
      <c r="C73" s="25" t="str">
        <f t="shared" si="2"/>
        <v/>
      </c>
      <c r="E73" s="14">
        <v>72</v>
      </c>
      <c r="F73" s="14">
        <v>18480</v>
      </c>
      <c r="G73" s="14">
        <v>460530</v>
      </c>
      <c r="H73" s="357">
        <v>72</v>
      </c>
      <c r="I73" s="357">
        <v>14000</v>
      </c>
      <c r="J73" s="357">
        <v>350050</v>
      </c>
    </row>
    <row r="74" spans="3:10" x14ac:dyDescent="0.25">
      <c r="C74" s="25" t="str">
        <f t="shared" si="2"/>
        <v/>
      </c>
      <c r="E74" s="14">
        <v>73</v>
      </c>
      <c r="F74" s="14">
        <v>19080</v>
      </c>
      <c r="G74" s="14">
        <v>479010</v>
      </c>
      <c r="H74" s="357">
        <v>73</v>
      </c>
      <c r="I74" s="357">
        <v>14450</v>
      </c>
      <c r="J74" s="357">
        <v>364050</v>
      </c>
    </row>
    <row r="75" spans="3:10" x14ac:dyDescent="0.25">
      <c r="C75" s="25" t="str">
        <f t="shared" si="2"/>
        <v/>
      </c>
      <c r="E75" s="14">
        <v>74</v>
      </c>
      <c r="F75" s="14">
        <v>19680</v>
      </c>
      <c r="G75" s="14">
        <v>498090</v>
      </c>
      <c r="H75" s="357">
        <v>74</v>
      </c>
      <c r="I75" s="357">
        <v>14900</v>
      </c>
      <c r="J75" s="357">
        <v>378500</v>
      </c>
    </row>
    <row r="76" spans="3:10" x14ac:dyDescent="0.25">
      <c r="C76" s="25" t="str">
        <f t="shared" si="2"/>
        <v/>
      </c>
      <c r="E76" s="14">
        <v>75</v>
      </c>
      <c r="F76" s="14">
        <v>20280</v>
      </c>
      <c r="G76" s="14">
        <v>517770</v>
      </c>
      <c r="H76" s="357">
        <v>75</v>
      </c>
      <c r="I76" s="357">
        <v>15350</v>
      </c>
      <c r="J76" s="357">
        <v>393400</v>
      </c>
    </row>
    <row r="77" spans="3:10" x14ac:dyDescent="0.25">
      <c r="C77" s="25" t="str">
        <f t="shared" si="2"/>
        <v/>
      </c>
      <c r="E77" s="14">
        <v>76</v>
      </c>
      <c r="F77" s="14">
        <v>20880</v>
      </c>
      <c r="G77" s="14">
        <v>538050</v>
      </c>
      <c r="H77" s="357">
        <v>76</v>
      </c>
      <c r="I77" s="357">
        <v>15800</v>
      </c>
      <c r="J77" s="357">
        <v>408750</v>
      </c>
    </row>
    <row r="78" spans="3:10" x14ac:dyDescent="0.25">
      <c r="C78" s="25" t="str">
        <f t="shared" si="2"/>
        <v/>
      </c>
      <c r="E78" s="14">
        <v>77</v>
      </c>
      <c r="F78" s="14">
        <v>21480</v>
      </c>
      <c r="G78" s="14">
        <v>558930</v>
      </c>
      <c r="H78" s="357">
        <v>77</v>
      </c>
      <c r="I78" s="357">
        <v>16250</v>
      </c>
      <c r="J78" s="357">
        <v>424550</v>
      </c>
    </row>
    <row r="79" spans="3:10" x14ac:dyDescent="0.25">
      <c r="C79" s="25" t="str">
        <f t="shared" si="2"/>
        <v/>
      </c>
      <c r="E79" s="14">
        <v>78</v>
      </c>
      <c r="F79" s="14">
        <v>22080</v>
      </c>
      <c r="G79" s="14">
        <v>580410</v>
      </c>
      <c r="H79" s="357">
        <v>78</v>
      </c>
      <c r="I79" s="357">
        <v>16700</v>
      </c>
      <c r="J79" s="357">
        <v>440800</v>
      </c>
    </row>
    <row r="80" spans="3:10" x14ac:dyDescent="0.25">
      <c r="C80" s="25" t="str">
        <f t="shared" si="2"/>
        <v/>
      </c>
      <c r="E80" s="14">
        <v>79</v>
      </c>
      <c r="F80" s="14">
        <v>22680</v>
      </c>
      <c r="G80" s="14">
        <v>602490</v>
      </c>
      <c r="H80" s="357">
        <v>79</v>
      </c>
      <c r="I80" s="357">
        <v>17150</v>
      </c>
      <c r="J80" s="357">
        <v>457500</v>
      </c>
    </row>
    <row r="81" spans="3:10" x14ac:dyDescent="0.25">
      <c r="C81" s="25" t="str">
        <f t="shared" si="2"/>
        <v/>
      </c>
      <c r="E81" s="14">
        <v>80</v>
      </c>
      <c r="F81" s="14">
        <v>23280</v>
      </c>
      <c r="G81" s="14">
        <v>625170</v>
      </c>
      <c r="H81" s="357">
        <v>80</v>
      </c>
      <c r="I81" s="357">
        <v>17600</v>
      </c>
      <c r="J81" s="357">
        <v>474650</v>
      </c>
    </row>
    <row r="82" spans="3:10" x14ac:dyDescent="0.25">
      <c r="C82" s="25" t="str">
        <f t="shared" si="2"/>
        <v/>
      </c>
      <c r="E82" s="14">
        <v>81</v>
      </c>
      <c r="F82" s="14">
        <v>24030</v>
      </c>
      <c r="G82" s="14">
        <v>648450</v>
      </c>
      <c r="H82" s="357">
        <v>81</v>
      </c>
      <c r="I82" s="357">
        <v>18160</v>
      </c>
      <c r="J82" s="357">
        <v>492250</v>
      </c>
    </row>
    <row r="83" spans="3:10" x14ac:dyDescent="0.25">
      <c r="C83" s="25" t="str">
        <f t="shared" si="2"/>
        <v/>
      </c>
      <c r="E83" s="14">
        <v>82</v>
      </c>
      <c r="F83" s="14">
        <v>24780</v>
      </c>
      <c r="G83" s="14">
        <v>672480</v>
      </c>
      <c r="H83" s="357">
        <v>82</v>
      </c>
      <c r="I83" s="357">
        <v>18720</v>
      </c>
      <c r="J83" s="357">
        <v>510410</v>
      </c>
    </row>
    <row r="84" spans="3:10" x14ac:dyDescent="0.25">
      <c r="C84" s="25" t="str">
        <f t="shared" si="2"/>
        <v/>
      </c>
      <c r="E84" s="14">
        <v>83</v>
      </c>
      <c r="F84" s="14">
        <v>25530</v>
      </c>
      <c r="G84" s="14">
        <v>697260</v>
      </c>
      <c r="H84" s="357">
        <v>83</v>
      </c>
      <c r="I84" s="357">
        <v>19280</v>
      </c>
      <c r="J84" s="357">
        <v>529130</v>
      </c>
    </row>
    <row r="85" spans="3:10" x14ac:dyDescent="0.25">
      <c r="C85" s="25" t="str">
        <f t="shared" si="2"/>
        <v/>
      </c>
      <c r="E85" s="14">
        <v>84</v>
      </c>
      <c r="F85" s="14">
        <v>26280</v>
      </c>
      <c r="G85" s="14">
        <v>722790</v>
      </c>
      <c r="H85" s="357">
        <v>84</v>
      </c>
      <c r="I85" s="357">
        <v>19840</v>
      </c>
      <c r="J85" s="357">
        <v>548410</v>
      </c>
    </row>
    <row r="86" spans="3:10" x14ac:dyDescent="0.25">
      <c r="C86" s="25" t="str">
        <f t="shared" si="2"/>
        <v/>
      </c>
      <c r="E86" s="14">
        <v>85</v>
      </c>
      <c r="F86" s="14">
        <v>27030</v>
      </c>
      <c r="G86" s="14">
        <v>749070</v>
      </c>
      <c r="H86" s="357">
        <v>85</v>
      </c>
      <c r="I86" s="357">
        <v>20400</v>
      </c>
      <c r="J86" s="357">
        <v>568250</v>
      </c>
    </row>
    <row r="87" spans="3:10" x14ac:dyDescent="0.25">
      <c r="C87" s="25" t="str">
        <f t="shared" si="2"/>
        <v/>
      </c>
      <c r="E87" s="14">
        <v>86</v>
      </c>
      <c r="F87" s="14">
        <v>27780</v>
      </c>
      <c r="G87" s="14">
        <v>776100</v>
      </c>
      <c r="H87" s="357">
        <v>86</v>
      </c>
      <c r="I87" s="357">
        <v>20960</v>
      </c>
      <c r="J87" s="357">
        <v>588650</v>
      </c>
    </row>
    <row r="88" spans="3:10" x14ac:dyDescent="0.25">
      <c r="C88" s="25" t="str">
        <f t="shared" si="2"/>
        <v/>
      </c>
      <c r="E88" s="14">
        <v>87</v>
      </c>
      <c r="F88" s="14">
        <v>28530</v>
      </c>
      <c r="G88" s="14">
        <v>803880</v>
      </c>
      <c r="H88" s="357">
        <v>87</v>
      </c>
      <c r="I88" s="357">
        <v>21520</v>
      </c>
      <c r="J88" s="357">
        <v>609610</v>
      </c>
    </row>
    <row r="89" spans="3:10" x14ac:dyDescent="0.25">
      <c r="C89" s="25" t="str">
        <f t="shared" si="2"/>
        <v/>
      </c>
      <c r="E89" s="14">
        <v>88</v>
      </c>
      <c r="F89" s="14">
        <v>29280</v>
      </c>
      <c r="G89" s="14">
        <v>832410</v>
      </c>
      <c r="H89" s="357">
        <v>88</v>
      </c>
      <c r="I89" s="357">
        <v>22080</v>
      </c>
      <c r="J89" s="357">
        <v>631130</v>
      </c>
    </row>
    <row r="90" spans="3:10" x14ac:dyDescent="0.25">
      <c r="C90" s="25" t="str">
        <f t="shared" si="2"/>
        <v/>
      </c>
      <c r="E90" s="14">
        <v>89</v>
      </c>
      <c r="F90" s="14">
        <v>30030</v>
      </c>
      <c r="G90" s="14">
        <v>861690</v>
      </c>
      <c r="H90" s="357">
        <v>89</v>
      </c>
      <c r="I90" s="357">
        <v>22640</v>
      </c>
      <c r="J90" s="357">
        <v>653210</v>
      </c>
    </row>
    <row r="91" spans="3:10" x14ac:dyDescent="0.25">
      <c r="C91" s="25" t="str">
        <f t="shared" si="2"/>
        <v/>
      </c>
      <c r="E91" s="14">
        <v>90</v>
      </c>
      <c r="F91" s="14">
        <v>30780</v>
      </c>
      <c r="G91" s="14">
        <v>891720</v>
      </c>
      <c r="H91" s="357">
        <v>90</v>
      </c>
      <c r="I91" s="357">
        <v>23200</v>
      </c>
      <c r="J91" s="357">
        <v>675850</v>
      </c>
    </row>
    <row r="92" spans="3:10" x14ac:dyDescent="0.25">
      <c r="C92" s="25" t="str">
        <f t="shared" si="2"/>
        <v/>
      </c>
      <c r="E92" s="14">
        <v>91</v>
      </c>
      <c r="F92" s="14">
        <v>31680</v>
      </c>
      <c r="G92" s="14">
        <v>922500</v>
      </c>
      <c r="H92" s="357">
        <v>91</v>
      </c>
      <c r="I92" s="357">
        <v>23880</v>
      </c>
      <c r="J92" s="357">
        <v>699050</v>
      </c>
    </row>
    <row r="93" spans="3:10" x14ac:dyDescent="0.25">
      <c r="C93" s="25" t="str">
        <f t="shared" si="2"/>
        <v/>
      </c>
      <c r="E93" s="14">
        <v>92</v>
      </c>
      <c r="F93" s="14">
        <v>32580</v>
      </c>
      <c r="G93" s="14">
        <v>954180</v>
      </c>
      <c r="H93" s="357">
        <v>92</v>
      </c>
      <c r="I93" s="357">
        <v>24560</v>
      </c>
      <c r="J93" s="357">
        <v>722930</v>
      </c>
    </row>
    <row r="94" spans="3:10" x14ac:dyDescent="0.25">
      <c r="C94" s="25" t="str">
        <f t="shared" si="2"/>
        <v/>
      </c>
      <c r="E94" s="14">
        <v>93</v>
      </c>
      <c r="F94" s="14">
        <v>33480</v>
      </c>
      <c r="G94" s="14">
        <v>986760</v>
      </c>
      <c r="H94" s="357">
        <v>93</v>
      </c>
      <c r="I94" s="357">
        <v>25240</v>
      </c>
      <c r="J94" s="357">
        <v>747490</v>
      </c>
    </row>
    <row r="95" spans="3:10" x14ac:dyDescent="0.25">
      <c r="C95" s="25" t="str">
        <f t="shared" si="2"/>
        <v/>
      </c>
      <c r="E95" s="14">
        <v>94</v>
      </c>
      <c r="F95" s="14">
        <v>34380</v>
      </c>
      <c r="G95" s="14">
        <v>1020240</v>
      </c>
      <c r="H95" s="357">
        <v>94</v>
      </c>
      <c r="I95" s="357">
        <v>25920</v>
      </c>
      <c r="J95" s="357">
        <v>772730</v>
      </c>
    </row>
    <row r="96" spans="3:10" x14ac:dyDescent="0.25">
      <c r="C96" s="25" t="str">
        <f t="shared" si="2"/>
        <v/>
      </c>
      <c r="E96" s="14">
        <v>95</v>
      </c>
      <c r="F96" s="14">
        <v>35280</v>
      </c>
      <c r="G96" s="14">
        <v>1054620</v>
      </c>
      <c r="H96" s="357">
        <v>95</v>
      </c>
      <c r="I96" s="357">
        <v>26600</v>
      </c>
      <c r="J96" s="357">
        <v>798650</v>
      </c>
    </row>
    <row r="97" spans="3:10" x14ac:dyDescent="0.25">
      <c r="C97" s="25" t="str">
        <f t="shared" si="2"/>
        <v/>
      </c>
      <c r="E97" s="14">
        <v>96</v>
      </c>
      <c r="F97" s="14">
        <v>36180</v>
      </c>
      <c r="G97" s="14">
        <v>1089900</v>
      </c>
      <c r="H97" s="357">
        <v>96</v>
      </c>
      <c r="I97" s="357">
        <v>27280</v>
      </c>
      <c r="J97" s="357">
        <v>825250</v>
      </c>
    </row>
    <row r="98" spans="3:10" x14ac:dyDescent="0.25">
      <c r="C98" s="25" t="str">
        <f>IF(ISBLANK(A98),"",A98/B98)</f>
        <v/>
      </c>
      <c r="E98" s="14">
        <v>97</v>
      </c>
      <c r="F98" s="14">
        <v>37080</v>
      </c>
      <c r="G98" s="14">
        <v>1126080</v>
      </c>
      <c r="H98" s="357">
        <v>97</v>
      </c>
      <c r="I98" s="357">
        <v>27960</v>
      </c>
      <c r="J98" s="357">
        <v>852530</v>
      </c>
    </row>
    <row r="99" spans="3:10" x14ac:dyDescent="0.25">
      <c r="C99" s="25" t="str">
        <f>IF(ISBLANK(A99),"",A99/B99)</f>
        <v/>
      </c>
      <c r="E99" s="14">
        <v>98</v>
      </c>
      <c r="F99" s="14">
        <v>37980</v>
      </c>
      <c r="G99" s="14">
        <v>1163160</v>
      </c>
      <c r="H99" s="357">
        <v>98</v>
      </c>
      <c r="I99" s="357">
        <v>28640</v>
      </c>
      <c r="J99" s="357">
        <v>880490</v>
      </c>
    </row>
    <row r="100" spans="3:10" x14ac:dyDescent="0.25">
      <c r="C100" s="25" t="str">
        <f>IF(ISBLANK(A100),"",A100/B100)</f>
        <v/>
      </c>
      <c r="E100" s="14">
        <v>99</v>
      </c>
      <c r="F100" s="14">
        <v>38880</v>
      </c>
      <c r="G100" s="14">
        <v>1201140</v>
      </c>
      <c r="H100" s="357">
        <v>99</v>
      </c>
      <c r="I100" s="357">
        <v>29320</v>
      </c>
      <c r="J100" s="357">
        <v>909130</v>
      </c>
    </row>
    <row r="101" spans="3:10" x14ac:dyDescent="0.25">
      <c r="C101" s="25" t="str">
        <f>IF(ISBLANK(A101),"",A101/B101)</f>
        <v/>
      </c>
      <c r="E101" s="14">
        <v>100</v>
      </c>
      <c r="F101" s="14">
        <v>0</v>
      </c>
      <c r="G101" s="14">
        <v>1240020</v>
      </c>
      <c r="H101" s="357">
        <v>100</v>
      </c>
      <c r="I101" s="357">
        <v>0</v>
      </c>
      <c r="J101" s="357">
        <v>938450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E38BE-4C69-46D6-A8E7-5EF0970003CB}">
  <sheetPr>
    <tabColor rgb="FF00B050"/>
  </sheetPr>
  <dimension ref="A1:O49"/>
  <sheetViews>
    <sheetView zoomScaleNormal="60" zoomScaleSheetLayoutView="100" workbookViewId="0">
      <selection activeCell="B5" sqref="B5"/>
    </sheetView>
  </sheetViews>
  <sheetFormatPr defaultColWidth="8.42578125" defaultRowHeight="18" customHeight="1" x14ac:dyDescent="0.25"/>
  <cols>
    <col min="1" max="1" width="8.42578125" style="37"/>
    <col min="2" max="4" width="9.28515625" style="37" customWidth="1"/>
    <col min="5" max="5" width="9.28515625" style="269" customWidth="1"/>
    <col min="6" max="7" width="8.42578125" style="269"/>
    <col min="8" max="16384" width="8.42578125" style="37"/>
  </cols>
  <sheetData>
    <row r="1" spans="1:15" ht="18" customHeight="1" x14ac:dyDescent="0.25">
      <c r="B1" s="26" t="s">
        <v>77</v>
      </c>
      <c r="C1" s="27" t="s">
        <v>78</v>
      </c>
      <c r="D1" s="327" t="s">
        <v>167</v>
      </c>
      <c r="E1" s="28" t="s">
        <v>168</v>
      </c>
      <c r="F1" s="432" t="s">
        <v>29</v>
      </c>
      <c r="H1" s="24"/>
      <c r="I1" s="23" t="s">
        <v>31</v>
      </c>
      <c r="J1" s="23" t="s">
        <v>56</v>
      </c>
      <c r="K1" s="23" t="s">
        <v>77</v>
      </c>
      <c r="L1" s="23" t="s">
        <v>78</v>
      </c>
      <c r="M1" s="23" t="s">
        <v>167</v>
      </c>
      <c r="N1" s="23" t="s">
        <v>168</v>
      </c>
    </row>
    <row r="2" spans="1:15" ht="18" customHeight="1" x14ac:dyDescent="0.25">
      <c r="A2" s="269"/>
      <c r="B2" s="26" t="s">
        <v>83</v>
      </c>
      <c r="C2" s="27" t="s">
        <v>82</v>
      </c>
      <c r="D2" s="327" t="s">
        <v>82</v>
      </c>
      <c r="E2" s="28" t="s">
        <v>83</v>
      </c>
      <c r="F2" s="432"/>
      <c r="H2" s="23" t="s">
        <v>57</v>
      </c>
      <c r="I2" s="164">
        <v>231527</v>
      </c>
      <c r="J2" s="164">
        <v>2</v>
      </c>
      <c r="K2" s="164">
        <v>23</v>
      </c>
      <c r="L2" s="164">
        <v>1195</v>
      </c>
      <c r="M2" s="164">
        <v>13</v>
      </c>
      <c r="N2" s="164">
        <v>0</v>
      </c>
    </row>
    <row r="3" spans="1:15" ht="18" customHeight="1" x14ac:dyDescent="0.25">
      <c r="A3" s="276" t="s">
        <v>96</v>
      </c>
      <c r="B3" s="300">
        <f>IF(VOID_FIRE_GOLEM_GOLD&gt;0,F3/VOID_FIRE_GOLEM_GOLD,"")</f>
        <v>17.285714285714285</v>
      </c>
      <c r="C3" s="300">
        <f>IF(VOID_FIRE_GOLEM_SILVER&gt;0,VOID_FIRE_GOLEM_SILVER/F3,"")</f>
        <v>2.2644628099173554</v>
      </c>
      <c r="D3" s="300">
        <f>IF(VOID_FIRE_GOLEM_SILVER2&gt;0,VOID_FIRE_GOLEM_SILVER2/F3,"")</f>
        <v>3.1322314049586777</v>
      </c>
      <c r="E3" s="301">
        <f>IF(VOID_FIRE_GOLEM_SPEC&gt;0,F3/VOID_FIRE_GOLEM_SPEC,"")</f>
        <v>13.444444444444445</v>
      </c>
      <c r="F3" s="268">
        <f>IF(VOID_FIRE_GOLEM_GAMES&gt;0,VOID_FIRE_GOLEM_GAMES,"")</f>
        <v>121</v>
      </c>
      <c r="H3" s="23" t="s">
        <v>58</v>
      </c>
      <c r="I3" s="164">
        <v>230527</v>
      </c>
      <c r="J3" s="164">
        <v>0</v>
      </c>
      <c r="K3" s="164">
        <v>33</v>
      </c>
      <c r="L3" s="164">
        <v>1563</v>
      </c>
      <c r="M3" s="164">
        <v>413</v>
      </c>
      <c r="N3" s="164">
        <v>12</v>
      </c>
    </row>
    <row r="4" spans="1:15" ht="18" customHeight="1" x14ac:dyDescent="0.25">
      <c r="A4" s="276" t="s">
        <v>122</v>
      </c>
      <c r="B4" s="300" t="str">
        <f>IF(VOID_FIRE_GHOST_GOLD&gt;0,F4/VOID_FIRE_GHOST_GOLD,"")</f>
        <v/>
      </c>
      <c r="C4" s="300">
        <f>IF(VOID_FIRE_GHOST_SILVER&gt;0,VOID_FIRE_GHOST_SILVER/F4,"")</f>
        <v>1.6666666666666667</v>
      </c>
      <c r="D4" s="300">
        <f>IF(VOID_FIRE_GHOST_SILVER2&gt;0,VOID_FIRE_GHOST_SILVER2/F4,"")</f>
        <v>0.33333333333333331</v>
      </c>
      <c r="E4" s="301">
        <f>IF(VOID_FIRE_GHOST_SPEC&gt;0,F4/VOID_FIRE_GHOST_SPEC,"")</f>
        <v>3</v>
      </c>
      <c r="F4" s="268">
        <f>IF(VOID_FIRE_GHOST_GAMES&gt;0,VOID_FIRE_GHOST_GAMES,"")</f>
        <v>6</v>
      </c>
    </row>
    <row r="5" spans="1:15" ht="18" customHeight="1" x14ac:dyDescent="0.25">
      <c r="A5" s="276" t="s">
        <v>124</v>
      </c>
      <c r="B5" s="300">
        <f>IF(VOID_FIRE_AGNI_GOLD&gt;0,F5/VOID_FIRE_AGNI_GOLD,"")</f>
        <v>11.041666666666666</v>
      </c>
      <c r="C5" s="300">
        <f>IF(VOID_FIRE_AGNI_SILVER&gt;0,VOID_FIRE_AGNI_SILVER/F5,"")</f>
        <v>2.9245283018867925</v>
      </c>
      <c r="D5" s="300">
        <f>IF(VOID_FIRE_AGNI_SILVER2&gt;0,VOID_FIRE_AGNI_SILVER2/F5,"")</f>
        <v>3.4566037735849058</v>
      </c>
      <c r="E5" s="301">
        <f>IF(VOID_FIRE_AGNI_SPEC&gt;0,F5/VOID_FIRE_AGNI_SPEC,"")</f>
        <v>7.3611111111111107</v>
      </c>
      <c r="F5" s="268">
        <f>IF(VOID_FIRE_AGNI_GAMES&gt;0,VOID_FIRE_AGNI_GAMES,"")</f>
        <v>265</v>
      </c>
      <c r="H5" s="37" t="s">
        <v>29</v>
      </c>
      <c r="K5" s="37" t="s">
        <v>77</v>
      </c>
      <c r="L5" s="37" t="s">
        <v>78</v>
      </c>
      <c r="M5" s="37" t="s">
        <v>84</v>
      </c>
      <c r="N5" s="54" t="s">
        <v>81</v>
      </c>
    </row>
    <row r="6" spans="1:15" ht="18" customHeight="1" x14ac:dyDescent="0.25">
      <c r="A6" s="281" t="s">
        <v>181</v>
      </c>
      <c r="B6" s="300">
        <f>IF(VOID_WATER_POSEIDON_GOLD&gt;0,F6/VOID_WATER_POSEIDON_GOLD,"")</f>
        <v>12.1</v>
      </c>
      <c r="C6" s="300">
        <f>IF(VOID_WATER_POSEIDON_SILVER&gt;0,VOID_WATER_POSEIDON_SILVER/F6,"")</f>
        <v>3.0413223140495869</v>
      </c>
      <c r="D6" s="300">
        <f>IF(VOID_WATER_POSEIDON_SILVER2&gt;0,VOID_WATER_POSEIDON_SILVER2/F6,"")</f>
        <v>3.3057851239669422</v>
      </c>
      <c r="E6" s="301">
        <f>IF(VOID_WATER_POSEIDON_SPEC&gt;0,F6/VOID_WATER_POSEIDON_SPEC,"")</f>
        <v>10.083333333333334</v>
      </c>
      <c r="F6" s="371">
        <f>IF(VOID_WATER_POSEIDON_GAMES&gt;0,VOID_WATER_POSEIDON_GAMES,"")</f>
        <v>121</v>
      </c>
      <c r="H6" s="20">
        <f>(I2-I3)/WINGS_RECOVER_DIAMS*6 + (J2-J3)/WINGS_CONSUME_VOID</f>
        <v>121</v>
      </c>
      <c r="J6" s="37" t="s">
        <v>79</v>
      </c>
      <c r="K6" s="20">
        <f>K3-K2</f>
        <v>10</v>
      </c>
      <c r="L6" s="20">
        <f>L3-L2</f>
        <v>368</v>
      </c>
      <c r="M6" s="20">
        <f>M3-M2</f>
        <v>400</v>
      </c>
      <c r="N6" s="20">
        <f>N3-N2</f>
        <v>12</v>
      </c>
    </row>
    <row r="7" spans="1:15" ht="18" customHeight="1" x14ac:dyDescent="0.25">
      <c r="A7" s="281" t="s">
        <v>123</v>
      </c>
      <c r="B7" s="300" t="str">
        <f>IF(VOID_WATER_HERMIT_GOLD&gt;0,F7/VOID_WATER_HERMIT_GOLD,"")</f>
        <v/>
      </c>
      <c r="C7" s="300">
        <f>IF(VOID_WATER_HERMIT_SILVER&gt;0,VOID_WATER_HERMIT_SILVER/F7,"")</f>
        <v>2.1</v>
      </c>
      <c r="D7" s="300">
        <f>IF(VOID_WATER_HERMIT_SILVER2&gt;0,VOID_WATER_HERMIT_SILVER2/F7,"")</f>
        <v>3.3</v>
      </c>
      <c r="E7" s="301">
        <f>IF(VOID_WATER_HERMIT_SPEC&gt;0,F7/VOID_WATER_HERMIT_SPEC,"")</f>
        <v>2.5</v>
      </c>
      <c r="F7" s="268">
        <f>IF(VOID_WATER_HERMIT_GAMES&gt;0,VOID_WATER_HERMIT_GAMES,"")</f>
        <v>10</v>
      </c>
      <c r="J7" s="37" t="s">
        <v>80</v>
      </c>
      <c r="K7" s="20">
        <f>IFERROR(K6/$H$6,"")</f>
        <v>8.2644628099173556E-2</v>
      </c>
      <c r="L7" s="20">
        <f>IFERROR(L6/$H$6,"")</f>
        <v>3.0413223140495869</v>
      </c>
      <c r="M7" s="20">
        <f>IFERROR(M6/$H$6,"")</f>
        <v>3.3057851239669422</v>
      </c>
      <c r="N7" s="20">
        <f>IFERROR(N6/$H$6,"")</f>
        <v>9.9173553719008267E-2</v>
      </c>
    </row>
    <row r="8" spans="1:15" ht="18" customHeight="1" x14ac:dyDescent="0.25">
      <c r="A8" s="286" t="s">
        <v>98</v>
      </c>
      <c r="B8" s="300">
        <f>IF(VOID_WIND_WYVERN_GOLD&gt;0,F8/VOID_WIND_WYVERN_GOLD,"")</f>
        <v>7</v>
      </c>
      <c r="C8" s="300">
        <f>IF(VOID_WIND_WYVERN_SILVER&gt;0,VOID_WIND_WYVERN_SILVER/F8,"")</f>
        <v>3.0612244897959182</v>
      </c>
      <c r="D8" s="300">
        <f>IF(VOID_WIND_WYVERN_SILVER2&gt;0,VOID_WIND_WYVERN_SILVER2/F8,"")</f>
        <v>4.1836734693877551</v>
      </c>
      <c r="E8" s="301">
        <f>IF(VOID_WIND_WYVERN_SPEC&gt;0,F8/VOID_WIND_WYVERN_SPEC,"")</f>
        <v>16.333333333333332</v>
      </c>
      <c r="F8" s="268">
        <f>IF(VOID_WIND_WYVERN_GAMES&gt;0,VOID_WIND_WYVERN_GAMES,"")</f>
        <v>49</v>
      </c>
    </row>
    <row r="9" spans="1:15" ht="18" customHeight="1" x14ac:dyDescent="0.25">
      <c r="A9" s="291" t="s">
        <v>97</v>
      </c>
      <c r="B9" s="300" t="str">
        <f>IF(VOID_LIGHT_MUSH_GOLD&gt;0,F9/VOID_LIGHT_MUSH_GOLD,"")</f>
        <v/>
      </c>
      <c r="C9" s="300">
        <f>IF(VOID_LIGHT_MUSH_SILVER&gt;0,VOID_LIGHT_MUSH_SILVER/F9,"")</f>
        <v>1.4186046511627908</v>
      </c>
      <c r="D9" s="300" t="str">
        <f>IF(VOID_LIGHT_MUSH_SILVER2&gt;0,VOID_LIGHT_MUSH_SILVER2/F9,"")</f>
        <v/>
      </c>
      <c r="E9" s="301">
        <f>IF(VOID_LIGHT_MUSH_SPEC&gt;0,F9/VOID_LIGHT_MUSH_SPEC,"")</f>
        <v>21.5</v>
      </c>
      <c r="F9" s="268">
        <f>IF(VOID_LIGHT_MUSH_GAMES&gt;0,VOID_LIGHT_MUSH_GAMES,"")</f>
        <v>43</v>
      </c>
      <c r="G9" s="268"/>
      <c r="H9" s="268"/>
      <c r="I9" s="72" t="s">
        <v>125</v>
      </c>
      <c r="J9" s="267" t="s">
        <v>126</v>
      </c>
      <c r="K9" s="267" t="s">
        <v>127</v>
      </c>
      <c r="L9" s="267" t="s">
        <v>128</v>
      </c>
      <c r="M9" s="267" t="s">
        <v>129</v>
      </c>
      <c r="N9" s="267" t="s">
        <v>130</v>
      </c>
      <c r="O9" s="267" t="s">
        <v>131</v>
      </c>
    </row>
    <row r="10" spans="1:15" ht="18" customHeight="1" x14ac:dyDescent="0.25">
      <c r="A10" s="296" t="s">
        <v>99</v>
      </c>
      <c r="B10" s="300">
        <f>IF(VOID_DARK_MTCORE_GOLD&gt;0,F10/VOID_DARK_MTCORE_GOLD,"")</f>
        <v>16.428571428571427</v>
      </c>
      <c r="C10" s="300">
        <f>IF(VOID_DARK_MTCORE_SILVER&gt;0,VOID_DARK_MTCORE_SILVER/F10,"")</f>
        <v>2.5130434782608697</v>
      </c>
      <c r="D10" s="300">
        <f>IF(VOID_DARK_MTCORE_SILVER2&gt;0,VOID_DARK_MTCORE_SILVER2/F10,"")</f>
        <v>3.1130434782608694</v>
      </c>
      <c r="E10" s="301">
        <f>IF(VOID_DARK_MTCORE_SPEC&gt;0,F10/VOID_DARK_MTCORE_SPEC,"")</f>
        <v>28.75</v>
      </c>
      <c r="F10" s="268">
        <f>IF(VOID_DARK_MTCORE_GAMES&gt;0,VOID_DARK_MTCORE_GAMES,"")</f>
        <v>115</v>
      </c>
      <c r="G10" s="268"/>
      <c r="H10" s="276" t="s">
        <v>96</v>
      </c>
      <c r="I10" s="268" t="s">
        <v>132</v>
      </c>
      <c r="J10" s="37" t="s">
        <v>132</v>
      </c>
      <c r="L10" s="268"/>
      <c r="M10" s="346" t="s">
        <v>132</v>
      </c>
      <c r="N10" s="131"/>
    </row>
    <row r="11" spans="1:15" ht="18" customHeight="1" x14ac:dyDescent="0.25">
      <c r="A11" s="296" t="s">
        <v>100</v>
      </c>
      <c r="B11" s="300">
        <f>IF(VOID_DARK_GOLEM_GOLD&gt;0,F11/VOID_DARK_GOLEM_GOLD,"")</f>
        <v>8</v>
      </c>
      <c r="C11" s="300">
        <f>IF(VOID_DARK_GOLEM_SILVER&gt;0,VOID_DARK_GOLEM_SILVER/F11,"")</f>
        <v>3.375</v>
      </c>
      <c r="D11" s="300">
        <f>IF(VOID_DARK_GOLEM_SILVER2&gt;0,VOID_DARK_GOLEM_SILVER2/F11,"")</f>
        <v>0.5</v>
      </c>
      <c r="E11" s="301">
        <f>IF(VOID_DARK_GOLEM_SPEC&gt;0,F11/VOID_DARK_GOLEM_SPEC,"")</f>
        <v>8</v>
      </c>
      <c r="F11" s="268">
        <f>IF(VOID_DARK_GOLEM_GAMES&gt;0,VOID_DARK_GOLEM_GAMES,"")</f>
        <v>8</v>
      </c>
      <c r="G11" s="268"/>
      <c r="H11" s="276" t="s">
        <v>122</v>
      </c>
      <c r="I11" s="268" t="s">
        <v>132</v>
      </c>
      <c r="J11" s="268"/>
      <c r="L11" s="268" t="s">
        <v>132</v>
      </c>
      <c r="N11" s="37" t="s">
        <v>132</v>
      </c>
      <c r="O11" s="268"/>
    </row>
    <row r="12" spans="1:15" ht="18" customHeight="1" x14ac:dyDescent="0.25">
      <c r="D12" s="268"/>
      <c r="E12" s="268"/>
      <c r="F12" s="268"/>
      <c r="G12" s="268"/>
      <c r="H12" s="276" t="s">
        <v>124</v>
      </c>
      <c r="I12" s="268"/>
      <c r="J12" s="268" t="s">
        <v>132</v>
      </c>
      <c r="L12" s="268"/>
      <c r="M12" s="268" t="s">
        <v>132</v>
      </c>
      <c r="N12" s="268"/>
      <c r="O12" s="268" t="s">
        <v>132</v>
      </c>
    </row>
    <row r="13" spans="1:15" ht="18" customHeight="1" x14ac:dyDescent="0.25">
      <c r="B13" s="302">
        <f>$F$13/(VOID_FIRE_GOLEM_GOLD+VOID_FIRE_GHOST_GOLD+VOID_FIRE_AGNI_GOLD+VOID_WATER_HERMIT_GOLD+VOID_WIND_WYVERN_GOLD+VOID_LIGHT_MUSH_GOLD+VOID_DARK_MTCORE_GOLD+VOID_DARK_GOLEM_GOLD)</f>
        <v>16.043478260869566</v>
      </c>
      <c r="C13" s="302">
        <f>(VOID_FIRE_GOLEM_SILVER+VOID_FIRE_GHOST_SILVER+VOID_FIRE_AGNI_SILVER+VOID_WATER_HERMIT_SILVER+VOID_WIND_WYVERN_SILVER+VOID_LIGHT_MUSH_SILVER+VOID_DARK_MTCORE_SILVER+VOID_DARK_GOLEM_SILVER)/$F$13</f>
        <v>2.1775067750677506</v>
      </c>
      <c r="D13" s="302">
        <f>(VOID_FIRE_GOLEM_SILVER2+VOID_FIRE_GHOST_SILVER2+VOID_FIRE_AGNI_SILVER2+VOID_WATER_HERMIT_SILVER2+VOID_WIND_WYVERN_SILVER2+VOID_LIGHT_MUSH_SILVER2+VOID_DARK_MTCORE_SILVER2+VOID_DARK_GOLEM_SILVER2)/$F$13</f>
        <v>2.5704607046070462</v>
      </c>
      <c r="E13" s="302">
        <f>$F$13/(VOID_FIRE_GOLEM_SPEC+VOID_FIRE_GHOST_SPEC+VOID_FIRE_AGNI_SPEC+VOID_WATER_HERMIT_SPEC+VOID_WIND_WYVERN_SPEC+VOID_LIGHT_MUSH_SPEC+VOID_DARK_MTCORE_SPEC+VOID_DARK_GOLEM_SPEC)</f>
        <v>12.098360655737705</v>
      </c>
      <c r="F13" s="93">
        <f>SUM(F3:F12)</f>
        <v>738</v>
      </c>
      <c r="G13" s="268"/>
      <c r="H13" s="281" t="s">
        <v>123</v>
      </c>
      <c r="I13" s="268"/>
      <c r="J13" s="37" t="s">
        <v>132</v>
      </c>
      <c r="K13" s="268" t="s">
        <v>132</v>
      </c>
      <c r="M13" s="268" t="s">
        <v>132</v>
      </c>
      <c r="N13" s="268"/>
      <c r="O13" s="268" t="s">
        <v>132</v>
      </c>
    </row>
    <row r="14" spans="1:15" ht="18" customHeight="1" x14ac:dyDescent="0.25">
      <c r="D14" s="268"/>
      <c r="E14" s="268"/>
      <c r="F14" s="268"/>
      <c r="G14" s="268"/>
      <c r="H14" s="286" t="s">
        <v>98</v>
      </c>
      <c r="I14" s="268" t="s">
        <v>132</v>
      </c>
      <c r="K14" s="268" t="s">
        <v>132</v>
      </c>
      <c r="N14" s="268" t="s">
        <v>132</v>
      </c>
    </row>
    <row r="15" spans="1:15" ht="18" customHeight="1" x14ac:dyDescent="0.25">
      <c r="D15" s="268"/>
      <c r="E15" s="268"/>
      <c r="F15" s="268"/>
      <c r="G15" s="268"/>
      <c r="H15" s="291" t="s">
        <v>97</v>
      </c>
      <c r="I15" s="268" t="s">
        <v>132</v>
      </c>
      <c r="J15" s="268" t="s">
        <v>132</v>
      </c>
      <c r="K15" s="268" t="s">
        <v>132</v>
      </c>
      <c r="L15" s="268" t="s">
        <v>132</v>
      </c>
      <c r="M15" s="268" t="s">
        <v>132</v>
      </c>
      <c r="N15" s="268" t="s">
        <v>132</v>
      </c>
      <c r="O15" s="268" t="s">
        <v>132</v>
      </c>
    </row>
    <row r="16" spans="1:15" ht="18" customHeight="1" x14ac:dyDescent="0.25">
      <c r="D16" s="268"/>
      <c r="E16" s="268"/>
      <c r="F16" s="268"/>
      <c r="G16" s="268"/>
      <c r="H16" s="296" t="s">
        <v>99</v>
      </c>
      <c r="I16" s="268"/>
      <c r="K16" s="268"/>
      <c r="L16" s="37" t="s">
        <v>132</v>
      </c>
      <c r="N16" s="37" t="s">
        <v>132</v>
      </c>
      <c r="O16" s="37" t="s">
        <v>132</v>
      </c>
    </row>
    <row r="17" spans="4:15" ht="18" customHeight="1" x14ac:dyDescent="0.25">
      <c r="D17" s="268"/>
      <c r="E17" s="268"/>
      <c r="F17" s="268"/>
      <c r="G17" s="268"/>
      <c r="H17" s="296" t="s">
        <v>100</v>
      </c>
      <c r="I17" s="268"/>
      <c r="J17" s="268"/>
      <c r="K17" s="268" t="s">
        <v>132</v>
      </c>
      <c r="L17" s="37" t="s">
        <v>132</v>
      </c>
      <c r="M17" s="268"/>
      <c r="N17" s="268" t="s">
        <v>132</v>
      </c>
      <c r="O17" s="268" t="s">
        <v>132</v>
      </c>
    </row>
    <row r="18" spans="4:15" ht="18" customHeight="1" x14ac:dyDescent="0.25">
      <c r="D18" s="268"/>
      <c r="E18" s="268"/>
      <c r="F18" s="268"/>
      <c r="G18" s="268"/>
      <c r="H18" s="268"/>
      <c r="I18" s="269"/>
    </row>
    <row r="19" spans="4:15" ht="18" customHeight="1" x14ac:dyDescent="0.25">
      <c r="D19" s="268"/>
      <c r="E19" s="268"/>
      <c r="F19" s="268"/>
      <c r="G19" s="268"/>
      <c r="H19" s="268"/>
      <c r="I19" s="269"/>
    </row>
    <row r="20" spans="4:15" ht="18" customHeight="1" x14ac:dyDescent="0.25">
      <c r="D20" s="268"/>
      <c r="E20" s="268"/>
      <c r="F20" s="268"/>
      <c r="G20" s="268"/>
      <c r="H20" s="268"/>
    </row>
    <row r="21" spans="4:15" ht="18" customHeight="1" x14ac:dyDescent="0.25">
      <c r="D21" s="268"/>
      <c r="E21" s="268"/>
      <c r="F21" s="268"/>
      <c r="G21" s="268"/>
      <c r="H21" s="268"/>
    </row>
    <row r="22" spans="4:15" ht="18" customHeight="1" x14ac:dyDescent="0.25">
      <c r="D22" s="268"/>
      <c r="E22" s="268"/>
      <c r="F22" s="268"/>
      <c r="G22" s="268"/>
      <c r="I22" s="268"/>
    </row>
    <row r="23" spans="4:15" ht="18" customHeight="1" x14ac:dyDescent="0.25">
      <c r="D23" s="268"/>
      <c r="E23" s="268"/>
      <c r="F23" s="268"/>
      <c r="G23" s="268"/>
      <c r="I23" s="268"/>
    </row>
    <row r="24" spans="4:15" ht="18" customHeight="1" x14ac:dyDescent="0.25">
      <c r="D24" s="268"/>
      <c r="E24" s="268"/>
      <c r="F24" s="268"/>
      <c r="G24" s="268"/>
      <c r="I24" s="268"/>
    </row>
    <row r="25" spans="4:15" ht="18" customHeight="1" x14ac:dyDescent="0.25">
      <c r="D25" s="268"/>
      <c r="E25" s="268"/>
      <c r="F25" s="268"/>
      <c r="G25" s="268"/>
      <c r="I25" s="268"/>
    </row>
    <row r="26" spans="4:15" ht="18" customHeight="1" x14ac:dyDescent="0.25">
      <c r="D26" s="268"/>
      <c r="E26" s="268"/>
      <c r="F26" s="268"/>
      <c r="G26" s="268"/>
      <c r="I26" s="268"/>
    </row>
    <row r="27" spans="4:15" ht="18" customHeight="1" x14ac:dyDescent="0.25">
      <c r="D27" s="268"/>
      <c r="E27" s="268"/>
      <c r="F27" s="268"/>
      <c r="G27" s="268"/>
      <c r="I27" s="268"/>
    </row>
    <row r="28" spans="4:15" ht="18" customHeight="1" x14ac:dyDescent="0.25">
      <c r="D28" s="268"/>
      <c r="E28" s="268"/>
      <c r="F28" s="268"/>
      <c r="G28" s="268"/>
      <c r="I28" s="268"/>
    </row>
    <row r="29" spans="4:15" ht="18" customHeight="1" x14ac:dyDescent="0.25">
      <c r="D29" s="268"/>
      <c r="E29" s="268"/>
      <c r="F29" s="268"/>
      <c r="G29" s="268"/>
      <c r="I29" s="268"/>
    </row>
    <row r="30" spans="4:15" ht="18" customHeight="1" x14ac:dyDescent="0.25">
      <c r="D30" s="268"/>
      <c r="E30" s="268"/>
      <c r="F30" s="268"/>
      <c r="G30" s="268"/>
      <c r="I30" s="268"/>
    </row>
    <row r="31" spans="4:15" ht="18" customHeight="1" x14ac:dyDescent="0.25">
      <c r="D31" s="268"/>
      <c r="E31" s="268"/>
      <c r="F31" s="268"/>
      <c r="G31" s="268"/>
      <c r="I31" s="268"/>
    </row>
    <row r="32" spans="4:15" ht="18" customHeight="1" x14ac:dyDescent="0.25">
      <c r="D32" s="268"/>
      <c r="E32" s="268"/>
      <c r="F32" s="268"/>
      <c r="G32" s="268"/>
      <c r="I32" s="268"/>
    </row>
    <row r="33" spans="4:9" ht="18" customHeight="1" x14ac:dyDescent="0.25">
      <c r="D33" s="268"/>
      <c r="E33" s="268"/>
      <c r="F33" s="268"/>
      <c r="G33" s="268"/>
      <c r="I33" s="268"/>
    </row>
    <row r="34" spans="4:9" ht="18" customHeight="1" x14ac:dyDescent="0.25">
      <c r="D34" s="268"/>
      <c r="E34" s="268"/>
      <c r="F34" s="268"/>
      <c r="G34" s="268"/>
      <c r="I34" s="268"/>
    </row>
    <row r="35" spans="4:9" ht="18" customHeight="1" x14ac:dyDescent="0.25">
      <c r="D35" s="268"/>
      <c r="E35" s="268"/>
      <c r="F35" s="268"/>
      <c r="G35" s="268"/>
      <c r="I35" s="268"/>
    </row>
    <row r="36" spans="4:9" ht="18" customHeight="1" x14ac:dyDescent="0.25">
      <c r="D36" s="268"/>
      <c r="E36" s="268"/>
      <c r="F36" s="268"/>
      <c r="G36" s="268"/>
      <c r="I36" s="268"/>
    </row>
    <row r="37" spans="4:9" ht="18" customHeight="1" x14ac:dyDescent="0.25">
      <c r="D37" s="268"/>
      <c r="E37" s="268"/>
      <c r="F37" s="268"/>
      <c r="G37" s="268"/>
      <c r="I37" s="268"/>
    </row>
    <row r="38" spans="4:9" ht="18" customHeight="1" x14ac:dyDescent="0.25">
      <c r="D38" s="268"/>
      <c r="E38" s="268"/>
      <c r="F38" s="268"/>
      <c r="G38" s="268"/>
      <c r="I38" s="268"/>
    </row>
    <row r="39" spans="4:9" ht="18" customHeight="1" x14ac:dyDescent="0.25">
      <c r="D39" s="268"/>
      <c r="E39" s="268"/>
      <c r="F39" s="268"/>
      <c r="G39" s="268"/>
      <c r="I39" s="268"/>
    </row>
    <row r="40" spans="4:9" ht="18" customHeight="1" x14ac:dyDescent="0.25">
      <c r="D40" s="268"/>
      <c r="E40" s="268"/>
      <c r="F40" s="268"/>
      <c r="G40" s="268"/>
      <c r="I40" s="268"/>
    </row>
    <row r="41" spans="4:9" ht="18" customHeight="1" x14ac:dyDescent="0.25">
      <c r="D41" s="268"/>
      <c r="E41" s="268"/>
      <c r="F41" s="268"/>
      <c r="G41" s="268"/>
      <c r="I41" s="268"/>
    </row>
    <row r="42" spans="4:9" ht="18" customHeight="1" x14ac:dyDescent="0.25">
      <c r="D42" s="268"/>
      <c r="E42" s="268"/>
      <c r="F42" s="268"/>
      <c r="G42" s="268"/>
      <c r="I42" s="268"/>
    </row>
    <row r="43" spans="4:9" ht="18" customHeight="1" x14ac:dyDescent="0.25">
      <c r="D43" s="268"/>
      <c r="E43" s="268"/>
      <c r="G43" s="268"/>
      <c r="I43" s="268"/>
    </row>
    <row r="44" spans="4:9" ht="18" customHeight="1" x14ac:dyDescent="0.25">
      <c r="D44" s="268"/>
      <c r="E44" s="268"/>
      <c r="G44" s="268"/>
      <c r="I44" s="268"/>
    </row>
    <row r="45" spans="4:9" ht="18" customHeight="1" x14ac:dyDescent="0.25">
      <c r="D45" s="268"/>
      <c r="E45" s="268"/>
      <c r="G45" s="268"/>
      <c r="I45" s="268"/>
    </row>
    <row r="46" spans="4:9" ht="18" customHeight="1" x14ac:dyDescent="0.25">
      <c r="G46" s="268"/>
      <c r="I46" s="268"/>
    </row>
    <row r="47" spans="4:9" ht="18" customHeight="1" x14ac:dyDescent="0.25">
      <c r="G47" s="268"/>
      <c r="I47" s="268"/>
    </row>
    <row r="48" spans="4:9" ht="18" customHeight="1" x14ac:dyDescent="0.25">
      <c r="G48" s="268"/>
      <c r="I48" s="268"/>
    </row>
    <row r="49" spans="7:9" ht="18" customHeight="1" x14ac:dyDescent="0.25">
      <c r="G49" s="268"/>
      <c r="I49" s="268"/>
    </row>
  </sheetData>
  <mergeCells count="1">
    <mergeCell ref="F1:F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E30DC-B0C4-4455-8360-16B4B2CE7297}">
  <sheetPr>
    <tabColor rgb="FF00B0F0"/>
  </sheetPr>
  <dimension ref="A1:AY7"/>
  <sheetViews>
    <sheetView workbookViewId="0">
      <selection activeCell="Y4" sqref="Y4"/>
    </sheetView>
  </sheetViews>
  <sheetFormatPr defaultColWidth="9.140625" defaultRowHeight="15" customHeight="1" x14ac:dyDescent="0.25"/>
  <cols>
    <col min="1" max="1" width="3.85546875" style="278" customWidth="1"/>
    <col min="2" max="4" width="3.85546875" style="274" customWidth="1"/>
    <col min="5" max="5" width="3.85546875" style="279" customWidth="1"/>
    <col min="6" max="6" width="3.85546875" style="278" customWidth="1"/>
    <col min="7" max="9" width="3.85546875" style="274" customWidth="1"/>
    <col min="10" max="10" width="3.85546875" style="279" customWidth="1"/>
    <col min="11" max="11" width="3.85546875" style="278" customWidth="1"/>
    <col min="12" max="14" width="3.85546875" style="274" customWidth="1"/>
    <col min="15" max="15" width="3.85546875" style="279" customWidth="1"/>
    <col min="16" max="16" width="3.85546875" style="283" customWidth="1"/>
    <col min="17" max="19" width="3.85546875" style="273" customWidth="1"/>
    <col min="20" max="20" width="3.85546875" style="284" customWidth="1"/>
    <col min="21" max="21" width="3.85546875" style="283" customWidth="1"/>
    <col min="22" max="24" width="3.85546875" style="372" customWidth="1"/>
    <col min="25" max="25" width="3.85546875" style="284" customWidth="1"/>
    <col min="26" max="26" width="3.85546875" style="288" customWidth="1"/>
    <col min="27" max="29" width="3.85546875" style="272" customWidth="1"/>
    <col min="30" max="30" width="3.85546875" style="289" customWidth="1"/>
    <col min="31" max="31" width="3.85546875" style="293" customWidth="1"/>
    <col min="32" max="34" width="3.85546875" style="271" customWidth="1"/>
    <col min="35" max="35" width="3.85546875" style="294" customWidth="1"/>
    <col min="36" max="36" width="3.85546875" style="298" customWidth="1"/>
    <col min="37" max="39" width="3.85546875" style="270" customWidth="1"/>
    <col min="40" max="40" width="3.85546875" style="299" customWidth="1"/>
    <col min="41" max="41" width="3.85546875" style="298" customWidth="1"/>
    <col min="42" max="44" width="3.85546875" style="270" customWidth="1"/>
    <col min="45" max="45" width="3.85546875" style="299" customWidth="1"/>
    <col min="46" max="16384" width="9.140625" style="1"/>
  </cols>
  <sheetData>
    <row r="1" spans="1:51" s="267" customFormat="1" ht="15" customHeight="1" x14ac:dyDescent="0.25">
      <c r="A1" s="436" t="s">
        <v>96</v>
      </c>
      <c r="B1" s="437"/>
      <c r="C1" s="437"/>
      <c r="D1" s="437"/>
      <c r="E1" s="438"/>
      <c r="F1" s="436" t="s">
        <v>122</v>
      </c>
      <c r="G1" s="437"/>
      <c r="H1" s="437"/>
      <c r="I1" s="437"/>
      <c r="J1" s="438"/>
      <c r="K1" s="436" t="s">
        <v>124</v>
      </c>
      <c r="L1" s="437"/>
      <c r="M1" s="437"/>
      <c r="N1" s="437"/>
      <c r="O1" s="438"/>
      <c r="P1" s="445" t="s">
        <v>123</v>
      </c>
      <c r="Q1" s="446"/>
      <c r="R1" s="446"/>
      <c r="S1" s="446"/>
      <c r="T1" s="447"/>
      <c r="U1" s="445" t="s">
        <v>181</v>
      </c>
      <c r="V1" s="446"/>
      <c r="W1" s="446"/>
      <c r="X1" s="446"/>
      <c r="Y1" s="447"/>
      <c r="Z1" s="442" t="s">
        <v>98</v>
      </c>
      <c r="AA1" s="443"/>
      <c r="AB1" s="443"/>
      <c r="AC1" s="443"/>
      <c r="AD1" s="444"/>
      <c r="AE1" s="439" t="s">
        <v>97</v>
      </c>
      <c r="AF1" s="440"/>
      <c r="AG1" s="440"/>
      <c r="AH1" s="440"/>
      <c r="AI1" s="441"/>
      <c r="AJ1" s="433" t="s">
        <v>99</v>
      </c>
      <c r="AK1" s="434"/>
      <c r="AL1" s="434"/>
      <c r="AM1" s="434"/>
      <c r="AN1" s="435"/>
      <c r="AO1" s="433" t="s">
        <v>100</v>
      </c>
      <c r="AP1" s="434"/>
      <c r="AQ1" s="434"/>
      <c r="AR1" s="434"/>
      <c r="AS1" s="435"/>
      <c r="AT1" s="267" t="s">
        <v>171</v>
      </c>
      <c r="AW1" s="267" t="s">
        <v>173</v>
      </c>
    </row>
    <row r="2" spans="1:51" s="267" customFormat="1" ht="15" customHeight="1" x14ac:dyDescent="0.25">
      <c r="A2" s="275" t="s">
        <v>30</v>
      </c>
      <c r="B2" s="276" t="s">
        <v>77</v>
      </c>
      <c r="C2" s="276" t="s">
        <v>78</v>
      </c>
      <c r="D2" s="276" t="s">
        <v>169</v>
      </c>
      <c r="E2" s="277" t="s">
        <v>170</v>
      </c>
      <c r="F2" s="275" t="s">
        <v>30</v>
      </c>
      <c r="G2" s="276" t="s">
        <v>77</v>
      </c>
      <c r="H2" s="276" t="s">
        <v>78</v>
      </c>
      <c r="I2" s="276" t="s">
        <v>169</v>
      </c>
      <c r="J2" s="277" t="s">
        <v>170</v>
      </c>
      <c r="K2" s="275" t="s">
        <v>30</v>
      </c>
      <c r="L2" s="276" t="s">
        <v>77</v>
      </c>
      <c r="M2" s="276" t="s">
        <v>78</v>
      </c>
      <c r="N2" s="276" t="s">
        <v>169</v>
      </c>
      <c r="O2" s="277" t="s">
        <v>170</v>
      </c>
      <c r="P2" s="280" t="s">
        <v>30</v>
      </c>
      <c r="Q2" s="281" t="s">
        <v>77</v>
      </c>
      <c r="R2" s="281" t="s">
        <v>78</v>
      </c>
      <c r="S2" s="281" t="s">
        <v>169</v>
      </c>
      <c r="T2" s="282" t="s">
        <v>170</v>
      </c>
      <c r="U2" s="280" t="s">
        <v>30</v>
      </c>
      <c r="V2" s="281" t="s">
        <v>77</v>
      </c>
      <c r="W2" s="281" t="s">
        <v>78</v>
      </c>
      <c r="X2" s="281" t="s">
        <v>169</v>
      </c>
      <c r="Y2" s="282" t="s">
        <v>170</v>
      </c>
      <c r="Z2" s="285" t="s">
        <v>30</v>
      </c>
      <c r="AA2" s="286" t="s">
        <v>77</v>
      </c>
      <c r="AB2" s="286" t="s">
        <v>78</v>
      </c>
      <c r="AC2" s="286" t="s">
        <v>169</v>
      </c>
      <c r="AD2" s="287" t="s">
        <v>170</v>
      </c>
      <c r="AE2" s="290" t="s">
        <v>30</v>
      </c>
      <c r="AF2" s="291" t="s">
        <v>77</v>
      </c>
      <c r="AG2" s="291" t="s">
        <v>78</v>
      </c>
      <c r="AH2" s="291" t="s">
        <v>169</v>
      </c>
      <c r="AI2" s="292" t="s">
        <v>170</v>
      </c>
      <c r="AJ2" s="295" t="s">
        <v>30</v>
      </c>
      <c r="AK2" s="296" t="s">
        <v>77</v>
      </c>
      <c r="AL2" s="296" t="s">
        <v>78</v>
      </c>
      <c r="AM2" s="296" t="s">
        <v>169</v>
      </c>
      <c r="AN2" s="297" t="s">
        <v>170</v>
      </c>
      <c r="AO2" s="295" t="s">
        <v>30</v>
      </c>
      <c r="AP2" s="296" t="s">
        <v>77</v>
      </c>
      <c r="AQ2" s="296" t="s">
        <v>78</v>
      </c>
      <c r="AR2" s="296" t="s">
        <v>169</v>
      </c>
      <c r="AS2" s="297" t="s">
        <v>170</v>
      </c>
      <c r="AT2" s="267" t="s">
        <v>169</v>
      </c>
      <c r="AU2" s="267" t="s">
        <v>78</v>
      </c>
      <c r="AV2" s="267" t="s">
        <v>172</v>
      </c>
      <c r="AW2" s="267" t="s">
        <v>169</v>
      </c>
      <c r="AX2" s="267" t="s">
        <v>78</v>
      </c>
      <c r="AY2" s="267" t="s">
        <v>172</v>
      </c>
    </row>
    <row r="3" spans="1:51" ht="15" customHeight="1" x14ac:dyDescent="0.25">
      <c r="A3" s="278">
        <v>121</v>
      </c>
      <c r="B3" s="274">
        <v>7</v>
      </c>
      <c r="C3" s="274">
        <v>274</v>
      </c>
      <c r="D3" s="274">
        <v>379</v>
      </c>
      <c r="E3" s="279">
        <v>9</v>
      </c>
      <c r="F3" s="278">
        <v>6</v>
      </c>
      <c r="G3" s="274">
        <v>0</v>
      </c>
      <c r="H3" s="274">
        <v>10</v>
      </c>
      <c r="I3" s="274">
        <v>2</v>
      </c>
      <c r="J3" s="279">
        <v>2</v>
      </c>
      <c r="K3" s="278">
        <v>21</v>
      </c>
      <c r="L3" s="274">
        <v>2</v>
      </c>
      <c r="M3" s="274">
        <v>70</v>
      </c>
      <c r="N3" s="274">
        <v>68</v>
      </c>
      <c r="O3" s="279">
        <v>3</v>
      </c>
      <c r="P3" s="283">
        <v>4</v>
      </c>
      <c r="Q3" s="273">
        <v>0</v>
      </c>
      <c r="R3" s="273">
        <v>8</v>
      </c>
      <c r="S3" s="273">
        <v>12</v>
      </c>
      <c r="T3" s="284">
        <v>4</v>
      </c>
      <c r="U3" s="283">
        <v>121</v>
      </c>
      <c r="V3" s="372">
        <v>10</v>
      </c>
      <c r="W3" s="372">
        <v>368</v>
      </c>
      <c r="X3" s="372">
        <v>400</v>
      </c>
      <c r="Y3" s="284">
        <v>12</v>
      </c>
      <c r="Z3" s="288">
        <v>21</v>
      </c>
      <c r="AA3" s="272">
        <v>1</v>
      </c>
      <c r="AB3" s="272">
        <v>64</v>
      </c>
      <c r="AC3" s="272">
        <v>86</v>
      </c>
      <c r="AD3" s="289">
        <v>1</v>
      </c>
      <c r="AE3" s="293">
        <v>9</v>
      </c>
      <c r="AF3" s="271">
        <v>0</v>
      </c>
      <c r="AG3" s="271">
        <v>14</v>
      </c>
      <c r="AH3" s="271">
        <v>0</v>
      </c>
      <c r="AI3" s="294">
        <v>1</v>
      </c>
      <c r="AJ3" s="298">
        <v>13</v>
      </c>
      <c r="AK3" s="270">
        <v>1</v>
      </c>
      <c r="AL3" s="270">
        <v>33</v>
      </c>
      <c r="AM3" s="270">
        <v>42</v>
      </c>
      <c r="AN3" s="299">
        <v>0</v>
      </c>
      <c r="AO3" s="298">
        <v>8</v>
      </c>
      <c r="AP3" s="270">
        <v>1</v>
      </c>
      <c r="AQ3" s="270">
        <v>27</v>
      </c>
      <c r="AR3" s="270">
        <v>4</v>
      </c>
      <c r="AS3" s="299">
        <v>1</v>
      </c>
      <c r="AT3" s="1">
        <v>2</v>
      </c>
      <c r="AU3" s="1">
        <v>2</v>
      </c>
      <c r="AV3" s="1">
        <v>2</v>
      </c>
      <c r="AW3" s="1">
        <v>3</v>
      </c>
      <c r="AX3" s="1">
        <v>4</v>
      </c>
    </row>
    <row r="4" spans="1:51" ht="15" customHeight="1" x14ac:dyDescent="0.25">
      <c r="K4" s="278">
        <v>174</v>
      </c>
      <c r="L4" s="274">
        <v>19</v>
      </c>
      <c r="M4" s="274">
        <v>515</v>
      </c>
      <c r="N4" s="274">
        <v>608</v>
      </c>
      <c r="O4" s="279">
        <v>24</v>
      </c>
      <c r="P4" s="283">
        <v>6</v>
      </c>
      <c r="Q4" s="273">
        <v>0</v>
      </c>
      <c r="R4" s="273">
        <v>13</v>
      </c>
      <c r="S4" s="273">
        <v>21</v>
      </c>
      <c r="T4" s="284">
        <v>0</v>
      </c>
      <c r="Z4" s="288">
        <v>17</v>
      </c>
      <c r="AA4" s="272">
        <v>3</v>
      </c>
      <c r="AB4" s="272">
        <v>54</v>
      </c>
      <c r="AC4" s="272">
        <v>68</v>
      </c>
      <c r="AD4" s="289">
        <v>2</v>
      </c>
      <c r="AE4" s="293">
        <v>30</v>
      </c>
      <c r="AF4" s="271">
        <v>0</v>
      </c>
      <c r="AG4" s="271">
        <v>42</v>
      </c>
      <c r="AH4" s="271">
        <v>0</v>
      </c>
      <c r="AI4" s="294">
        <v>1</v>
      </c>
      <c r="AJ4" s="298">
        <v>58</v>
      </c>
      <c r="AK4" s="270">
        <v>3</v>
      </c>
      <c r="AL4" s="270">
        <v>122</v>
      </c>
      <c r="AM4" s="270">
        <v>153</v>
      </c>
      <c r="AN4" s="299">
        <v>3</v>
      </c>
      <c r="AT4" s="1">
        <v>2</v>
      </c>
      <c r="AU4" s="1">
        <v>0</v>
      </c>
      <c r="AV4" s="1">
        <v>2</v>
      </c>
      <c r="AW4" s="1">
        <v>4</v>
      </c>
      <c r="AX4" s="1">
        <v>3</v>
      </c>
      <c r="AY4" s="1">
        <v>3</v>
      </c>
    </row>
    <row r="5" spans="1:51" ht="15" customHeight="1" x14ac:dyDescent="0.25">
      <c r="K5" s="278">
        <v>10</v>
      </c>
      <c r="L5" s="274">
        <v>0</v>
      </c>
      <c r="M5" s="274">
        <v>28</v>
      </c>
      <c r="N5" s="274">
        <v>35</v>
      </c>
      <c r="O5" s="279">
        <v>1</v>
      </c>
      <c r="Z5" s="288">
        <v>11</v>
      </c>
      <c r="AA5" s="272">
        <v>3</v>
      </c>
      <c r="AB5" s="272">
        <v>32</v>
      </c>
      <c r="AC5" s="272">
        <v>51</v>
      </c>
      <c r="AD5" s="289">
        <v>0</v>
      </c>
      <c r="AE5" s="293">
        <v>4</v>
      </c>
      <c r="AF5" s="271">
        <v>0</v>
      </c>
      <c r="AG5" s="271">
        <v>5</v>
      </c>
      <c r="AH5" s="271">
        <v>0</v>
      </c>
      <c r="AI5" s="294">
        <v>0</v>
      </c>
      <c r="AJ5" s="298">
        <v>13</v>
      </c>
      <c r="AK5" s="270">
        <v>2</v>
      </c>
      <c r="AL5" s="270">
        <v>43</v>
      </c>
      <c r="AM5" s="270">
        <v>46</v>
      </c>
      <c r="AN5" s="299">
        <v>0</v>
      </c>
      <c r="AT5" s="1">
        <v>8</v>
      </c>
      <c r="AU5" s="1">
        <v>1</v>
      </c>
      <c r="AV5" s="1">
        <v>2</v>
      </c>
    </row>
    <row r="6" spans="1:51" ht="15" customHeight="1" x14ac:dyDescent="0.25">
      <c r="A6" s="303"/>
      <c r="B6" s="303"/>
      <c r="K6" s="278">
        <v>60</v>
      </c>
      <c r="L6" s="274">
        <v>3</v>
      </c>
      <c r="M6" s="274">
        <v>162</v>
      </c>
      <c r="N6" s="274">
        <v>205</v>
      </c>
      <c r="O6" s="279">
        <v>8</v>
      </c>
      <c r="AJ6" s="298">
        <v>30</v>
      </c>
      <c r="AK6" s="270">
        <v>1</v>
      </c>
      <c r="AL6" s="270">
        <v>87</v>
      </c>
      <c r="AM6" s="270">
        <v>114</v>
      </c>
      <c r="AN6" s="299">
        <v>1</v>
      </c>
    </row>
    <row r="7" spans="1:51" ht="15" customHeight="1" x14ac:dyDescent="0.25">
      <c r="A7" s="303"/>
      <c r="B7" s="303"/>
      <c r="AJ7" s="298">
        <v>1</v>
      </c>
      <c r="AK7" s="270">
        <v>0</v>
      </c>
      <c r="AL7" s="270">
        <v>4</v>
      </c>
      <c r="AM7" s="270">
        <v>3</v>
      </c>
      <c r="AN7" s="299">
        <v>0</v>
      </c>
    </row>
  </sheetData>
  <mergeCells count="9">
    <mergeCell ref="AJ1:AN1"/>
    <mergeCell ref="A1:E1"/>
    <mergeCell ref="AE1:AI1"/>
    <mergeCell ref="Z1:AD1"/>
    <mergeCell ref="AO1:AS1"/>
    <mergeCell ref="F1:J1"/>
    <mergeCell ref="P1:T1"/>
    <mergeCell ref="K1:O1"/>
    <mergeCell ref="U1:Y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1623-F3F9-4D5F-BC15-FCC9FC0B4272}">
  <sheetPr>
    <tabColor rgb="FF00B050"/>
  </sheetPr>
  <dimension ref="A1:K24"/>
  <sheetViews>
    <sheetView workbookViewId="0">
      <selection activeCell="F7" sqref="F7"/>
    </sheetView>
  </sheetViews>
  <sheetFormatPr defaultColWidth="9.28515625" defaultRowHeight="15" x14ac:dyDescent="0.25"/>
  <cols>
    <col min="1" max="2" width="9.28515625" style="320"/>
    <col min="3" max="3" width="6.5703125" style="351" customWidth="1"/>
    <col min="4" max="4" width="2.140625" style="336" customWidth="1"/>
    <col min="5" max="6" width="9.28515625" style="320"/>
    <col min="7" max="7" width="2.28515625" style="320" customWidth="1"/>
    <col min="8" max="8" width="8.28515625" style="320" customWidth="1"/>
    <col min="9" max="9" width="6.7109375" style="320" customWidth="1"/>
    <col min="10" max="10" width="8.28515625" style="320" customWidth="1"/>
    <col min="11" max="11" width="32.85546875" style="320" customWidth="1"/>
    <col min="12" max="16384" width="9.28515625" style="320"/>
  </cols>
  <sheetData>
    <row r="1" spans="1:11" s="316" customFormat="1" x14ac:dyDescent="0.25">
      <c r="A1" s="416" t="s">
        <v>137</v>
      </c>
      <c r="B1" s="416"/>
      <c r="C1" s="416"/>
      <c r="D1" s="334"/>
      <c r="E1" s="448" t="s">
        <v>138</v>
      </c>
      <c r="F1" s="448"/>
      <c r="H1" s="320"/>
      <c r="J1" s="159"/>
      <c r="K1" s="320"/>
    </row>
    <row r="2" spans="1:11" x14ac:dyDescent="0.25">
      <c r="A2" s="316"/>
      <c r="B2" s="316" t="s">
        <v>83</v>
      </c>
      <c r="C2" s="347" t="s">
        <v>33</v>
      </c>
      <c r="D2" s="334"/>
      <c r="E2" s="316" t="s">
        <v>159</v>
      </c>
      <c r="F2" s="316" t="s">
        <v>139</v>
      </c>
      <c r="I2" s="344" t="s">
        <v>164</v>
      </c>
      <c r="J2" s="344" t="s">
        <v>165</v>
      </c>
      <c r="K2" s="316" t="s">
        <v>163</v>
      </c>
    </row>
    <row r="3" spans="1:11" x14ac:dyDescent="0.25">
      <c r="A3" s="319" t="s">
        <v>143</v>
      </c>
      <c r="B3" s="331">
        <f>IFERROR(CLOVER_EXP_GAMES/CLOVER_EXP_SUM,"")</f>
        <v>14.944444444444445</v>
      </c>
      <c r="C3" s="348">
        <f>CLOVER_EXP_GAMES</f>
        <v>538</v>
      </c>
      <c r="D3" s="335"/>
      <c r="E3" s="327" t="s">
        <v>140</v>
      </c>
      <c r="F3" s="137">
        <f>IFERROR(TALON_R3_TALON/TALON_R3_CLOVER,"")</f>
        <v>0.85172413793103452</v>
      </c>
      <c r="H3" s="327" t="s">
        <v>140</v>
      </c>
      <c r="I3" s="327">
        <f>IFERROR(_xlfn.FLOOR.MATH($F$7+$F3*$B$7),"")</f>
        <v>173</v>
      </c>
      <c r="J3" s="327">
        <f>IFERROR(IF($J$23-I3&lt;0,0,$J$23-I3),"")</f>
        <v>0</v>
      </c>
      <c r="K3" s="321">
        <f>IFERROR(IF(I3/$J$23&gt;1,1,I3/$J$23),"")</f>
        <v>1</v>
      </c>
    </row>
    <row r="4" spans="1:11" x14ac:dyDescent="0.25">
      <c r="A4" s="26" t="s">
        <v>136</v>
      </c>
      <c r="B4" s="332">
        <f>IFERROR(CLOVER_RUBY_GAMES/CLOVER_RUBY_SUM,"")</f>
        <v>15.3359375</v>
      </c>
      <c r="C4" s="349">
        <f>CLOVER_RUBY_GAMES</f>
        <v>1963</v>
      </c>
      <c r="D4" s="335"/>
      <c r="E4" s="328" t="s">
        <v>141</v>
      </c>
      <c r="F4" s="329">
        <f>IFERROR(TALON_R4_TALON/TALON_R4_CLOVER,"")</f>
        <v>1.3333333333333333</v>
      </c>
      <c r="H4" s="328" t="s">
        <v>141</v>
      </c>
      <c r="I4" s="328">
        <f>IFERROR(_xlfn.FLOOR.MATH($F$7+$F4*$B$7),"")</f>
        <v>250</v>
      </c>
      <c r="J4" s="328">
        <f>IFERROR(IF($J$23-I4&lt;0,0,$J$23-I4),"")</f>
        <v>0</v>
      </c>
      <c r="K4" s="321">
        <f>IFERROR(IF(I4/$J$23&gt;1,1,I4/$J$23),"")</f>
        <v>1</v>
      </c>
    </row>
    <row r="5" spans="1:11" x14ac:dyDescent="0.25">
      <c r="A5" s="23" t="s">
        <v>144</v>
      </c>
      <c r="B5" s="333">
        <f>IFERROR(CLOVER_RUIN_GAMES/CLOVER_RUIN_SUM,"")</f>
        <v>25</v>
      </c>
      <c r="C5" s="350">
        <f>CLOVER_RUIN_GAMES</f>
        <v>175</v>
      </c>
      <c r="D5" s="335"/>
      <c r="E5" s="26" t="s">
        <v>142</v>
      </c>
      <c r="F5" s="330">
        <f>IFERROR(TALON_R5_TALON/TALON_R5_CLOVER,"")</f>
        <v>1.1081081081081081</v>
      </c>
      <c r="H5" s="26" t="s">
        <v>142</v>
      </c>
      <c r="I5" s="26">
        <f>IFERROR(_xlfn.FLOOR.MATH($F$7+$F5*$B$7),"")</f>
        <v>214</v>
      </c>
      <c r="J5" s="26">
        <f>IFERROR(IF($J$23-I5&lt;0,0,$J$23-I5),"")</f>
        <v>0</v>
      </c>
      <c r="K5" s="321">
        <f>IFERROR(IF(I5/$J$23&gt;1,1,I5/$J$23),"")</f>
        <v>1</v>
      </c>
    </row>
    <row r="7" spans="1:11" x14ac:dyDescent="0.25">
      <c r="A7" s="320" t="s">
        <v>162</v>
      </c>
      <c r="B7" s="449">
        <v>159</v>
      </c>
      <c r="C7" s="449"/>
      <c r="E7" s="320" t="s">
        <v>162</v>
      </c>
      <c r="F7" s="159">
        <v>38</v>
      </c>
      <c r="H7" s="316"/>
      <c r="I7" s="316" t="s">
        <v>50</v>
      </c>
      <c r="J7" s="345" t="s">
        <v>146</v>
      </c>
      <c r="K7" s="316" t="s">
        <v>28</v>
      </c>
    </row>
    <row r="8" spans="1:11" x14ac:dyDescent="0.25">
      <c r="H8" s="318" t="s">
        <v>152</v>
      </c>
      <c r="I8" s="339">
        <v>20</v>
      </c>
      <c r="J8" s="317">
        <f>IF(ISNUMBER(I8),INDEX(DRACOLITH_TALON,I8),"")</f>
        <v>0</v>
      </c>
      <c r="K8" s="321">
        <f>IFERROR((DRACOLITH_TALON_MAX-J8)/DRACOLITH_TALON_MAX,"")</f>
        <v>1</v>
      </c>
    </row>
    <row r="9" spans="1:11" x14ac:dyDescent="0.25">
      <c r="H9" s="110" t="s">
        <v>154</v>
      </c>
      <c r="I9" s="340">
        <v>20</v>
      </c>
      <c r="J9" s="338">
        <f>IF(ISNUMBER(I9),INDEX(DRACOLITH_TALON,I9),"")</f>
        <v>0</v>
      </c>
      <c r="K9" s="321">
        <f>IFERROR((DRACOLITH_TALON_MAX-J9)/DRACOLITH_TALON_MAX,"")</f>
        <v>1</v>
      </c>
    </row>
    <row r="10" spans="1:11" x14ac:dyDescent="0.25">
      <c r="H10" s="111" t="s">
        <v>153</v>
      </c>
      <c r="I10" s="341">
        <v>20</v>
      </c>
      <c r="J10" s="337">
        <f>IF(ISNUMBER(I10),INDEX(DRACOLITH_TALON,I10),"")</f>
        <v>0</v>
      </c>
      <c r="K10" s="321">
        <f>IFERROR((DRACOLITH_TALON_MAX-J10)/DRACOLITH_TALON_MAX,"")</f>
        <v>1</v>
      </c>
    </row>
    <row r="11" spans="1:11" x14ac:dyDescent="0.25">
      <c r="H11" s="112" t="s">
        <v>155</v>
      </c>
      <c r="I11" s="342"/>
      <c r="J11" s="322" t="str">
        <f>IF(ISNUMBER(I11),INDEX(DRACOLITH_TALON,I11),"")</f>
        <v/>
      </c>
      <c r="K11" s="321" t="str">
        <f>IFERROR((DRACOLITH_TALON_MAX-J11)/DRACOLITH_TALON_MAX,"")</f>
        <v/>
      </c>
    </row>
    <row r="12" spans="1:11" x14ac:dyDescent="0.25">
      <c r="H12" s="319" t="s">
        <v>156</v>
      </c>
      <c r="I12" s="343"/>
      <c r="J12" s="166" t="str">
        <f>IF(ISNUMBER(I12),INDEX(DRACOLITH_TALON,I12),"")</f>
        <v/>
      </c>
      <c r="K12" s="321" t="str">
        <f>IFERROR((DRACOLITH_TALON_MAX-J12)/DRACOLITH_TALON_MAX,"")</f>
        <v/>
      </c>
    </row>
    <row r="13" spans="1:11" x14ac:dyDescent="0.25">
      <c r="I13" s="316" t="s">
        <v>27</v>
      </c>
      <c r="J13" s="320">
        <f>SUM(J8:J12)</f>
        <v>0</v>
      </c>
    </row>
    <row r="15" spans="1:11" x14ac:dyDescent="0.25">
      <c r="H15" s="316"/>
      <c r="I15" s="316" t="s">
        <v>50</v>
      </c>
      <c r="J15" s="345" t="s">
        <v>146</v>
      </c>
      <c r="K15" s="316" t="s">
        <v>28</v>
      </c>
    </row>
    <row r="16" spans="1:11" x14ac:dyDescent="0.25">
      <c r="H16" s="318" t="s">
        <v>147</v>
      </c>
      <c r="I16" s="317">
        <f>IF(真龍!K3&lt;&gt;0,真龍!K3,"")</f>
        <v>30</v>
      </c>
      <c r="J16" s="317">
        <f>IF(HDRAG_HAS_REC_HBRUN,INDEX(DATA_HDRAGS_TALON,I16),"")</f>
        <v>0</v>
      </c>
      <c r="K16" s="321">
        <f>IFERROR((HDRAG_MAX_TALON-J16)/HDRAG_MAX_TALON,"")</f>
        <v>1</v>
      </c>
    </row>
    <row r="17" spans="8:11" x14ac:dyDescent="0.25">
      <c r="H17" s="110" t="s">
        <v>149</v>
      </c>
      <c r="I17" s="338">
        <f>IF(真龍!K4&lt;&gt;0,真龍!K4,"")</f>
        <v>29</v>
      </c>
      <c r="J17" s="338">
        <f>IF(HDRAG_HAS_REC_HMERC,INDEX(DATA_HDRAGS_TALON,I17),"")</f>
        <v>60</v>
      </c>
      <c r="K17" s="321">
        <f>IFERROR((HDRAG_MAX_TALON-J17)/HDRAG_MAX_TALON,"")</f>
        <v>0.92500000000000004</v>
      </c>
    </row>
    <row r="18" spans="8:11" x14ac:dyDescent="0.25">
      <c r="H18" s="111" t="s">
        <v>148</v>
      </c>
      <c r="I18" s="337">
        <f>IF(真龍!K5&lt;&gt;0,真龍!K5,"")</f>
        <v>30</v>
      </c>
      <c r="J18" s="337">
        <f>IF(HDRAG_HAS_REC_HMID,INDEX(DATA_HDRAGS_TALON,I18),"")</f>
        <v>0</v>
      </c>
      <c r="K18" s="321">
        <f>IFERROR((HDRAG_MAX_TALON-J18)/HDRAG_MAX_TALON,"")</f>
        <v>1</v>
      </c>
    </row>
    <row r="19" spans="8:11" x14ac:dyDescent="0.25">
      <c r="H19" s="112" t="s">
        <v>150</v>
      </c>
      <c r="I19" s="322" t="str">
        <f>IF(真龍!K6&lt;&gt;0,真龍!K6,"")</f>
        <v/>
      </c>
      <c r="J19" s="322" t="str">
        <f>IF(HDRAG_HAS_REC_HJUP,INDEX(DATA_HDRAGS_TALON,I19),"")</f>
        <v/>
      </c>
      <c r="K19" s="321" t="str">
        <f>IFERROR((HDRAG_MAX_TALON-J19)/HDRAG_MAX_TALON,"")</f>
        <v/>
      </c>
    </row>
    <row r="20" spans="8:11" x14ac:dyDescent="0.25">
      <c r="H20" s="319" t="s">
        <v>151</v>
      </c>
      <c r="I20" s="166" t="str">
        <f>IF(真龍!K7&lt;&gt;0,真龍!K7,"")</f>
        <v/>
      </c>
      <c r="J20" s="166" t="str">
        <f>IF(HDRAG_HAS_REC_HZOD,INDEX(DATA_HDRAGS_TALON,I20),"")</f>
        <v/>
      </c>
      <c r="K20" s="321" t="str">
        <f>IFERROR((HDRAG_MAX_TALON-J20)/HDRAG_MAX_TALON,"")</f>
        <v/>
      </c>
    </row>
    <row r="21" spans="8:11" x14ac:dyDescent="0.25">
      <c r="I21" s="316" t="s">
        <v>27</v>
      </c>
      <c r="J21" s="320">
        <f>SUM(J16:J20)</f>
        <v>60</v>
      </c>
    </row>
    <row r="23" spans="8:11" x14ac:dyDescent="0.25">
      <c r="I23" s="316" t="s">
        <v>54</v>
      </c>
      <c r="J23" s="320">
        <f>J13+J21</f>
        <v>60</v>
      </c>
    </row>
    <row r="24" spans="8:11" x14ac:dyDescent="0.25">
      <c r="I24" s="316"/>
    </row>
  </sheetData>
  <mergeCells count="3">
    <mergeCell ref="E1:F1"/>
    <mergeCell ref="B7:C7"/>
    <mergeCell ref="A1:C1"/>
  </mergeCells>
  <conditionalFormatting sqref="K8">
    <cfRule type="dataBar" priority="14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{5BF4564F-6D94-4131-B9EB-257303939A9C}</x14:id>
        </ext>
      </extLst>
    </cfRule>
  </conditionalFormatting>
  <conditionalFormatting sqref="K9">
    <cfRule type="dataBar" priority="13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{605EC817-B23C-4991-A11F-EAEC64DE18A2}</x14:id>
        </ext>
      </extLst>
    </cfRule>
  </conditionalFormatting>
  <conditionalFormatting sqref="K10">
    <cfRule type="dataBar" priority="12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{1949A6FB-3A93-4C17-B7C3-B1C948818BB9}</x14:id>
        </ext>
      </extLst>
    </cfRule>
  </conditionalFormatting>
  <conditionalFormatting sqref="K11">
    <cfRule type="dataBar" priority="11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{16425F0D-1058-405C-9ECD-06CDA7138020}</x14:id>
        </ext>
      </extLst>
    </cfRule>
  </conditionalFormatting>
  <conditionalFormatting sqref="K12">
    <cfRule type="dataBar" priority="10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{78CF39B2-6233-4143-8115-5163D69C4A40}</x14:id>
        </ext>
      </extLst>
    </cfRule>
  </conditionalFormatting>
  <conditionalFormatting sqref="K16">
    <cfRule type="dataBar" priority="9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{4B0CDBFE-37A1-40D2-9293-E6B8E49EA7E1}</x14:id>
        </ext>
      </extLst>
    </cfRule>
  </conditionalFormatting>
  <conditionalFormatting sqref="K17">
    <cfRule type="dataBar" priority="8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{0017BA74-89EE-4D3C-9A61-12B7EE367199}</x14:id>
        </ext>
      </extLst>
    </cfRule>
  </conditionalFormatting>
  <conditionalFormatting sqref="K18">
    <cfRule type="dataBar" priority="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{89294264-F742-4454-B854-4EB384719E76}</x14:id>
        </ext>
      </extLst>
    </cfRule>
  </conditionalFormatting>
  <conditionalFormatting sqref="K19">
    <cfRule type="dataBar" priority="6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{36A4A187-696F-491F-96C3-AEEE64D7A01A}</x14:id>
        </ext>
      </extLst>
    </cfRule>
  </conditionalFormatting>
  <conditionalFormatting sqref="K20">
    <cfRule type="dataBar" priority="5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{5174A658-6064-4E15-9AF5-9E368482BB94}</x14:id>
        </ext>
      </extLst>
    </cfRule>
  </conditionalFormatting>
  <conditionalFormatting sqref="K3">
    <cfRule type="dataBar" priority="3">
      <dataBar>
        <cfvo type="num" val="0"/>
        <cfvo type="num" val="1"/>
        <color rgb="FFCD7F32"/>
      </dataBar>
      <extLst>
        <ext xmlns:x14="http://schemas.microsoft.com/office/spreadsheetml/2009/9/main" uri="{B025F937-C7B1-47D3-B67F-A62EFF666E3E}">
          <x14:id>{EF180161-279F-4A3C-986B-26915F56D689}</x14:id>
        </ext>
      </extLst>
    </cfRule>
  </conditionalFormatting>
  <conditionalFormatting sqref="K4">
    <cfRule type="dataBar" priority="2">
      <dataBar>
        <cfvo type="num" val="0"/>
        <cfvo type="num" val="1"/>
        <color rgb="FFC9C9C9"/>
      </dataBar>
      <extLst>
        <ext xmlns:x14="http://schemas.microsoft.com/office/spreadsheetml/2009/9/main" uri="{B025F937-C7B1-47D3-B67F-A62EFF666E3E}">
          <x14:id>{71CDF10D-A507-45A9-913A-E5F1F7C08AE7}</x14:id>
        </ext>
      </extLst>
    </cfRule>
  </conditionalFormatting>
  <conditionalFormatting sqref="K5">
    <cfRule type="dataBar" priority="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{F9C17BB0-9E6A-4465-A5E9-187695F60B49}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F4564F-6D94-4131-B9EB-257303939A9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K8</xm:sqref>
        </x14:conditionalFormatting>
        <x14:conditionalFormatting xmlns:xm="http://schemas.microsoft.com/office/excel/2006/main">
          <x14:cfRule type="dataBar" id="{605EC817-B23C-4991-A11F-EAEC64DE18A2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K9</xm:sqref>
        </x14:conditionalFormatting>
        <x14:conditionalFormatting xmlns:xm="http://schemas.microsoft.com/office/excel/2006/main">
          <x14:cfRule type="dataBar" id="{1949A6FB-3A93-4C17-B7C3-B1C948818BB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K10</xm:sqref>
        </x14:conditionalFormatting>
        <x14:conditionalFormatting xmlns:xm="http://schemas.microsoft.com/office/excel/2006/main">
          <x14:cfRule type="dataBar" id="{16425F0D-1058-405C-9ECD-06CDA713802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K11</xm:sqref>
        </x14:conditionalFormatting>
        <x14:conditionalFormatting xmlns:xm="http://schemas.microsoft.com/office/excel/2006/main">
          <x14:cfRule type="dataBar" id="{78CF39B2-6233-4143-8115-5163D69C4A4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K12</xm:sqref>
        </x14:conditionalFormatting>
        <x14:conditionalFormatting xmlns:xm="http://schemas.microsoft.com/office/excel/2006/main">
          <x14:cfRule type="dataBar" id="{4B0CDBFE-37A1-40D2-9293-E6B8E49EA7E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K16</xm:sqref>
        </x14:conditionalFormatting>
        <x14:conditionalFormatting xmlns:xm="http://schemas.microsoft.com/office/excel/2006/main">
          <x14:cfRule type="dataBar" id="{0017BA74-89EE-4D3C-9A61-12B7EE36719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K17</xm:sqref>
        </x14:conditionalFormatting>
        <x14:conditionalFormatting xmlns:xm="http://schemas.microsoft.com/office/excel/2006/main">
          <x14:cfRule type="dataBar" id="{89294264-F742-4454-B854-4EB384719E7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K18</xm:sqref>
        </x14:conditionalFormatting>
        <x14:conditionalFormatting xmlns:xm="http://schemas.microsoft.com/office/excel/2006/main">
          <x14:cfRule type="dataBar" id="{36A4A187-696F-491F-96C3-AEEE64D7A01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K19</xm:sqref>
        </x14:conditionalFormatting>
        <x14:conditionalFormatting xmlns:xm="http://schemas.microsoft.com/office/excel/2006/main">
          <x14:cfRule type="dataBar" id="{5174A658-6064-4E15-9AF5-9E368482BB9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K20</xm:sqref>
        </x14:conditionalFormatting>
        <x14:conditionalFormatting xmlns:xm="http://schemas.microsoft.com/office/excel/2006/main">
          <x14:cfRule type="dataBar" id="{EF180161-279F-4A3C-986B-26915F56D68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K3</xm:sqref>
        </x14:conditionalFormatting>
        <x14:conditionalFormatting xmlns:xm="http://schemas.microsoft.com/office/excel/2006/main">
          <x14:cfRule type="dataBar" id="{71CDF10D-A507-45A9-913A-E5F1F7C08AE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K4</xm:sqref>
        </x14:conditionalFormatting>
        <x14:conditionalFormatting xmlns:xm="http://schemas.microsoft.com/office/excel/2006/main">
          <x14:cfRule type="dataBar" id="{F9C17BB0-9E6A-4465-A5E9-187695F60B4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K5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EF10C-1E91-4DFF-88B0-05D1167F5074}">
  <sheetPr>
    <tabColor rgb="FF00B0F0"/>
  </sheetPr>
  <dimension ref="A1:O22"/>
  <sheetViews>
    <sheetView workbookViewId="0">
      <selection activeCell="D14" sqref="D14"/>
    </sheetView>
  </sheetViews>
  <sheetFormatPr defaultColWidth="9.28515625" defaultRowHeight="15" x14ac:dyDescent="0.25"/>
  <cols>
    <col min="1" max="2" width="5.42578125" style="166" customWidth="1"/>
    <col min="3" max="4" width="5.42578125" style="322" customWidth="1"/>
    <col min="5" max="6" width="5.42578125" style="323" customWidth="1"/>
    <col min="7" max="7" width="5.42578125" style="326" customWidth="1"/>
    <col min="8" max="8" width="5.42578125" style="325" customWidth="1"/>
    <col min="9" max="10" width="5.42578125" style="323" customWidth="1"/>
    <col min="11" max="12" width="5.42578125" style="324" customWidth="1"/>
    <col min="13" max="16384" width="9.28515625" style="320"/>
  </cols>
  <sheetData>
    <row r="1" spans="1:15" x14ac:dyDescent="0.25">
      <c r="A1" s="426" t="s">
        <v>137</v>
      </c>
      <c r="B1" s="426"/>
      <c r="C1" s="426"/>
      <c r="D1" s="426"/>
      <c r="E1" s="426"/>
      <c r="F1" s="426"/>
      <c r="G1" s="426" t="s">
        <v>138</v>
      </c>
      <c r="H1" s="426"/>
      <c r="I1" s="426"/>
      <c r="J1" s="426"/>
      <c r="K1" s="426"/>
      <c r="L1" s="426"/>
      <c r="N1" s="426" t="s">
        <v>145</v>
      </c>
      <c r="O1" s="426"/>
    </row>
    <row r="2" spans="1:15" x14ac:dyDescent="0.25">
      <c r="A2" s="450" t="s">
        <v>143</v>
      </c>
      <c r="B2" s="450"/>
      <c r="C2" s="452" t="s">
        <v>136</v>
      </c>
      <c r="D2" s="452"/>
      <c r="E2" s="451" t="s">
        <v>144</v>
      </c>
      <c r="F2" s="451"/>
      <c r="G2" s="454" t="s">
        <v>140</v>
      </c>
      <c r="H2" s="454"/>
      <c r="I2" s="451" t="s">
        <v>141</v>
      </c>
      <c r="J2" s="451"/>
      <c r="K2" s="453" t="s">
        <v>142</v>
      </c>
      <c r="L2" s="453"/>
      <c r="N2" s="320" t="s">
        <v>50</v>
      </c>
      <c r="O2" s="320" t="s">
        <v>160</v>
      </c>
    </row>
    <row r="3" spans="1:15" x14ac:dyDescent="0.25">
      <c r="A3" s="166" t="s">
        <v>64</v>
      </c>
      <c r="B3" s="166" t="s">
        <v>29</v>
      </c>
      <c r="C3" s="322" t="s">
        <v>64</v>
      </c>
      <c r="D3" s="322" t="s">
        <v>29</v>
      </c>
      <c r="E3" s="323" t="s">
        <v>64</v>
      </c>
      <c r="F3" s="323" t="s">
        <v>29</v>
      </c>
      <c r="G3" s="326" t="s">
        <v>157</v>
      </c>
      <c r="H3" s="325" t="s">
        <v>158</v>
      </c>
      <c r="I3" s="323" t="s">
        <v>157</v>
      </c>
      <c r="J3" s="323" t="s">
        <v>158</v>
      </c>
      <c r="K3" s="324" t="s">
        <v>157</v>
      </c>
      <c r="L3" s="324" t="s">
        <v>158</v>
      </c>
      <c r="N3" s="320">
        <v>1</v>
      </c>
      <c r="O3" s="320">
        <v>94</v>
      </c>
    </row>
    <row r="4" spans="1:15" x14ac:dyDescent="0.25">
      <c r="A4" s="166">
        <v>4</v>
      </c>
      <c r="B4" s="166">
        <v>57</v>
      </c>
      <c r="C4" s="322">
        <v>100</v>
      </c>
      <c r="D4" s="322">
        <v>1513</v>
      </c>
      <c r="E4" s="323">
        <v>2</v>
      </c>
      <c r="F4" s="323">
        <v>57</v>
      </c>
      <c r="G4" s="326">
        <v>149</v>
      </c>
      <c r="H4" s="325">
        <v>147</v>
      </c>
      <c r="I4" s="323">
        <v>6</v>
      </c>
      <c r="J4" s="323">
        <v>8</v>
      </c>
      <c r="K4" s="324">
        <v>37</v>
      </c>
      <c r="L4" s="324">
        <v>41</v>
      </c>
      <c r="N4" s="320">
        <v>2</v>
      </c>
      <c r="O4" s="320">
        <v>94</v>
      </c>
    </row>
    <row r="5" spans="1:15" x14ac:dyDescent="0.25">
      <c r="A5" s="166">
        <v>4</v>
      </c>
      <c r="B5" s="166">
        <v>48</v>
      </c>
      <c r="C5" s="322">
        <v>3</v>
      </c>
      <c r="D5" s="322">
        <v>52</v>
      </c>
      <c r="E5" s="323">
        <v>1</v>
      </c>
      <c r="F5" s="323">
        <v>61</v>
      </c>
      <c r="G5" s="326">
        <v>111</v>
      </c>
      <c r="H5" s="325">
        <v>70</v>
      </c>
      <c r="N5" s="320">
        <v>3</v>
      </c>
      <c r="O5" s="320">
        <v>94</v>
      </c>
    </row>
    <row r="6" spans="1:15" x14ac:dyDescent="0.25">
      <c r="A6" s="166">
        <v>4</v>
      </c>
      <c r="B6" s="166">
        <v>58</v>
      </c>
      <c r="C6" s="322">
        <v>1</v>
      </c>
      <c r="D6" s="322">
        <v>50</v>
      </c>
      <c r="E6" s="323">
        <v>4</v>
      </c>
      <c r="F6" s="323">
        <v>57</v>
      </c>
      <c r="G6" s="326">
        <v>30</v>
      </c>
      <c r="H6" s="325">
        <v>30</v>
      </c>
      <c r="N6" s="320">
        <v>4</v>
      </c>
      <c r="O6" s="320">
        <v>93</v>
      </c>
    </row>
    <row r="7" spans="1:15" x14ac:dyDescent="0.25">
      <c r="A7" s="166">
        <v>0</v>
      </c>
      <c r="B7" s="166">
        <v>56</v>
      </c>
      <c r="C7" s="322">
        <v>2</v>
      </c>
      <c r="D7" s="322">
        <v>7</v>
      </c>
      <c r="N7" s="320">
        <v>5</v>
      </c>
      <c r="O7" s="320">
        <v>92</v>
      </c>
    </row>
    <row r="8" spans="1:15" x14ac:dyDescent="0.25">
      <c r="A8" s="166">
        <v>7</v>
      </c>
      <c r="B8" s="166">
        <v>54</v>
      </c>
      <c r="C8" s="322">
        <v>2</v>
      </c>
      <c r="D8" s="322">
        <v>57</v>
      </c>
      <c r="N8" s="320">
        <v>6</v>
      </c>
      <c r="O8" s="320">
        <v>91</v>
      </c>
    </row>
    <row r="9" spans="1:15" x14ac:dyDescent="0.25">
      <c r="A9" s="166">
        <v>4</v>
      </c>
      <c r="B9" s="166">
        <v>53</v>
      </c>
      <c r="C9" s="322">
        <v>4</v>
      </c>
      <c r="D9" s="322">
        <v>61</v>
      </c>
      <c r="N9" s="320">
        <v>7</v>
      </c>
      <c r="O9" s="320">
        <v>88</v>
      </c>
    </row>
    <row r="10" spans="1:15" x14ac:dyDescent="0.25">
      <c r="A10" s="166">
        <v>3</v>
      </c>
      <c r="B10" s="166">
        <v>50</v>
      </c>
      <c r="C10" s="322">
        <v>3</v>
      </c>
      <c r="D10" s="322">
        <v>55</v>
      </c>
      <c r="N10" s="320">
        <v>8</v>
      </c>
      <c r="O10" s="320">
        <v>85</v>
      </c>
    </row>
    <row r="11" spans="1:15" x14ac:dyDescent="0.25">
      <c r="A11" s="166">
        <v>4</v>
      </c>
      <c r="B11" s="166">
        <v>55</v>
      </c>
      <c r="C11" s="322">
        <v>3</v>
      </c>
      <c r="D11" s="322">
        <v>53</v>
      </c>
      <c r="N11" s="320">
        <v>9</v>
      </c>
      <c r="O11" s="320">
        <v>82</v>
      </c>
    </row>
    <row r="12" spans="1:15" x14ac:dyDescent="0.25">
      <c r="A12" s="166">
        <v>3</v>
      </c>
      <c r="B12" s="166">
        <v>55</v>
      </c>
      <c r="C12" s="322">
        <v>7</v>
      </c>
      <c r="D12" s="322">
        <v>59</v>
      </c>
      <c r="N12" s="320">
        <v>10</v>
      </c>
      <c r="O12" s="320">
        <v>79</v>
      </c>
    </row>
    <row r="13" spans="1:15" x14ac:dyDescent="0.25">
      <c r="A13" s="166">
        <v>3</v>
      </c>
      <c r="B13" s="166">
        <v>52</v>
      </c>
      <c r="C13" s="322">
        <v>3</v>
      </c>
      <c r="D13" s="322">
        <v>56</v>
      </c>
      <c r="N13" s="320">
        <v>11</v>
      </c>
      <c r="O13" s="320">
        <v>74</v>
      </c>
    </row>
    <row r="14" spans="1:15" x14ac:dyDescent="0.25">
      <c r="N14" s="320">
        <v>12</v>
      </c>
      <c r="O14" s="320">
        <v>69</v>
      </c>
    </row>
    <row r="15" spans="1:15" x14ac:dyDescent="0.25">
      <c r="N15" s="320">
        <v>13</v>
      </c>
      <c r="O15" s="320">
        <v>64</v>
      </c>
    </row>
    <row r="16" spans="1:15" x14ac:dyDescent="0.25">
      <c r="N16" s="320">
        <v>14</v>
      </c>
      <c r="O16" s="320">
        <v>56</v>
      </c>
    </row>
    <row r="17" spans="14:15" x14ac:dyDescent="0.25">
      <c r="N17" s="320">
        <v>15</v>
      </c>
      <c r="O17" s="320">
        <v>48</v>
      </c>
    </row>
    <row r="18" spans="14:15" x14ac:dyDescent="0.25">
      <c r="N18" s="320">
        <v>16</v>
      </c>
      <c r="O18" s="320">
        <v>40</v>
      </c>
    </row>
    <row r="19" spans="14:15" x14ac:dyDescent="0.25">
      <c r="N19" s="320">
        <v>17</v>
      </c>
      <c r="O19" s="320">
        <v>30</v>
      </c>
    </row>
    <row r="20" spans="14:15" x14ac:dyDescent="0.25">
      <c r="N20" s="320">
        <v>18</v>
      </c>
      <c r="O20" s="320">
        <v>20</v>
      </c>
    </row>
    <row r="21" spans="14:15" x14ac:dyDescent="0.25">
      <c r="N21" s="320">
        <v>19</v>
      </c>
      <c r="O21" s="320">
        <v>10</v>
      </c>
    </row>
    <row r="22" spans="14:15" x14ac:dyDescent="0.25">
      <c r="N22" s="320">
        <v>20</v>
      </c>
      <c r="O22" s="320">
        <v>0</v>
      </c>
    </row>
  </sheetData>
  <mergeCells count="9">
    <mergeCell ref="N1:O1"/>
    <mergeCell ref="A2:B2"/>
    <mergeCell ref="E2:F2"/>
    <mergeCell ref="C2:D2"/>
    <mergeCell ref="A1:F1"/>
    <mergeCell ref="K2:L2"/>
    <mergeCell ref="I2:J2"/>
    <mergeCell ref="G2:H2"/>
    <mergeCell ref="G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16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33</vt:i4>
      </vt:variant>
    </vt:vector>
  </HeadingPairs>
  <TitlesOfParts>
    <vt:vector size="50" baseType="lpstr">
      <vt:lpstr>Raid</vt:lpstr>
      <vt:lpstr>迎擊</vt:lpstr>
      <vt:lpstr>D迎擊</vt:lpstr>
      <vt:lpstr>龍煉-護符</vt:lpstr>
      <vt:lpstr>D龍煉-護符</vt:lpstr>
      <vt:lpstr>虛空</vt:lpstr>
      <vt:lpstr>D虛空</vt:lpstr>
      <vt:lpstr>爪草</vt:lpstr>
      <vt:lpstr>D爪草</vt:lpstr>
      <vt:lpstr>真龍</vt:lpstr>
      <vt:lpstr>D真龍</vt:lpstr>
      <vt:lpstr>D真火</vt:lpstr>
      <vt:lpstr>D真水</vt:lpstr>
      <vt:lpstr>D真風</vt:lpstr>
      <vt:lpstr>D真光</vt:lpstr>
      <vt:lpstr>D真暗</vt:lpstr>
      <vt:lpstr>R速度</vt:lpstr>
      <vt:lpstr>DATA_DRAG_ACCU_EXP</vt:lpstr>
      <vt:lpstr>DATA_DRAG_LV_EXP</vt:lpstr>
      <vt:lpstr>DATA_DRAGON_EXP</vt:lpstr>
      <vt:lpstr>DATA_DRAGON_PLAYS</vt:lpstr>
      <vt:lpstr>DATA_HDRAG_HBRUN</vt:lpstr>
      <vt:lpstr>DATA_HDRAG_HJUP</vt:lpstr>
      <vt:lpstr>DATA_HDRAG_HMERC</vt:lpstr>
      <vt:lpstr>DATA_HDRAG_HMID</vt:lpstr>
      <vt:lpstr>DATA_HDRAG_HZOD</vt:lpstr>
      <vt:lpstr>DATA_HDRAGS_BUILDING</vt:lpstr>
      <vt:lpstr>DATA_HDRAGS_DRAGON</vt:lpstr>
      <vt:lpstr>DATA_HDRAGS_TALON</vt:lpstr>
      <vt:lpstr>DATA_IO</vt:lpstr>
      <vt:lpstr>DATA_IO_EXTRA_EXCHANGED_BIG</vt:lpstr>
      <vt:lpstr>DATA_IO_EXTRA_EXCHANGED_SMALL</vt:lpstr>
      <vt:lpstr>DATA_IO_OWNED_BIG</vt:lpstr>
      <vt:lpstr>DATA_IO_OWNED_SMALL</vt:lpstr>
      <vt:lpstr>DATA_WYRM_ACCU_EXP</vt:lpstr>
      <vt:lpstr>DATA_WYRM_LV_EXP</vt:lpstr>
      <vt:lpstr>DRACOLITH_TALON</vt:lpstr>
      <vt:lpstr>DRAGON_EXP_100</vt:lpstr>
      <vt:lpstr>DRAGON_EXP_60</vt:lpstr>
      <vt:lpstr>DRAGON_EXP_80</vt:lpstr>
      <vt:lpstr>RAID_DATA_BLAZONS</vt:lpstr>
      <vt:lpstr>RAID_DATA_GOLD_EMBLEMS</vt:lpstr>
      <vt:lpstr>RAID_GOAL_BLAZON</vt:lpstr>
      <vt:lpstr>RAID_GOAL_EMBLEM</vt:lpstr>
      <vt:lpstr>RAID_TIME_DURATION</vt:lpstr>
      <vt:lpstr>RAID_TIME_END</vt:lpstr>
      <vt:lpstr>RAID_TIME_START</vt:lpstr>
      <vt:lpstr>WYRM_EXP_100</vt:lpstr>
      <vt:lpstr>WYRM_EXP_60</vt:lpstr>
      <vt:lpstr>WYRM_EXP_80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RaenonX JELLYCAT</dc:creator>
  <cp:lastModifiedBy>RaenonX JELLYCAT</cp:lastModifiedBy>
  <dcterms:created xsi:type="dcterms:W3CDTF">2018-11-17T15:28:10Z</dcterms:created>
  <dcterms:modified xsi:type="dcterms:W3CDTF">2019-06-28T07:35:13Z</dcterms:modified>
</cp:coreProperties>
</file>