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1EA45ACE-4BBE-4125-8700-0E5BC596A306}" xr6:coauthVersionLast="47" xr6:coauthVersionMax="47" xr10:uidLastSave="{00000000-0000-0000-0000-000000000000}"/>
  <bookViews>
    <workbookView xWindow="5850" yWindow="2625" windowWidth="21600" windowHeight="11385" firstSheet="10" activeTab="11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全體傷害" sheetId="52" r:id="rId18"/>
    <sheet name="EXP" sheetId="25" state="hidden" r:id="rId19"/>
    <sheet name="D-EXP" sheetId="26" state="hidden" r:id="rId20"/>
    <sheet name="E速度" sheetId="27" state="hidden" r:id="rId21"/>
    <sheet name="Raid" sheetId="28" state="hidden" r:id="rId22"/>
    <sheet name="R速度" sheetId="29" state="hidden" r:id="rId23"/>
    <sheet name="R預估差" sheetId="30" state="hidden" r:id="rId24"/>
    <sheet name="活動建築" sheetId="37" state="hidden" r:id="rId25"/>
  </sheets>
  <definedNames>
    <definedName name="_xlnm._FilterDatabase" localSheetId="8" hidden="1">D厄魔!$A$1:$K$1</definedName>
    <definedName name="_xlnm._FilterDatabase" localSheetId="18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8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0" i="40" l="1"/>
  <c r="M370" i="40" s="1"/>
  <c r="H370" i="40"/>
  <c r="G370" i="40"/>
  <c r="F370" i="40"/>
  <c r="N370" i="40" s="1"/>
  <c r="O370" i="40" s="1"/>
  <c r="P67" i="18"/>
  <c r="M67" i="18"/>
  <c r="I67" i="18"/>
  <c r="J67" i="18"/>
  <c r="K67" i="18" s="1"/>
  <c r="N369" i="40"/>
  <c r="O369" i="40" s="1"/>
  <c r="L369" i="40"/>
  <c r="M369" i="40" s="1"/>
  <c r="J369" i="40"/>
  <c r="K369" i="40" s="1"/>
  <c r="I369" i="40"/>
  <c r="H369" i="40"/>
  <c r="G369" i="40"/>
  <c r="F369" i="40"/>
  <c r="H648" i="16"/>
  <c r="G648" i="16"/>
  <c r="K648" i="16" s="1"/>
  <c r="F648" i="16"/>
  <c r="I648" i="16" s="1"/>
  <c r="J648" i="16" s="1"/>
  <c r="E648" i="16"/>
  <c r="N368" i="40"/>
  <c r="O368" i="40" s="1"/>
  <c r="L368" i="40"/>
  <c r="M368" i="40" s="1"/>
  <c r="J368" i="40"/>
  <c r="K368" i="40" s="1"/>
  <c r="I368" i="40"/>
  <c r="H368" i="40"/>
  <c r="G368" i="40"/>
  <c r="F368" i="40"/>
  <c r="H647" i="16"/>
  <c r="G647" i="16"/>
  <c r="K647" i="16" s="1"/>
  <c r="F647" i="16"/>
  <c r="I647" i="16" s="1"/>
  <c r="J647" i="16" s="1"/>
  <c r="E647" i="16"/>
  <c r="I370" i="40" l="1"/>
  <c r="J370" i="40" s="1"/>
  <c r="K370" i="40" s="1"/>
  <c r="L367" i="40"/>
  <c r="M367" i="40" s="1"/>
  <c r="H367" i="40"/>
  <c r="G367" i="40"/>
  <c r="F367" i="40"/>
  <c r="N367" i="40" s="1"/>
  <c r="O367" i="40" s="1"/>
  <c r="I646" i="16"/>
  <c r="J646" i="16" s="1"/>
  <c r="H646" i="16"/>
  <c r="G646" i="16"/>
  <c r="K646" i="16" s="1"/>
  <c r="F646" i="16"/>
  <c r="E646" i="16"/>
  <c r="H645" i="16"/>
  <c r="G645" i="16"/>
  <c r="K645" i="16" s="1"/>
  <c r="F645" i="16"/>
  <c r="I645" i="16" s="1"/>
  <c r="J645" i="16" s="1"/>
  <c r="E645" i="16"/>
  <c r="B8" i="18"/>
  <c r="H644" i="16"/>
  <c r="G644" i="16"/>
  <c r="K644" i="16" s="1"/>
  <c r="F644" i="16"/>
  <c r="I644" i="16" s="1"/>
  <c r="J644" i="16" s="1"/>
  <c r="F643" i="16"/>
  <c r="E644" i="16"/>
  <c r="N366" i="40"/>
  <c r="O366" i="40" s="1"/>
  <c r="L366" i="40"/>
  <c r="M366" i="40" s="1"/>
  <c r="J366" i="40"/>
  <c r="K366" i="40" s="1"/>
  <c r="I366" i="40"/>
  <c r="H366" i="40"/>
  <c r="G366" i="40"/>
  <c r="F366" i="40"/>
  <c r="N365" i="40"/>
  <c r="O365" i="40" s="1"/>
  <c r="L365" i="40"/>
  <c r="M365" i="40" s="1"/>
  <c r="I365" i="40"/>
  <c r="J365" i="40" s="1"/>
  <c r="K365" i="40" s="1"/>
  <c r="H365" i="40"/>
  <c r="G365" i="40"/>
  <c r="F365" i="40"/>
  <c r="H643" i="16"/>
  <c r="G643" i="16"/>
  <c r="K643" i="16" s="1"/>
  <c r="I643" i="16"/>
  <c r="J643" i="16" s="1"/>
  <c r="E643" i="16"/>
  <c r="I642" i="16"/>
  <c r="J642" i="16" s="1"/>
  <c r="H642" i="16"/>
  <c r="G642" i="16"/>
  <c r="K642" i="16" s="1"/>
  <c r="F642" i="16"/>
  <c r="E642" i="16"/>
  <c r="L364" i="40"/>
  <c r="M364" i="40" s="1"/>
  <c r="H364" i="40"/>
  <c r="G364" i="40"/>
  <c r="F364" i="40"/>
  <c r="N364" i="40" s="1"/>
  <c r="O364" i="40" s="1"/>
  <c r="H641" i="16"/>
  <c r="G641" i="16"/>
  <c r="K641" i="16" s="1"/>
  <c r="F641" i="16"/>
  <c r="I641" i="16" s="1"/>
  <c r="J641" i="16" s="1"/>
  <c r="E641" i="16"/>
  <c r="N363" i="40"/>
  <c r="O363" i="40" s="1"/>
  <c r="L363" i="40"/>
  <c r="M363" i="40" s="1"/>
  <c r="J363" i="40"/>
  <c r="K363" i="40" s="1"/>
  <c r="I363" i="40"/>
  <c r="H363" i="40"/>
  <c r="G363" i="40"/>
  <c r="F363" i="40"/>
  <c r="L362" i="40"/>
  <c r="M362" i="40" s="1"/>
  <c r="H362" i="40"/>
  <c r="G362" i="40"/>
  <c r="F362" i="40"/>
  <c r="N362" i="40" s="1"/>
  <c r="O362" i="40" s="1"/>
  <c r="I640" i="16"/>
  <c r="J640" i="16" s="1"/>
  <c r="H640" i="16"/>
  <c r="G640" i="16"/>
  <c r="K640" i="16" s="1"/>
  <c r="F640" i="16"/>
  <c r="E640" i="16"/>
  <c r="H639" i="16"/>
  <c r="G639" i="16"/>
  <c r="K639" i="16" s="1"/>
  <c r="F639" i="16"/>
  <c r="I639" i="16" s="1"/>
  <c r="J639" i="16" s="1"/>
  <c r="E639" i="16"/>
  <c r="N361" i="40"/>
  <c r="O361" i="40" s="1"/>
  <c r="L361" i="40"/>
  <c r="M361" i="40" s="1"/>
  <c r="J361" i="40"/>
  <c r="K361" i="40" s="1"/>
  <c r="I361" i="40"/>
  <c r="H361" i="40"/>
  <c r="G361" i="40"/>
  <c r="F361" i="40"/>
  <c r="N360" i="40"/>
  <c r="O360" i="40" s="1"/>
  <c r="L360" i="40"/>
  <c r="M360" i="40" s="1"/>
  <c r="J360" i="40"/>
  <c r="K360" i="40" s="1"/>
  <c r="I360" i="40"/>
  <c r="H360" i="40"/>
  <c r="G360" i="40"/>
  <c r="F360" i="40"/>
  <c r="I638" i="16"/>
  <c r="J638" i="16" s="1"/>
  <c r="H638" i="16"/>
  <c r="G638" i="16"/>
  <c r="K638" i="16" s="1"/>
  <c r="F638" i="16"/>
  <c r="E638" i="16"/>
  <c r="L359" i="40"/>
  <c r="M359" i="40" s="1"/>
  <c r="H359" i="40"/>
  <c r="G359" i="40"/>
  <c r="F359" i="40"/>
  <c r="N359" i="40" s="1"/>
  <c r="O359" i="40" s="1"/>
  <c r="H637" i="16"/>
  <c r="G637" i="16"/>
  <c r="K637" i="16" s="1"/>
  <c r="F637" i="16"/>
  <c r="I637" i="16" s="1"/>
  <c r="J637" i="16" s="1"/>
  <c r="E637" i="16"/>
  <c r="H636" i="16"/>
  <c r="I636" i="16" s="1"/>
  <c r="J636" i="16" s="1"/>
  <c r="G636" i="16"/>
  <c r="K636" i="16" s="1"/>
  <c r="F636" i="16"/>
  <c r="E636" i="16"/>
  <c r="H635" i="16"/>
  <c r="G635" i="16"/>
  <c r="K635" i="16" s="1"/>
  <c r="F635" i="16"/>
  <c r="I635" i="16" s="1"/>
  <c r="J635" i="16" s="1"/>
  <c r="E635" i="16"/>
  <c r="L358" i="40"/>
  <c r="M358" i="40" s="1"/>
  <c r="H358" i="40"/>
  <c r="G358" i="40"/>
  <c r="F358" i="40"/>
  <c r="N358" i="40" s="1"/>
  <c r="O358" i="40" s="1"/>
  <c r="I634" i="16"/>
  <c r="J634" i="16" s="1"/>
  <c r="H634" i="16"/>
  <c r="G634" i="16"/>
  <c r="K634" i="16" s="1"/>
  <c r="F634" i="16"/>
  <c r="E634" i="16"/>
  <c r="L357" i="40"/>
  <c r="M357" i="40" s="1"/>
  <c r="H357" i="40"/>
  <c r="G357" i="40"/>
  <c r="F357" i="40"/>
  <c r="I357" i="40" s="1"/>
  <c r="J357" i="40" s="1"/>
  <c r="K357" i="40" s="1"/>
  <c r="L356" i="40"/>
  <c r="M356" i="40" s="1"/>
  <c r="H356" i="40"/>
  <c r="G356" i="40"/>
  <c r="F356" i="40"/>
  <c r="N356" i="40" s="1"/>
  <c r="O356" i="40" s="1"/>
  <c r="H633" i="16"/>
  <c r="G633" i="16"/>
  <c r="K633" i="16" s="1"/>
  <c r="F633" i="16"/>
  <c r="I633" i="16" s="1"/>
  <c r="J633" i="16" s="1"/>
  <c r="E633" i="16"/>
  <c r="L355" i="40"/>
  <c r="M355" i="40" s="1"/>
  <c r="H355" i="40"/>
  <c r="G355" i="40"/>
  <c r="F355" i="40"/>
  <c r="N355" i="40" s="1"/>
  <c r="O355" i="40" s="1"/>
  <c r="F632" i="16"/>
  <c r="G632" i="16"/>
  <c r="K632" i="16" s="1"/>
  <c r="H632" i="16"/>
  <c r="I632" i="16"/>
  <c r="J632" i="16"/>
  <c r="E632" i="16"/>
  <c r="N354" i="40"/>
  <c r="O354" i="40" s="1"/>
  <c r="L354" i="40"/>
  <c r="M354" i="40" s="1"/>
  <c r="J354" i="40"/>
  <c r="K354" i="40" s="1"/>
  <c r="I354" i="40"/>
  <c r="H354" i="40"/>
  <c r="G354" i="40"/>
  <c r="F354" i="40"/>
  <c r="H631" i="16"/>
  <c r="G631" i="16"/>
  <c r="K631" i="16" s="1"/>
  <c r="F631" i="16"/>
  <c r="I631" i="16" s="1"/>
  <c r="J631" i="16" s="1"/>
  <c r="E631" i="16"/>
  <c r="P66" i="18"/>
  <c r="M66" i="18"/>
  <c r="I66" i="18"/>
  <c r="J66" i="18"/>
  <c r="K66" i="18" s="1"/>
  <c r="H630" i="16"/>
  <c r="G630" i="16"/>
  <c r="K630" i="16" s="1"/>
  <c r="F630" i="16"/>
  <c r="I630" i="16" s="1"/>
  <c r="J630" i="16" s="1"/>
  <c r="E630" i="16"/>
  <c r="L353" i="40"/>
  <c r="M353" i="40" s="1"/>
  <c r="H353" i="40"/>
  <c r="G353" i="40"/>
  <c r="F353" i="40"/>
  <c r="N353" i="40" s="1"/>
  <c r="O353" i="40" s="1"/>
  <c r="I367" i="40" l="1"/>
  <c r="J367" i="40" s="1"/>
  <c r="K367" i="40" s="1"/>
  <c r="I364" i="40"/>
  <c r="J364" i="40" s="1"/>
  <c r="K364" i="40" s="1"/>
  <c r="I362" i="40"/>
  <c r="J362" i="40" s="1"/>
  <c r="K362" i="40" s="1"/>
  <c r="I359" i="40"/>
  <c r="J359" i="40" s="1"/>
  <c r="K359" i="40" s="1"/>
  <c r="I358" i="40"/>
  <c r="J358" i="40" s="1"/>
  <c r="K358" i="40" s="1"/>
  <c r="N357" i="40"/>
  <c r="O357" i="40" s="1"/>
  <c r="I356" i="40"/>
  <c r="J356" i="40" s="1"/>
  <c r="K356" i="40" s="1"/>
  <c r="I355" i="40"/>
  <c r="J355" i="40" s="1"/>
  <c r="K355" i="40" s="1"/>
  <c r="I353" i="40"/>
  <c r="J353" i="40" s="1"/>
  <c r="K353" i="40" s="1"/>
  <c r="C45" i="52" l="1"/>
  <c r="D45" i="52" s="1"/>
  <c r="E45" i="52"/>
  <c r="G45" i="52" s="1"/>
  <c r="H45" i="52" s="1"/>
  <c r="I45" i="52" s="1"/>
  <c r="C44" i="52"/>
  <c r="D44" i="52" s="1"/>
  <c r="E44" i="52"/>
  <c r="C43" i="52"/>
  <c r="D43" i="52" s="1"/>
  <c r="E43" i="52"/>
  <c r="F45" i="52" l="1"/>
  <c r="F44" i="52"/>
  <c r="G44" i="52"/>
  <c r="H44" i="52" s="1"/>
  <c r="I44" i="52" s="1"/>
  <c r="G43" i="52"/>
  <c r="H43" i="52" s="1"/>
  <c r="I43" i="52" s="1"/>
  <c r="C42" i="52"/>
  <c r="D42" i="52" s="1"/>
  <c r="E42" i="52"/>
  <c r="G42" i="52" s="1"/>
  <c r="H42" i="52" s="1"/>
  <c r="I42" i="52" s="1"/>
  <c r="F43" i="52" l="1"/>
  <c r="C41" i="52"/>
  <c r="D41" i="52" s="1"/>
  <c r="E41" i="52"/>
  <c r="G41" i="52" s="1"/>
  <c r="H41" i="52" s="1"/>
  <c r="I41" i="52" s="1"/>
  <c r="C40" i="52"/>
  <c r="D40" i="52" s="1"/>
  <c r="E40" i="52"/>
  <c r="C39" i="52"/>
  <c r="D39" i="52" s="1"/>
  <c r="E39" i="52"/>
  <c r="C38" i="52"/>
  <c r="D38" i="52" s="1"/>
  <c r="E38" i="52"/>
  <c r="G38" i="52" s="1"/>
  <c r="H38" i="52" s="1"/>
  <c r="I38" i="52" s="1"/>
  <c r="E32" i="52"/>
  <c r="G32" i="52" s="1"/>
  <c r="H32" i="52" s="1"/>
  <c r="I32" i="52" s="1"/>
  <c r="C32" i="52"/>
  <c r="D32" i="52" s="1"/>
  <c r="E37" i="52"/>
  <c r="G37" i="52" s="1"/>
  <c r="H37" i="52" s="1"/>
  <c r="I37" i="52" s="1"/>
  <c r="C37" i="52"/>
  <c r="D37" i="52" s="1"/>
  <c r="E36" i="52"/>
  <c r="C36" i="52"/>
  <c r="D36" i="52" s="1"/>
  <c r="E35" i="52"/>
  <c r="C35" i="52"/>
  <c r="D35" i="52" s="1"/>
  <c r="E34" i="52"/>
  <c r="C34" i="52"/>
  <c r="D34" i="52" s="1"/>
  <c r="C33" i="52"/>
  <c r="D33" i="52" s="1"/>
  <c r="C8" i="52"/>
  <c r="D8" i="52" s="1"/>
  <c r="E8" i="52"/>
  <c r="C9" i="52"/>
  <c r="D9" i="52" s="1"/>
  <c r="E9" i="52"/>
  <c r="C10" i="52"/>
  <c r="D10" i="52" s="1"/>
  <c r="E10" i="52"/>
  <c r="C11" i="52"/>
  <c r="D11" i="52" s="1"/>
  <c r="E11" i="52"/>
  <c r="C12" i="52"/>
  <c r="D12" i="52" s="1"/>
  <c r="E12" i="52"/>
  <c r="C13" i="52"/>
  <c r="D13" i="52" s="1"/>
  <c r="E13" i="52"/>
  <c r="G13" i="52" s="1"/>
  <c r="H13" i="52" s="1"/>
  <c r="I13" i="52" s="1"/>
  <c r="C14" i="52"/>
  <c r="D14" i="52" s="1"/>
  <c r="E14" i="52"/>
  <c r="G14" i="52" s="1"/>
  <c r="H14" i="52" s="1"/>
  <c r="I14" i="52" s="1"/>
  <c r="C15" i="52"/>
  <c r="D15" i="52" s="1"/>
  <c r="E15" i="52"/>
  <c r="G15" i="52" s="1"/>
  <c r="H15" i="52" s="1"/>
  <c r="I15" i="52" s="1"/>
  <c r="C16" i="52"/>
  <c r="D16" i="52" s="1"/>
  <c r="E16" i="52"/>
  <c r="G16" i="52" s="1"/>
  <c r="H16" i="52" s="1"/>
  <c r="I16" i="52" s="1"/>
  <c r="C17" i="52"/>
  <c r="D17" i="52" s="1"/>
  <c r="E17" i="52"/>
  <c r="C18" i="52"/>
  <c r="D18" i="52" s="1"/>
  <c r="E18" i="52"/>
  <c r="G18" i="52" s="1"/>
  <c r="H18" i="52" s="1"/>
  <c r="I18" i="52" s="1"/>
  <c r="C19" i="52"/>
  <c r="D19" i="52" s="1"/>
  <c r="E19" i="52"/>
  <c r="C20" i="52"/>
  <c r="D20" i="52" s="1"/>
  <c r="E20" i="52"/>
  <c r="C21" i="52"/>
  <c r="D21" i="52" s="1"/>
  <c r="E21" i="52"/>
  <c r="G21" i="52" s="1"/>
  <c r="H21" i="52" s="1"/>
  <c r="I21" i="52" s="1"/>
  <c r="C22" i="52"/>
  <c r="D22" i="52" s="1"/>
  <c r="E22" i="52"/>
  <c r="C23" i="52"/>
  <c r="D23" i="52" s="1"/>
  <c r="E23" i="52"/>
  <c r="C24" i="52"/>
  <c r="D24" i="52" s="1"/>
  <c r="E24" i="52"/>
  <c r="C25" i="52"/>
  <c r="D25" i="52" s="1"/>
  <c r="E25" i="52"/>
  <c r="G25" i="52" s="1"/>
  <c r="H25" i="52" s="1"/>
  <c r="I25" i="52" s="1"/>
  <c r="C26" i="52"/>
  <c r="D26" i="52" s="1"/>
  <c r="E26" i="52"/>
  <c r="G26" i="52" s="1"/>
  <c r="H26" i="52" s="1"/>
  <c r="I26" i="52" s="1"/>
  <c r="C27" i="52"/>
  <c r="D27" i="52" s="1"/>
  <c r="E27" i="52"/>
  <c r="C28" i="52"/>
  <c r="D28" i="52" s="1"/>
  <c r="E28" i="52"/>
  <c r="G28" i="52" s="1"/>
  <c r="H28" i="52" s="1"/>
  <c r="I28" i="52" s="1"/>
  <c r="C29" i="52"/>
  <c r="D29" i="52" s="1"/>
  <c r="E29" i="52"/>
  <c r="C30" i="52"/>
  <c r="D30" i="52" s="1"/>
  <c r="E30" i="52"/>
  <c r="G30" i="52" s="1"/>
  <c r="H30" i="52" s="1"/>
  <c r="I30" i="52" s="1"/>
  <c r="C31" i="52"/>
  <c r="D31" i="52" s="1"/>
  <c r="E31" i="52"/>
  <c r="E33" i="52"/>
  <c r="G33" i="52" s="1"/>
  <c r="H33" i="52" s="1"/>
  <c r="I33" i="52" s="1"/>
  <c r="F42" i="52" l="1"/>
  <c r="F41" i="52"/>
  <c r="F40" i="52"/>
  <c r="G40" i="52"/>
  <c r="H40" i="52" s="1"/>
  <c r="I40" i="52" s="1"/>
  <c r="F39" i="52"/>
  <c r="F38" i="52"/>
  <c r="G39" i="52"/>
  <c r="H39" i="52" s="1"/>
  <c r="I39" i="52" s="1"/>
  <c r="F22" i="52"/>
  <c r="F10" i="52"/>
  <c r="F35" i="52"/>
  <c r="F36" i="52"/>
  <c r="F32" i="52"/>
  <c r="F19" i="52"/>
  <c r="F34" i="52"/>
  <c r="G34" i="52"/>
  <c r="H34" i="52" s="1"/>
  <c r="I34" i="52" s="1"/>
  <c r="F28" i="52"/>
  <c r="G35" i="52"/>
  <c r="H35" i="52" s="1"/>
  <c r="I35" i="52" s="1"/>
  <c r="F25" i="52"/>
  <c r="F9" i="52"/>
  <c r="F31" i="52"/>
  <c r="F15" i="52"/>
  <c r="G9" i="52"/>
  <c r="H9" i="52" s="1"/>
  <c r="I9" i="52" s="1"/>
  <c r="G36" i="52"/>
  <c r="H36" i="52" s="1"/>
  <c r="I36" i="52" s="1"/>
  <c r="F23" i="52"/>
  <c r="G27" i="52"/>
  <c r="H27" i="52" s="1"/>
  <c r="I27" i="52" s="1"/>
  <c r="F18" i="52"/>
  <c r="F16" i="52"/>
  <c r="F37" i="52"/>
  <c r="F20" i="52"/>
  <c r="G10" i="52"/>
  <c r="H10" i="52" s="1"/>
  <c r="I10" i="52" s="1"/>
  <c r="F17" i="52"/>
  <c r="F14" i="52"/>
  <c r="G22" i="52"/>
  <c r="H22" i="52" s="1"/>
  <c r="I22" i="52" s="1"/>
  <c r="F13" i="52"/>
  <c r="F30" i="52"/>
  <c r="F27" i="52"/>
  <c r="F33" i="52"/>
  <c r="F11" i="52"/>
  <c r="F21" i="52"/>
  <c r="G31" i="52"/>
  <c r="H31" i="52" s="1"/>
  <c r="I31" i="52" s="1"/>
  <c r="F26" i="52"/>
  <c r="G19" i="52"/>
  <c r="H19" i="52" s="1"/>
  <c r="I19" i="52" s="1"/>
  <c r="G24" i="52"/>
  <c r="H24" i="52" s="1"/>
  <c r="I24" i="52" s="1"/>
  <c r="G12" i="52"/>
  <c r="H12" i="52" s="1"/>
  <c r="I12" i="52" s="1"/>
  <c r="G29" i="52"/>
  <c r="H29" i="52" s="1"/>
  <c r="I29" i="52" s="1"/>
  <c r="F24" i="52"/>
  <c r="G17" i="52"/>
  <c r="H17" i="52" s="1"/>
  <c r="I17" i="52" s="1"/>
  <c r="F12" i="52"/>
  <c r="F29" i="52"/>
  <c r="G20" i="52"/>
  <c r="H20" i="52" s="1"/>
  <c r="I20" i="52" s="1"/>
  <c r="G8" i="52"/>
  <c r="H8" i="52" s="1"/>
  <c r="I8" i="52" s="1"/>
  <c r="G23" i="52"/>
  <c r="H23" i="52" s="1"/>
  <c r="I23" i="52" s="1"/>
  <c r="G11" i="52"/>
  <c r="H11" i="52" s="1"/>
  <c r="I11" i="52" s="1"/>
  <c r="E5" i="52"/>
  <c r="G5" i="52" s="1"/>
  <c r="H5" i="52" s="1"/>
  <c r="I5" i="52" s="1"/>
  <c r="C7" i="52"/>
  <c r="D7" i="52" s="1"/>
  <c r="C6" i="52"/>
  <c r="D6" i="52" s="1"/>
  <c r="C5" i="52"/>
  <c r="D5" i="52" s="1"/>
  <c r="C4" i="52"/>
  <c r="D4" i="52" s="1"/>
  <c r="C3" i="52"/>
  <c r="D3" i="52" s="1"/>
  <c r="C2" i="52"/>
  <c r="D2" i="52" s="1"/>
  <c r="E4" i="52"/>
  <c r="G4" i="52" s="1"/>
  <c r="H4" i="52" s="1"/>
  <c r="I4" i="52" s="1"/>
  <c r="E6" i="52"/>
  <c r="E7" i="52"/>
  <c r="F8" i="52" s="1"/>
  <c r="E3" i="52"/>
  <c r="E2" i="52"/>
  <c r="G2" i="52" s="1"/>
  <c r="H2" i="52" s="1"/>
  <c r="I2" i="52" s="1"/>
  <c r="F4" i="52" l="1"/>
  <c r="F7" i="52"/>
  <c r="F6" i="52"/>
  <c r="F5" i="52"/>
  <c r="G7" i="52"/>
  <c r="H7" i="52" s="1"/>
  <c r="I7" i="52" s="1"/>
  <c r="G6" i="52"/>
  <c r="H6" i="52" s="1"/>
  <c r="I6" i="52" s="1"/>
  <c r="F3" i="52"/>
  <c r="F2" i="52"/>
  <c r="G3" i="52"/>
  <c r="H3" i="52" s="1"/>
  <c r="I3" i="52" s="1"/>
  <c r="I629" i="16"/>
  <c r="J629" i="16" s="1"/>
  <c r="H629" i="16"/>
  <c r="G629" i="16"/>
  <c r="K629" i="16" s="1"/>
  <c r="F629" i="16"/>
  <c r="E629" i="16"/>
  <c r="L352" i="40"/>
  <c r="M352" i="40" s="1"/>
  <c r="H352" i="40"/>
  <c r="G352" i="40"/>
  <c r="F352" i="40"/>
  <c r="N352" i="40" s="1"/>
  <c r="O352" i="40" s="1"/>
  <c r="I352" i="40" l="1"/>
  <c r="J352" i="40" s="1"/>
  <c r="K352" i="40" s="1"/>
  <c r="N351" i="40" l="1"/>
  <c r="O351" i="40" s="1"/>
  <c r="L351" i="40"/>
  <c r="M351" i="40" s="1"/>
  <c r="H351" i="40"/>
  <c r="G351" i="40"/>
  <c r="F351" i="40"/>
  <c r="I351" i="40" s="1"/>
  <c r="J351" i="40" s="1"/>
  <c r="K351" i="40" s="1"/>
  <c r="H628" i="16"/>
  <c r="G628" i="16"/>
  <c r="K628" i="16" s="1"/>
  <c r="F628" i="16"/>
  <c r="I628" i="16" s="1"/>
  <c r="J628" i="16" s="1"/>
  <c r="E628" i="16"/>
  <c r="L350" i="40"/>
  <c r="M350" i="40" s="1"/>
  <c r="H350" i="40"/>
  <c r="G350" i="40"/>
  <c r="F350" i="40"/>
  <c r="N350" i="40" s="1"/>
  <c r="O350" i="40" s="1"/>
  <c r="H627" i="16"/>
  <c r="G627" i="16"/>
  <c r="K627" i="16" s="1"/>
  <c r="F627" i="16"/>
  <c r="I627" i="16" s="1"/>
  <c r="J627" i="16" s="1"/>
  <c r="E627" i="16"/>
  <c r="N349" i="40"/>
  <c r="O349" i="40" s="1"/>
  <c r="L349" i="40"/>
  <c r="M349" i="40" s="1"/>
  <c r="J349" i="40"/>
  <c r="K349" i="40" s="1"/>
  <c r="I349" i="40"/>
  <c r="H349" i="40"/>
  <c r="G349" i="40"/>
  <c r="F349" i="40"/>
  <c r="H626" i="16"/>
  <c r="G626" i="16"/>
  <c r="K626" i="16" s="1"/>
  <c r="F626" i="16"/>
  <c r="I626" i="16" s="1"/>
  <c r="J626" i="16" s="1"/>
  <c r="E626" i="16"/>
  <c r="L348" i="40"/>
  <c r="M348" i="40" s="1"/>
  <c r="H348" i="40"/>
  <c r="G348" i="40"/>
  <c r="F348" i="40"/>
  <c r="N348" i="40" s="1"/>
  <c r="O348" i="40" s="1"/>
  <c r="H625" i="16"/>
  <c r="G625" i="16"/>
  <c r="K625" i="16" s="1"/>
  <c r="F625" i="16"/>
  <c r="I625" i="16" s="1"/>
  <c r="J625" i="16" s="1"/>
  <c r="E625" i="16"/>
  <c r="N347" i="40"/>
  <c r="O347" i="40" s="1"/>
  <c r="L347" i="40"/>
  <c r="M347" i="40" s="1"/>
  <c r="J347" i="40"/>
  <c r="K347" i="40" s="1"/>
  <c r="I347" i="40"/>
  <c r="H347" i="40"/>
  <c r="G347" i="40"/>
  <c r="F347" i="40"/>
  <c r="H624" i="16"/>
  <c r="G624" i="16"/>
  <c r="K624" i="16" s="1"/>
  <c r="F624" i="16"/>
  <c r="I624" i="16" s="1"/>
  <c r="J624" i="16" s="1"/>
  <c r="E624" i="16"/>
  <c r="H623" i="16"/>
  <c r="G623" i="16"/>
  <c r="K623" i="16" s="1"/>
  <c r="F623" i="16"/>
  <c r="E623" i="16"/>
  <c r="N346" i="40"/>
  <c r="O346" i="40" s="1"/>
  <c r="L346" i="40"/>
  <c r="M346" i="40" s="1"/>
  <c r="J346" i="40"/>
  <c r="K346" i="40" s="1"/>
  <c r="I346" i="40"/>
  <c r="H346" i="40"/>
  <c r="G346" i="40"/>
  <c r="F346" i="40"/>
  <c r="N345" i="40"/>
  <c r="O345" i="40" s="1"/>
  <c r="L345" i="40"/>
  <c r="M345" i="40" s="1"/>
  <c r="J345" i="40"/>
  <c r="K345" i="40" s="1"/>
  <c r="I345" i="40"/>
  <c r="H345" i="40"/>
  <c r="G345" i="40"/>
  <c r="F345" i="40"/>
  <c r="H622" i="16"/>
  <c r="G622" i="16"/>
  <c r="K622" i="16" s="1"/>
  <c r="F622" i="16"/>
  <c r="E622" i="16"/>
  <c r="L344" i="40"/>
  <c r="M344" i="40" s="1"/>
  <c r="J344" i="40"/>
  <c r="K344" i="40" s="1"/>
  <c r="I344" i="40"/>
  <c r="H344" i="40"/>
  <c r="G344" i="40"/>
  <c r="F344" i="40"/>
  <c r="N344" i="40" s="1"/>
  <c r="O344" i="40" s="1"/>
  <c r="H621" i="16"/>
  <c r="G621" i="16"/>
  <c r="K621" i="16" s="1"/>
  <c r="F621" i="16"/>
  <c r="I621" i="16" s="1"/>
  <c r="J621" i="16" s="1"/>
  <c r="E621" i="16"/>
  <c r="H620" i="16"/>
  <c r="G620" i="16"/>
  <c r="K620" i="16" s="1"/>
  <c r="F620" i="16"/>
  <c r="I620" i="16" s="1"/>
  <c r="J620" i="16" s="1"/>
  <c r="E620" i="16"/>
  <c r="O343" i="40"/>
  <c r="N343" i="40"/>
  <c r="L343" i="40"/>
  <c r="M343" i="40" s="1"/>
  <c r="J343" i="40"/>
  <c r="K343" i="40" s="1"/>
  <c r="I343" i="40"/>
  <c r="H343" i="40"/>
  <c r="G343" i="40"/>
  <c r="F343" i="40"/>
  <c r="P65" i="18"/>
  <c r="M65" i="18"/>
  <c r="I65" i="18"/>
  <c r="J65" i="18"/>
  <c r="K65" i="18" s="1"/>
  <c r="H619" i="16"/>
  <c r="G619" i="16"/>
  <c r="K619" i="16" s="1"/>
  <c r="F619" i="16"/>
  <c r="I619" i="16" s="1"/>
  <c r="J619" i="16" s="1"/>
  <c r="E619" i="16"/>
  <c r="L342" i="40"/>
  <c r="M342" i="40" s="1"/>
  <c r="H342" i="40"/>
  <c r="G342" i="40"/>
  <c r="F342" i="40"/>
  <c r="N342" i="40" s="1"/>
  <c r="O342" i="40" s="1"/>
  <c r="H618" i="16"/>
  <c r="G618" i="16"/>
  <c r="K618" i="16" s="1"/>
  <c r="F618" i="16"/>
  <c r="I618" i="16" s="1"/>
  <c r="J618" i="16" s="1"/>
  <c r="E618" i="16"/>
  <c r="L341" i="40"/>
  <c r="M341" i="40" s="1"/>
  <c r="H341" i="40"/>
  <c r="G341" i="40"/>
  <c r="F341" i="40"/>
  <c r="N341" i="40" s="1"/>
  <c r="H617" i="16"/>
  <c r="G617" i="16"/>
  <c r="K617" i="16" s="1"/>
  <c r="F617" i="16"/>
  <c r="I617" i="16" s="1"/>
  <c r="J617" i="16" s="1"/>
  <c r="E617" i="16"/>
  <c r="L340" i="40"/>
  <c r="M340" i="40" s="1"/>
  <c r="H340" i="40"/>
  <c r="G340" i="40"/>
  <c r="F340" i="40"/>
  <c r="N340" i="40" s="1"/>
  <c r="O340" i="40" s="1"/>
  <c r="L339" i="40"/>
  <c r="M339" i="40" s="1"/>
  <c r="J339" i="40"/>
  <c r="K339" i="40" s="1"/>
  <c r="I339" i="40"/>
  <c r="H339" i="40"/>
  <c r="G339" i="40"/>
  <c r="F339" i="40"/>
  <c r="N339" i="40" s="1"/>
  <c r="O339" i="40" s="1"/>
  <c r="I616" i="16"/>
  <c r="J616" i="16" s="1"/>
  <c r="H616" i="16"/>
  <c r="G616" i="16"/>
  <c r="K616" i="16" s="1"/>
  <c r="F616" i="16"/>
  <c r="E616" i="16"/>
  <c r="H615" i="16"/>
  <c r="G615" i="16"/>
  <c r="K615" i="16" s="1"/>
  <c r="F615" i="16"/>
  <c r="I615" i="16" s="1"/>
  <c r="J615" i="16" s="1"/>
  <c r="E615" i="16"/>
  <c r="N338" i="40"/>
  <c r="O338" i="40" s="1"/>
  <c r="L338" i="40"/>
  <c r="M338" i="40" s="1"/>
  <c r="J338" i="40"/>
  <c r="K338" i="40" s="1"/>
  <c r="I338" i="40"/>
  <c r="H338" i="40"/>
  <c r="G338" i="40"/>
  <c r="F338" i="40"/>
  <c r="M64" i="18"/>
  <c r="P64" i="18"/>
  <c r="I64" i="18"/>
  <c r="J64" i="18"/>
  <c r="K64" i="18"/>
  <c r="H614" i="16"/>
  <c r="G614" i="16"/>
  <c r="K614" i="16" s="1"/>
  <c r="F614" i="16"/>
  <c r="I614" i="16" s="1"/>
  <c r="J614" i="16" s="1"/>
  <c r="E614" i="16"/>
  <c r="N337" i="40"/>
  <c r="O337" i="40" s="1"/>
  <c r="L337" i="40"/>
  <c r="M337" i="40" s="1"/>
  <c r="J337" i="40"/>
  <c r="K337" i="40" s="1"/>
  <c r="I337" i="40"/>
  <c r="H337" i="40"/>
  <c r="G337" i="40"/>
  <c r="F337" i="40"/>
  <c r="L613" i="16"/>
  <c r="H613" i="16"/>
  <c r="G613" i="16"/>
  <c r="K613" i="16" s="1"/>
  <c r="F613" i="16"/>
  <c r="I613" i="16" s="1"/>
  <c r="J613" i="16" s="1"/>
  <c r="E613" i="16"/>
  <c r="L336" i="40"/>
  <c r="M336" i="40" s="1"/>
  <c r="H336" i="40"/>
  <c r="G336" i="40"/>
  <c r="F336" i="40"/>
  <c r="N336" i="40" s="1"/>
  <c r="O336" i="40" s="1"/>
  <c r="N335" i="40"/>
  <c r="O335" i="40" s="1"/>
  <c r="L335" i="40"/>
  <c r="M335" i="40" s="1"/>
  <c r="H335" i="40"/>
  <c r="G335" i="40"/>
  <c r="F335" i="40"/>
  <c r="I335" i="40" s="1"/>
  <c r="L334" i="40"/>
  <c r="M334" i="40" s="1"/>
  <c r="H334" i="40"/>
  <c r="G334" i="40"/>
  <c r="F334" i="40"/>
  <c r="N334" i="40" s="1"/>
  <c r="O334" i="40" s="1"/>
  <c r="H612" i="16"/>
  <c r="G612" i="16"/>
  <c r="K612" i="16" s="1"/>
  <c r="F612" i="16"/>
  <c r="I612" i="16" s="1"/>
  <c r="J612" i="16" s="1"/>
  <c r="E612" i="16"/>
  <c r="H611" i="16"/>
  <c r="G611" i="16"/>
  <c r="K611" i="16" s="1"/>
  <c r="F611" i="16"/>
  <c r="I611" i="16" s="1"/>
  <c r="J611" i="16" s="1"/>
  <c r="E611" i="16"/>
  <c r="L333" i="40"/>
  <c r="M333" i="40" s="1"/>
  <c r="H333" i="40"/>
  <c r="G333" i="40"/>
  <c r="F333" i="40"/>
  <c r="N333" i="40" s="1"/>
  <c r="O333" i="40" s="1"/>
  <c r="L332" i="40"/>
  <c r="M332" i="40" s="1"/>
  <c r="J332" i="40"/>
  <c r="K332" i="40" s="1"/>
  <c r="I332" i="40"/>
  <c r="H332" i="40"/>
  <c r="G332" i="40"/>
  <c r="F332" i="40"/>
  <c r="N332" i="40" s="1"/>
  <c r="O332" i="40" s="1"/>
  <c r="H610" i="16"/>
  <c r="G610" i="16"/>
  <c r="K610" i="16" s="1"/>
  <c r="F610" i="16"/>
  <c r="I610" i="16" s="1"/>
  <c r="J610" i="16" s="1"/>
  <c r="E610" i="16"/>
  <c r="H609" i="16"/>
  <c r="G609" i="16"/>
  <c r="K609" i="16" s="1"/>
  <c r="F609" i="16"/>
  <c r="I609" i="16" s="1"/>
  <c r="J609" i="16" s="1"/>
  <c r="E609" i="16"/>
  <c r="L331" i="40"/>
  <c r="M331" i="40" s="1"/>
  <c r="H331" i="40"/>
  <c r="G331" i="40"/>
  <c r="F331" i="40"/>
  <c r="N331" i="40" s="1"/>
  <c r="O331" i="40" s="1"/>
  <c r="L330" i="40"/>
  <c r="M330" i="40" s="1"/>
  <c r="H330" i="40"/>
  <c r="G330" i="40"/>
  <c r="F330" i="40"/>
  <c r="N330" i="40" s="1"/>
  <c r="O330" i="40" s="1"/>
  <c r="H608" i="16"/>
  <c r="G608" i="16"/>
  <c r="K608" i="16" s="1"/>
  <c r="F608" i="16"/>
  <c r="I608" i="16" s="1"/>
  <c r="J608" i="16" s="1"/>
  <c r="E608" i="16"/>
  <c r="L329" i="40"/>
  <c r="M329" i="40" s="1"/>
  <c r="J329" i="40"/>
  <c r="K329" i="40" s="1"/>
  <c r="I329" i="40"/>
  <c r="H329" i="40"/>
  <c r="G329" i="40"/>
  <c r="F329" i="40"/>
  <c r="N329" i="40" s="1"/>
  <c r="O329" i="40" s="1"/>
  <c r="H607" i="16"/>
  <c r="G607" i="16"/>
  <c r="K607" i="16" s="1"/>
  <c r="F607" i="16"/>
  <c r="I607" i="16" s="1"/>
  <c r="J607" i="16" s="1"/>
  <c r="E607" i="16"/>
  <c r="L328" i="40"/>
  <c r="M328" i="40" s="1"/>
  <c r="H328" i="40"/>
  <c r="G328" i="40"/>
  <c r="F328" i="40"/>
  <c r="N328" i="40" s="1"/>
  <c r="O328" i="40" s="1"/>
  <c r="H606" i="16"/>
  <c r="G606" i="16"/>
  <c r="K606" i="16" s="1"/>
  <c r="F606" i="16"/>
  <c r="I606" i="16" s="1"/>
  <c r="J606" i="16" s="1"/>
  <c r="E606" i="16"/>
  <c r="L327" i="40"/>
  <c r="M327" i="40" s="1"/>
  <c r="H327" i="40"/>
  <c r="G327" i="40"/>
  <c r="F327" i="40"/>
  <c r="I327" i="40" s="1"/>
  <c r="J327" i="40" s="1"/>
  <c r="K327" i="40" s="1"/>
  <c r="L326" i="40"/>
  <c r="M326" i="40" s="1"/>
  <c r="H326" i="40"/>
  <c r="G326" i="40"/>
  <c r="F326" i="40"/>
  <c r="N326" i="40" s="1"/>
  <c r="O326" i="40" s="1"/>
  <c r="H605" i="16"/>
  <c r="G605" i="16"/>
  <c r="K605" i="16" s="1"/>
  <c r="F605" i="16"/>
  <c r="I605" i="16" s="1"/>
  <c r="J605" i="16" s="1"/>
  <c r="E605" i="16"/>
  <c r="H604" i="16"/>
  <c r="G604" i="16"/>
  <c r="K604" i="16" s="1"/>
  <c r="F604" i="16"/>
  <c r="I604" i="16" s="1"/>
  <c r="J604" i="16" s="1"/>
  <c r="E604" i="16"/>
  <c r="P63" i="18"/>
  <c r="M63" i="18"/>
  <c r="I63" i="18"/>
  <c r="J63" i="18"/>
  <c r="K63" i="18" s="1"/>
  <c r="H603" i="16"/>
  <c r="G603" i="16"/>
  <c r="K603" i="16" s="1"/>
  <c r="F603" i="16"/>
  <c r="I603" i="16" s="1"/>
  <c r="J603" i="16" s="1"/>
  <c r="E603" i="16"/>
  <c r="L325" i="40"/>
  <c r="M325" i="40" s="1"/>
  <c r="H325" i="40"/>
  <c r="G325" i="40"/>
  <c r="F325" i="40"/>
  <c r="N325" i="40" s="1"/>
  <c r="O325" i="40" s="1"/>
  <c r="H602" i="16"/>
  <c r="G602" i="16"/>
  <c r="K602" i="16" s="1"/>
  <c r="F602" i="16"/>
  <c r="I602" i="16" s="1"/>
  <c r="J602" i="16" s="1"/>
  <c r="E602" i="16"/>
  <c r="F324" i="40"/>
  <c r="F323" i="40"/>
  <c r="F322" i="40"/>
  <c r="F321" i="40"/>
  <c r="F320" i="40"/>
  <c r="F319" i="40"/>
  <c r="F318" i="40"/>
  <c r="F317" i="40"/>
  <c r="F316" i="40"/>
  <c r="F315" i="40"/>
  <c r="I316" i="40"/>
  <c r="A505" i="46"/>
  <c r="A506" i="46" s="1"/>
  <c r="A504" i="46"/>
  <c r="H601" i="16"/>
  <c r="G601" i="16"/>
  <c r="K601" i="16" s="1"/>
  <c r="F601" i="16"/>
  <c r="I601" i="16" s="1"/>
  <c r="J601" i="16" s="1"/>
  <c r="E601" i="16"/>
  <c r="N324" i="40"/>
  <c r="O324" i="40" s="1"/>
  <c r="L324" i="40"/>
  <c r="M324" i="40" s="1"/>
  <c r="I324" i="40"/>
  <c r="H324" i="40"/>
  <c r="G324" i="40"/>
  <c r="N323" i="40"/>
  <c r="L323" i="40"/>
  <c r="M323" i="40" s="1"/>
  <c r="I323" i="40"/>
  <c r="H323" i="40"/>
  <c r="G323" i="40"/>
  <c r="I600" i="16"/>
  <c r="J600" i="16" s="1"/>
  <c r="H600" i="16"/>
  <c r="G600" i="16"/>
  <c r="K600" i="16" s="1"/>
  <c r="F600" i="16"/>
  <c r="E600" i="16"/>
  <c r="I350" i="40" l="1"/>
  <c r="J350" i="40" s="1"/>
  <c r="K350" i="40" s="1"/>
  <c r="I348" i="40"/>
  <c r="J348" i="40" s="1"/>
  <c r="K348" i="40" s="1"/>
  <c r="I623" i="16"/>
  <c r="J623" i="16" s="1"/>
  <c r="I622" i="16"/>
  <c r="J622" i="16" s="1"/>
  <c r="I342" i="40"/>
  <c r="J342" i="40" s="1"/>
  <c r="K342" i="40" s="1"/>
  <c r="O341" i="40"/>
  <c r="I341" i="40"/>
  <c r="J341" i="40" s="1"/>
  <c r="K341" i="40" s="1"/>
  <c r="I340" i="40"/>
  <c r="J340" i="40" s="1"/>
  <c r="K340" i="40" s="1"/>
  <c r="J335" i="40"/>
  <c r="K335" i="40" s="1"/>
  <c r="J336" i="40"/>
  <c r="K336" i="40" s="1"/>
  <c r="I336" i="40"/>
  <c r="I334" i="40"/>
  <c r="J334" i="40" s="1"/>
  <c r="K334" i="40" s="1"/>
  <c r="I333" i="40"/>
  <c r="J333" i="40" s="1"/>
  <c r="K333" i="40" s="1"/>
  <c r="I331" i="40"/>
  <c r="J331" i="40" s="1"/>
  <c r="K331" i="40" s="1"/>
  <c r="I330" i="40"/>
  <c r="J330" i="40" s="1"/>
  <c r="K330" i="40" s="1"/>
  <c r="I328" i="40"/>
  <c r="J328" i="40" s="1"/>
  <c r="K328" i="40" s="1"/>
  <c r="N327" i="40"/>
  <c r="O327" i="40" s="1"/>
  <c r="I326" i="40"/>
  <c r="J326" i="40" s="1"/>
  <c r="K326" i="40" s="1"/>
  <c r="I325" i="40"/>
  <c r="J325" i="40" s="1"/>
  <c r="K325" i="40" s="1"/>
  <c r="A507" i="46"/>
  <c r="P62" i="18"/>
  <c r="M62" i="18"/>
  <c r="I62" i="18"/>
  <c r="J62" i="18"/>
  <c r="K62" i="18" s="1"/>
  <c r="E507" i="46" l="1"/>
  <c r="A508" i="46"/>
  <c r="B507" i="46"/>
  <c r="C507" i="46" s="1"/>
  <c r="N322" i="40"/>
  <c r="L322" i="40"/>
  <c r="M322" i="40" s="1"/>
  <c r="J322" i="40"/>
  <c r="K322" i="40" s="1"/>
  <c r="I322" i="40"/>
  <c r="H322" i="40"/>
  <c r="G322" i="40"/>
  <c r="H599" i="16"/>
  <c r="F599" i="16"/>
  <c r="I599" i="16" s="1"/>
  <c r="J599" i="16" s="1"/>
  <c r="E599" i="16"/>
  <c r="H598" i="16"/>
  <c r="G598" i="16"/>
  <c r="K598" i="16" s="1"/>
  <c r="F598" i="16"/>
  <c r="I598" i="16" s="1"/>
  <c r="J598" i="16" s="1"/>
  <c r="E598" i="16"/>
  <c r="N321" i="40"/>
  <c r="O321" i="40" s="1"/>
  <c r="L321" i="40"/>
  <c r="M321" i="40" s="1"/>
  <c r="J321" i="40"/>
  <c r="K321" i="40" s="1"/>
  <c r="I321" i="40"/>
  <c r="H321" i="40"/>
  <c r="G321" i="40"/>
  <c r="H597" i="16"/>
  <c r="G597" i="16"/>
  <c r="K597" i="16" s="1"/>
  <c r="F597" i="16"/>
  <c r="I597" i="16" s="1"/>
  <c r="J597" i="16" s="1"/>
  <c r="E597" i="16"/>
  <c r="M61" i="18"/>
  <c r="P61" i="18"/>
  <c r="I61" i="18"/>
  <c r="J61" i="18"/>
  <c r="K61" i="18" s="1"/>
  <c r="I596" i="16"/>
  <c r="J596" i="16" s="1"/>
  <c r="H596" i="16"/>
  <c r="G596" i="16"/>
  <c r="K596" i="16" s="1"/>
  <c r="F596" i="16"/>
  <c r="E596" i="16"/>
  <c r="N320" i="40"/>
  <c r="O320" i="40" s="1"/>
  <c r="L320" i="40"/>
  <c r="M320" i="40" s="1"/>
  <c r="J320" i="40"/>
  <c r="K320" i="40" s="1"/>
  <c r="I320" i="40"/>
  <c r="H320" i="40"/>
  <c r="G320" i="40"/>
  <c r="H595" i="16"/>
  <c r="G595" i="16"/>
  <c r="K595" i="16" s="1"/>
  <c r="F595" i="16"/>
  <c r="I595" i="16" s="1"/>
  <c r="J595" i="16" s="1"/>
  <c r="H594" i="16"/>
  <c r="G594" i="16"/>
  <c r="K594" i="16" s="1"/>
  <c r="F594" i="16"/>
  <c r="I594" i="16" s="1"/>
  <c r="J594" i="16" s="1"/>
  <c r="E595" i="16"/>
  <c r="N319" i="40"/>
  <c r="L319" i="40"/>
  <c r="M319" i="40" s="1"/>
  <c r="J319" i="40"/>
  <c r="K319" i="40" s="1"/>
  <c r="I319" i="40"/>
  <c r="H319" i="40"/>
  <c r="G319" i="40"/>
  <c r="N318" i="40"/>
  <c r="O318" i="40" s="1"/>
  <c r="L318" i="40"/>
  <c r="M318" i="40" s="1"/>
  <c r="J318" i="40"/>
  <c r="K318" i="40" s="1"/>
  <c r="I318" i="40"/>
  <c r="H318" i="40"/>
  <c r="G318" i="40"/>
  <c r="E594" i="16"/>
  <c r="N317" i="40"/>
  <c r="O317" i="40" s="1"/>
  <c r="L317" i="40"/>
  <c r="M317" i="40" s="1"/>
  <c r="J317" i="40"/>
  <c r="K317" i="40" s="1"/>
  <c r="I317" i="40"/>
  <c r="H317" i="40"/>
  <c r="G317" i="40"/>
  <c r="H593" i="16"/>
  <c r="G593" i="16"/>
  <c r="K593" i="16" s="1"/>
  <c r="F593" i="16"/>
  <c r="I593" i="16" s="1"/>
  <c r="J593" i="16" s="1"/>
  <c r="F592" i="16"/>
  <c r="E593" i="16"/>
  <c r="N316" i="40"/>
  <c r="L316" i="40"/>
  <c r="M316" i="40" s="1"/>
  <c r="H316" i="40"/>
  <c r="G316" i="40"/>
  <c r="I592" i="16"/>
  <c r="J592" i="16" s="1"/>
  <c r="H592" i="16"/>
  <c r="G592" i="16"/>
  <c r="K592" i="16" s="1"/>
  <c r="E592" i="16"/>
  <c r="H591" i="16"/>
  <c r="G591" i="16"/>
  <c r="K591" i="16" s="1"/>
  <c r="F591" i="16"/>
  <c r="I591" i="16" s="1"/>
  <c r="J591" i="16" s="1"/>
  <c r="E591" i="16"/>
  <c r="I590" i="16"/>
  <c r="J590" i="16" s="1"/>
  <c r="H590" i="16"/>
  <c r="G590" i="16"/>
  <c r="K590" i="16" s="1"/>
  <c r="F590" i="16"/>
  <c r="E590" i="16"/>
  <c r="N315" i="40"/>
  <c r="O315" i="40" s="1"/>
  <c r="L315" i="40"/>
  <c r="M315" i="40" s="1"/>
  <c r="I315" i="40"/>
  <c r="H315" i="40"/>
  <c r="G315" i="40"/>
  <c r="L314" i="40"/>
  <c r="M314" i="40" s="1"/>
  <c r="J314" i="40"/>
  <c r="K314" i="40" s="1"/>
  <c r="I314" i="40"/>
  <c r="H314" i="40"/>
  <c r="G314" i="40"/>
  <c r="F314" i="40"/>
  <c r="N314" i="40" s="1"/>
  <c r="O314" i="40" s="1"/>
  <c r="P60" i="18"/>
  <c r="M60" i="18"/>
  <c r="I60" i="18"/>
  <c r="J60" i="18"/>
  <c r="K60" i="18"/>
  <c r="H589" i="16"/>
  <c r="G589" i="16"/>
  <c r="K589" i="16" s="1"/>
  <c r="F589" i="16"/>
  <c r="I589" i="16" s="1"/>
  <c r="J589" i="16" s="1"/>
  <c r="E589" i="16"/>
  <c r="H588" i="16"/>
  <c r="G588" i="16"/>
  <c r="K588" i="16" s="1"/>
  <c r="F588" i="16"/>
  <c r="I588" i="16" s="1"/>
  <c r="J588" i="16" s="1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E505" i="46" l="1"/>
  <c r="E504" i="46"/>
  <c r="E506" i="46"/>
  <c r="D506" i="46"/>
  <c r="D505" i="46"/>
  <c r="D504" i="46"/>
  <c r="O322" i="40"/>
  <c r="O323" i="40"/>
  <c r="O319" i="40"/>
  <c r="O316" i="40"/>
  <c r="J315" i="40"/>
  <c r="K315" i="40" s="1"/>
  <c r="J324" i="40"/>
  <c r="K324" i="40" s="1"/>
  <c r="D507" i="46" s="1"/>
  <c r="F507" i="46" s="1"/>
  <c r="J316" i="40"/>
  <c r="K316" i="40" s="1"/>
  <c r="J323" i="40"/>
  <c r="K323" i="40" s="1"/>
  <c r="E508" i="46"/>
  <c r="B508" i="46"/>
  <c r="C508" i="46" s="1"/>
  <c r="A509" i="46"/>
  <c r="G599" i="16"/>
  <c r="K599" i="16" s="1"/>
  <c r="I313" i="40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B505" i="46" l="1"/>
  <c r="C505" i="46" s="1"/>
  <c r="F505" i="46" s="1"/>
  <c r="B506" i="46"/>
  <c r="C506" i="46" s="1"/>
  <c r="F506" i="46" s="1"/>
  <c r="B504" i="46"/>
  <c r="C504" i="46" s="1"/>
  <c r="F504" i="46" s="1"/>
  <c r="D508" i="46"/>
  <c r="F508" i="46" s="1"/>
  <c r="A510" i="46"/>
  <c r="D509" i="46"/>
  <c r="B509" i="46"/>
  <c r="C509" i="46" s="1"/>
  <c r="E509" i="46"/>
  <c r="I305" i="40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F509" i="46" l="1"/>
  <c r="E510" i="46"/>
  <c r="D510" i="46"/>
  <c r="B510" i="46"/>
  <c r="C510" i="46" s="1"/>
  <c r="A511" i="46"/>
  <c r="I303" i="40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F510" i="46" l="1"/>
  <c r="A512" i="46"/>
  <c r="D511" i="46"/>
  <c r="E511" i="46"/>
  <c r="B511" i="46"/>
  <c r="C511" i="46" s="1"/>
  <c r="I302" i="40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D512" i="46" l="1"/>
  <c r="A513" i="46"/>
  <c r="E512" i="46"/>
  <c r="B512" i="46"/>
  <c r="C512" i="46" s="1"/>
  <c r="F511" i="46"/>
  <c r="I283" i="40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F512" i="46" l="1"/>
  <c r="A514" i="46"/>
  <c r="B513" i="46"/>
  <c r="C513" i="46" s="1"/>
  <c r="D513" i="46"/>
  <c r="E513" i="46"/>
  <c r="P54" i="18"/>
  <c r="M54" i="18"/>
  <c r="I54" i="18"/>
  <c r="J54" i="18"/>
  <c r="K54" i="18" s="1"/>
  <c r="F513" i="46" l="1"/>
  <c r="B514" i="46"/>
  <c r="C514" i="46" s="1"/>
  <c r="E514" i="46"/>
  <c r="A515" i="46"/>
  <c r="D514" i="46"/>
  <c r="L275" i="40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A516" i="46" l="1"/>
  <c r="E515" i="46"/>
  <c r="D515" i="46"/>
  <c r="B515" i="46"/>
  <c r="C515" i="46" s="1"/>
  <c r="F514" i="46"/>
  <c r="I275" i="40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F515" i="46" l="1"/>
  <c r="B516" i="46"/>
  <c r="C516" i="46" s="1"/>
  <c r="A517" i="46"/>
  <c r="D516" i="46"/>
  <c r="E516" i="46"/>
  <c r="L269" i="40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F516" i="46" l="1"/>
  <c r="A518" i="46"/>
  <c r="D517" i="46"/>
  <c r="B517" i="46"/>
  <c r="C517" i="46" s="1"/>
  <c r="E517" i="46"/>
  <c r="I269" i="40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F517" i="46" l="1"/>
  <c r="E518" i="46"/>
  <c r="D518" i="46"/>
  <c r="B518" i="46"/>
  <c r="C518" i="46" s="1"/>
  <c r="A519" i="46"/>
  <c r="L265" i="40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A520" i="46" l="1"/>
  <c r="E519" i="46"/>
  <c r="D519" i="46"/>
  <c r="B519" i="46"/>
  <c r="C519" i="46" s="1"/>
  <c r="F518" i="46"/>
  <c r="I265" i="40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F519" i="46" l="1"/>
  <c r="A521" i="46"/>
  <c r="B520" i="46"/>
  <c r="C520" i="46" s="1"/>
  <c r="E520" i="46"/>
  <c r="D520" i="46"/>
  <c r="I262" i="40"/>
  <c r="J262" i="40" s="1"/>
  <c r="K262" i="40" s="1"/>
  <c r="N261" i="40"/>
  <c r="O261" i="40" s="1"/>
  <c r="F520" i="46" l="1"/>
  <c r="A522" i="46"/>
  <c r="D521" i="46"/>
  <c r="B521" i="46"/>
  <c r="C521" i="46" s="1"/>
  <c r="E521" i="46"/>
  <c r="L260" i="40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F521" i="46" l="1"/>
  <c r="E522" i="46"/>
  <c r="A523" i="46"/>
  <c r="B522" i="46"/>
  <c r="C522" i="46" s="1"/>
  <c r="D522" i="46"/>
  <c r="I260" i="40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A524" i="46" l="1"/>
  <c r="E523" i="46"/>
  <c r="D523" i="46"/>
  <c r="B523" i="46"/>
  <c r="C523" i="46" s="1"/>
  <c r="F522" i="46"/>
  <c r="H524" i="16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F523" i="46" l="1"/>
  <c r="E524" i="46"/>
  <c r="D524" i="46"/>
  <c r="B524" i="46"/>
  <c r="C524" i="46" s="1"/>
  <c r="A525" i="46"/>
  <c r="I254" i="40"/>
  <c r="J254" i="40" s="1"/>
  <c r="K254" i="40" s="1"/>
  <c r="A526" i="46" l="1"/>
  <c r="E525" i="46"/>
  <c r="B525" i="46"/>
  <c r="C525" i="46" s="1"/>
  <c r="D525" i="46"/>
  <c r="F524" i="46"/>
  <c r="L253" i="40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E526" i="46" l="1"/>
  <c r="A527" i="46"/>
  <c r="B526" i="46"/>
  <c r="C526" i="46" s="1"/>
  <c r="D526" i="46"/>
  <c r="F525" i="46"/>
  <c r="I253" i="40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F526" i="46" l="1"/>
  <c r="A528" i="46"/>
  <c r="B527" i="46"/>
  <c r="C527" i="46" s="1"/>
  <c r="E527" i="46"/>
  <c r="D527" i="46"/>
  <c r="I251" i="40"/>
  <c r="J251" i="40" s="1"/>
  <c r="K251" i="40" s="1"/>
  <c r="F527" i="46" l="1"/>
  <c r="E528" i="46"/>
  <c r="D528" i="46"/>
  <c r="B528" i="46"/>
  <c r="C528" i="46" s="1"/>
  <c r="A529" i="46"/>
  <c r="I519" i="16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A530" i="46" l="1"/>
  <c r="D529" i="46"/>
  <c r="E529" i="46"/>
  <c r="B529" i="46"/>
  <c r="C529" i="46" s="1"/>
  <c r="F528" i="46"/>
  <c r="N250" i="40"/>
  <c r="O250" i="40" s="1"/>
  <c r="I249" i="40"/>
  <c r="J249" i="40" s="1"/>
  <c r="K249" i="40" s="1"/>
  <c r="F529" i="46" l="1"/>
  <c r="E530" i="46"/>
  <c r="D530" i="46"/>
  <c r="B530" i="46"/>
  <c r="C530" i="46" s="1"/>
  <c r="A531" i="46"/>
  <c r="P51" i="18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A532" i="46" l="1"/>
  <c r="B531" i="46"/>
  <c r="C531" i="46" s="1"/>
  <c r="D531" i="46"/>
  <c r="E531" i="46"/>
  <c r="F530" i="46"/>
  <c r="N247" i="40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F531" i="46" l="1"/>
  <c r="E532" i="46"/>
  <c r="D532" i="46"/>
  <c r="B532" i="46"/>
  <c r="C532" i="46" s="1"/>
  <c r="A533" i="46"/>
  <c r="N245" i="40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A534" i="46" l="1"/>
  <c r="B533" i="46"/>
  <c r="C533" i="46" s="1"/>
  <c r="D533" i="46"/>
  <c r="E533" i="46"/>
  <c r="F532" i="46"/>
  <c r="N243" i="40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F533" i="46" l="1"/>
  <c r="E534" i="46"/>
  <c r="D534" i="46"/>
  <c r="B534" i="46"/>
  <c r="C534" i="46" s="1"/>
  <c r="A535" i="46"/>
  <c r="L242" i="40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A536" i="46" l="1"/>
  <c r="B535" i="46"/>
  <c r="C535" i="46" s="1"/>
  <c r="E535" i="46"/>
  <c r="D535" i="46"/>
  <c r="F534" i="46"/>
  <c r="I242" i="40"/>
  <c r="J242" i="40" s="1"/>
  <c r="K242" i="40" s="1"/>
  <c r="N240" i="40"/>
  <c r="O240" i="40" s="1"/>
  <c r="F535" i="46" l="1"/>
  <c r="E536" i="46"/>
  <c r="D536" i="46"/>
  <c r="B536" i="46"/>
  <c r="C536" i="46" s="1"/>
  <c r="A537" i="46"/>
  <c r="L239" i="40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A538" i="46" l="1"/>
  <c r="D537" i="46"/>
  <c r="B537" i="46"/>
  <c r="C537" i="46" s="1"/>
  <c r="E537" i="46"/>
  <c r="F536" i="46"/>
  <c r="J238" i="40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F537" i="46" l="1"/>
  <c r="E538" i="46"/>
  <c r="D538" i="46"/>
  <c r="B538" i="46"/>
  <c r="C538" i="46" s="1"/>
  <c r="A539" i="46"/>
  <c r="I502" i="16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A540" i="46" l="1"/>
  <c r="B539" i="46"/>
  <c r="C539" i="46" s="1"/>
  <c r="D539" i="46"/>
  <c r="E539" i="46"/>
  <c r="F538" i="46"/>
  <c r="I499" i="16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F539" i="46" l="1"/>
  <c r="E540" i="46"/>
  <c r="D540" i="46"/>
  <c r="B540" i="46"/>
  <c r="C540" i="46" s="1"/>
  <c r="A541" i="46"/>
  <c r="H495" i="16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F540" i="46" l="1"/>
  <c r="A542" i="46"/>
  <c r="D541" i="46"/>
  <c r="E541" i="46"/>
  <c r="B541" i="46"/>
  <c r="C541" i="46" s="1"/>
  <c r="I494" i="16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F541" i="46" l="1"/>
  <c r="E542" i="46"/>
  <c r="D542" i="46"/>
  <c r="B542" i="46"/>
  <c r="C542" i="46" s="1"/>
  <c r="A543" i="46"/>
  <c r="L232" i="40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A544" i="46" l="1"/>
  <c r="B543" i="46"/>
  <c r="C543" i="46" s="1"/>
  <c r="D543" i="46"/>
  <c r="E543" i="46"/>
  <c r="F542" i="46"/>
  <c r="I490" i="16"/>
  <c r="J490" i="16" s="1"/>
  <c r="N232" i="40"/>
  <c r="O232" i="40" s="1"/>
  <c r="F543" i="46" l="1"/>
  <c r="E544" i="46"/>
  <c r="D544" i="46"/>
  <c r="B544" i="46"/>
  <c r="C544" i="46" s="1"/>
  <c r="A545" i="46"/>
  <c r="H488" i="16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A546" i="46" l="1"/>
  <c r="E545" i="46"/>
  <c r="D545" i="46"/>
  <c r="B545" i="46"/>
  <c r="C545" i="46" s="1"/>
  <c r="F544" i="46"/>
  <c r="N231" i="40"/>
  <c r="O231" i="40" s="1"/>
  <c r="F545" i="46" l="1"/>
  <c r="E546" i="46"/>
  <c r="D546" i="46"/>
  <c r="B546" i="46"/>
  <c r="C546" i="46" s="1"/>
  <c r="A547" i="46"/>
  <c r="H486" i="16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F546" i="46" l="1"/>
  <c r="A548" i="46"/>
  <c r="B547" i="46"/>
  <c r="C547" i="46" s="1"/>
  <c r="D547" i="46"/>
  <c r="E547" i="46"/>
  <c r="I485" i="16"/>
  <c r="J485" i="16" s="1"/>
  <c r="I483" i="16"/>
  <c r="J483" i="16" s="1"/>
  <c r="N229" i="40"/>
  <c r="O229" i="40" s="1"/>
  <c r="F547" i="46" l="1"/>
  <c r="E548" i="46"/>
  <c r="D548" i="46"/>
  <c r="B548" i="46"/>
  <c r="C548" i="46" s="1"/>
  <c r="A549" i="46"/>
  <c r="N200" i="25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49" i="25"/>
  <c r="I135" i="25"/>
  <c r="F135" i="25"/>
  <c r="F143" i="25"/>
  <c r="I141" i="25"/>
  <c r="I136" i="25"/>
  <c r="F131" i="25"/>
  <c r="I142" i="25"/>
  <c r="F130" i="25"/>
  <c r="F138" i="25"/>
  <c r="I137" i="25"/>
  <c r="I144" i="25"/>
  <c r="I149" i="25"/>
  <c r="F129" i="25"/>
  <c r="I146" i="25"/>
  <c r="I140" i="25"/>
  <c r="F133" i="25"/>
  <c r="I145" i="25"/>
  <c r="F145" i="25"/>
  <c r="F148" i="25"/>
  <c r="F136" i="25"/>
  <c r="F146" i="25"/>
  <c r="F144" i="25"/>
  <c r="I134" i="25"/>
  <c r="I139" i="25"/>
  <c r="F132" i="25"/>
  <c r="I148" i="25"/>
  <c r="F140" i="25"/>
  <c r="I138" i="25"/>
  <c r="F139" i="25"/>
  <c r="F137" i="25"/>
  <c r="F142" i="25"/>
  <c r="F134" i="25"/>
  <c r="F147" i="25"/>
  <c r="F141" i="25"/>
  <c r="I147" i="25"/>
  <c r="I143" i="25"/>
  <c r="I133" i="25"/>
  <c r="A550" i="46" l="1"/>
  <c r="B549" i="46"/>
  <c r="C549" i="46" s="1"/>
  <c r="D549" i="46"/>
  <c r="E549" i="46"/>
  <c r="F548" i="46"/>
  <c r="J149" i="25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F549" i="46" l="1"/>
  <c r="E550" i="46"/>
  <c r="D550" i="46"/>
  <c r="B550" i="46"/>
  <c r="C550" i="46" s="1"/>
  <c r="A551" i="46"/>
  <c r="D126" i="25"/>
  <c r="I132" i="25"/>
  <c r="A552" i="46" l="1"/>
  <c r="B551" i="46"/>
  <c r="C551" i="46" s="1"/>
  <c r="D551" i="46"/>
  <c r="E551" i="46"/>
  <c r="F550" i="46"/>
  <c r="J132" i="25"/>
  <c r="K132" i="25" s="1"/>
  <c r="E126" i="25"/>
  <c r="L8" i="25"/>
  <c r="L6" i="25"/>
  <c r="L10" i="25"/>
  <c r="L9" i="25"/>
  <c r="L3" i="25"/>
  <c r="L14" i="25"/>
  <c r="L4" i="25"/>
  <c r="L7" i="25"/>
  <c r="L11" i="25"/>
  <c r="L5" i="25"/>
  <c r="L15" i="25"/>
  <c r="L12" i="25"/>
  <c r="L13" i="25"/>
  <c r="F551" i="46" l="1"/>
  <c r="E552" i="46"/>
  <c r="D552" i="46"/>
  <c r="B552" i="46"/>
  <c r="C552" i="46" s="1"/>
  <c r="A553" i="46"/>
  <c r="M2" i="25"/>
  <c r="L2" i="25"/>
  <c r="L1" i="25"/>
  <c r="I7" i="25"/>
  <c r="I10" i="25"/>
  <c r="I3" i="25"/>
  <c r="I9" i="25"/>
  <c r="I6" i="25"/>
  <c r="I8" i="25"/>
  <c r="I4" i="25"/>
  <c r="I5" i="25"/>
  <c r="A554" i="46" l="1"/>
  <c r="D553" i="46"/>
  <c r="B553" i="46"/>
  <c r="C553" i="46" s="1"/>
  <c r="E553" i="46"/>
  <c r="F552" i="46"/>
  <c r="J2" i="25"/>
  <c r="I2" i="25"/>
  <c r="I1" i="25"/>
  <c r="F3" i="25"/>
  <c r="F4" i="25"/>
  <c r="F553" i="46" l="1"/>
  <c r="E554" i="46"/>
  <c r="D554" i="46"/>
  <c r="B554" i="46"/>
  <c r="C554" i="46" s="1"/>
  <c r="A555" i="46"/>
  <c r="F1" i="25"/>
  <c r="G2" i="25"/>
  <c r="F2" i="25"/>
  <c r="A556" i="46" l="1"/>
  <c r="D555" i="46"/>
  <c r="B555" i="46"/>
  <c r="C555" i="46" s="1"/>
  <c r="E555" i="46"/>
  <c r="F554" i="46"/>
  <c r="L228" i="40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F555" i="46" l="1"/>
  <c r="E556" i="46"/>
  <c r="D556" i="46"/>
  <c r="B556" i="46"/>
  <c r="C556" i="46" s="1"/>
  <c r="A557" i="46"/>
  <c r="I228" i="40"/>
  <c r="J228" i="40" s="1"/>
  <c r="K228" i="40" s="1"/>
  <c r="A558" i="46" l="1"/>
  <c r="D557" i="46"/>
  <c r="B557" i="46"/>
  <c r="C557" i="46" s="1"/>
  <c r="E557" i="46"/>
  <c r="F556" i="46"/>
  <c r="L477" i="16"/>
  <c r="F557" i="46" l="1"/>
  <c r="E558" i="46"/>
  <c r="D558" i="46"/>
  <c r="B558" i="46"/>
  <c r="C558" i="46" s="1"/>
  <c r="A559" i="46"/>
  <c r="H477" i="16"/>
  <c r="I477" i="16" s="1"/>
  <c r="J477" i="16" s="1"/>
  <c r="F477" i="16"/>
  <c r="E477" i="16"/>
  <c r="H476" i="16"/>
  <c r="F476" i="16"/>
  <c r="I476" i="16" s="1"/>
  <c r="J476" i="16" s="1"/>
  <c r="E476" i="16"/>
  <c r="D110" i="25"/>
  <c r="A560" i="46" l="1"/>
  <c r="D559" i="46"/>
  <c r="B559" i="46"/>
  <c r="C559" i="46" s="1"/>
  <c r="E559" i="46"/>
  <c r="F558" i="46"/>
  <c r="L227" i="40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F559" i="46" l="1"/>
  <c r="E560" i="46"/>
  <c r="D560" i="46"/>
  <c r="B560" i="46"/>
  <c r="C560" i="46" s="1"/>
  <c r="A561" i="46"/>
  <c r="I473" i="16"/>
  <c r="J473" i="16" s="1"/>
  <c r="I227" i="40"/>
  <c r="J227" i="40" s="1"/>
  <c r="K227" i="40" s="1"/>
  <c r="A562" i="46" l="1"/>
  <c r="D561" i="46"/>
  <c r="B561" i="46"/>
  <c r="C561" i="46" s="1"/>
  <c r="E561" i="46"/>
  <c r="F560" i="46"/>
  <c r="H472" i="16"/>
  <c r="F472" i="16"/>
  <c r="I472" i="16" s="1"/>
  <c r="J472" i="16" s="1"/>
  <c r="E472" i="16"/>
  <c r="F561" i="46" l="1"/>
  <c r="E562" i="46"/>
  <c r="D562" i="46"/>
  <c r="B562" i="46"/>
  <c r="C562" i="46" s="1"/>
  <c r="A563" i="46"/>
  <c r="L226" i="40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A564" i="46" l="1"/>
  <c r="D563" i="46"/>
  <c r="B563" i="46"/>
  <c r="C563" i="46" s="1"/>
  <c r="E563" i="46"/>
  <c r="F562" i="46"/>
  <c r="I226" i="40"/>
  <c r="J226" i="40" s="1"/>
  <c r="K226" i="40" s="1"/>
  <c r="F563" i="46" l="1"/>
  <c r="E564" i="46"/>
  <c r="D564" i="46"/>
  <c r="B564" i="46"/>
  <c r="C564" i="46" s="1"/>
  <c r="A565" i="46"/>
  <c r="I469" i="16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A566" i="46" l="1"/>
  <c r="D565" i="46"/>
  <c r="B565" i="46"/>
  <c r="C565" i="46" s="1"/>
  <c r="E565" i="46"/>
  <c r="F564" i="46"/>
  <c r="I225" i="40"/>
  <c r="J225" i="40" s="1"/>
  <c r="K225" i="40" s="1"/>
  <c r="F565" i="46" l="1"/>
  <c r="E566" i="46"/>
  <c r="D566" i="46"/>
  <c r="B566" i="46"/>
  <c r="C566" i="46" s="1"/>
  <c r="A567" i="46"/>
  <c r="H465" i="16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A568" i="46" l="1"/>
  <c r="D567" i="46"/>
  <c r="B567" i="46"/>
  <c r="C567" i="46" s="1"/>
  <c r="E567" i="46"/>
  <c r="F566" i="46"/>
  <c r="I465" i="16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F567" i="46" l="1"/>
  <c r="E568" i="46"/>
  <c r="D568" i="46"/>
  <c r="B568" i="46"/>
  <c r="C568" i="46" s="1"/>
  <c r="A569" i="46"/>
  <c r="I462" i="16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A570" i="46" l="1"/>
  <c r="D569" i="46"/>
  <c r="B569" i="46"/>
  <c r="C569" i="46" s="1"/>
  <c r="E569" i="46"/>
  <c r="F568" i="46"/>
  <c r="I456" i="16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F569" i="46" l="1"/>
  <c r="E570" i="46"/>
  <c r="D570" i="46"/>
  <c r="B570" i="46"/>
  <c r="C570" i="46" s="1"/>
  <c r="A571" i="46"/>
  <c r="H454" i="16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F570" i="46" l="1"/>
  <c r="A572" i="46"/>
  <c r="D571" i="46"/>
  <c r="B571" i="46"/>
  <c r="C571" i="46" s="1"/>
  <c r="E571" i="46"/>
  <c r="N219" i="40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F571" i="46" l="1"/>
  <c r="E572" i="46"/>
  <c r="D572" i="46"/>
  <c r="B572" i="46"/>
  <c r="C572" i="46" s="1"/>
  <c r="A573" i="46"/>
  <c r="I217" i="40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A574" i="46" l="1"/>
  <c r="D573" i="46"/>
  <c r="B573" i="46"/>
  <c r="C573" i="46" s="1"/>
  <c r="E573" i="46"/>
  <c r="F572" i="46"/>
  <c r="L213" i="40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F573" i="46" l="1"/>
  <c r="E574" i="46"/>
  <c r="D574" i="46"/>
  <c r="B574" i="46"/>
  <c r="C574" i="46" s="1"/>
  <c r="A575" i="46"/>
  <c r="I213" i="40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A576" i="46" l="1"/>
  <c r="D575" i="46"/>
  <c r="B575" i="46"/>
  <c r="C575" i="46" s="1"/>
  <c r="E575" i="46"/>
  <c r="F574" i="46"/>
  <c r="N211" i="40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F575" i="46" l="1"/>
  <c r="E576" i="46"/>
  <c r="D576" i="46"/>
  <c r="B576" i="46"/>
  <c r="C576" i="46" s="1"/>
  <c r="A577" i="46"/>
  <c r="H439" i="16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A578" i="46" l="1"/>
  <c r="D577" i="46"/>
  <c r="B577" i="46"/>
  <c r="C577" i="46" s="1"/>
  <c r="E577" i="46"/>
  <c r="F576" i="46"/>
  <c r="N210" i="40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F577" i="46" l="1"/>
  <c r="E578" i="46"/>
  <c r="D578" i="46"/>
  <c r="B578" i="46"/>
  <c r="C578" i="46" s="1"/>
  <c r="A579" i="46"/>
  <c r="I434" i="16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A580" i="46" l="1"/>
  <c r="D579" i="46"/>
  <c r="B579" i="46"/>
  <c r="C579" i="46" s="1"/>
  <c r="E579" i="46"/>
  <c r="F578" i="46"/>
  <c r="E429" i="16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F579" i="46" l="1"/>
  <c r="E580" i="46"/>
  <c r="D580" i="46"/>
  <c r="B580" i="46"/>
  <c r="C580" i="46" s="1"/>
  <c r="A581" i="46"/>
  <c r="I421" i="16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A582" i="46" l="1"/>
  <c r="D581" i="46"/>
  <c r="B581" i="46"/>
  <c r="C581" i="46" s="1"/>
  <c r="E581" i="46"/>
  <c r="F580" i="46"/>
  <c r="H415" i="16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F581" i="46" l="1"/>
  <c r="E582" i="46"/>
  <c r="D582" i="46"/>
  <c r="B582" i="46"/>
  <c r="C582" i="46" s="1"/>
  <c r="A583" i="46"/>
  <c r="I414" i="16"/>
  <c r="J414" i="16" s="1"/>
  <c r="H410" i="16"/>
  <c r="F410" i="16"/>
  <c r="I410" i="16" s="1"/>
  <c r="J410" i="16" s="1"/>
  <c r="E410" i="16"/>
  <c r="A584" i="46" l="1"/>
  <c r="D583" i="46"/>
  <c r="B583" i="46"/>
  <c r="C583" i="46" s="1"/>
  <c r="E583" i="46"/>
  <c r="F582" i="46"/>
  <c r="N196" i="40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F583" i="46" l="1"/>
  <c r="E584" i="46"/>
  <c r="D584" i="46"/>
  <c r="B584" i="46"/>
  <c r="C584" i="46" s="1"/>
  <c r="A585" i="46"/>
  <c r="I409" i="16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A586" i="46" l="1"/>
  <c r="D585" i="46"/>
  <c r="B585" i="46"/>
  <c r="C585" i="46" s="1"/>
  <c r="E585" i="46"/>
  <c r="F584" i="46"/>
  <c r="I405" i="16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F585" i="46" l="1"/>
  <c r="E586" i="46"/>
  <c r="D586" i="46"/>
  <c r="B586" i="46"/>
  <c r="C586" i="46" s="1"/>
  <c r="A587" i="46"/>
  <c r="I404" i="16"/>
  <c r="J404" i="16" s="1"/>
  <c r="L150" i="51"/>
  <c r="M150" i="51" s="1"/>
  <c r="N150" i="51" s="1"/>
  <c r="L101" i="51"/>
  <c r="M101" i="51" s="1"/>
  <c r="N101" i="51" s="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M130" i="51" s="1"/>
  <c r="N130" i="51" s="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N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M44" i="51" s="1"/>
  <c r="N44" i="51" s="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M55" i="51" s="1"/>
  <c r="N55" i="51" s="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M145" i="51" s="1"/>
  <c r="N145" i="51" s="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29" i="51" s="1"/>
  <c r="N129" i="51" s="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M61" i="51" s="1"/>
  <c r="N61" i="51" s="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M155" i="51" s="1"/>
  <c r="N155" i="51" s="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E73" i="51"/>
  <c r="M73" i="51"/>
  <c r="N73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A588" i="46" l="1"/>
  <c r="D587" i="46"/>
  <c r="B587" i="46"/>
  <c r="C587" i="46" s="1"/>
  <c r="E587" i="46"/>
  <c r="F586" i="46"/>
  <c r="I402" i="16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587" i="46" l="1"/>
  <c r="E588" i="46"/>
  <c r="D588" i="46"/>
  <c r="B588" i="46"/>
  <c r="C588" i="46" s="1"/>
  <c r="A589" i="46"/>
  <c r="O187" i="40"/>
  <c r="I186" i="40"/>
  <c r="F100" i="51"/>
  <c r="F201" i="51"/>
  <c r="I44" i="51"/>
  <c r="I87" i="51"/>
  <c r="F150" i="51"/>
  <c r="I39" i="51"/>
  <c r="I45" i="51"/>
  <c r="F58" i="51"/>
  <c r="F164" i="51"/>
  <c r="I64" i="51"/>
  <c r="F80" i="51"/>
  <c r="I11" i="51"/>
  <c r="F23" i="51"/>
  <c r="I157" i="51"/>
  <c r="I109" i="51"/>
  <c r="I138" i="51"/>
  <c r="I40" i="51"/>
  <c r="I90" i="51"/>
  <c r="I202" i="51"/>
  <c r="I204" i="51"/>
  <c r="I106" i="51"/>
  <c r="F131" i="51"/>
  <c r="F57" i="51"/>
  <c r="F154" i="51"/>
  <c r="I207" i="51"/>
  <c r="I203" i="51"/>
  <c r="I189" i="51"/>
  <c r="I115" i="51"/>
  <c r="F71" i="51"/>
  <c r="I177" i="51"/>
  <c r="I214" i="51"/>
  <c r="I128" i="51"/>
  <c r="I124" i="51"/>
  <c r="I163" i="51"/>
  <c r="I183" i="51"/>
  <c r="F90" i="51"/>
  <c r="F98" i="51"/>
  <c r="I107" i="51"/>
  <c r="F20" i="51"/>
  <c r="I197" i="51"/>
  <c r="F74" i="51"/>
  <c r="F19" i="51"/>
  <c r="F219" i="51"/>
  <c r="I191" i="51"/>
  <c r="F141" i="51"/>
  <c r="I179" i="51"/>
  <c r="F165" i="51"/>
  <c r="I70" i="51"/>
  <c r="I17" i="51"/>
  <c r="F143" i="51"/>
  <c r="I132" i="51"/>
  <c r="I136" i="51"/>
  <c r="F27" i="51"/>
  <c r="F21" i="51"/>
  <c r="F69" i="51"/>
  <c r="I103" i="51"/>
  <c r="F64" i="51"/>
  <c r="I212" i="51"/>
  <c r="F202" i="51"/>
  <c r="F210" i="51"/>
  <c r="F53" i="51"/>
  <c r="F114" i="51"/>
  <c r="F28" i="51"/>
  <c r="F16" i="51"/>
  <c r="I213" i="51"/>
  <c r="F187" i="51"/>
  <c r="F119" i="51"/>
  <c r="I51" i="51"/>
  <c r="I118" i="51"/>
  <c r="I24" i="51"/>
  <c r="F47" i="51"/>
  <c r="F97" i="51"/>
  <c r="F207" i="51"/>
  <c r="F72" i="51"/>
  <c r="F29" i="51"/>
  <c r="F68" i="51"/>
  <c r="F5" i="51"/>
  <c r="I73" i="51"/>
  <c r="I171" i="51"/>
  <c r="I62" i="51"/>
  <c r="F85" i="51"/>
  <c r="F213" i="51"/>
  <c r="I32" i="51"/>
  <c r="F127" i="51"/>
  <c r="F129" i="51"/>
  <c r="F82" i="51"/>
  <c r="I168" i="51"/>
  <c r="I30" i="51"/>
  <c r="I20" i="51"/>
  <c r="I41" i="51"/>
  <c r="F134" i="51"/>
  <c r="I123" i="51"/>
  <c r="F37" i="51"/>
  <c r="I125" i="51"/>
  <c r="F86" i="51"/>
  <c r="F44" i="51"/>
  <c r="I211" i="51"/>
  <c r="I23" i="51"/>
  <c r="F222" i="51"/>
  <c r="F152" i="51"/>
  <c r="F13" i="51"/>
  <c r="I219" i="51"/>
  <c r="F3" i="51"/>
  <c r="I180" i="51"/>
  <c r="F63" i="51"/>
  <c r="F56" i="51"/>
  <c r="I59" i="51"/>
  <c r="F75" i="51"/>
  <c r="I160" i="51"/>
  <c r="F121" i="51"/>
  <c r="I139" i="51"/>
  <c r="F94" i="51"/>
  <c r="I38" i="51"/>
  <c r="I174" i="51"/>
  <c r="I97" i="51"/>
  <c r="I78" i="51"/>
  <c r="I16" i="51"/>
  <c r="F78" i="51"/>
  <c r="F107" i="51"/>
  <c r="I187" i="51"/>
  <c r="I164" i="51"/>
  <c r="I84" i="51"/>
  <c r="F203" i="51"/>
  <c r="I110" i="51"/>
  <c r="F50" i="51"/>
  <c r="F139" i="51"/>
  <c r="F73" i="51"/>
  <c r="F135" i="51"/>
  <c r="F11" i="51"/>
  <c r="I71" i="51"/>
  <c r="I129" i="51"/>
  <c r="I114" i="51"/>
  <c r="I176" i="51"/>
  <c r="F108" i="51"/>
  <c r="I126" i="51"/>
  <c r="I92" i="51"/>
  <c r="I22" i="51"/>
  <c r="I50" i="51"/>
  <c r="F130" i="51"/>
  <c r="F18" i="51"/>
  <c r="I206" i="51"/>
  <c r="F89" i="51"/>
  <c r="I4" i="51"/>
  <c r="I86" i="51"/>
  <c r="I89" i="51"/>
  <c r="F176" i="51"/>
  <c r="F124" i="51"/>
  <c r="I218" i="51"/>
  <c r="F197" i="51"/>
  <c r="I29" i="51"/>
  <c r="I209" i="51"/>
  <c r="I117" i="51"/>
  <c r="I35" i="51"/>
  <c r="I85" i="51"/>
  <c r="I217" i="51"/>
  <c r="F190" i="51"/>
  <c r="I155" i="51"/>
  <c r="I8" i="51"/>
  <c r="F183" i="51"/>
  <c r="I72" i="51"/>
  <c r="I216" i="51"/>
  <c r="F153" i="51"/>
  <c r="I142" i="51"/>
  <c r="F206" i="51"/>
  <c r="I194" i="51"/>
  <c r="F106" i="51"/>
  <c r="F186" i="51"/>
  <c r="I182" i="51"/>
  <c r="I122" i="51"/>
  <c r="F211" i="51"/>
  <c r="I156" i="51"/>
  <c r="F87" i="51"/>
  <c r="F99" i="51"/>
  <c r="I99" i="51"/>
  <c r="F171" i="51"/>
  <c r="F105" i="51"/>
  <c r="I33" i="51"/>
  <c r="I75" i="51"/>
  <c r="F162" i="51"/>
  <c r="F36" i="51"/>
  <c r="F110" i="51"/>
  <c r="I210" i="51"/>
  <c r="F43" i="51"/>
  <c r="I105" i="51"/>
  <c r="I130" i="51"/>
  <c r="F38" i="51"/>
  <c r="F195" i="51"/>
  <c r="F112" i="51"/>
  <c r="I49" i="51"/>
  <c r="F84" i="51"/>
  <c r="I149" i="51"/>
  <c r="F196" i="51"/>
  <c r="F26" i="51"/>
  <c r="F179" i="51"/>
  <c r="F205" i="51"/>
  <c r="F157" i="51"/>
  <c r="F22" i="51"/>
  <c r="F145" i="51"/>
  <c r="F55" i="51"/>
  <c r="I175" i="51"/>
  <c r="F149" i="51"/>
  <c r="F123" i="51"/>
  <c r="F104" i="51"/>
  <c r="I93" i="51"/>
  <c r="F216" i="51"/>
  <c r="I102" i="51"/>
  <c r="F4" i="51"/>
  <c r="I222" i="51"/>
  <c r="F167" i="51"/>
  <c r="I145" i="51"/>
  <c r="I83" i="51"/>
  <c r="I68" i="51"/>
  <c r="I143" i="51"/>
  <c r="I153" i="51"/>
  <c r="I63" i="51"/>
  <c r="F101" i="51"/>
  <c r="F166" i="51"/>
  <c r="F137" i="51"/>
  <c r="F160" i="51"/>
  <c r="F163" i="51"/>
  <c r="I98" i="51"/>
  <c r="I54" i="51"/>
  <c r="I15" i="51"/>
  <c r="F191" i="51"/>
  <c r="I80" i="51"/>
  <c r="I57" i="51"/>
  <c r="I91" i="51"/>
  <c r="F25" i="51"/>
  <c r="I193" i="51"/>
  <c r="I3" i="51"/>
  <c r="I215" i="51"/>
  <c r="I10" i="51"/>
  <c r="I34" i="51"/>
  <c r="I5" i="51"/>
  <c r="F126" i="51"/>
  <c r="F200" i="51"/>
  <c r="F65" i="51"/>
  <c r="I42" i="51"/>
  <c r="F30" i="51"/>
  <c r="F199" i="51"/>
  <c r="I77" i="51"/>
  <c r="F193" i="51"/>
  <c r="I111" i="51"/>
  <c r="I100" i="51"/>
  <c r="I150" i="51"/>
  <c r="F96" i="51"/>
  <c r="I208" i="51"/>
  <c r="I12" i="51"/>
  <c r="I31" i="51"/>
  <c r="I167" i="51"/>
  <c r="I119" i="51"/>
  <c r="F34" i="51"/>
  <c r="F45" i="51"/>
  <c r="F6" i="51"/>
  <c r="F33" i="51"/>
  <c r="F180" i="51"/>
  <c r="I69" i="51"/>
  <c r="I121" i="51"/>
  <c r="F15" i="51"/>
  <c r="F218" i="51"/>
  <c r="F92" i="51"/>
  <c r="I169" i="51"/>
  <c r="F208" i="51"/>
  <c r="F40" i="51"/>
  <c r="F147" i="51"/>
  <c r="I58" i="51"/>
  <c r="F156" i="51"/>
  <c r="I6" i="51"/>
  <c r="F17" i="51"/>
  <c r="I188" i="51"/>
  <c r="I152" i="51"/>
  <c r="F7" i="51"/>
  <c r="F220" i="51"/>
  <c r="I88" i="51"/>
  <c r="F188" i="51"/>
  <c r="F175" i="51"/>
  <c r="I172" i="51"/>
  <c r="I76" i="51"/>
  <c r="I55" i="51"/>
  <c r="I18" i="51"/>
  <c r="F194" i="51"/>
  <c r="F8" i="51"/>
  <c r="F182" i="51"/>
  <c r="F172" i="51"/>
  <c r="I200" i="51"/>
  <c r="F102" i="51"/>
  <c r="I144" i="51"/>
  <c r="I134" i="51"/>
  <c r="I7" i="51"/>
  <c r="I201" i="51"/>
  <c r="I170" i="51"/>
  <c r="F14" i="51"/>
  <c r="F189" i="51"/>
  <c r="F138" i="51"/>
  <c r="F115" i="51"/>
  <c r="F173" i="51"/>
  <c r="I220" i="51"/>
  <c r="F12" i="51"/>
  <c r="F76" i="51"/>
  <c r="F24" i="51"/>
  <c r="I104" i="51"/>
  <c r="F118" i="51"/>
  <c r="F79" i="51"/>
  <c r="F116" i="51"/>
  <c r="F9" i="51"/>
  <c r="I66" i="51"/>
  <c r="I147" i="51"/>
  <c r="I13" i="51"/>
  <c r="F39" i="51"/>
  <c r="F66" i="51"/>
  <c r="F70" i="51"/>
  <c r="I133" i="51"/>
  <c r="F113" i="51"/>
  <c r="F117" i="51"/>
  <c r="F198" i="51"/>
  <c r="F140" i="51"/>
  <c r="F83" i="51"/>
  <c r="F214" i="51"/>
  <c r="I184" i="51"/>
  <c r="F169" i="51"/>
  <c r="I108" i="51"/>
  <c r="I95" i="51"/>
  <c r="I137" i="51"/>
  <c r="I112" i="51"/>
  <c r="I81" i="51"/>
  <c r="F54" i="51"/>
  <c r="F159" i="51"/>
  <c r="I25" i="51"/>
  <c r="I43" i="51"/>
  <c r="F109" i="51"/>
  <c r="I178" i="51"/>
  <c r="I21" i="51"/>
  <c r="F59" i="51"/>
  <c r="F120" i="51"/>
  <c r="I158" i="51"/>
  <c r="F122" i="51"/>
  <c r="I186" i="51"/>
  <c r="F128" i="51"/>
  <c r="F215" i="51"/>
  <c r="F103" i="51"/>
  <c r="I48" i="51"/>
  <c r="I154" i="51"/>
  <c r="I151" i="51"/>
  <c r="I36" i="51"/>
  <c r="F88" i="51"/>
  <c r="I165" i="51"/>
  <c r="I101" i="51"/>
  <c r="F161" i="51"/>
  <c r="F178" i="51"/>
  <c r="I67" i="51"/>
  <c r="I60" i="51"/>
  <c r="F111" i="51"/>
  <c r="F95" i="51"/>
  <c r="I146" i="51"/>
  <c r="I116" i="51"/>
  <c r="I161" i="51"/>
  <c r="F67" i="51"/>
  <c r="I198" i="51"/>
  <c r="I56" i="51"/>
  <c r="I162" i="51"/>
  <c r="I120" i="51"/>
  <c r="I47" i="51"/>
  <c r="I27" i="51"/>
  <c r="I9" i="51"/>
  <c r="I19" i="51"/>
  <c r="F42" i="51"/>
  <c r="I37" i="51"/>
  <c r="F10" i="51"/>
  <c r="F155" i="51"/>
  <c r="F41" i="51"/>
  <c r="F46" i="51"/>
  <c r="I192" i="51"/>
  <c r="I96" i="51"/>
  <c r="I113" i="51"/>
  <c r="F52" i="51"/>
  <c r="I74" i="51"/>
  <c r="F35" i="51"/>
  <c r="I53" i="51"/>
  <c r="I52" i="51"/>
  <c r="I94" i="51"/>
  <c r="I14" i="51"/>
  <c r="I173" i="51"/>
  <c r="F132" i="51"/>
  <c r="F184" i="51"/>
  <c r="F51" i="51"/>
  <c r="F217" i="51"/>
  <c r="F181" i="51"/>
  <c r="F91" i="51"/>
  <c r="F61" i="51"/>
  <c r="I46" i="51"/>
  <c r="F212" i="51"/>
  <c r="I181" i="51"/>
  <c r="F125" i="51"/>
  <c r="F192" i="51"/>
  <c r="I79" i="51"/>
  <c r="I221" i="51"/>
  <c r="F60" i="51"/>
  <c r="I61" i="51"/>
  <c r="F221" i="51"/>
  <c r="F77" i="51"/>
  <c r="I26" i="51"/>
  <c r="I131" i="51"/>
  <c r="I135" i="51"/>
  <c r="F93" i="51"/>
  <c r="I159" i="51"/>
  <c r="F48" i="51"/>
  <c r="F49" i="51"/>
  <c r="I148" i="51"/>
  <c r="F151" i="51"/>
  <c r="I185" i="51"/>
  <c r="F62" i="51"/>
  <c r="I82" i="51"/>
  <c r="I199" i="51"/>
  <c r="F170" i="51"/>
  <c r="F146" i="51"/>
  <c r="I65" i="51"/>
  <c r="F209" i="51"/>
  <c r="F136" i="51"/>
  <c r="I205" i="51"/>
  <c r="F177" i="51"/>
  <c r="F174" i="51"/>
  <c r="I166" i="51"/>
  <c r="F142" i="51"/>
  <c r="I196" i="51"/>
  <c r="F158" i="51"/>
  <c r="F81" i="51"/>
  <c r="F133" i="51"/>
  <c r="I195" i="51"/>
  <c r="F168" i="51"/>
  <c r="F148" i="51"/>
  <c r="I141" i="51"/>
  <c r="F185" i="51"/>
  <c r="F204" i="51"/>
  <c r="F32" i="51"/>
  <c r="I127" i="51"/>
  <c r="F31" i="51"/>
  <c r="I28" i="51"/>
  <c r="I140" i="51"/>
  <c r="I190" i="51"/>
  <c r="F144" i="51"/>
  <c r="F588" i="46" l="1"/>
  <c r="A590" i="46"/>
  <c r="D589" i="46"/>
  <c r="B589" i="46"/>
  <c r="C589" i="46" s="1"/>
  <c r="E589" i="46"/>
  <c r="G47" i="51"/>
  <c r="H47" i="51" s="1"/>
  <c r="G148" i="51"/>
  <c r="H148" i="51" s="1"/>
  <c r="J41" i="51"/>
  <c r="K41" i="51" s="1"/>
  <c r="J78" i="51"/>
  <c r="K78" i="51" s="1"/>
  <c r="J9" i="51"/>
  <c r="K9" i="51" s="1"/>
  <c r="G157" i="51"/>
  <c r="H157" i="51" s="1"/>
  <c r="G190" i="51"/>
  <c r="H190" i="51" s="1"/>
  <c r="G156" i="51"/>
  <c r="H156" i="51" s="1"/>
  <c r="G33" i="51"/>
  <c r="H33" i="51" s="1"/>
  <c r="J136" i="51"/>
  <c r="K136" i="51" s="1"/>
  <c r="G220" i="51"/>
  <c r="H220" i="51" s="1"/>
  <c r="G138" i="51"/>
  <c r="H138" i="51" s="1"/>
  <c r="G90" i="51"/>
  <c r="H90" i="51" s="1"/>
  <c r="J199" i="51"/>
  <c r="K199" i="51" s="1"/>
  <c r="J205" i="51"/>
  <c r="K205" i="51" s="1"/>
  <c r="G64" i="51"/>
  <c r="H64" i="51" s="1"/>
  <c r="G53" i="51"/>
  <c r="H53" i="51" s="1"/>
  <c r="G65" i="51"/>
  <c r="H65" i="51" s="1"/>
  <c r="J113" i="51"/>
  <c r="K113" i="51" s="1"/>
  <c r="G55" i="51"/>
  <c r="H55" i="51" s="1"/>
  <c r="G124" i="51"/>
  <c r="H124" i="51" s="1"/>
  <c r="J218" i="51"/>
  <c r="K218" i="51" s="1"/>
  <c r="G77" i="51"/>
  <c r="H77" i="51" s="1"/>
  <c r="G16" i="51"/>
  <c r="H16" i="51" s="1"/>
  <c r="G31" i="51"/>
  <c r="H31" i="51" s="1"/>
  <c r="J212" i="51"/>
  <c r="K212" i="51" s="1"/>
  <c r="J34" i="51"/>
  <c r="K34" i="51" s="1"/>
  <c r="G196" i="51"/>
  <c r="H196" i="51" s="1"/>
  <c r="J206" i="51"/>
  <c r="K206" i="51" s="1"/>
  <c r="G198" i="51"/>
  <c r="H198" i="51" s="1"/>
  <c r="G195" i="51"/>
  <c r="H195" i="51" s="1"/>
  <c r="G163" i="51"/>
  <c r="H163" i="51" s="1"/>
  <c r="G50" i="51"/>
  <c r="H50" i="51" s="1"/>
  <c r="J121" i="51"/>
  <c r="K121" i="51" s="1"/>
  <c r="J24" i="51"/>
  <c r="K24" i="51" s="1"/>
  <c r="G73" i="51"/>
  <c r="H73" i="51" s="1"/>
  <c r="G78" i="51"/>
  <c r="H78" i="51" s="1"/>
  <c r="J140" i="51"/>
  <c r="K140" i="51" s="1"/>
  <c r="G91" i="51"/>
  <c r="H91" i="51" s="1"/>
  <c r="J46" i="51"/>
  <c r="K46" i="51" s="1"/>
  <c r="G4" i="51"/>
  <c r="H4" i="51" s="1"/>
  <c r="J90" i="51"/>
  <c r="K90" i="51" s="1"/>
  <c r="G15" i="51"/>
  <c r="H15" i="51" s="1"/>
  <c r="J120" i="51"/>
  <c r="K120" i="51" s="1"/>
  <c r="J71" i="51"/>
  <c r="K71" i="51" s="1"/>
  <c r="J129" i="51"/>
  <c r="K129" i="51" s="1"/>
  <c r="G115" i="51"/>
  <c r="H115" i="51" s="1"/>
  <c r="G9" i="51"/>
  <c r="H9" i="51" s="1"/>
  <c r="G82" i="51"/>
  <c r="H82" i="51" s="1"/>
  <c r="G175" i="51"/>
  <c r="H175" i="51" s="1"/>
  <c r="G29" i="51"/>
  <c r="H29" i="51" s="1"/>
  <c r="G30" i="51"/>
  <c r="H30" i="51" s="1"/>
  <c r="J162" i="51"/>
  <c r="K162" i="51" s="1"/>
  <c r="J58" i="51"/>
  <c r="K58" i="51" s="1"/>
  <c r="J45" i="51"/>
  <c r="K45" i="51" s="1"/>
  <c r="G57" i="51"/>
  <c r="H57" i="51" s="1"/>
  <c r="J186" i="51"/>
  <c r="K186" i="51" s="1"/>
  <c r="J100" i="51"/>
  <c r="K100" i="51" s="1"/>
  <c r="J51" i="51"/>
  <c r="K51" i="51" s="1"/>
  <c r="G215" i="51"/>
  <c r="H215" i="51" s="1"/>
  <c r="J139" i="51"/>
  <c r="K139" i="51" s="1"/>
  <c r="G136" i="51"/>
  <c r="H136" i="51" s="1"/>
  <c r="G176" i="51"/>
  <c r="H176" i="51" s="1"/>
  <c r="J142" i="51"/>
  <c r="K142" i="51" s="1"/>
  <c r="J175" i="51"/>
  <c r="K175" i="51" s="1"/>
  <c r="G100" i="51"/>
  <c r="H100" i="51" s="1"/>
  <c r="G201" i="51"/>
  <c r="H201" i="51" s="1"/>
  <c r="J141" i="51"/>
  <c r="K141" i="51" s="1"/>
  <c r="J157" i="51"/>
  <c r="K157" i="51" s="1"/>
  <c r="G179" i="51"/>
  <c r="H179" i="51" s="1"/>
  <c r="G98" i="51"/>
  <c r="H98" i="51" s="1"/>
  <c r="G219" i="51"/>
  <c r="H219" i="51" s="1"/>
  <c r="G96" i="51"/>
  <c r="H96" i="51" s="1"/>
  <c r="J196" i="51"/>
  <c r="K196" i="51" s="1"/>
  <c r="J151" i="51"/>
  <c r="K151" i="51" s="1"/>
  <c r="G99" i="51"/>
  <c r="H99" i="51" s="1"/>
  <c r="J214" i="51"/>
  <c r="K214" i="51" s="1"/>
  <c r="J98" i="51"/>
  <c r="K98" i="51" s="1"/>
  <c r="G28" i="51"/>
  <c r="H28" i="51" s="1"/>
  <c r="J210" i="51"/>
  <c r="K210" i="51" s="1"/>
  <c r="G63" i="51"/>
  <c r="H63" i="51" s="1"/>
  <c r="J95" i="51"/>
  <c r="K95" i="51" s="1"/>
  <c r="G193" i="51"/>
  <c r="H193" i="51" s="1"/>
  <c r="G150" i="51"/>
  <c r="H150" i="51" s="1"/>
  <c r="G26" i="51"/>
  <c r="H26" i="51" s="1"/>
  <c r="J81" i="51"/>
  <c r="K81" i="51" s="1"/>
  <c r="J21" i="51"/>
  <c r="K21" i="51" s="1"/>
  <c r="G140" i="51"/>
  <c r="H140" i="51" s="1"/>
  <c r="J161" i="51"/>
  <c r="K161" i="51" s="1"/>
  <c r="G107" i="51"/>
  <c r="H107" i="51" s="1"/>
  <c r="G197" i="51"/>
  <c r="H197" i="51" s="1"/>
  <c r="J184" i="51"/>
  <c r="K184" i="51" s="1"/>
  <c r="J59" i="51"/>
  <c r="K59" i="51" s="1"/>
  <c r="J131" i="51"/>
  <c r="K131" i="51" s="1"/>
  <c r="G213" i="51"/>
  <c r="H213" i="51" s="1"/>
  <c r="G130" i="51"/>
  <c r="H130" i="51" s="1"/>
  <c r="J12" i="51"/>
  <c r="K12" i="51" s="1"/>
  <c r="G113" i="51"/>
  <c r="H113" i="51" s="1"/>
  <c r="G68" i="51"/>
  <c r="H68" i="51" s="1"/>
  <c r="G166" i="51"/>
  <c r="H166" i="51" s="1"/>
  <c r="G38" i="51"/>
  <c r="H38" i="51" s="1"/>
  <c r="J62" i="51"/>
  <c r="K62" i="51" s="1"/>
  <c r="G178" i="51"/>
  <c r="H178" i="51" s="1"/>
  <c r="G217" i="51"/>
  <c r="H217" i="51" s="1"/>
  <c r="G36" i="51"/>
  <c r="H36" i="51" s="1"/>
  <c r="J61" i="51"/>
  <c r="K61" i="51" s="1"/>
  <c r="G110" i="51"/>
  <c r="H110" i="51" s="1"/>
  <c r="J179" i="51"/>
  <c r="K179" i="51" s="1"/>
  <c r="G21" i="51"/>
  <c r="H21" i="51" s="1"/>
  <c r="J132" i="51"/>
  <c r="K132" i="51" s="1"/>
  <c r="J173" i="51"/>
  <c r="K173" i="51" s="1"/>
  <c r="G216" i="51"/>
  <c r="H216" i="51" s="1"/>
  <c r="G45" i="51"/>
  <c r="H45" i="51" s="1"/>
  <c r="J149" i="51"/>
  <c r="K149" i="51" s="1"/>
  <c r="G218" i="51"/>
  <c r="H218" i="51" s="1"/>
  <c r="G121" i="51"/>
  <c r="H121" i="51" s="1"/>
  <c r="G43" i="51"/>
  <c r="H43" i="51" s="1"/>
  <c r="J42" i="51"/>
  <c r="K42" i="51" s="1"/>
  <c r="J183" i="51"/>
  <c r="K183" i="51" s="1"/>
  <c r="G127" i="51"/>
  <c r="H127" i="51" s="1"/>
  <c r="G56" i="51"/>
  <c r="H56" i="51" s="1"/>
  <c r="J181" i="51"/>
  <c r="K181" i="51" s="1"/>
  <c r="G212" i="51"/>
  <c r="H212" i="51" s="1"/>
  <c r="G87" i="51"/>
  <c r="H87" i="51" s="1"/>
  <c r="J38" i="51"/>
  <c r="K38" i="51" s="1"/>
  <c r="J197" i="51"/>
  <c r="K197" i="51" s="1"/>
  <c r="J211" i="51"/>
  <c r="K211" i="51" s="1"/>
  <c r="J94" i="51"/>
  <c r="K94" i="51" s="1"/>
  <c r="J109" i="51"/>
  <c r="K109" i="51" s="1"/>
  <c r="J171" i="51"/>
  <c r="K171" i="51" s="1"/>
  <c r="J65" i="51"/>
  <c r="K65" i="51" s="1"/>
  <c r="G114" i="51"/>
  <c r="H114" i="51" s="1"/>
  <c r="J10" i="51"/>
  <c r="K10" i="51" s="1"/>
  <c r="G13" i="51"/>
  <c r="H13" i="51" s="1"/>
  <c r="G61" i="51"/>
  <c r="H61" i="51" s="1"/>
  <c r="J49" i="51"/>
  <c r="K49" i="51" s="1"/>
  <c r="J43" i="51"/>
  <c r="K43" i="51" s="1"/>
  <c r="J166" i="51"/>
  <c r="K166" i="51" s="1"/>
  <c r="J31" i="51"/>
  <c r="K31" i="51" s="1"/>
  <c r="G147" i="51"/>
  <c r="H147" i="51" s="1"/>
  <c r="G75" i="51"/>
  <c r="H75" i="51" s="1"/>
  <c r="J138" i="51"/>
  <c r="K138" i="51" s="1"/>
  <c r="J53" i="51"/>
  <c r="K53" i="51" s="1"/>
  <c r="J150" i="51"/>
  <c r="K150" i="51" s="1"/>
  <c r="G76" i="51"/>
  <c r="H76" i="51" s="1"/>
  <c r="G18" i="51"/>
  <c r="H18" i="51" s="1"/>
  <c r="J35" i="51"/>
  <c r="K35" i="51" s="1"/>
  <c r="J190" i="51"/>
  <c r="K190" i="51" s="1"/>
  <c r="J153" i="51"/>
  <c r="K153" i="51" s="1"/>
  <c r="G152" i="51"/>
  <c r="H152" i="51" s="1"/>
  <c r="G180" i="51"/>
  <c r="H180" i="51" s="1"/>
  <c r="G32" i="51"/>
  <c r="H32" i="51" s="1"/>
  <c r="G23" i="51"/>
  <c r="H23" i="51" s="1"/>
  <c r="G42" i="51"/>
  <c r="H42" i="51" s="1"/>
  <c r="G101" i="51"/>
  <c r="H101" i="51" s="1"/>
  <c r="J188" i="51"/>
  <c r="K188" i="51" s="1"/>
  <c r="G34" i="51"/>
  <c r="H34" i="51" s="1"/>
  <c r="J185" i="51"/>
  <c r="K185" i="51" s="1"/>
  <c r="J16" i="51"/>
  <c r="K16" i="51" s="1"/>
  <c r="J154" i="51"/>
  <c r="K154" i="51" s="1"/>
  <c r="G139" i="51"/>
  <c r="H139" i="51" s="1"/>
  <c r="J147" i="51"/>
  <c r="K147" i="51" s="1"/>
  <c r="G119" i="51"/>
  <c r="H119" i="51" s="1"/>
  <c r="G137" i="51"/>
  <c r="H137" i="51" s="1"/>
  <c r="G141" i="51"/>
  <c r="H141" i="51" s="1"/>
  <c r="J164" i="51"/>
  <c r="K164" i="51" s="1"/>
  <c r="J116" i="51"/>
  <c r="K116" i="51" s="1"/>
  <c r="G49" i="51"/>
  <c r="H49" i="51" s="1"/>
  <c r="G189" i="51"/>
  <c r="H189" i="51" s="1"/>
  <c r="J155" i="51"/>
  <c r="K155" i="51" s="1"/>
  <c r="G145" i="51"/>
  <c r="H145" i="51" s="1"/>
  <c r="G59" i="51"/>
  <c r="H59" i="51" s="1"/>
  <c r="G11" i="51"/>
  <c r="H11" i="51" s="1"/>
  <c r="G183" i="51"/>
  <c r="H183" i="51" s="1"/>
  <c r="J208" i="51"/>
  <c r="K208" i="51" s="1"/>
  <c r="G182" i="51"/>
  <c r="H182" i="51" s="1"/>
  <c r="J26" i="51"/>
  <c r="K26" i="51" s="1"/>
  <c r="G177" i="51"/>
  <c r="H177" i="51" s="1"/>
  <c r="J178" i="51"/>
  <c r="K178" i="51" s="1"/>
  <c r="J15" i="51"/>
  <c r="K15" i="51" s="1"/>
  <c r="J77" i="51"/>
  <c r="K77" i="51" s="1"/>
  <c r="G83" i="51"/>
  <c r="H83" i="51" s="1"/>
  <c r="G60" i="51"/>
  <c r="H60" i="51" s="1"/>
  <c r="G97" i="51"/>
  <c r="H97" i="51" s="1"/>
  <c r="J80" i="51"/>
  <c r="K80" i="51" s="1"/>
  <c r="J193" i="51"/>
  <c r="K193" i="51" s="1"/>
  <c r="G51" i="51"/>
  <c r="H51" i="51" s="1"/>
  <c r="G116" i="51"/>
  <c r="H116" i="51" s="1"/>
  <c r="J97" i="51"/>
  <c r="K97" i="51" s="1"/>
  <c r="G70" i="51"/>
  <c r="H70" i="51" s="1"/>
  <c r="J198" i="51"/>
  <c r="K198" i="51" s="1"/>
  <c r="G214" i="51"/>
  <c r="H214" i="51" s="1"/>
  <c r="J47" i="51"/>
  <c r="K47" i="51" s="1"/>
  <c r="J203" i="51"/>
  <c r="K203" i="51" s="1"/>
  <c r="G67" i="51"/>
  <c r="H67" i="51" s="1"/>
  <c r="J23" i="51"/>
  <c r="K23" i="51" s="1"/>
  <c r="J143" i="51"/>
  <c r="K143" i="51" s="1"/>
  <c r="G22" i="51"/>
  <c r="H22" i="51" s="1"/>
  <c r="G191" i="51"/>
  <c r="H191" i="51" s="1"/>
  <c r="J8" i="51"/>
  <c r="K8" i="51" s="1"/>
  <c r="G102" i="51"/>
  <c r="H102" i="51" s="1"/>
  <c r="G8" i="51"/>
  <c r="H8" i="51" s="1"/>
  <c r="J209" i="51"/>
  <c r="K209" i="51" s="1"/>
  <c r="G94" i="51"/>
  <c r="H94" i="51" s="1"/>
  <c r="J118" i="51"/>
  <c r="K118" i="51" s="1"/>
  <c r="J200" i="51"/>
  <c r="K200" i="51" s="1"/>
  <c r="J44" i="51"/>
  <c r="K44" i="51" s="1"/>
  <c r="J115" i="51"/>
  <c r="K115" i="51" s="1"/>
  <c r="G80" i="51"/>
  <c r="H80" i="51" s="1"/>
  <c r="J30" i="51"/>
  <c r="K30" i="51" s="1"/>
  <c r="J37" i="51"/>
  <c r="K37" i="51" s="1"/>
  <c r="G169" i="51"/>
  <c r="H169" i="51" s="1"/>
  <c r="G129" i="51"/>
  <c r="H129" i="51" s="1"/>
  <c r="J48" i="51"/>
  <c r="K48" i="51" s="1"/>
  <c r="G185" i="51"/>
  <c r="H185" i="51" s="1"/>
  <c r="G207" i="51"/>
  <c r="H207" i="51" s="1"/>
  <c r="G25" i="51"/>
  <c r="H25" i="51" s="1"/>
  <c r="J50" i="51"/>
  <c r="K50" i="51" s="1"/>
  <c r="G93" i="51"/>
  <c r="H93" i="51" s="1"/>
  <c r="J6" i="51"/>
  <c r="K6" i="51" s="1"/>
  <c r="G54" i="51"/>
  <c r="H54" i="51" s="1"/>
  <c r="J189" i="51"/>
  <c r="K189" i="51" s="1"/>
  <c r="J222" i="51"/>
  <c r="K222" i="51" s="1"/>
  <c r="J40" i="51"/>
  <c r="K40" i="51" s="1"/>
  <c r="G20" i="51"/>
  <c r="H20" i="51" s="1"/>
  <c r="G118" i="51"/>
  <c r="H118" i="51" s="1"/>
  <c r="J92" i="51"/>
  <c r="K92" i="51" s="1"/>
  <c r="G188" i="51"/>
  <c r="H188" i="51" s="1"/>
  <c r="G210" i="51"/>
  <c r="H210" i="51" s="1"/>
  <c r="G17" i="51"/>
  <c r="H17" i="51" s="1"/>
  <c r="G24" i="51"/>
  <c r="H24" i="51" s="1"/>
  <c r="G92" i="51"/>
  <c r="H92" i="51" s="1"/>
  <c r="G144" i="51"/>
  <c r="H144" i="51" s="1"/>
  <c r="G95" i="51"/>
  <c r="H95" i="51" s="1"/>
  <c r="J168" i="51"/>
  <c r="K168" i="51" s="1"/>
  <c r="G81" i="51"/>
  <c r="H81" i="51" s="1"/>
  <c r="G208" i="51"/>
  <c r="H208" i="51" s="1"/>
  <c r="G122" i="51"/>
  <c r="H122" i="51" s="1"/>
  <c r="J177" i="51"/>
  <c r="K177" i="51" s="1"/>
  <c r="G111" i="51"/>
  <c r="H111" i="51" s="1"/>
  <c r="J124" i="51"/>
  <c r="K124" i="51" s="1"/>
  <c r="J174" i="51"/>
  <c r="K174" i="51" s="1"/>
  <c r="G184" i="51"/>
  <c r="H184" i="51" s="1"/>
  <c r="J176" i="51"/>
  <c r="K176" i="51" s="1"/>
  <c r="J64" i="51"/>
  <c r="K64" i="51" s="1"/>
  <c r="G173" i="51"/>
  <c r="H173" i="51" s="1"/>
  <c r="J201" i="51"/>
  <c r="K201" i="51" s="1"/>
  <c r="G128" i="51"/>
  <c r="H128" i="51" s="1"/>
  <c r="J159" i="51"/>
  <c r="K159" i="51" s="1"/>
  <c r="J29" i="51"/>
  <c r="K29" i="51" s="1"/>
  <c r="G168" i="51"/>
  <c r="H168" i="51" s="1"/>
  <c r="G112" i="51"/>
  <c r="H112" i="51" s="1"/>
  <c r="J89" i="51"/>
  <c r="K89" i="51" s="1"/>
  <c r="J20" i="51"/>
  <c r="K20" i="51" s="1"/>
  <c r="G202" i="51"/>
  <c r="H202" i="51" s="1"/>
  <c r="J69" i="51"/>
  <c r="K69" i="51" s="1"/>
  <c r="G126" i="51"/>
  <c r="H126" i="51" s="1"/>
  <c r="G158" i="51"/>
  <c r="H158" i="51" s="1"/>
  <c r="G203" i="51"/>
  <c r="H203" i="51" s="1"/>
  <c r="J148" i="51"/>
  <c r="K148" i="51" s="1"/>
  <c r="J52" i="51"/>
  <c r="K52" i="51" s="1"/>
  <c r="J57" i="51"/>
  <c r="K57" i="51" s="1"/>
  <c r="G222" i="51"/>
  <c r="H222" i="51" s="1"/>
  <c r="J28" i="51"/>
  <c r="K28" i="51" s="1"/>
  <c r="J18" i="51"/>
  <c r="K18" i="51" s="1"/>
  <c r="G52" i="51"/>
  <c r="H52" i="51" s="1"/>
  <c r="G106" i="51"/>
  <c r="H106" i="51" s="1"/>
  <c r="G194" i="51"/>
  <c r="H194" i="51" s="1"/>
  <c r="J36" i="51"/>
  <c r="K36" i="51" s="1"/>
  <c r="J85" i="51"/>
  <c r="K85" i="51" s="1"/>
  <c r="G12" i="51"/>
  <c r="H12" i="51" s="1"/>
  <c r="J66" i="51"/>
  <c r="K66" i="51" s="1"/>
  <c r="G162" i="51"/>
  <c r="H162" i="51" s="1"/>
  <c r="J25" i="51"/>
  <c r="K25" i="51" s="1"/>
  <c r="J195" i="51"/>
  <c r="K195" i="51" s="1"/>
  <c r="G58" i="51"/>
  <c r="H58" i="51" s="1"/>
  <c r="G151" i="51"/>
  <c r="H151" i="51" s="1"/>
  <c r="J172" i="51"/>
  <c r="K172" i="51" s="1"/>
  <c r="J67" i="51"/>
  <c r="K67" i="51" s="1"/>
  <c r="J68" i="51"/>
  <c r="K68" i="51" s="1"/>
  <c r="J219" i="51"/>
  <c r="K219" i="51" s="1"/>
  <c r="G135" i="51"/>
  <c r="H135" i="51" s="1"/>
  <c r="J82" i="51"/>
  <c r="K82" i="51" s="1"/>
  <c r="J217" i="51"/>
  <c r="K217" i="51" s="1"/>
  <c r="G86" i="51"/>
  <c r="H86" i="51" s="1"/>
  <c r="J158" i="51"/>
  <c r="K158" i="51" s="1"/>
  <c r="G85" i="51"/>
  <c r="H85" i="51" s="1"/>
  <c r="J27" i="51"/>
  <c r="K27" i="51" s="1"/>
  <c r="G199" i="51"/>
  <c r="H199" i="51" s="1"/>
  <c r="J104" i="51"/>
  <c r="K104" i="51" s="1"/>
  <c r="J145" i="51"/>
  <c r="K145" i="51" s="1"/>
  <c r="G105" i="51"/>
  <c r="H105" i="51" s="1"/>
  <c r="G6" i="51"/>
  <c r="H6" i="51" s="1"/>
  <c r="J207" i="51"/>
  <c r="K207" i="51" s="1"/>
  <c r="J103" i="51"/>
  <c r="K103" i="51" s="1"/>
  <c r="J191" i="51"/>
  <c r="K191" i="51" s="1"/>
  <c r="J123" i="51"/>
  <c r="K123" i="51" s="1"/>
  <c r="J134" i="51"/>
  <c r="K134" i="51" s="1"/>
  <c r="J17" i="51"/>
  <c r="K17" i="51" s="1"/>
  <c r="G40" i="51"/>
  <c r="H40" i="51" s="1"/>
  <c r="G66" i="51"/>
  <c r="H66" i="51" s="1"/>
  <c r="G134" i="51"/>
  <c r="H134" i="51" s="1"/>
  <c r="J106" i="51"/>
  <c r="K106" i="51" s="1"/>
  <c r="J55" i="51"/>
  <c r="K55" i="51" s="1"/>
  <c r="J83" i="51"/>
  <c r="K83" i="51" s="1"/>
  <c r="J73" i="51"/>
  <c r="K73" i="51" s="1"/>
  <c r="J144" i="51"/>
  <c r="K144" i="51" s="1"/>
  <c r="J13" i="51"/>
  <c r="K13" i="51" s="1"/>
  <c r="G27" i="51"/>
  <c r="H27" i="51" s="1"/>
  <c r="J204" i="51"/>
  <c r="K204" i="51" s="1"/>
  <c r="J63" i="51"/>
  <c r="K63" i="51" s="1"/>
  <c r="G133" i="51"/>
  <c r="H133" i="51" s="1"/>
  <c r="J72" i="51"/>
  <c r="K72" i="51" s="1"/>
  <c r="G192" i="51"/>
  <c r="H192" i="51" s="1"/>
  <c r="G39" i="51"/>
  <c r="H39" i="51" s="1"/>
  <c r="G131" i="51"/>
  <c r="H131" i="51" s="1"/>
  <c r="G170" i="51"/>
  <c r="H170" i="51" s="1"/>
  <c r="G204" i="51"/>
  <c r="H204" i="51" s="1"/>
  <c r="G161" i="51"/>
  <c r="H161" i="51" s="1"/>
  <c r="G142" i="51"/>
  <c r="H142" i="51" s="1"/>
  <c r="J86" i="51"/>
  <c r="K86" i="51" s="1"/>
  <c r="G123" i="51"/>
  <c r="H123" i="51" s="1"/>
  <c r="J220" i="51"/>
  <c r="K220" i="51" s="1"/>
  <c r="J221" i="51"/>
  <c r="K221" i="51" s="1"/>
  <c r="G108" i="51"/>
  <c r="H108" i="51" s="1"/>
  <c r="J137" i="51"/>
  <c r="K137" i="51" s="1"/>
  <c r="J146" i="51"/>
  <c r="K146" i="51" s="1"/>
  <c r="J84" i="51"/>
  <c r="K84" i="51" s="1"/>
  <c r="J111" i="51"/>
  <c r="K111" i="51" s="1"/>
  <c r="G159" i="51"/>
  <c r="H159" i="51" s="1"/>
  <c r="G154" i="51"/>
  <c r="H154" i="51" s="1"/>
  <c r="G62" i="51"/>
  <c r="H62" i="51" s="1"/>
  <c r="J74" i="51"/>
  <c r="K74" i="51" s="1"/>
  <c r="J126" i="51"/>
  <c r="K126" i="51" s="1"/>
  <c r="G89" i="51"/>
  <c r="H89" i="51" s="1"/>
  <c r="G160" i="51"/>
  <c r="H160" i="51" s="1"/>
  <c r="G200" i="51"/>
  <c r="H200" i="51" s="1"/>
  <c r="J54" i="51"/>
  <c r="K54" i="51" s="1"/>
  <c r="G74" i="51"/>
  <c r="H74" i="51" s="1"/>
  <c r="G120" i="51"/>
  <c r="H120" i="51" s="1"/>
  <c r="G19" i="51"/>
  <c r="H19" i="51" s="1"/>
  <c r="J202" i="51"/>
  <c r="K202" i="51" s="1"/>
  <c r="J87" i="51"/>
  <c r="K87" i="51" s="1"/>
  <c r="G69" i="51"/>
  <c r="H69" i="51" s="1"/>
  <c r="J112" i="51"/>
  <c r="K112" i="51" s="1"/>
  <c r="J5" i="51"/>
  <c r="K5" i="51" s="1"/>
  <c r="J194" i="51"/>
  <c r="K194" i="51" s="1"/>
  <c r="G165" i="51"/>
  <c r="H165" i="51" s="1"/>
  <c r="J187" i="51"/>
  <c r="K187" i="51" s="1"/>
  <c r="J79" i="51"/>
  <c r="K79" i="51" s="1"/>
  <c r="G48" i="51"/>
  <c r="H48" i="51" s="1"/>
  <c r="G41" i="51"/>
  <c r="H41" i="51" s="1"/>
  <c r="G153" i="51"/>
  <c r="H153" i="51" s="1"/>
  <c r="J96" i="51"/>
  <c r="K96" i="51" s="1"/>
  <c r="J130" i="51"/>
  <c r="K130" i="51" s="1"/>
  <c r="G187" i="51"/>
  <c r="H187" i="51" s="1"/>
  <c r="G146" i="51"/>
  <c r="H146" i="51" s="1"/>
  <c r="J216" i="51"/>
  <c r="K216" i="51" s="1"/>
  <c r="J99" i="51"/>
  <c r="K99" i="51" s="1"/>
  <c r="G44" i="51"/>
  <c r="H44" i="51" s="1"/>
  <c r="J102" i="51"/>
  <c r="K102" i="51" s="1"/>
  <c r="G149" i="51"/>
  <c r="H149" i="51" s="1"/>
  <c r="G186" i="51"/>
  <c r="H186" i="51" s="1"/>
  <c r="J39" i="51"/>
  <c r="K39" i="51" s="1"/>
  <c r="G205" i="51"/>
  <c r="H205" i="51" s="1"/>
  <c r="J170" i="51"/>
  <c r="K170" i="51" s="1"/>
  <c r="J56" i="51"/>
  <c r="K56" i="51" s="1"/>
  <c r="G155" i="51"/>
  <c r="H155" i="51" s="1"/>
  <c r="G181" i="51"/>
  <c r="H181" i="51" s="1"/>
  <c r="J76" i="51"/>
  <c r="K76" i="51" s="1"/>
  <c r="G3" i="51"/>
  <c r="H3" i="51" s="1"/>
  <c r="J14" i="51"/>
  <c r="K14" i="51" s="1"/>
  <c r="G37" i="51"/>
  <c r="H37" i="51" s="1"/>
  <c r="G174" i="51"/>
  <c r="H174" i="51" s="1"/>
  <c r="G164" i="51"/>
  <c r="H164" i="51" s="1"/>
  <c r="J160" i="51"/>
  <c r="K160" i="51" s="1"/>
  <c r="G171" i="51"/>
  <c r="H171" i="51" s="1"/>
  <c r="J192" i="51"/>
  <c r="K192" i="51" s="1"/>
  <c r="G117" i="51"/>
  <c r="H117" i="51" s="1"/>
  <c r="J108" i="51"/>
  <c r="K108" i="51" s="1"/>
  <c r="J88" i="51"/>
  <c r="K88" i="51" s="1"/>
  <c r="J135" i="51"/>
  <c r="K135" i="51" s="1"/>
  <c r="G132" i="51"/>
  <c r="H132" i="51" s="1"/>
  <c r="J128" i="51"/>
  <c r="K128" i="51" s="1"/>
  <c r="G88" i="51"/>
  <c r="H88" i="51" s="1"/>
  <c r="J125" i="51"/>
  <c r="K125" i="51" s="1"/>
  <c r="J22" i="51"/>
  <c r="K22" i="51" s="1"/>
  <c r="J122" i="51"/>
  <c r="K122" i="51" s="1"/>
  <c r="J105" i="51"/>
  <c r="K105" i="51" s="1"/>
  <c r="J101" i="51"/>
  <c r="K101" i="51" s="1"/>
  <c r="G104" i="51"/>
  <c r="H104" i="51" s="1"/>
  <c r="G206" i="51"/>
  <c r="H206" i="51" s="1"/>
  <c r="G125" i="51"/>
  <c r="H125" i="51" s="1"/>
  <c r="J213" i="51"/>
  <c r="K213" i="51" s="1"/>
  <c r="J32" i="51"/>
  <c r="K32" i="51" s="1"/>
  <c r="J165" i="51"/>
  <c r="K165" i="51" s="1"/>
  <c r="J127" i="51"/>
  <c r="K127" i="51" s="1"/>
  <c r="J133" i="51"/>
  <c r="K133" i="51" s="1"/>
  <c r="G10" i="51"/>
  <c r="H10" i="51" s="1"/>
  <c r="J107" i="51"/>
  <c r="K107" i="51" s="1"/>
  <c r="G71" i="51"/>
  <c r="H71" i="51" s="1"/>
  <c r="J156" i="51"/>
  <c r="K156" i="51" s="1"/>
  <c r="G35" i="51"/>
  <c r="H35" i="51" s="1"/>
  <c r="J11" i="51"/>
  <c r="K11" i="51" s="1"/>
  <c r="J33" i="51"/>
  <c r="K33" i="51" s="1"/>
  <c r="J110" i="51"/>
  <c r="K110" i="51" s="1"/>
  <c r="J117" i="51"/>
  <c r="K117" i="51" s="1"/>
  <c r="J60" i="51"/>
  <c r="K60" i="51" s="1"/>
  <c r="J7" i="51"/>
  <c r="K7" i="51" s="1"/>
  <c r="G14" i="51"/>
  <c r="H14" i="51" s="1"/>
  <c r="J3" i="51"/>
  <c r="K3" i="51" s="1"/>
  <c r="G5" i="51"/>
  <c r="H5" i="51" s="1"/>
  <c r="G7" i="51"/>
  <c r="H7" i="51" s="1"/>
  <c r="G103" i="51"/>
  <c r="H103" i="51" s="1"/>
  <c r="J169" i="51"/>
  <c r="K169" i="51" s="1"/>
  <c r="J75" i="51"/>
  <c r="K75" i="51" s="1"/>
  <c r="J180" i="51"/>
  <c r="K180" i="51" s="1"/>
  <c r="G211" i="51"/>
  <c r="H211" i="51" s="1"/>
  <c r="G143" i="51"/>
  <c r="H143" i="51" s="1"/>
  <c r="J91" i="51"/>
  <c r="K91" i="51" s="1"/>
  <c r="J182" i="51"/>
  <c r="K182" i="51" s="1"/>
  <c r="G221" i="51"/>
  <c r="H221" i="51" s="1"/>
  <c r="J70" i="51"/>
  <c r="K70" i="51" s="1"/>
  <c r="G79" i="51"/>
  <c r="H79" i="51" s="1"/>
  <c r="J19" i="51"/>
  <c r="K19" i="51" s="1"/>
  <c r="J152" i="51"/>
  <c r="K152" i="51" s="1"/>
  <c r="G46" i="51"/>
  <c r="H46" i="51" s="1"/>
  <c r="J4" i="51"/>
  <c r="K4" i="51" s="1"/>
  <c r="J119" i="51"/>
  <c r="K119" i="51" s="1"/>
  <c r="J215" i="51"/>
  <c r="K215" i="51" s="1"/>
  <c r="G167" i="51"/>
  <c r="H167" i="51" s="1"/>
  <c r="G209" i="51"/>
  <c r="H209" i="51" s="1"/>
  <c r="J163" i="51"/>
  <c r="K163" i="51" s="1"/>
  <c r="J114" i="51"/>
  <c r="K114" i="51" s="1"/>
  <c r="G84" i="51"/>
  <c r="H84" i="51" s="1"/>
  <c r="J93" i="51"/>
  <c r="K93" i="51" s="1"/>
  <c r="G109" i="51"/>
  <c r="H109" i="51" s="1"/>
  <c r="G72" i="51"/>
  <c r="H72" i="51" s="1"/>
  <c r="G172" i="51"/>
  <c r="H172" i="51" s="1"/>
  <c r="J167" i="51"/>
  <c r="K167" i="51" s="1"/>
  <c r="H184" i="40"/>
  <c r="G184" i="40"/>
  <c r="F184" i="40"/>
  <c r="F589" i="46" l="1"/>
  <c r="E590" i="46"/>
  <c r="D590" i="46"/>
  <c r="B590" i="46"/>
  <c r="C590" i="46" s="1"/>
  <c r="A591" i="46"/>
  <c r="N184" i="40"/>
  <c r="I185" i="40"/>
  <c r="A592" i="46" l="1"/>
  <c r="D591" i="46"/>
  <c r="B591" i="46"/>
  <c r="C591" i="46" s="1"/>
  <c r="E591" i="46"/>
  <c r="F590" i="46"/>
  <c r="O185" i="40"/>
  <c r="H392" i="16"/>
  <c r="F392" i="16"/>
  <c r="I392" i="16" s="1"/>
  <c r="J392" i="16" s="1"/>
  <c r="H391" i="16"/>
  <c r="F391" i="16"/>
  <c r="I391" i="16" s="1"/>
  <c r="J391" i="16" s="1"/>
  <c r="E392" i="16"/>
  <c r="E391" i="16"/>
  <c r="E592" i="46" l="1"/>
  <c r="D592" i="46"/>
  <c r="B592" i="46"/>
  <c r="C592" i="46" s="1"/>
  <c r="A593" i="46"/>
  <c r="F591" i="46"/>
  <c r="AB19" i="48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F592" i="46" l="1"/>
  <c r="A594" i="46"/>
  <c r="D593" i="46"/>
  <c r="B593" i="46"/>
  <c r="C593" i="46" s="1"/>
  <c r="E593" i="46"/>
  <c r="I390" i="16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F593" i="46" l="1"/>
  <c r="E594" i="46"/>
  <c r="D594" i="46"/>
  <c r="B594" i="46"/>
  <c r="C594" i="46" s="1"/>
  <c r="A595" i="46"/>
  <c r="O184" i="40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F594" i="46" l="1"/>
  <c r="A596" i="46"/>
  <c r="D595" i="46"/>
  <c r="B595" i="46"/>
  <c r="C595" i="46" s="1"/>
  <c r="E595" i="46"/>
  <c r="I386" i="16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E596" i="46" l="1"/>
  <c r="D596" i="46"/>
  <c r="B596" i="46"/>
  <c r="C596" i="46" s="1"/>
  <c r="A597" i="46"/>
  <c r="F595" i="46"/>
  <c r="I382" i="16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F596" i="46" l="1"/>
  <c r="A598" i="46"/>
  <c r="D597" i="46"/>
  <c r="B597" i="46"/>
  <c r="C597" i="46" s="1"/>
  <c r="E597" i="46"/>
  <c r="I380" i="16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F597" i="46" l="1"/>
  <c r="E598" i="46"/>
  <c r="D598" i="46"/>
  <c r="B598" i="46"/>
  <c r="C598" i="46" s="1"/>
  <c r="A599" i="46"/>
  <c r="O165" i="40"/>
  <c r="I165" i="40"/>
  <c r="F598" i="46" l="1"/>
  <c r="A600" i="46"/>
  <c r="D599" i="46"/>
  <c r="B599" i="46"/>
  <c r="C599" i="46" s="1"/>
  <c r="E599" i="46"/>
  <c r="H163" i="40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F599" i="46" l="1"/>
  <c r="E600" i="46"/>
  <c r="D600" i="46"/>
  <c r="B600" i="46"/>
  <c r="C600" i="46" s="1"/>
  <c r="A601" i="46"/>
  <c r="I363" i="16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A602" i="46" l="1"/>
  <c r="D601" i="46"/>
  <c r="B601" i="46"/>
  <c r="C601" i="46" s="1"/>
  <c r="E601" i="46"/>
  <c r="F600" i="46"/>
  <c r="O163" i="40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F601" i="46" l="1"/>
  <c r="E602" i="46"/>
  <c r="D602" i="46"/>
  <c r="B602" i="46"/>
  <c r="C602" i="46" s="1"/>
  <c r="A603" i="46"/>
  <c r="I343" i="16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F602" i="46" l="1"/>
  <c r="A604" i="46"/>
  <c r="D603" i="46"/>
  <c r="B603" i="46"/>
  <c r="C603" i="46" s="1"/>
  <c r="E603" i="46"/>
  <c r="M157" i="40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F603" i="46" l="1"/>
  <c r="E604" i="46"/>
  <c r="D604" i="46"/>
  <c r="B604" i="46"/>
  <c r="C604" i="46" s="1"/>
  <c r="A605" i="46"/>
  <c r="I337" i="16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A606" i="46" l="1"/>
  <c r="D605" i="46"/>
  <c r="B605" i="46"/>
  <c r="C605" i="46" s="1"/>
  <c r="E605" i="46"/>
  <c r="F604" i="46"/>
  <c r="I307" i="16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605" i="46" l="1"/>
  <c r="E606" i="46"/>
  <c r="D606" i="46"/>
  <c r="B606" i="46"/>
  <c r="C606" i="46" s="1"/>
  <c r="A607" i="46"/>
  <c r="F500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606" i="46" l="1"/>
  <c r="A608" i="46"/>
  <c r="D607" i="46"/>
  <c r="B607" i="46"/>
  <c r="C607" i="46" s="1"/>
  <c r="E607" i="46"/>
  <c r="F501" i="46"/>
  <c r="A503" i="46"/>
  <c r="D502" i="46"/>
  <c r="E502" i="46"/>
  <c r="B502" i="46"/>
  <c r="C502" i="46" s="1"/>
  <c r="E306" i="46"/>
  <c r="A307" i="46"/>
  <c r="O115" i="40"/>
  <c r="I114" i="40"/>
  <c r="F607" i="46" l="1"/>
  <c r="E608" i="46"/>
  <c r="D608" i="46"/>
  <c r="B608" i="46"/>
  <c r="C608" i="46" s="1"/>
  <c r="A609" i="46"/>
  <c r="F502" i="46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A610" i="46" l="1"/>
  <c r="D609" i="46"/>
  <c r="B609" i="46"/>
  <c r="C609" i="46" s="1"/>
  <c r="E609" i="46"/>
  <c r="F608" i="46"/>
  <c r="F503" i="46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F609" i="46" l="1"/>
  <c r="E610" i="46"/>
  <c r="D610" i="46"/>
  <c r="B610" i="46"/>
  <c r="C610" i="46" s="1"/>
  <c r="A611" i="46"/>
  <c r="A310" i="46"/>
  <c r="E309" i="46"/>
  <c r="O112" i="40"/>
  <c r="I299" i="16"/>
  <c r="J299" i="16" s="1"/>
  <c r="N110" i="40"/>
  <c r="I110" i="40"/>
  <c r="H110" i="40"/>
  <c r="G110" i="40"/>
  <c r="H298" i="16"/>
  <c r="F298" i="16"/>
  <c r="E298" i="16"/>
  <c r="A612" i="46" l="1"/>
  <c r="D611" i="46"/>
  <c r="B611" i="46"/>
  <c r="C611" i="46" s="1"/>
  <c r="E611" i="46"/>
  <c r="F610" i="46"/>
  <c r="E310" i="46"/>
  <c r="A311" i="46"/>
  <c r="O111" i="40"/>
  <c r="I298" i="16"/>
  <c r="J298" i="16" s="1"/>
  <c r="N109" i="40"/>
  <c r="I109" i="40"/>
  <c r="H109" i="40"/>
  <c r="G109" i="40"/>
  <c r="H297" i="16"/>
  <c r="F297" i="16"/>
  <c r="E297" i="16"/>
  <c r="F611" i="46" l="1"/>
  <c r="E612" i="46"/>
  <c r="D612" i="46"/>
  <c r="B612" i="46"/>
  <c r="C612" i="46" s="1"/>
  <c r="A613" i="46"/>
  <c r="A312" i="46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A614" i="46" l="1"/>
  <c r="D613" i="46"/>
  <c r="B613" i="46"/>
  <c r="C613" i="46" s="1"/>
  <c r="E613" i="46"/>
  <c r="F612" i="46"/>
  <c r="E312" i="46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F613" i="46" l="1"/>
  <c r="E614" i="46"/>
  <c r="D614" i="46"/>
  <c r="B614" i="46"/>
  <c r="C614" i="46" s="1"/>
  <c r="A615" i="46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A616" i="46" l="1"/>
  <c r="D615" i="46"/>
  <c r="B615" i="46"/>
  <c r="C615" i="46" s="1"/>
  <c r="E615" i="46"/>
  <c r="F614" i="46"/>
  <c r="E314" i="46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615" i="46" l="1"/>
  <c r="E616" i="46"/>
  <c r="D616" i="46"/>
  <c r="B616" i="46"/>
  <c r="C616" i="46" s="1"/>
  <c r="A617" i="46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A618" i="46" l="1"/>
  <c r="D617" i="46"/>
  <c r="B617" i="46"/>
  <c r="C617" i="46" s="1"/>
  <c r="E617" i="46"/>
  <c r="F616" i="46"/>
  <c r="E316" i="46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617" i="46" l="1"/>
  <c r="E618" i="46"/>
  <c r="D618" i="46"/>
  <c r="B618" i="46"/>
  <c r="C618" i="46" s="1"/>
  <c r="A619" i="46"/>
  <c r="A318" i="46"/>
  <c r="E317" i="46"/>
  <c r="O103" i="40"/>
  <c r="H101" i="40"/>
  <c r="G101" i="40"/>
  <c r="N101" i="40"/>
  <c r="H283" i="16"/>
  <c r="F283" i="16"/>
  <c r="I283" i="16" s="1"/>
  <c r="J283" i="16" s="1"/>
  <c r="E283" i="16"/>
  <c r="A620" i="46" l="1"/>
  <c r="D619" i="46"/>
  <c r="B619" i="46"/>
  <c r="C619" i="46" s="1"/>
  <c r="E619" i="46"/>
  <c r="F618" i="46"/>
  <c r="E318" i="46"/>
  <c r="A319" i="46"/>
  <c r="O102" i="40"/>
  <c r="I101" i="40"/>
  <c r="H100" i="40"/>
  <c r="G100" i="40"/>
  <c r="N100" i="40"/>
  <c r="H282" i="16"/>
  <c r="F282" i="16"/>
  <c r="I282" i="16" s="1"/>
  <c r="J282" i="16" s="1"/>
  <c r="E282" i="16"/>
  <c r="F619" i="46" l="1"/>
  <c r="E620" i="46"/>
  <c r="D620" i="46"/>
  <c r="B620" i="46"/>
  <c r="C620" i="46" s="1"/>
  <c r="A621" i="46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A622" i="46" l="1"/>
  <c r="D621" i="46"/>
  <c r="B621" i="46"/>
  <c r="C621" i="46" s="1"/>
  <c r="E621" i="46"/>
  <c r="F620" i="46"/>
  <c r="E320" i="46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621" i="46" l="1"/>
  <c r="E622" i="46"/>
  <c r="D622" i="46"/>
  <c r="B622" i="46"/>
  <c r="C622" i="46" s="1"/>
  <c r="A623" i="46"/>
  <c r="A322" i="46"/>
  <c r="E321" i="46"/>
  <c r="O98" i="40"/>
  <c r="O99" i="40"/>
  <c r="E279" i="16"/>
  <c r="A624" i="46" l="1"/>
  <c r="D623" i="46"/>
  <c r="B623" i="46"/>
  <c r="C623" i="46" s="1"/>
  <c r="E623" i="46"/>
  <c r="F622" i="46"/>
  <c r="E322" i="46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623" i="46" l="1"/>
  <c r="E624" i="46"/>
  <c r="D624" i="46"/>
  <c r="B624" i="46"/>
  <c r="C624" i="46" s="1"/>
  <c r="A625" i="46"/>
  <c r="A324" i="46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A626" i="46" l="1"/>
  <c r="D625" i="46"/>
  <c r="B625" i="46"/>
  <c r="C625" i="46" s="1"/>
  <c r="E625" i="46"/>
  <c r="F624" i="46"/>
  <c r="E324" i="46"/>
  <c r="A325" i="46"/>
  <c r="N94" i="40"/>
  <c r="N93" i="40"/>
  <c r="I93" i="40"/>
  <c r="H93" i="40"/>
  <c r="G93" i="40"/>
  <c r="H275" i="16"/>
  <c r="F275" i="16"/>
  <c r="I275" i="16" s="1"/>
  <c r="J275" i="16" s="1"/>
  <c r="E275" i="16"/>
  <c r="F625" i="46" l="1"/>
  <c r="E626" i="46"/>
  <c r="D626" i="46"/>
  <c r="B626" i="46"/>
  <c r="C626" i="46" s="1"/>
  <c r="A627" i="46"/>
  <c r="A326" i="46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A628" i="46" l="1"/>
  <c r="D627" i="46"/>
  <c r="B627" i="46"/>
  <c r="C627" i="46" s="1"/>
  <c r="E627" i="46"/>
  <c r="F626" i="46"/>
  <c r="E326" i="46"/>
  <c r="A327" i="46"/>
  <c r="O93" i="40"/>
  <c r="H273" i="16"/>
  <c r="F273" i="16"/>
  <c r="I273" i="16" s="1"/>
  <c r="J273" i="16" s="1"/>
  <c r="E273" i="16"/>
  <c r="N91" i="40"/>
  <c r="I91" i="40"/>
  <c r="H91" i="40"/>
  <c r="G91" i="40"/>
  <c r="F627" i="46" l="1"/>
  <c r="E628" i="46"/>
  <c r="D628" i="46"/>
  <c r="B628" i="46"/>
  <c r="C628" i="46" s="1"/>
  <c r="A629" i="46"/>
  <c r="A328" i="46"/>
  <c r="E327" i="46"/>
  <c r="O92" i="40"/>
  <c r="H272" i="16"/>
  <c r="F272" i="16"/>
  <c r="E272" i="16"/>
  <c r="N90" i="40"/>
  <c r="O91" i="40" s="1"/>
  <c r="I90" i="40"/>
  <c r="H90" i="40"/>
  <c r="G90" i="40"/>
  <c r="F628" i="46" l="1"/>
  <c r="A630" i="46"/>
  <c r="D629" i="46"/>
  <c r="B629" i="46"/>
  <c r="C629" i="46" s="1"/>
  <c r="E629" i="46"/>
  <c r="E328" i="46"/>
  <c r="A329" i="46"/>
  <c r="I272" i="16"/>
  <c r="J272" i="16" s="1"/>
  <c r="P34" i="18"/>
  <c r="I34" i="18"/>
  <c r="J34" i="18"/>
  <c r="K34" i="18" s="1"/>
  <c r="F629" i="46" l="1"/>
  <c r="E630" i="46"/>
  <c r="D630" i="46"/>
  <c r="B630" i="46"/>
  <c r="C630" i="46" s="1"/>
  <c r="A631" i="46"/>
  <c r="A330" i="46"/>
  <c r="E329" i="46"/>
  <c r="N89" i="40"/>
  <c r="I89" i="40"/>
  <c r="H89" i="40"/>
  <c r="G89" i="40"/>
  <c r="H271" i="16"/>
  <c r="F271" i="16"/>
  <c r="I271" i="16" s="1"/>
  <c r="J271" i="16" s="1"/>
  <c r="E271" i="16"/>
  <c r="F630" i="46" l="1"/>
  <c r="A632" i="46"/>
  <c r="D631" i="46"/>
  <c r="B631" i="46"/>
  <c r="C631" i="46" s="1"/>
  <c r="E631" i="46"/>
  <c r="E330" i="46"/>
  <c r="A331" i="46"/>
  <c r="O90" i="40"/>
  <c r="H88" i="40"/>
  <c r="G88" i="40"/>
  <c r="N88" i="40"/>
  <c r="H270" i="16"/>
  <c r="F270" i="16"/>
  <c r="I270" i="16" s="1"/>
  <c r="J270" i="16" s="1"/>
  <c r="E270" i="16"/>
  <c r="F631" i="46" l="1"/>
  <c r="E632" i="46"/>
  <c r="D632" i="46"/>
  <c r="B632" i="46"/>
  <c r="C632" i="46" s="1"/>
  <c r="A633" i="46"/>
  <c r="A332" i="46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F632" i="46" l="1"/>
  <c r="A634" i="46"/>
  <c r="D633" i="46"/>
  <c r="B633" i="46"/>
  <c r="C633" i="46" s="1"/>
  <c r="E633" i="46"/>
  <c r="A333" i="46"/>
  <c r="E332" i="46"/>
  <c r="O88" i="40"/>
  <c r="H86" i="40"/>
  <c r="G86" i="40"/>
  <c r="N86" i="40"/>
  <c r="H268" i="16"/>
  <c r="F268" i="16"/>
  <c r="I268" i="16" s="1"/>
  <c r="J268" i="16" s="1"/>
  <c r="E268" i="16"/>
  <c r="F633" i="46" l="1"/>
  <c r="E634" i="46"/>
  <c r="D634" i="46"/>
  <c r="B634" i="46"/>
  <c r="C634" i="46" s="1"/>
  <c r="A635" i="46"/>
  <c r="A334" i="46"/>
  <c r="E333" i="46"/>
  <c r="O87" i="40"/>
  <c r="I86" i="40"/>
  <c r="BE14" i="44"/>
  <c r="BE17" i="44"/>
  <c r="BE18" i="44" s="1"/>
  <c r="BE19" i="44" s="1"/>
  <c r="BE4" i="44"/>
  <c r="BE9" i="44"/>
  <c r="M268" i="16"/>
  <c r="L268" i="16"/>
  <c r="A636" i="46" l="1"/>
  <c r="D635" i="46"/>
  <c r="B635" i="46"/>
  <c r="C635" i="46" s="1"/>
  <c r="E635" i="46"/>
  <c r="F634" i="46"/>
  <c r="A335" i="46"/>
  <c r="E334" i="46"/>
  <c r="H267" i="16"/>
  <c r="F267" i="16"/>
  <c r="I267" i="16" s="1"/>
  <c r="J267" i="16" s="1"/>
  <c r="E267" i="16"/>
  <c r="N85" i="40"/>
  <c r="O86" i="40" s="1"/>
  <c r="I85" i="40"/>
  <c r="H85" i="40"/>
  <c r="G85" i="40"/>
  <c r="F635" i="46" l="1"/>
  <c r="E636" i="46"/>
  <c r="D636" i="46"/>
  <c r="B636" i="46"/>
  <c r="C636" i="46" s="1"/>
  <c r="A637" i="46"/>
  <c r="A336" i="46"/>
  <c r="E335" i="46"/>
  <c r="H84" i="40"/>
  <c r="G84" i="40"/>
  <c r="N84" i="40"/>
  <c r="H266" i="16"/>
  <c r="F266" i="16"/>
  <c r="I266" i="16" s="1"/>
  <c r="J266" i="16" s="1"/>
  <c r="E266" i="16"/>
  <c r="A638" i="46" l="1"/>
  <c r="D637" i="46"/>
  <c r="B637" i="46"/>
  <c r="C637" i="46" s="1"/>
  <c r="E637" i="46"/>
  <c r="F636" i="46"/>
  <c r="A337" i="46"/>
  <c r="E336" i="46"/>
  <c r="O85" i="40"/>
  <c r="I84" i="40"/>
  <c r="H83" i="40"/>
  <c r="G83" i="40"/>
  <c r="N83" i="40"/>
  <c r="H265" i="16"/>
  <c r="F265" i="16"/>
  <c r="I265" i="16" s="1"/>
  <c r="J265" i="16" s="1"/>
  <c r="E265" i="16"/>
  <c r="F637" i="46" l="1"/>
  <c r="E638" i="46"/>
  <c r="D638" i="46"/>
  <c r="B638" i="46"/>
  <c r="C638" i="46" s="1"/>
  <c r="A639" i="46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640" i="46" l="1"/>
  <c r="D639" i="46"/>
  <c r="B639" i="46"/>
  <c r="C639" i="46" s="1"/>
  <c r="E639" i="46"/>
  <c r="F638" i="46"/>
  <c r="A339" i="46"/>
  <c r="E338" i="46"/>
  <c r="O83" i="40"/>
  <c r="I82" i="40"/>
  <c r="D2" i="46"/>
  <c r="A3" i="46"/>
  <c r="F639" i="46" l="1"/>
  <c r="E640" i="46"/>
  <c r="D640" i="46"/>
  <c r="B640" i="46"/>
  <c r="C640" i="46" s="1"/>
  <c r="A641" i="46"/>
  <c r="E339" i="46"/>
  <c r="A340" i="46"/>
  <c r="D3" i="46"/>
  <c r="A4" i="46"/>
  <c r="H81" i="40"/>
  <c r="G81" i="40"/>
  <c r="N81" i="40"/>
  <c r="H263" i="16"/>
  <c r="F263" i="16"/>
  <c r="E263" i="16"/>
  <c r="A642" i="46" l="1"/>
  <c r="D641" i="46"/>
  <c r="B641" i="46"/>
  <c r="C641" i="46" s="1"/>
  <c r="E641" i="46"/>
  <c r="F640" i="46"/>
  <c r="D340" i="46"/>
  <c r="A341" i="46"/>
  <c r="E340" i="46"/>
  <c r="O82" i="40"/>
  <c r="I263" i="16"/>
  <c r="J263" i="16" s="1"/>
  <c r="D4" i="46"/>
  <c r="A5" i="46"/>
  <c r="I81" i="40"/>
  <c r="F641" i="46" l="1"/>
  <c r="E642" i="46"/>
  <c r="D642" i="46"/>
  <c r="B642" i="46"/>
  <c r="C642" i="46" s="1"/>
  <c r="A643" i="46"/>
  <c r="E341" i="46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F642" i="46" l="1"/>
  <c r="A644" i="46"/>
  <c r="D643" i="46"/>
  <c r="B643" i="46"/>
  <c r="C643" i="46" s="1"/>
  <c r="E643" i="46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643" i="46" l="1"/>
  <c r="E644" i="46"/>
  <c r="D644" i="46"/>
  <c r="B644" i="46"/>
  <c r="C644" i="46" s="1"/>
  <c r="A645" i="46"/>
  <c r="E343" i="46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A646" i="46" l="1"/>
  <c r="D645" i="46"/>
  <c r="B645" i="46"/>
  <c r="C645" i="46" s="1"/>
  <c r="E645" i="46"/>
  <c r="F644" i="46"/>
  <c r="D344" i="46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F645" i="46" l="1"/>
  <c r="E646" i="46"/>
  <c r="D646" i="46"/>
  <c r="B646" i="46"/>
  <c r="C646" i="46" s="1"/>
  <c r="A647" i="46"/>
  <c r="I260" i="16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A648" i="46" l="1"/>
  <c r="D647" i="46"/>
  <c r="B647" i="46"/>
  <c r="C647" i="46" s="1"/>
  <c r="E647" i="46"/>
  <c r="F646" i="46"/>
  <c r="E346" i="46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648" i="46" l="1"/>
  <c r="D648" i="46"/>
  <c r="B648" i="46"/>
  <c r="C648" i="46" s="1"/>
  <c r="A649" i="46"/>
  <c r="F647" i="46"/>
  <c r="E347" i="46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648" i="46" l="1"/>
  <c r="A650" i="46"/>
  <c r="D649" i="46"/>
  <c r="B649" i="46"/>
  <c r="C649" i="46" s="1"/>
  <c r="E649" i="46"/>
  <c r="A349" i="46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649" i="46" l="1"/>
  <c r="E650" i="46"/>
  <c r="D650" i="46"/>
  <c r="B650" i="46"/>
  <c r="C650" i="46" s="1"/>
  <c r="A651" i="46"/>
  <c r="E349" i="46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650" i="46" l="1"/>
  <c r="A652" i="46"/>
  <c r="D651" i="46"/>
  <c r="B651" i="46"/>
  <c r="C651" i="46" s="1"/>
  <c r="E651" i="46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651" i="46" l="1"/>
  <c r="E652" i="46"/>
  <c r="D652" i="46"/>
  <c r="B652" i="46"/>
  <c r="C652" i="46" s="1"/>
  <c r="A653" i="46"/>
  <c r="BD4" i="44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F652" i="46" l="1"/>
  <c r="A654" i="46"/>
  <c r="D653" i="46"/>
  <c r="B653" i="46"/>
  <c r="C653" i="46" s="1"/>
  <c r="E653" i="46"/>
  <c r="BC18" i="44"/>
  <c r="BC19" i="44" s="1"/>
  <c r="BH19" i="44" s="1"/>
  <c r="D352" i="46"/>
  <c r="A353" i="46"/>
  <c r="E352" i="46"/>
  <c r="O74" i="40"/>
  <c r="D16" i="46"/>
  <c r="A17" i="46"/>
  <c r="I255" i="16"/>
  <c r="J255" i="16" s="1"/>
  <c r="J10" i="13"/>
  <c r="F653" i="46" l="1"/>
  <c r="E654" i="46"/>
  <c r="D654" i="46"/>
  <c r="B654" i="46"/>
  <c r="C654" i="46" s="1"/>
  <c r="A655" i="46"/>
  <c r="BH18" i="44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A656" i="46" l="1"/>
  <c r="D655" i="46"/>
  <c r="B655" i="46"/>
  <c r="C655" i="46" s="1"/>
  <c r="E655" i="46"/>
  <c r="F654" i="46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655" i="46" l="1"/>
  <c r="E656" i="46"/>
  <c r="D656" i="46"/>
  <c r="B656" i="46"/>
  <c r="C656" i="46" s="1"/>
  <c r="A657" i="46"/>
  <c r="E355" i="46"/>
  <c r="A356" i="46"/>
  <c r="D355" i="46"/>
  <c r="O71" i="40"/>
  <c r="D19" i="46"/>
  <c r="A20" i="46"/>
  <c r="H69" i="40"/>
  <c r="G69" i="40"/>
  <c r="N69" i="40"/>
  <c r="H252" i="16"/>
  <c r="F252" i="16"/>
  <c r="E252" i="16"/>
  <c r="F656" i="46" l="1"/>
  <c r="A658" i="46"/>
  <c r="D657" i="46"/>
  <c r="B657" i="46"/>
  <c r="C657" i="46" s="1"/>
  <c r="E657" i="46"/>
  <c r="I252" i="16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658" i="46" l="1"/>
  <c r="D658" i="46"/>
  <c r="B658" i="46"/>
  <c r="C658" i="46" s="1"/>
  <c r="A659" i="46"/>
  <c r="F657" i="46"/>
  <c r="E357" i="46"/>
  <c r="A358" i="46"/>
  <c r="D357" i="46"/>
  <c r="O69" i="40"/>
  <c r="D21" i="46"/>
  <c r="A22" i="46"/>
  <c r="H67" i="40"/>
  <c r="G67" i="40"/>
  <c r="N67" i="40"/>
  <c r="H250" i="16"/>
  <c r="F250" i="16"/>
  <c r="E250" i="16"/>
  <c r="F658" i="46" l="1"/>
  <c r="A660" i="46"/>
  <c r="D659" i="46"/>
  <c r="B659" i="46"/>
  <c r="C659" i="46" s="1"/>
  <c r="E659" i="46"/>
  <c r="E358" i="46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659" i="46" l="1"/>
  <c r="E660" i="46"/>
  <c r="D660" i="46"/>
  <c r="B660" i="46"/>
  <c r="C660" i="46" s="1"/>
  <c r="A661" i="46"/>
  <c r="E359" i="46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660" i="46" l="1"/>
  <c r="A662" i="46"/>
  <c r="D661" i="46"/>
  <c r="B661" i="46"/>
  <c r="C661" i="46" s="1"/>
  <c r="E661" i="46"/>
  <c r="A361" i="46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E662" i="46" l="1"/>
  <c r="D662" i="46"/>
  <c r="B662" i="46"/>
  <c r="C662" i="46" s="1"/>
  <c r="A663" i="46"/>
  <c r="F661" i="46"/>
  <c r="O64" i="40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662" i="46" l="1"/>
  <c r="A664" i="46"/>
  <c r="D663" i="46"/>
  <c r="B663" i="46"/>
  <c r="C663" i="46" s="1"/>
  <c r="E663" i="46"/>
  <c r="A363" i="46"/>
  <c r="E362" i="46"/>
  <c r="D362" i="46"/>
  <c r="D26" i="46"/>
  <c r="A27" i="46"/>
  <c r="H244" i="16"/>
  <c r="F244" i="16"/>
  <c r="I244" i="16" s="1"/>
  <c r="J244" i="16" s="1"/>
  <c r="E244" i="16"/>
  <c r="F663" i="46" l="1"/>
  <c r="E664" i="46"/>
  <c r="D664" i="46"/>
  <c r="B664" i="46"/>
  <c r="C664" i="46" s="1"/>
  <c r="A665" i="46"/>
  <c r="E363" i="46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F664" i="46" l="1"/>
  <c r="A666" i="46"/>
  <c r="D665" i="46"/>
  <c r="B665" i="46"/>
  <c r="C665" i="46" s="1"/>
  <c r="E665" i="46"/>
  <c r="I243" i="16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666" i="46" l="1"/>
  <c r="D666" i="46"/>
  <c r="B666" i="46"/>
  <c r="C666" i="46" s="1"/>
  <c r="A667" i="46"/>
  <c r="F665" i="46"/>
  <c r="E365" i="46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668" i="46" l="1"/>
  <c r="D667" i="46"/>
  <c r="B667" i="46"/>
  <c r="C667" i="46" s="1"/>
  <c r="E667" i="46"/>
  <c r="F666" i="46"/>
  <c r="A367" i="46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F667" i="46" l="1"/>
  <c r="E668" i="46"/>
  <c r="D668" i="46"/>
  <c r="B668" i="46"/>
  <c r="C668" i="46" s="1"/>
  <c r="A669" i="46"/>
  <c r="I240" i="16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670" i="46" l="1"/>
  <c r="D669" i="46"/>
  <c r="B669" i="46"/>
  <c r="C669" i="46" s="1"/>
  <c r="E669" i="46"/>
  <c r="F668" i="46"/>
  <c r="A369" i="46"/>
  <c r="E368" i="46"/>
  <c r="D368" i="46"/>
  <c r="O58" i="40"/>
  <c r="O59" i="40"/>
  <c r="D32" i="46"/>
  <c r="A33" i="46"/>
  <c r="H238" i="16"/>
  <c r="F238" i="16"/>
  <c r="I238" i="16" s="1"/>
  <c r="J238" i="16" s="1"/>
  <c r="E238" i="16"/>
  <c r="F669" i="46" l="1"/>
  <c r="E670" i="46"/>
  <c r="D670" i="46"/>
  <c r="B670" i="46"/>
  <c r="C670" i="46" s="1"/>
  <c r="A671" i="46"/>
  <c r="E369" i="46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F670" i="46" l="1"/>
  <c r="A672" i="46"/>
  <c r="D671" i="46"/>
  <c r="B671" i="46"/>
  <c r="C671" i="46" s="1"/>
  <c r="E671" i="46"/>
  <c r="A371" i="46"/>
  <c r="E370" i="46"/>
  <c r="D370" i="46"/>
  <c r="O57" i="40"/>
  <c r="D34" i="46"/>
  <c r="A35" i="46"/>
  <c r="I56" i="40"/>
  <c r="H236" i="16"/>
  <c r="F236" i="16"/>
  <c r="I236" i="16" s="1"/>
  <c r="J236" i="16" s="1"/>
  <c r="E236" i="16"/>
  <c r="F671" i="46" l="1"/>
  <c r="E672" i="46"/>
  <c r="D672" i="46"/>
  <c r="B672" i="46"/>
  <c r="C672" i="46" s="1"/>
  <c r="A673" i="46"/>
  <c r="E371" i="46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F672" i="46" l="1"/>
  <c r="A674" i="46"/>
  <c r="D673" i="46"/>
  <c r="B673" i="46"/>
  <c r="C673" i="46" s="1"/>
  <c r="E673" i="46"/>
  <c r="A373" i="46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673" i="46" l="1"/>
  <c r="E674" i="46"/>
  <c r="D674" i="46"/>
  <c r="B674" i="46"/>
  <c r="C674" i="46" s="1"/>
  <c r="A675" i="46"/>
  <c r="E373" i="46"/>
  <c r="A374" i="46"/>
  <c r="D373" i="46"/>
  <c r="O55" i="40"/>
  <c r="D37" i="46"/>
  <c r="A38" i="46"/>
  <c r="I54" i="40"/>
  <c r="A676" i="46" l="1"/>
  <c r="D675" i="46"/>
  <c r="B675" i="46"/>
  <c r="C675" i="46" s="1"/>
  <c r="E675" i="46"/>
  <c r="F674" i="46"/>
  <c r="A375" i="46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675" i="46" l="1"/>
  <c r="E676" i="46"/>
  <c r="D676" i="46"/>
  <c r="B676" i="46"/>
  <c r="C676" i="46" s="1"/>
  <c r="A677" i="46"/>
  <c r="E375" i="46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F676" i="46" l="1"/>
  <c r="A678" i="46"/>
  <c r="D677" i="46"/>
  <c r="B677" i="46"/>
  <c r="C677" i="46" s="1"/>
  <c r="E677" i="46"/>
  <c r="I231" i="16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678" i="46" l="1"/>
  <c r="D678" i="46"/>
  <c r="B678" i="46"/>
  <c r="C678" i="46" s="1"/>
  <c r="F677" i="46"/>
  <c r="E377" i="46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F678" i="46" l="1"/>
  <c r="A379" i="46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F127" i="25"/>
  <c r="I127" i="25"/>
  <c r="F128" i="25"/>
  <c r="L136" i="25"/>
  <c r="I131" i="25"/>
  <c r="L129" i="25"/>
  <c r="L143" i="25"/>
  <c r="L134" i="25"/>
  <c r="I126" i="25"/>
  <c r="L144" i="25"/>
  <c r="L128" i="25"/>
  <c r="L132" i="25"/>
  <c r="L141" i="25"/>
  <c r="L148" i="25"/>
  <c r="L130" i="25"/>
  <c r="L147" i="25"/>
  <c r="L137" i="25"/>
  <c r="L149" i="25"/>
  <c r="L140" i="25"/>
  <c r="L139" i="25"/>
  <c r="L135" i="25"/>
  <c r="L142" i="25"/>
  <c r="L138" i="25"/>
  <c r="I130" i="25"/>
  <c r="L145" i="25"/>
  <c r="L133" i="25"/>
  <c r="F126" i="25"/>
  <c r="L146" i="25"/>
  <c r="I129" i="25"/>
  <c r="L131" i="25"/>
  <c r="L127" i="25"/>
  <c r="L126" i="25"/>
  <c r="I128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E8" i="28"/>
  <c r="H7" i="28"/>
  <c r="H8" i="28"/>
  <c r="I7" i="28"/>
  <c r="I8" i="28"/>
  <c r="H9" i="28"/>
  <c r="D7" i="28"/>
  <c r="D9" i="28"/>
  <c r="D8" i="28"/>
  <c r="E7" i="28"/>
  <c r="I9" i="28"/>
  <c r="E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F95" i="25"/>
  <c r="I38" i="25"/>
  <c r="F60" i="25"/>
  <c r="I111" i="25"/>
  <c r="F123" i="25"/>
  <c r="F70" i="25"/>
  <c r="I41" i="25"/>
  <c r="F84" i="25"/>
  <c r="F16" i="25"/>
  <c r="I76" i="25"/>
  <c r="I53" i="25"/>
  <c r="I43" i="25"/>
  <c r="F54" i="25"/>
  <c r="F42" i="25"/>
  <c r="F85" i="25"/>
  <c r="I27" i="25"/>
  <c r="I64" i="25"/>
  <c r="F21" i="25"/>
  <c r="F76" i="25"/>
  <c r="F111" i="25"/>
  <c r="I107" i="25"/>
  <c r="F23" i="25"/>
  <c r="F22" i="25"/>
  <c r="F26" i="25"/>
  <c r="F48" i="25"/>
  <c r="I113" i="25"/>
  <c r="F25" i="25"/>
  <c r="I81" i="25"/>
  <c r="F64" i="25"/>
  <c r="I39" i="25"/>
  <c r="F41" i="25"/>
  <c r="F74" i="25"/>
  <c r="F118" i="25"/>
  <c r="F35" i="25"/>
  <c r="F112" i="25"/>
  <c r="F97" i="25"/>
  <c r="F79" i="25"/>
  <c r="F45" i="25"/>
  <c r="F7" i="25"/>
  <c r="F103" i="25"/>
  <c r="I31" i="25"/>
  <c r="I100" i="25"/>
  <c r="I98" i="25"/>
  <c r="F88" i="25"/>
  <c r="F34" i="25"/>
  <c r="F106" i="25"/>
  <c r="I99" i="25"/>
  <c r="F77" i="25"/>
  <c r="F110" i="25"/>
  <c r="I25" i="25"/>
  <c r="F104" i="25"/>
  <c r="F91" i="25"/>
  <c r="F108" i="25"/>
  <c r="F10" i="25"/>
  <c r="I14" i="25"/>
  <c r="F8" i="25"/>
  <c r="F62" i="25"/>
  <c r="F75" i="25"/>
  <c r="I94" i="25"/>
  <c r="F120" i="25"/>
  <c r="F46" i="25"/>
  <c r="I48" i="25"/>
  <c r="F96" i="25"/>
  <c r="I116" i="25"/>
  <c r="I57" i="25"/>
  <c r="I86" i="25"/>
  <c r="I51" i="25"/>
  <c r="F36" i="25"/>
  <c r="I13" i="25"/>
  <c r="I68" i="25"/>
  <c r="F107" i="25"/>
  <c r="I44" i="25"/>
  <c r="F32" i="25"/>
  <c r="F57" i="25"/>
  <c r="I74" i="25"/>
  <c r="F89" i="25"/>
  <c r="I124" i="25"/>
  <c r="I56" i="25"/>
  <c r="I101" i="25"/>
  <c r="F86" i="25"/>
  <c r="I37" i="25"/>
  <c r="F125" i="25"/>
  <c r="F28" i="25"/>
  <c r="I110" i="25"/>
  <c r="F117" i="25"/>
  <c r="I29" i="25"/>
  <c r="I122" i="25"/>
  <c r="I97" i="25"/>
  <c r="F92" i="25"/>
  <c r="I67" i="25"/>
  <c r="I120" i="25"/>
  <c r="I85" i="25"/>
  <c r="I71" i="25"/>
  <c r="I78" i="25"/>
  <c r="F9" i="25"/>
  <c r="F18" i="25"/>
  <c r="I30" i="25"/>
  <c r="I23" i="25"/>
  <c r="I82" i="25"/>
  <c r="I95" i="25"/>
  <c r="I16" i="25"/>
  <c r="I36" i="25"/>
  <c r="I83" i="25"/>
  <c r="F59" i="25"/>
  <c r="I18" i="25"/>
  <c r="I61" i="25"/>
  <c r="F116" i="25"/>
  <c r="F38" i="25"/>
  <c r="F49" i="25"/>
  <c r="I92" i="25"/>
  <c r="I112" i="25"/>
  <c r="I65" i="25"/>
  <c r="F90" i="25"/>
  <c r="F24" i="25"/>
  <c r="F47" i="25"/>
  <c r="F19" i="25"/>
  <c r="I63" i="25"/>
  <c r="F124" i="25"/>
  <c r="F78" i="25"/>
  <c r="F102" i="25"/>
  <c r="I72" i="25"/>
  <c r="F29" i="25"/>
  <c r="I75" i="25"/>
  <c r="I105" i="25"/>
  <c r="I73" i="25"/>
  <c r="F11" i="25"/>
  <c r="F13" i="25"/>
  <c r="I58" i="25"/>
  <c r="F39" i="25"/>
  <c r="I80" i="25"/>
  <c r="I77" i="25"/>
  <c r="I12" i="25"/>
  <c r="I33" i="25"/>
  <c r="I40" i="25"/>
  <c r="I66" i="25"/>
  <c r="F15" i="25"/>
  <c r="I87" i="25"/>
  <c r="I54" i="25"/>
  <c r="I84" i="25"/>
  <c r="I60" i="25"/>
  <c r="I52" i="25"/>
  <c r="F30" i="25"/>
  <c r="I109" i="25"/>
  <c r="I20" i="25"/>
  <c r="F58" i="25"/>
  <c r="I28" i="25"/>
  <c r="I114" i="25"/>
  <c r="F119" i="25"/>
  <c r="F82" i="25"/>
  <c r="F55" i="25"/>
  <c r="F98" i="25"/>
  <c r="F105" i="25"/>
  <c r="F115" i="25"/>
  <c r="F14" i="25"/>
  <c r="I19" i="25"/>
  <c r="I45" i="25"/>
  <c r="F12" i="25"/>
  <c r="F94" i="25"/>
  <c r="F68" i="25"/>
  <c r="F56" i="25"/>
  <c r="F53" i="25"/>
  <c r="I15" i="25"/>
  <c r="I108" i="25"/>
  <c r="F40" i="25"/>
  <c r="I70" i="25"/>
  <c r="I21" i="25"/>
  <c r="I119" i="25"/>
  <c r="I88" i="25"/>
  <c r="F101" i="25"/>
  <c r="I11" i="25"/>
  <c r="F33" i="25"/>
  <c r="F63" i="25"/>
  <c r="F5" i="25"/>
  <c r="I118" i="25"/>
  <c r="F50" i="25"/>
  <c r="F44" i="25"/>
  <c r="F121" i="25"/>
  <c r="I103" i="25"/>
  <c r="I96" i="25"/>
  <c r="F27" i="25"/>
  <c r="I102" i="25"/>
  <c r="I123" i="25"/>
  <c r="I79" i="25"/>
  <c r="F83" i="25"/>
  <c r="I121" i="25"/>
  <c r="F52" i="25"/>
  <c r="F99" i="25"/>
  <c r="F109" i="25"/>
  <c r="I17" i="25"/>
  <c r="I26" i="25"/>
  <c r="I104" i="25"/>
  <c r="F43" i="25"/>
  <c r="F87" i="25"/>
  <c r="F73" i="25"/>
  <c r="I117" i="25"/>
  <c r="F100" i="25"/>
  <c r="I55" i="25"/>
  <c r="F37" i="25"/>
  <c r="F67" i="25"/>
  <c r="F66" i="25"/>
  <c r="F17" i="25"/>
  <c r="I91" i="25"/>
  <c r="I22" i="25"/>
  <c r="I46" i="25"/>
  <c r="F51" i="25"/>
  <c r="I62" i="25"/>
  <c r="I49" i="25"/>
  <c r="I32" i="25"/>
  <c r="F31" i="25"/>
  <c r="I89" i="25"/>
  <c r="F113" i="25"/>
  <c r="I115" i="25"/>
  <c r="F69" i="25"/>
  <c r="I50" i="25"/>
  <c r="I59" i="25"/>
  <c r="F93" i="25"/>
  <c r="F20" i="25"/>
  <c r="I69" i="25"/>
  <c r="I47" i="25"/>
  <c r="I106" i="25"/>
  <c r="F72" i="25"/>
  <c r="F65" i="25"/>
  <c r="F80" i="25"/>
  <c r="F114" i="25"/>
  <c r="I34" i="25"/>
  <c r="F61" i="25"/>
  <c r="I24" i="25"/>
  <c r="F71" i="25"/>
  <c r="I90" i="25"/>
  <c r="I93" i="25"/>
  <c r="F81" i="25"/>
  <c r="F122" i="25"/>
  <c r="I125" i="25"/>
  <c r="I35" i="25"/>
  <c r="F6" i="25"/>
  <c r="I42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79" i="25"/>
  <c r="L62" i="25"/>
  <c r="L80" i="25"/>
  <c r="L22" i="25"/>
  <c r="L53" i="25"/>
  <c r="L26" i="25"/>
  <c r="L99" i="25"/>
  <c r="L51" i="25"/>
  <c r="L110" i="25"/>
  <c r="L72" i="25"/>
  <c r="L123" i="25"/>
  <c r="L57" i="25"/>
  <c r="L33" i="25"/>
  <c r="L84" i="25"/>
  <c r="L54" i="25"/>
  <c r="L108" i="25"/>
  <c r="L46" i="25"/>
  <c r="L89" i="25"/>
  <c r="L32" i="25"/>
  <c r="L68" i="25"/>
  <c r="L58" i="25"/>
  <c r="L107" i="25"/>
  <c r="L37" i="25"/>
  <c r="L82" i="25"/>
  <c r="L31" i="25"/>
  <c r="L74" i="25"/>
  <c r="L113" i="25"/>
  <c r="L121" i="25"/>
  <c r="L44" i="25"/>
  <c r="L66" i="25"/>
  <c r="L116" i="25"/>
  <c r="L120" i="25"/>
  <c r="L17" i="25"/>
  <c r="L60" i="25"/>
  <c r="L30" i="25"/>
  <c r="L69" i="25"/>
  <c r="L49" i="25"/>
  <c r="L115" i="25"/>
  <c r="L27" i="25"/>
  <c r="L64" i="25"/>
  <c r="L39" i="25"/>
  <c r="L122" i="25"/>
  <c r="L40" i="25"/>
  <c r="L102" i="25"/>
  <c r="L25" i="25"/>
  <c r="L91" i="25"/>
  <c r="L29" i="25"/>
  <c r="L52" i="25"/>
  <c r="L90" i="25"/>
  <c r="L20" i="25"/>
  <c r="L106" i="25"/>
  <c r="L103" i="25"/>
  <c r="L97" i="25"/>
  <c r="L76" i="25"/>
  <c r="L96" i="25"/>
  <c r="L109" i="25"/>
  <c r="L23" i="25"/>
  <c r="L61" i="25"/>
  <c r="L112" i="25"/>
  <c r="L92" i="25"/>
  <c r="L124" i="25"/>
  <c r="L55" i="25"/>
  <c r="L67" i="25"/>
  <c r="L42" i="25"/>
  <c r="L18" i="25"/>
  <c r="L85" i="25"/>
  <c r="L48" i="25"/>
  <c r="L45" i="25"/>
  <c r="L81" i="25"/>
  <c r="L35" i="25"/>
  <c r="L119" i="25"/>
  <c r="L21" i="25"/>
  <c r="L98" i="25"/>
  <c r="L117" i="25"/>
  <c r="L36" i="25"/>
  <c r="L38" i="25"/>
  <c r="L83" i="25"/>
  <c r="L100" i="25"/>
  <c r="L56" i="25"/>
  <c r="L63" i="25"/>
  <c r="L19" i="25"/>
  <c r="L41" i="25"/>
  <c r="L28" i="25"/>
  <c r="L70" i="25"/>
  <c r="L86" i="25"/>
  <c r="L114" i="25"/>
  <c r="L95" i="25"/>
  <c r="L73" i="25"/>
  <c r="L88" i="25"/>
  <c r="L78" i="25"/>
  <c r="L87" i="25"/>
  <c r="L125" i="25"/>
  <c r="L77" i="25"/>
  <c r="L105" i="25"/>
  <c r="L118" i="25"/>
  <c r="L34" i="25"/>
  <c r="L16" i="25"/>
  <c r="L104" i="25"/>
  <c r="L75" i="25"/>
  <c r="L65" i="25"/>
  <c r="L111" i="25"/>
  <c r="L47" i="25"/>
  <c r="L93" i="25"/>
  <c r="L71" i="25"/>
  <c r="L94" i="25"/>
  <c r="L43" i="25"/>
  <c r="L101" i="25"/>
  <c r="L59" i="25"/>
  <c r="L50" i="25"/>
  <c r="L24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<sst xmlns="http://schemas.openxmlformats.org/spreadsheetml/2006/main" count="2010" uniqueCount="503">
  <si>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</si>
  <si>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</si>
  <si>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</si>
  <si>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</si>
  <si>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</si>
  <si>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</si>
  <si>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</si>
  <si>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</si>
  <si>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</si>
  <si>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</si>
  <si>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</si>
  <si>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</si>
  <si>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</si>
  <si>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</si>
  <si>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</si>
  <si>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</si>
  <si>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</si>
  <si>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</si>
  <si>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</si>
  <si>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</si>
  <si>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</si>
  <si>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</si>
  <si>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</si>
  <si>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</si>
  <si>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</si>
  <si>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</si>
  <si>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</si>
  <si>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</si>
  <si>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</si>
  <si>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</si>
  <si>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</si>
  <si>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</si>
  <si>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</si>
  <si>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</si>
  <si>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</si>
  <si>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</si>
  <si>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</si>
  <si>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</si>
  <si>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</si>
  <si>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</si>
  <si>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</si>
  <si>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</si>
  <si>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</si>
  <si>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</si>
  <si>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</si>
  <si>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</si>
  <si>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</si>
  <si>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</si>
  <si>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</si>
  <si>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</si>
  <si>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</si>
  <si>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</si>
  <si>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</si>
  <si>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</si>
  <si>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</si>
  <si>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</si>
  <si>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</si>
  <si>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</si>
  <si>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</si>
  <si>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</si>
  <si>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</si>
  <si>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</si>
  <si>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</si>
  <si>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</si>
  <si>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</si>
  <si>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</si>
  <si>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</si>
  <si>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</si>
  <si>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</si>
  <si>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</si>
  <si>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</si>
  <si>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</si>
  <si>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</si>
  <si>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</si>
  <si>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</si>
  <si>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</si>
  <si>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</si>
  <si>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</si>
  <si>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</si>
  <si>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</si>
  <si>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</si>
  <si>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</si>
  <si>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</si>
  <si>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</si>
  <si>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</si>
  <si>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</si>
  <si>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</si>
  <si>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</si>
  <si>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</si>
  <si>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</si>
  <si>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</si>
  <si>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</si>
  <si>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</si>
  <si>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</si>
  <si>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</si>
  <si>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</si>
  <si>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</si>
  <si>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</si>
  <si>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</si>
  <si>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</si>
  <si>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</si>
  <si>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</si>
  <si>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</si>
  <si>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</si>
  <si>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</si>
  <si>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</si>
  <si>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</si>
  <si>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</si>
  <si>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</si>
  <si>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</si>
  <si>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</si>
  <si>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</si>
  <si>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</si>
  <si>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</si>
  <si>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</si>
  <si>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</si>
  <si>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</si>
  <si>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</si>
  <si>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</si>
  <si>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</si>
  <si>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</si>
  <si>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</si>
  <si>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</si>
  <si>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</si>
  <si>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</si>
  <si>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</si>
  <si>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</si>
  <si>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</si>
  <si>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</si>
  <si>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</si>
  <si>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</si>
  <si>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</si>
  <si>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</si>
  <si>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</si>
  <si>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</si>
  <si>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</si>
  <si>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</si>
  <si>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</si>
  <si>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</si>
  <si>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</si>
  <si>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</si>
  <si>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</si>
  <si>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</si>
  <si>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</si>
  <si>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</si>
  <si>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</si>
  <si>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</si>
  <si>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</si>
  <si>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</si>
  <si>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</si>
  <si>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</si>
  <si>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</si>
  <si>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</si>
  <si>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</si>
  <si>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</si>
  <si>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</si>
  <si>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</si>
  <si>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</si>
  <si>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</si>
  <si>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</si>
  <si>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</si>
  <si>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</si>
  <si>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</si>
  <si>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</si>
  <si>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</si>
  <si>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</si>
  <si>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</si>
  <si>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</si>
  <si>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</si>
  <si>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</si>
  <si>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</si>
  <si>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</si>
  <si>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</si>
  <si>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</si>
  <si>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</si>
  <si>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</si>
  <si>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</si>
  <si>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</si>
  <si>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</si>
  <si>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</si>
  <si>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</si>
  <si>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</si>
  <si>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</si>
  <si>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</si>
  <si>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</si>
  <si>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</si>
  <si>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</si>
  <si>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</si>
  <si>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</si>
  <si>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</si>
  <si>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</si>
  <si>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</si>
  <si>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</si>
  <si>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</si>
  <si>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</si>
  <si>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</si>
  <si>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</si>
  <si>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</si>
  <si>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</si>
  <si>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</si>
  <si>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</si>
  <si>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</si>
  <si>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</si>
  <si>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</si>
  <si>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</si>
  <si>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</si>
  <si>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</si>
  <si>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</si>
  <si>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</si>
  <si>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</si>
  <si>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</si>
  <si>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</si>
  <si>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</si>
  <si>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</si>
  <si>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</si>
  <si>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</si>
  <si>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</si>
  <si>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</si>
  <si>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</si>
  <si>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</si>
  <si>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</si>
  <si>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</si>
  <si>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</si>
  <si>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</si>
  <si>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</si>
  <si>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</si>
  <si>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</si>
  <si>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</si>
  <si>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</si>
  <si>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</si>
  <si>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</si>
  <si>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</si>
  <si>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</si>
  <si>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</si>
  <si>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</si>
  <si>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</si>
  <si>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</si>
  <si>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</si>
  <si>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</si>
  <si>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</si>
  <si>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</si>
  <si>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</si>
  <si>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</si>
  <si>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</si>
  <si>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</si>
  <si>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</si>
  <si>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</si>
  <si>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</si>
  <si>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</si>
  <si>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</si>
  <si>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</si>
  <si>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</si>
  <si>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</si>
  <si>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</si>
  <si>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</si>
  <si>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</si>
  <si>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</si>
  <si>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</si>
  <si>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</si>
  <si>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</si>
  <si>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</si>
  <si>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</si>
  <si>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</si>
  <si>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</si>
  <si>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</si>
  <si>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</si>
  <si>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</si>
  <si>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</si>
  <si>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</si>
  <si>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</si>
  <si>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</si>
  <si>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</si>
  <si>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</si>
  <si>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</si>
  <si>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</si>
  <si>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</si>
  <si>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</si>
  <si>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</si>
  <si>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</si>
  <si>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</si>
  <si>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</si>
  <si>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</si>
  <si>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</si>
  <si>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</si>
  <si>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</si>
  <si>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</si>
  <si>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</si>
  <si>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</si>
  <si>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</si>
  <si>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</si>
  <si>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</si>
  <si>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</si>
  <si>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</si>
  <si>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</si>
  <si>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</si>
  <si>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</si>
  <si>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</si>
  <si>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</si>
  <si>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</si>
  <si>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</si>
  <si>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</si>
  <si>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</si>
  <si>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</si>
  <si>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</si>
  <si>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</si>
  <si>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</si>
  <si>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</si>
  <si>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</si>
  <si>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</si>
  <si>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</si>
  <si>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</si>
  <si>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</si>
  <si>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</si>
  <si>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</si>
  <si>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</si>
  <si>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</si>
  <si>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</si>
  <si>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</si>
  <si>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</si>
  <si>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</si>
  <si>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</si>
  <si>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</si>
  <si>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</si>
  <si>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</si>
  <si>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</si>
  <si>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</si>
  <si>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</si>
  <si>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</si>
  <si>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</si>
  <si>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</si>
  <si>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</si>
  <si>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</si>
  <si>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</si>
  <si>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</si>
  <si>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</si>
  <si>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</si>
  <si>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</si>
  <si>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</si>
  <si>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</si>
  <si>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</si>
  <si>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</si>
  <si>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</si>
  <si>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</si>
  <si>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</si>
  <si>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</si>
  <si>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</si>
  <si>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</si>
  <si>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</si>
  <si>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</si>
  <si>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</si>
  <si>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</si>
  <si>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</si>
  <si>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</si>
  <si>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</si>
  <si>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</si>
  <si>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</si>
  <si>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</si>
  <si>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</si>
  <si>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</si>
  <si>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</si>
  <si>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</si>
  <si>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</si>
  <si>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</si>
  <si>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</si>
  <si>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</si>
  <si>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</si>
  <si>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</si>
  <si>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</si>
  <si>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</si>
  <si>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</si>
  <si>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</si>
  <si>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</si>
  <si>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</si>
  <si>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</si>
  <si>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</si>
  <si>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</si>
  <si>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</si>
  <si>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</si>
  <si>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</si>
  <si>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</si>
  <si>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</si>
  <si>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</si>
  <si>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</si>
  <si>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</si>
  <si>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</si>
  <si>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</si>
  <si>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</si>
  <si>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</si>
  <si>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</si>
  <si>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</si>
  <si>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</si>
  <si>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</si>
  <si>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</si>
  <si>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</si>
  <si>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</si>
  <si>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</si>
  <si>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</si>
  <si>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</si>
  <si>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</si>
  <si>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</si>
  <si>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</si>
  <si>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</si>
  <si>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</si>
  <si>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</si>
  <si>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</si>
  <si>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</si>
  <si>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</si>
  <si>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</si>
  <si>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</si>
  <si>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</si>
  <si>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</si>
  <si>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</si>
  <si>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</si>
  <si>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</si>
  <si>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</si>
  <si>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</si>
  <si>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</si>
  <si>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</si>
  <si>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</si>
  <si>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</si>
  <si>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</si>
  <si>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</si>
  <si>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</si>
  <si>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</si>
  <si>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</si>
  <si>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</si>
  <si>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</si>
  <si>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</si>
  <si>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</si>
  <si>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</si>
  <si>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</si>
  <si>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</si>
  <si>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</si>
  <si>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</si>
  <si>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</si>
  <si>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</si>
  <si>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</si>
  <si>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</si>
  <si>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</si>
  <si>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</si>
  <si>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</si>
  <si>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</si>
  <si>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</si>
  <si>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</si>
  <si>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</si>
  <si>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</si>
  <si>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</si>
  <si>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</si>
  <si>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</si>
  <si>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</si>
  <si>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</si>
  <si>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</si>
  <si>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</si>
  <si>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</si>
  <si>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</si>
  <si>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</si>
  <si>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</si>
  <si>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</si>
  <si>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</si>
  <si>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</si>
  <si>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</si>
  <si>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</si>
  <si>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</si>
  <si>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</si>
  <si>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</si>
  <si>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</si>
  <si>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</si>
  <si>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</si>
  <si>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</si>
  <si>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</si>
  <si>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</si>
  <si>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</si>
  <si>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</si>
  <si>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</si>
  <si>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</si>
  <si>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</si>
  <si>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</si>
  <si>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</si>
  <si>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</si>
  <si>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</si>
  <si>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</si>
  <si>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</si>
  <si>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</si>
  <si>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</si>
  <si>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</si>
  <si>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</si>
  <si>
    <t>浴衣菈特尼、浴衣克菈兒</t>
  </si>
  <si>
    <t>獸化風牙</t>
  </si>
  <si>
    <t>賽席爾、輕裝李弗</t>
  </si>
  <si>
    <t>結社寡婦、法爾杰托</t>
  </si>
  <si>
    <t>龍絆日潔西雅、龍絆日巴哈姆特</t>
  </si>
  <si>
    <t>柯恩</t>
  </si>
  <si>
    <t>Datetime</t>
  </si>
  <si>
    <t>Damage</t>
  </si>
  <si>
    <t>Predicted @ Reset</t>
  </si>
  <si>
    <t>Predicted +/-</t>
  </si>
  <si>
    <t>+/- %</t>
  </si>
  <si>
    <t>Mult</t>
  </si>
  <si>
    <t>DPH</t>
  </si>
  <si>
    <t>Avg</t>
  </si>
  <si>
    <t># P / hr</t>
  </si>
  <si>
    <t>聖德芬、梵斯</t>
  </si>
  <si>
    <t>克羅諾斯．夜、萬聖拉契希、萬聖夏斯特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</si>
</sst>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  <numFmt numFmtId="186" formatCode="_(* #,##0_);_(* \(#,##0\);_(* &quot;-&quot;??_);_(@_)"/>
    <numFmt numFmtId="187" formatCode="_(\+* #,##0_);_(\-* #,##0_)"/>
    <numFmt numFmtId="188" formatCode="_(\+* #,##0.00%_);_(\-* #,##0.00%_)"/>
    <numFmt numFmtId="189" formatCode="_(* #,##0.000\x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6" fontId="42" fillId="26" borderId="36" xfId="3" applyNumberFormat="1" applyFont="1" applyFill="1" applyBorder="1" applyAlignment="1">
      <alignment horizontal="center" vertical="center"/>
    </xf>
    <xf numFmtId="187" fontId="42" fillId="26" borderId="36" xfId="0" applyNumberFormat="1" applyFont="1" applyFill="1" applyBorder="1" applyAlignment="1">
      <alignment horizontal="center" vertical="center"/>
    </xf>
    <xf numFmtId="189" fontId="42" fillId="26" borderId="30" xfId="1" applyNumberFormat="1" applyFont="1" applyFill="1" applyBorder="1" applyAlignment="1">
      <alignment horizontal="center" vertical="center"/>
    </xf>
    <xf numFmtId="0" fontId="42" fillId="26" borderId="25" xfId="0" applyFont="1" applyFill="1" applyBorder="1" applyAlignment="1">
      <alignment horizontal="center" vertical="center"/>
    </xf>
    <xf numFmtId="22" fontId="42" fillId="26" borderId="36" xfId="0" applyNumberFormat="1" applyFont="1" applyFill="1" applyBorder="1" applyAlignment="1">
      <alignment horizontal="center" vertical="center"/>
    </xf>
    <xf numFmtId="186" fontId="42" fillId="26" borderId="25" xfId="3" applyNumberFormat="1" applyFont="1" applyFill="1" applyBorder="1" applyAlignment="1">
      <alignment horizontal="center" vertical="center"/>
    </xf>
    <xf numFmtId="22" fontId="42" fillId="26" borderId="28" xfId="0" applyNumberFormat="1" applyFont="1" applyFill="1" applyBorder="1" applyAlignment="1">
      <alignment horizontal="center" vertical="center"/>
    </xf>
    <xf numFmtId="186" fontId="42" fillId="26" borderId="28" xfId="3" applyNumberFormat="1" applyFont="1" applyFill="1" applyBorder="1" applyAlignment="1">
      <alignment horizontal="center" vertical="center"/>
    </xf>
    <xf numFmtId="187" fontId="42" fillId="26" borderId="28" xfId="0" applyNumberFormat="1" applyFont="1" applyFill="1" applyBorder="1" applyAlignment="1">
      <alignment horizontal="center" vertical="center"/>
    </xf>
    <xf numFmtId="188" fontId="42" fillId="26" borderId="25" xfId="1" applyNumberFormat="1" applyFont="1" applyFill="1" applyBorder="1" applyAlignment="1">
      <alignment horizontal="center" vertical="center"/>
    </xf>
    <xf numFmtId="189" fontId="42" fillId="26" borderId="25" xfId="1" applyNumberFormat="1" applyFont="1" applyFill="1" applyBorder="1" applyAlignment="1">
      <alignment horizontal="center" vertical="center"/>
    </xf>
    <xf numFmtId="22" fontId="42" fillId="26" borderId="25" xfId="0" applyNumberFormat="1" applyFont="1" applyFill="1" applyBorder="1" applyAlignment="1">
      <alignment horizontal="center" vertical="center"/>
    </xf>
    <xf numFmtId="187" fontId="42" fillId="26" borderId="25" xfId="0" applyNumberFormat="1" applyFont="1" applyFill="1" applyBorder="1" applyAlignment="1">
      <alignment horizontal="center" vertical="center"/>
    </xf>
    <xf numFmtId="0" fontId="41" fillId="26" borderId="36" xfId="0" applyFont="1" applyFill="1" applyBorder="1" applyAlignment="1">
      <alignment horizontal="center" vertical="center"/>
    </xf>
    <xf numFmtId="186" fontId="41" fillId="26" borderId="36" xfId="3" applyNumberFormat="1" applyFont="1" applyFill="1" applyBorder="1" applyAlignment="1">
      <alignment horizontal="center" vertical="center"/>
    </xf>
    <xf numFmtId="187" fontId="41" fillId="26" borderId="36" xfId="0" applyNumberFormat="1" applyFont="1" applyFill="1" applyBorder="1" applyAlignment="1">
      <alignment horizontal="center" vertical="center"/>
    </xf>
    <xf numFmtId="188" fontId="41" fillId="26" borderId="36" xfId="1" applyNumberFormat="1" applyFont="1" applyFill="1" applyBorder="1" applyAlignment="1">
      <alignment horizontal="center" vertical="center"/>
    </xf>
    <xf numFmtId="189" fontId="41" fillId="26" borderId="30" xfId="1" applyNumberFormat="1" applyFont="1" applyFill="1" applyBorder="1" applyAlignment="1">
      <alignment horizontal="center" vertical="center"/>
    </xf>
    <xf numFmtId="188" fontId="42" fillId="26" borderId="36" xfId="1" applyNumberFormat="1" applyFont="1" applyFill="1" applyBorder="1" applyAlignment="1">
      <alignment horizontal="center" vertical="center"/>
    </xf>
    <xf numFmtId="188" fontId="42" fillId="26" borderId="28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55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7D7D"/>
      </font>
    </dxf>
    <dxf>
      <font>
        <color rgb="FF2DFF8C"/>
      </font>
    </dxf>
    <dxf>
      <font>
        <color rgb="FFFF000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132F1A"/>
      <color rgb="FF423700"/>
      <color rgb="FF3F0304"/>
      <color rgb="FFFF6161"/>
      <color rgb="FFFF7575"/>
      <color rgb="FFFF4F4F"/>
      <color rgb="FF4FFF4F"/>
      <color rgb="FF1E1E1E"/>
      <color rgb="FF401C06"/>
      <color rgb="FF1F0E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worksheet" Target="worksheets/sheet1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4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19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  <c:pt idx="583">
                  <c:v>44420.800694444442</c:v>
                </c:pt>
                <c:pt idx="584">
                  <c:v>44421.125</c:v>
                </c:pt>
                <c:pt idx="585">
                  <c:v>44422.18472222222</c:v>
                </c:pt>
                <c:pt idx="586">
                  <c:v>44425.225694444445</c:v>
                </c:pt>
                <c:pt idx="587">
                  <c:v>44427.193055555559</c:v>
                </c:pt>
                <c:pt idx="588">
                  <c:v>44430.296527777777</c:v>
                </c:pt>
                <c:pt idx="589">
                  <c:v>44436.177777777775</c:v>
                </c:pt>
                <c:pt idx="590">
                  <c:v>44438.03125</c:v>
                </c:pt>
                <c:pt idx="591">
                  <c:v>44438.086805555555</c:v>
                </c:pt>
                <c:pt idx="592">
                  <c:v>44438.879166666666</c:v>
                </c:pt>
                <c:pt idx="593">
                  <c:v>44442.029166666667</c:v>
                </c:pt>
                <c:pt idx="594">
                  <c:v>44442.154166666667</c:v>
                </c:pt>
                <c:pt idx="595">
                  <c:v>44449.21875</c:v>
                </c:pt>
                <c:pt idx="596">
                  <c:v>44451.445833333331</c:v>
                </c:pt>
                <c:pt idx="597">
                  <c:v>44451.448611111111</c:v>
                </c:pt>
                <c:pt idx="598">
                  <c:v>44452.125</c:v>
                </c:pt>
                <c:pt idx="599">
                  <c:v>44453.745138888888</c:v>
                </c:pt>
                <c:pt idx="600">
                  <c:v>44454.372916666667</c:v>
                </c:pt>
                <c:pt idx="601">
                  <c:v>44455.883333333331</c:v>
                </c:pt>
                <c:pt idx="602">
                  <c:v>44456.552083333336</c:v>
                </c:pt>
                <c:pt idx="603">
                  <c:v>44458.804861111108</c:v>
                </c:pt>
                <c:pt idx="604">
                  <c:v>44459.826388888891</c:v>
                </c:pt>
                <c:pt idx="605">
                  <c:v>44460.709027777775</c:v>
                </c:pt>
                <c:pt idx="606">
                  <c:v>44462.981944444444</c:v>
                </c:pt>
                <c:pt idx="607">
                  <c:v>44467.04791666667</c:v>
                </c:pt>
                <c:pt idx="608">
                  <c:v>44468.963888888888</c:v>
                </c:pt>
                <c:pt idx="609">
                  <c:v>44469.140277777777</c:v>
                </c:pt>
                <c:pt idx="610">
                  <c:v>44469.723611111112</c:v>
                </c:pt>
                <c:pt idx="611">
                  <c:v>44470.84652777778</c:v>
                </c:pt>
                <c:pt idx="612">
                  <c:v>44471.875</c:v>
                </c:pt>
                <c:pt idx="613">
                  <c:v>44474.04583333333</c:v>
                </c:pt>
                <c:pt idx="614">
                  <c:v>44474.050694444442</c:v>
                </c:pt>
                <c:pt idx="615">
                  <c:v>44474.144444444442</c:v>
                </c:pt>
                <c:pt idx="616">
                  <c:v>44475.90625</c:v>
                </c:pt>
                <c:pt idx="617">
                  <c:v>44476.90625</c:v>
                </c:pt>
                <c:pt idx="618">
                  <c:v>44477.90625</c:v>
                </c:pt>
                <c:pt idx="619">
                  <c:v>44478.90625</c:v>
                </c:pt>
                <c:pt idx="620">
                  <c:v>44479.897222222222</c:v>
                </c:pt>
                <c:pt idx="621">
                  <c:v>44480.813194444447</c:v>
                </c:pt>
                <c:pt idx="622">
                  <c:v>44481.76458333333</c:v>
                </c:pt>
                <c:pt idx="623">
                  <c:v>44482.463194444441</c:v>
                </c:pt>
                <c:pt idx="624">
                  <c:v>44483.835416666669</c:v>
                </c:pt>
                <c:pt idx="625">
                  <c:v>44484.0625</c:v>
                </c:pt>
                <c:pt idx="626">
                  <c:v>44484.583333333336</c:v>
                </c:pt>
                <c:pt idx="627">
                  <c:v>44485.474305555559</c:v>
                </c:pt>
                <c:pt idx="628">
                  <c:v>44486.304166666669</c:v>
                </c:pt>
                <c:pt idx="629">
                  <c:v>44487.609027777777</c:v>
                </c:pt>
                <c:pt idx="630">
                  <c:v>44487.734027777777</c:v>
                </c:pt>
                <c:pt idx="631">
                  <c:v>44488.708333333336</c:v>
                </c:pt>
                <c:pt idx="632">
                  <c:v>44490.667361111111</c:v>
                </c:pt>
                <c:pt idx="633">
                  <c:v>44491.955555555556</c:v>
                </c:pt>
                <c:pt idx="634">
                  <c:v>44492.913888888892</c:v>
                </c:pt>
                <c:pt idx="635">
                  <c:v>44493.913888888892</c:v>
                </c:pt>
                <c:pt idx="636">
                  <c:v>44495.950694444444</c:v>
                </c:pt>
                <c:pt idx="637">
                  <c:v>44496.986111111109</c:v>
                </c:pt>
                <c:pt idx="638">
                  <c:v>44497.978472222225</c:v>
                </c:pt>
                <c:pt idx="639">
                  <c:v>44498.061805555553</c:v>
                </c:pt>
                <c:pt idx="640">
                  <c:v>44498.083333333336</c:v>
                </c:pt>
                <c:pt idx="641">
                  <c:v>44499.083333333336</c:v>
                </c:pt>
                <c:pt idx="642">
                  <c:v>44500.243055555555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  <c:pt idx="583">
                  <c:v>2430</c:v>
                </c:pt>
                <c:pt idx="584">
                  <c:v>-12030</c:v>
                </c:pt>
                <c:pt idx="585">
                  <c:v>2880</c:v>
                </c:pt>
                <c:pt idx="586">
                  <c:v>1640</c:v>
                </c:pt>
                <c:pt idx="587">
                  <c:v>685</c:v>
                </c:pt>
                <c:pt idx="588">
                  <c:v>990</c:v>
                </c:pt>
                <c:pt idx="589">
                  <c:v>3105</c:v>
                </c:pt>
                <c:pt idx="590">
                  <c:v>145</c:v>
                </c:pt>
                <c:pt idx="591">
                  <c:v>-6030</c:v>
                </c:pt>
                <c:pt idx="592">
                  <c:v>100</c:v>
                </c:pt>
                <c:pt idx="593">
                  <c:v>1440</c:v>
                </c:pt>
                <c:pt idx="594">
                  <c:v>-18030</c:v>
                </c:pt>
                <c:pt idx="595">
                  <c:v>2410</c:v>
                </c:pt>
                <c:pt idx="596">
                  <c:v>1360</c:v>
                </c:pt>
                <c:pt idx="597">
                  <c:v>16600</c:v>
                </c:pt>
                <c:pt idx="598">
                  <c:v>-10830</c:v>
                </c:pt>
                <c:pt idx="599">
                  <c:v>640</c:v>
                </c:pt>
                <c:pt idx="600">
                  <c:v>1365</c:v>
                </c:pt>
                <c:pt idx="601">
                  <c:v>120</c:v>
                </c:pt>
                <c:pt idx="602">
                  <c:v>190</c:v>
                </c:pt>
                <c:pt idx="603">
                  <c:v>1885</c:v>
                </c:pt>
                <c:pt idx="604">
                  <c:v>30</c:v>
                </c:pt>
                <c:pt idx="605">
                  <c:v>695</c:v>
                </c:pt>
                <c:pt idx="606">
                  <c:v>1890</c:v>
                </c:pt>
                <c:pt idx="607">
                  <c:v>6680</c:v>
                </c:pt>
                <c:pt idx="608">
                  <c:v>3320</c:v>
                </c:pt>
                <c:pt idx="609">
                  <c:v>-20430</c:v>
                </c:pt>
                <c:pt idx="610">
                  <c:v>1500</c:v>
                </c:pt>
                <c:pt idx="611">
                  <c:v>155</c:v>
                </c:pt>
                <c:pt idx="612">
                  <c:v>1020</c:v>
                </c:pt>
                <c:pt idx="613">
                  <c:v>1315</c:v>
                </c:pt>
                <c:pt idx="614">
                  <c:v>-14550</c:v>
                </c:pt>
                <c:pt idx="615">
                  <c:v>21235</c:v>
                </c:pt>
                <c:pt idx="616">
                  <c:v>1720</c:v>
                </c:pt>
                <c:pt idx="617">
                  <c:v>120</c:v>
                </c:pt>
                <c:pt idx="618">
                  <c:v>520</c:v>
                </c:pt>
                <c:pt idx="619">
                  <c:v>140</c:v>
                </c:pt>
                <c:pt idx="620">
                  <c:v>130</c:v>
                </c:pt>
                <c:pt idx="621">
                  <c:v>120</c:v>
                </c:pt>
                <c:pt idx="622">
                  <c:v>420</c:v>
                </c:pt>
                <c:pt idx="623">
                  <c:v>1345</c:v>
                </c:pt>
                <c:pt idx="624">
                  <c:v>1320</c:v>
                </c:pt>
                <c:pt idx="625">
                  <c:v>-27630</c:v>
                </c:pt>
                <c:pt idx="626">
                  <c:v>2055</c:v>
                </c:pt>
                <c:pt idx="627">
                  <c:v>320</c:v>
                </c:pt>
                <c:pt idx="628">
                  <c:v>320</c:v>
                </c:pt>
                <c:pt idx="629">
                  <c:v>5620</c:v>
                </c:pt>
                <c:pt idx="630">
                  <c:v>-2400</c:v>
                </c:pt>
                <c:pt idx="631">
                  <c:v>1670</c:v>
                </c:pt>
                <c:pt idx="632">
                  <c:v>1315</c:v>
                </c:pt>
                <c:pt idx="633">
                  <c:v>420</c:v>
                </c:pt>
                <c:pt idx="634">
                  <c:v>520</c:v>
                </c:pt>
                <c:pt idx="635">
                  <c:v>-380</c:v>
                </c:pt>
                <c:pt idx="636">
                  <c:v>215</c:v>
                </c:pt>
                <c:pt idx="637">
                  <c:v>600</c:v>
                </c:pt>
                <c:pt idx="638">
                  <c:v>445</c:v>
                </c:pt>
                <c:pt idx="639">
                  <c:v>30095</c:v>
                </c:pt>
                <c:pt idx="640">
                  <c:v>-32600</c:v>
                </c:pt>
                <c:pt idx="641">
                  <c:v>795</c:v>
                </c:pt>
                <c:pt idx="642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  <c:pt idx="583">
                        <c:v>6605</c:v>
                      </c:pt>
                      <c:pt idx="584">
                        <c:v>6605</c:v>
                      </c:pt>
                      <c:pt idx="585">
                        <c:v>9865</c:v>
                      </c:pt>
                      <c:pt idx="586">
                        <c:v>11415</c:v>
                      </c:pt>
                      <c:pt idx="587">
                        <c:v>12060</c:v>
                      </c:pt>
                      <c:pt idx="588">
                        <c:v>12460</c:v>
                      </c:pt>
                      <c:pt idx="589">
                        <c:v>14860</c:v>
                      </c:pt>
                      <c:pt idx="590">
                        <c:v>14985</c:v>
                      </c:pt>
                      <c:pt idx="591">
                        <c:v>8985</c:v>
                      </c:pt>
                      <c:pt idx="592">
                        <c:v>9085</c:v>
                      </c:pt>
                      <c:pt idx="593">
                        <c:v>10385</c:v>
                      </c:pt>
                      <c:pt idx="594">
                        <c:v>4385</c:v>
                      </c:pt>
                      <c:pt idx="595">
                        <c:v>6100</c:v>
                      </c:pt>
                      <c:pt idx="596">
                        <c:v>6895</c:v>
                      </c:pt>
                      <c:pt idx="597">
                        <c:v>6895</c:v>
                      </c:pt>
                      <c:pt idx="598">
                        <c:v>5695</c:v>
                      </c:pt>
                      <c:pt idx="599">
                        <c:v>6815</c:v>
                      </c:pt>
                      <c:pt idx="600">
                        <c:v>8080</c:v>
                      </c:pt>
                      <c:pt idx="601">
                        <c:v>8180</c:v>
                      </c:pt>
                      <c:pt idx="602">
                        <c:v>8350</c:v>
                      </c:pt>
                      <c:pt idx="603">
                        <c:v>10195</c:v>
                      </c:pt>
                      <c:pt idx="604">
                        <c:v>10205</c:v>
                      </c:pt>
                      <c:pt idx="605">
                        <c:v>10850</c:v>
                      </c:pt>
                      <c:pt idx="606">
                        <c:v>12175</c:v>
                      </c:pt>
                      <c:pt idx="607">
                        <c:v>12950</c:v>
                      </c:pt>
                      <c:pt idx="608">
                        <c:v>16200</c:v>
                      </c:pt>
                      <c:pt idx="609">
                        <c:v>3000</c:v>
                      </c:pt>
                      <c:pt idx="610">
                        <c:v>4450</c:v>
                      </c:pt>
                      <c:pt idx="611">
                        <c:v>5085</c:v>
                      </c:pt>
                      <c:pt idx="612">
                        <c:v>6085</c:v>
                      </c:pt>
                      <c:pt idx="613">
                        <c:v>6830</c:v>
                      </c:pt>
                      <c:pt idx="614">
                        <c:v>710</c:v>
                      </c:pt>
                      <c:pt idx="615">
                        <c:v>810</c:v>
                      </c:pt>
                      <c:pt idx="616">
                        <c:v>2510</c:v>
                      </c:pt>
                      <c:pt idx="617">
                        <c:v>2610</c:v>
                      </c:pt>
                      <c:pt idx="618">
                        <c:v>3110</c:v>
                      </c:pt>
                      <c:pt idx="619">
                        <c:v>3210</c:v>
                      </c:pt>
                      <c:pt idx="620">
                        <c:v>3310</c:v>
                      </c:pt>
                      <c:pt idx="621">
                        <c:v>3410</c:v>
                      </c:pt>
                      <c:pt idx="622">
                        <c:v>3810</c:v>
                      </c:pt>
                      <c:pt idx="623">
                        <c:v>5135</c:v>
                      </c:pt>
                      <c:pt idx="624">
                        <c:v>7435</c:v>
                      </c:pt>
                      <c:pt idx="625">
                        <c:v>235</c:v>
                      </c:pt>
                      <c:pt idx="626">
                        <c:v>1185</c:v>
                      </c:pt>
                      <c:pt idx="627">
                        <c:v>1485</c:v>
                      </c:pt>
                      <c:pt idx="628">
                        <c:v>1785</c:v>
                      </c:pt>
                      <c:pt idx="629">
                        <c:v>2660</c:v>
                      </c:pt>
                      <c:pt idx="630">
                        <c:v>2660</c:v>
                      </c:pt>
                      <c:pt idx="631">
                        <c:v>4310</c:v>
                      </c:pt>
                      <c:pt idx="632">
                        <c:v>5055</c:v>
                      </c:pt>
                      <c:pt idx="633">
                        <c:v>5455</c:v>
                      </c:pt>
                      <c:pt idx="634">
                        <c:v>5955</c:v>
                      </c:pt>
                      <c:pt idx="635">
                        <c:v>6055</c:v>
                      </c:pt>
                      <c:pt idx="636">
                        <c:v>6230</c:v>
                      </c:pt>
                      <c:pt idx="637">
                        <c:v>6280</c:v>
                      </c:pt>
                      <c:pt idx="638">
                        <c:v>6705</c:v>
                      </c:pt>
                      <c:pt idx="639">
                        <c:v>6705</c:v>
                      </c:pt>
                      <c:pt idx="640">
                        <c:v>6705</c:v>
                      </c:pt>
                      <c:pt idx="641">
                        <c:v>7430</c:v>
                      </c:pt>
                      <c:pt idx="642">
                        <c:v>7580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  <c:pt idx="583">
                        <c:v>24005</c:v>
                      </c:pt>
                      <c:pt idx="584">
                        <c:v>11975</c:v>
                      </c:pt>
                      <c:pt idx="585">
                        <c:v>11595</c:v>
                      </c:pt>
                      <c:pt idx="586">
                        <c:v>11685</c:v>
                      </c:pt>
                      <c:pt idx="587">
                        <c:v>11725</c:v>
                      </c:pt>
                      <c:pt idx="588">
                        <c:v>12315</c:v>
                      </c:pt>
                      <c:pt idx="589">
                        <c:v>13020</c:v>
                      </c:pt>
                      <c:pt idx="590">
                        <c:v>13040</c:v>
                      </c:pt>
                      <c:pt idx="591">
                        <c:v>13010</c:v>
                      </c:pt>
                      <c:pt idx="592">
                        <c:v>13010</c:v>
                      </c:pt>
                      <c:pt idx="593">
                        <c:v>13150</c:v>
                      </c:pt>
                      <c:pt idx="594">
                        <c:v>1120</c:v>
                      </c:pt>
                      <c:pt idx="595">
                        <c:v>1815</c:v>
                      </c:pt>
                      <c:pt idx="596">
                        <c:v>2380</c:v>
                      </c:pt>
                      <c:pt idx="597">
                        <c:v>18980</c:v>
                      </c:pt>
                      <c:pt idx="598">
                        <c:v>9350</c:v>
                      </c:pt>
                      <c:pt idx="599">
                        <c:v>8870</c:v>
                      </c:pt>
                      <c:pt idx="600">
                        <c:v>8970</c:v>
                      </c:pt>
                      <c:pt idx="601">
                        <c:v>8990</c:v>
                      </c:pt>
                      <c:pt idx="602">
                        <c:v>9010</c:v>
                      </c:pt>
                      <c:pt idx="603">
                        <c:v>9050</c:v>
                      </c:pt>
                      <c:pt idx="604">
                        <c:v>9070</c:v>
                      </c:pt>
                      <c:pt idx="605">
                        <c:v>9120</c:v>
                      </c:pt>
                      <c:pt idx="606">
                        <c:v>9685</c:v>
                      </c:pt>
                      <c:pt idx="607">
                        <c:v>15590</c:v>
                      </c:pt>
                      <c:pt idx="608">
                        <c:v>15660</c:v>
                      </c:pt>
                      <c:pt idx="609">
                        <c:v>8430</c:v>
                      </c:pt>
                      <c:pt idx="610">
                        <c:v>8480</c:v>
                      </c:pt>
                      <c:pt idx="611">
                        <c:v>8000</c:v>
                      </c:pt>
                      <c:pt idx="612">
                        <c:v>8020</c:v>
                      </c:pt>
                      <c:pt idx="613">
                        <c:v>8590</c:v>
                      </c:pt>
                      <c:pt idx="614">
                        <c:v>160</c:v>
                      </c:pt>
                      <c:pt idx="615">
                        <c:v>21295</c:v>
                      </c:pt>
                      <c:pt idx="616">
                        <c:v>21315</c:v>
                      </c:pt>
                      <c:pt idx="617">
                        <c:v>21335</c:v>
                      </c:pt>
                      <c:pt idx="618">
                        <c:v>21355</c:v>
                      </c:pt>
                      <c:pt idx="619">
                        <c:v>21395</c:v>
                      </c:pt>
                      <c:pt idx="620">
                        <c:v>21425</c:v>
                      </c:pt>
                      <c:pt idx="621">
                        <c:v>21445</c:v>
                      </c:pt>
                      <c:pt idx="622">
                        <c:v>21465</c:v>
                      </c:pt>
                      <c:pt idx="623">
                        <c:v>21485</c:v>
                      </c:pt>
                      <c:pt idx="624">
                        <c:v>20505</c:v>
                      </c:pt>
                      <c:pt idx="625">
                        <c:v>75</c:v>
                      </c:pt>
                      <c:pt idx="626">
                        <c:v>1180</c:v>
                      </c:pt>
                      <c:pt idx="627">
                        <c:v>1200</c:v>
                      </c:pt>
                      <c:pt idx="628">
                        <c:v>1220</c:v>
                      </c:pt>
                      <c:pt idx="629">
                        <c:v>5965</c:v>
                      </c:pt>
                      <c:pt idx="630">
                        <c:v>3565</c:v>
                      </c:pt>
                      <c:pt idx="631">
                        <c:v>3585</c:v>
                      </c:pt>
                      <c:pt idx="632">
                        <c:v>4155</c:v>
                      </c:pt>
                      <c:pt idx="633">
                        <c:v>4175</c:v>
                      </c:pt>
                      <c:pt idx="634">
                        <c:v>4195</c:v>
                      </c:pt>
                      <c:pt idx="635">
                        <c:v>3715</c:v>
                      </c:pt>
                      <c:pt idx="636">
                        <c:v>3755</c:v>
                      </c:pt>
                      <c:pt idx="637">
                        <c:v>4305</c:v>
                      </c:pt>
                      <c:pt idx="638">
                        <c:v>4325</c:v>
                      </c:pt>
                      <c:pt idx="639">
                        <c:v>34420</c:v>
                      </c:pt>
                      <c:pt idx="640">
                        <c:v>1820</c:v>
                      </c:pt>
                      <c:pt idx="641">
                        <c:v>1890</c:v>
                      </c:pt>
                      <c:pt idx="642">
                        <c:v>1910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  <c:pt idx="583">
                        <c:v>30610</c:v>
                      </c:pt>
                      <c:pt idx="584">
                        <c:v>18580</c:v>
                      </c:pt>
                      <c:pt idx="585">
                        <c:v>21460</c:v>
                      </c:pt>
                      <c:pt idx="586">
                        <c:v>23100</c:v>
                      </c:pt>
                      <c:pt idx="587">
                        <c:v>23785</c:v>
                      </c:pt>
                      <c:pt idx="588">
                        <c:v>24775</c:v>
                      </c:pt>
                      <c:pt idx="589">
                        <c:v>27880</c:v>
                      </c:pt>
                      <c:pt idx="590">
                        <c:v>28025</c:v>
                      </c:pt>
                      <c:pt idx="591">
                        <c:v>21995</c:v>
                      </c:pt>
                      <c:pt idx="592">
                        <c:v>22095</c:v>
                      </c:pt>
                      <c:pt idx="593">
                        <c:v>23535</c:v>
                      </c:pt>
                      <c:pt idx="594">
                        <c:v>5505</c:v>
                      </c:pt>
                      <c:pt idx="595">
                        <c:v>7915</c:v>
                      </c:pt>
                      <c:pt idx="596">
                        <c:v>9275</c:v>
                      </c:pt>
                      <c:pt idx="597">
                        <c:v>25875</c:v>
                      </c:pt>
                      <c:pt idx="598">
                        <c:v>15045</c:v>
                      </c:pt>
                      <c:pt idx="599">
                        <c:v>15685</c:v>
                      </c:pt>
                      <c:pt idx="600">
                        <c:v>17050</c:v>
                      </c:pt>
                      <c:pt idx="601">
                        <c:v>17170</c:v>
                      </c:pt>
                      <c:pt idx="602">
                        <c:v>17360</c:v>
                      </c:pt>
                      <c:pt idx="603">
                        <c:v>19245</c:v>
                      </c:pt>
                      <c:pt idx="604">
                        <c:v>19275</c:v>
                      </c:pt>
                      <c:pt idx="605">
                        <c:v>19970</c:v>
                      </c:pt>
                      <c:pt idx="606">
                        <c:v>21860</c:v>
                      </c:pt>
                      <c:pt idx="607">
                        <c:v>28540</c:v>
                      </c:pt>
                      <c:pt idx="608">
                        <c:v>31860</c:v>
                      </c:pt>
                      <c:pt idx="609">
                        <c:v>11430</c:v>
                      </c:pt>
                      <c:pt idx="610">
                        <c:v>12930</c:v>
                      </c:pt>
                      <c:pt idx="611">
                        <c:v>13085</c:v>
                      </c:pt>
                      <c:pt idx="612">
                        <c:v>14105</c:v>
                      </c:pt>
                      <c:pt idx="613">
                        <c:v>15420</c:v>
                      </c:pt>
                      <c:pt idx="614">
                        <c:v>870</c:v>
                      </c:pt>
                      <c:pt idx="615">
                        <c:v>22105</c:v>
                      </c:pt>
                      <c:pt idx="616">
                        <c:v>23825</c:v>
                      </c:pt>
                      <c:pt idx="617">
                        <c:v>23945</c:v>
                      </c:pt>
                      <c:pt idx="618">
                        <c:v>24465</c:v>
                      </c:pt>
                      <c:pt idx="619">
                        <c:v>24605</c:v>
                      </c:pt>
                      <c:pt idx="620">
                        <c:v>24735</c:v>
                      </c:pt>
                      <c:pt idx="621">
                        <c:v>24855</c:v>
                      </c:pt>
                      <c:pt idx="622">
                        <c:v>25275</c:v>
                      </c:pt>
                      <c:pt idx="623">
                        <c:v>26620</c:v>
                      </c:pt>
                      <c:pt idx="624">
                        <c:v>27940</c:v>
                      </c:pt>
                      <c:pt idx="625">
                        <c:v>310</c:v>
                      </c:pt>
                      <c:pt idx="626">
                        <c:v>2365</c:v>
                      </c:pt>
                      <c:pt idx="627">
                        <c:v>2685</c:v>
                      </c:pt>
                      <c:pt idx="628">
                        <c:v>3005</c:v>
                      </c:pt>
                      <c:pt idx="629">
                        <c:v>8625</c:v>
                      </c:pt>
                      <c:pt idx="630">
                        <c:v>6225</c:v>
                      </c:pt>
                      <c:pt idx="631">
                        <c:v>7895</c:v>
                      </c:pt>
                      <c:pt idx="632">
                        <c:v>9210</c:v>
                      </c:pt>
                      <c:pt idx="633">
                        <c:v>9630</c:v>
                      </c:pt>
                      <c:pt idx="634">
                        <c:v>10150</c:v>
                      </c:pt>
                      <c:pt idx="635">
                        <c:v>9770</c:v>
                      </c:pt>
                      <c:pt idx="636">
                        <c:v>9985</c:v>
                      </c:pt>
                      <c:pt idx="637">
                        <c:v>10585</c:v>
                      </c:pt>
                      <c:pt idx="638">
                        <c:v>11030</c:v>
                      </c:pt>
                      <c:pt idx="639">
                        <c:v>41125</c:v>
                      </c:pt>
                      <c:pt idx="640">
                        <c:v>8525</c:v>
                      </c:pt>
                      <c:pt idx="641">
                        <c:v>9320</c:v>
                      </c:pt>
                      <c:pt idx="642">
                        <c:v>9490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月送抽!$B$2:$B$678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月送抽!$C$2:$C$678</c:f>
              <c:numCache>
                <c:formatCode>[Color50]\+0;[Red]\-0;0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107.625</c:v>
                </c:pt>
                <c:pt idx="481">
                  <c:v>107.625</c:v>
                </c:pt>
                <c:pt idx="482">
                  <c:v>107.625</c:v>
                </c:pt>
                <c:pt idx="483">
                  <c:v>107.625</c:v>
                </c:pt>
                <c:pt idx="484">
                  <c:v>121</c:v>
                </c:pt>
                <c:pt idx="485">
                  <c:v>111.16666666666667</c:v>
                </c:pt>
                <c:pt idx="486">
                  <c:v>111.16666666666667</c:v>
                </c:pt>
                <c:pt idx="487">
                  <c:v>111.16666666666667</c:v>
                </c:pt>
                <c:pt idx="488">
                  <c:v>104.08333333333333</c:v>
                </c:pt>
                <c:pt idx="489">
                  <c:v>104.08333333333333</c:v>
                </c:pt>
                <c:pt idx="490">
                  <c:v>106.08333333333333</c:v>
                </c:pt>
                <c:pt idx="491">
                  <c:v>106.08333333333333</c:v>
                </c:pt>
                <c:pt idx="492">
                  <c:v>106.08333333333333</c:v>
                </c:pt>
                <c:pt idx="493">
                  <c:v>119</c:v>
                </c:pt>
                <c:pt idx="494">
                  <c:v>119</c:v>
                </c:pt>
                <c:pt idx="495">
                  <c:v>119</c:v>
                </c:pt>
                <c:pt idx="496">
                  <c:v>119</c:v>
                </c:pt>
                <c:pt idx="497">
                  <c:v>119</c:v>
                </c:pt>
                <c:pt idx="498">
                  <c:v>119</c:v>
                </c:pt>
                <c:pt idx="499">
                  <c:v>110.25</c:v>
                </c:pt>
                <c:pt idx="500">
                  <c:v>110.25</c:v>
                </c:pt>
                <c:pt idx="501">
                  <c:v>98.833333333333329</c:v>
                </c:pt>
                <c:pt idx="502">
                  <c:v>98.833333333333329</c:v>
                </c:pt>
                <c:pt idx="503">
                  <c:v>98.833333333333329</c:v>
                </c:pt>
                <c:pt idx="504">
                  <c:v>98.833333333333329</c:v>
                </c:pt>
                <c:pt idx="505">
                  <c:v>103.20833333333333</c:v>
                </c:pt>
                <c:pt idx="506">
                  <c:v>103.20833333333333</c:v>
                </c:pt>
                <c:pt idx="507">
                  <c:v>103.20833333333333</c:v>
                </c:pt>
                <c:pt idx="508">
                  <c:v>103.20833333333333</c:v>
                </c:pt>
                <c:pt idx="509">
                  <c:v>103.20833333333333</c:v>
                </c:pt>
                <c:pt idx="510">
                  <c:v>103.20833333333333</c:v>
                </c:pt>
                <c:pt idx="511">
                  <c:v>103.20833333333333</c:v>
                </c:pt>
                <c:pt idx="512">
                  <c:v>102.41666666666667</c:v>
                </c:pt>
                <c:pt idx="513">
                  <c:v>102.41666666666667</c:v>
                </c:pt>
                <c:pt idx="514">
                  <c:v>102.41666666666667</c:v>
                </c:pt>
                <c:pt idx="515">
                  <c:v>84.583333333333329</c:v>
                </c:pt>
                <c:pt idx="516">
                  <c:v>95.125</c:v>
                </c:pt>
                <c:pt idx="517">
                  <c:v>83.041666666666671</c:v>
                </c:pt>
                <c:pt idx="518">
                  <c:v>84.458333333333329</c:v>
                </c:pt>
                <c:pt idx="519">
                  <c:v>94.458333333333329</c:v>
                </c:pt>
                <c:pt idx="520">
                  <c:v>94.458333333333329</c:v>
                </c:pt>
                <c:pt idx="521">
                  <c:v>94.541666666666671</c:v>
                </c:pt>
                <c:pt idx="522">
                  <c:v>96.583333333333329</c:v>
                </c:pt>
                <c:pt idx="523">
                  <c:v>107.625</c:v>
                </c:pt>
                <c:pt idx="524">
                  <c:v>107.625</c:v>
                </c:pt>
                <c:pt idx="525">
                  <c:v>94.083333333333329</c:v>
                </c:pt>
                <c:pt idx="526">
                  <c:v>94.083333333333329</c:v>
                </c:pt>
                <c:pt idx="527">
                  <c:v>94.083333333333329</c:v>
                </c:pt>
                <c:pt idx="528">
                  <c:v>94.083333333333329</c:v>
                </c:pt>
                <c:pt idx="529">
                  <c:v>94.083333333333329</c:v>
                </c:pt>
                <c:pt idx="530">
                  <c:v>119.29166666666667</c:v>
                </c:pt>
                <c:pt idx="531">
                  <c:v>119.29166666666667</c:v>
                </c:pt>
                <c:pt idx="532">
                  <c:v>136.66666666666666</c:v>
                </c:pt>
                <c:pt idx="533">
                  <c:v>145</c:v>
                </c:pt>
                <c:pt idx="534">
                  <c:v>140.375</c:v>
                </c:pt>
                <c:pt idx="535">
                  <c:v>140.375</c:v>
                </c:pt>
                <c:pt idx="536">
                  <c:v>140.375</c:v>
                </c:pt>
                <c:pt idx="537">
                  <c:v>155.375</c:v>
                </c:pt>
                <c:pt idx="538">
                  <c:v>156.20833333333334</c:v>
                </c:pt>
                <c:pt idx="539">
                  <c:v>160.375</c:v>
                </c:pt>
                <c:pt idx="540">
                  <c:v>161.20833333333334</c:v>
                </c:pt>
                <c:pt idx="541">
                  <c:v>147.75</c:v>
                </c:pt>
                <c:pt idx="542">
                  <c:v>148.58333333333334</c:v>
                </c:pt>
                <c:pt idx="543">
                  <c:v>145.29166666666666</c:v>
                </c:pt>
                <c:pt idx="544">
                  <c:v>156.33333333333334</c:v>
                </c:pt>
                <c:pt idx="545">
                  <c:v>166.16666666666666</c:v>
                </c:pt>
                <c:pt idx="546">
                  <c:v>166.16666666666666</c:v>
                </c:pt>
                <c:pt idx="547">
                  <c:v>166.04166666666666</c:v>
                </c:pt>
                <c:pt idx="548">
                  <c:v>167.70833333333334</c:v>
                </c:pt>
                <c:pt idx="549">
                  <c:v>173.58333333333334</c:v>
                </c:pt>
                <c:pt idx="550">
                  <c:v>187.33333333333334</c:v>
                </c:pt>
                <c:pt idx="551">
                  <c:v>178.08333333333334</c:v>
                </c:pt>
                <c:pt idx="552">
                  <c:v>178.08333333333334</c:v>
                </c:pt>
                <c:pt idx="553">
                  <c:v>176.04166666666666</c:v>
                </c:pt>
                <c:pt idx="554">
                  <c:v>180.20833333333334</c:v>
                </c:pt>
                <c:pt idx="555">
                  <c:v>170</c:v>
                </c:pt>
                <c:pt idx="556">
                  <c:v>171.45833333333334</c:v>
                </c:pt>
                <c:pt idx="557">
                  <c:v>171.45833333333334</c:v>
                </c:pt>
                <c:pt idx="558">
                  <c:v>171.875</c:v>
                </c:pt>
                <c:pt idx="559">
                  <c:v>168.95833333333334</c:v>
                </c:pt>
                <c:pt idx="560">
                  <c:v>168.95833333333334</c:v>
                </c:pt>
                <c:pt idx="561">
                  <c:v>147.91666666666666</c:v>
                </c:pt>
                <c:pt idx="562">
                  <c:v>137.08333333333334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月送抽!$D$2:$D$678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51</c:v>
                </c:pt>
                <c:pt idx="500">
                  <c:v>51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48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52</c:v>
                </c:pt>
                <c:pt idx="516">
                  <c:v>58</c:v>
                </c:pt>
                <c:pt idx="517">
                  <c:v>33</c:v>
                </c:pt>
                <c:pt idx="518">
                  <c:v>35</c:v>
                </c:pt>
                <c:pt idx="519">
                  <c:v>45</c:v>
                </c:pt>
                <c:pt idx="520">
                  <c:v>45</c:v>
                </c:pt>
                <c:pt idx="521">
                  <c:v>47</c:v>
                </c:pt>
                <c:pt idx="522">
                  <c:v>49</c:v>
                </c:pt>
                <c:pt idx="523">
                  <c:v>55</c:v>
                </c:pt>
                <c:pt idx="524">
                  <c:v>55</c:v>
                </c:pt>
                <c:pt idx="525">
                  <c:v>99</c:v>
                </c:pt>
                <c:pt idx="526">
                  <c:v>99</c:v>
                </c:pt>
                <c:pt idx="527">
                  <c:v>99</c:v>
                </c:pt>
                <c:pt idx="528">
                  <c:v>99</c:v>
                </c:pt>
                <c:pt idx="529">
                  <c:v>92</c:v>
                </c:pt>
                <c:pt idx="530">
                  <c:v>92</c:v>
                </c:pt>
                <c:pt idx="531">
                  <c:v>92</c:v>
                </c:pt>
                <c:pt idx="532">
                  <c:v>112</c:v>
                </c:pt>
                <c:pt idx="533">
                  <c:v>113</c:v>
                </c:pt>
                <c:pt idx="534">
                  <c:v>127</c:v>
                </c:pt>
                <c:pt idx="535">
                  <c:v>127</c:v>
                </c:pt>
                <c:pt idx="536">
                  <c:v>127</c:v>
                </c:pt>
                <c:pt idx="537">
                  <c:v>138</c:v>
                </c:pt>
                <c:pt idx="538">
                  <c:v>139</c:v>
                </c:pt>
                <c:pt idx="539">
                  <c:v>140</c:v>
                </c:pt>
                <c:pt idx="540">
                  <c:v>141</c:v>
                </c:pt>
                <c:pt idx="541">
                  <c:v>141</c:v>
                </c:pt>
                <c:pt idx="542">
                  <c:v>142</c:v>
                </c:pt>
                <c:pt idx="543">
                  <c:v>141</c:v>
                </c:pt>
                <c:pt idx="544">
                  <c:v>159</c:v>
                </c:pt>
                <c:pt idx="545">
                  <c:v>163</c:v>
                </c:pt>
                <c:pt idx="546">
                  <c:v>163</c:v>
                </c:pt>
                <c:pt idx="547">
                  <c:v>162</c:v>
                </c:pt>
                <c:pt idx="548">
                  <c:v>163</c:v>
                </c:pt>
                <c:pt idx="549">
                  <c:v>162</c:v>
                </c:pt>
                <c:pt idx="550">
                  <c:v>168</c:v>
                </c:pt>
                <c:pt idx="551">
                  <c:v>167</c:v>
                </c:pt>
                <c:pt idx="552">
                  <c:v>167</c:v>
                </c:pt>
                <c:pt idx="553">
                  <c:v>164</c:v>
                </c:pt>
                <c:pt idx="554">
                  <c:v>165</c:v>
                </c:pt>
                <c:pt idx="555">
                  <c:v>160</c:v>
                </c:pt>
                <c:pt idx="556">
                  <c:v>171</c:v>
                </c:pt>
                <c:pt idx="557">
                  <c:v>171</c:v>
                </c:pt>
                <c:pt idx="558">
                  <c:v>127</c:v>
                </c:pt>
                <c:pt idx="559">
                  <c:v>142</c:v>
                </c:pt>
                <c:pt idx="560">
                  <c:v>142</c:v>
                </c:pt>
                <c:pt idx="561">
                  <c:v>143</c:v>
                </c:pt>
                <c:pt idx="562">
                  <c:v>151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月送抽!$E$2:$E$678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20</c:v>
                </c:pt>
                <c:pt idx="530">
                  <c:v>30</c:v>
                </c:pt>
                <c:pt idx="531">
                  <c:v>40</c:v>
                </c:pt>
                <c:pt idx="532">
                  <c:v>50</c:v>
                </c:pt>
                <c:pt idx="533">
                  <c:v>60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100</c:v>
                </c:pt>
                <c:pt idx="538">
                  <c:v>110</c:v>
                </c:pt>
                <c:pt idx="539">
                  <c:v>120</c:v>
                </c:pt>
                <c:pt idx="540">
                  <c:v>130</c:v>
                </c:pt>
                <c:pt idx="541">
                  <c:v>140</c:v>
                </c:pt>
                <c:pt idx="542">
                  <c:v>150</c:v>
                </c:pt>
                <c:pt idx="543">
                  <c:v>160</c:v>
                </c:pt>
                <c:pt idx="544">
                  <c:v>170</c:v>
                </c:pt>
                <c:pt idx="545">
                  <c:v>180</c:v>
                </c:pt>
                <c:pt idx="546">
                  <c:v>190</c:v>
                </c:pt>
                <c:pt idx="547">
                  <c:v>210</c:v>
                </c:pt>
                <c:pt idx="548">
                  <c:v>220</c:v>
                </c:pt>
                <c:pt idx="549">
                  <c:v>230</c:v>
                </c:pt>
                <c:pt idx="550">
                  <c:v>240</c:v>
                </c:pt>
                <c:pt idx="551">
                  <c:v>260</c:v>
                </c:pt>
                <c:pt idx="552">
                  <c:v>260</c:v>
                </c:pt>
                <c:pt idx="553">
                  <c:v>270</c:v>
                </c:pt>
                <c:pt idx="554">
                  <c:v>280</c:v>
                </c:pt>
                <c:pt idx="555">
                  <c:v>290</c:v>
                </c:pt>
                <c:pt idx="556">
                  <c:v>310</c:v>
                </c:pt>
                <c:pt idx="557">
                  <c:v>310</c:v>
                </c:pt>
                <c:pt idx="558">
                  <c:v>310</c:v>
                </c:pt>
                <c:pt idx="559">
                  <c:v>310</c:v>
                </c:pt>
                <c:pt idx="560">
                  <c:v>320</c:v>
                </c:pt>
                <c:pt idx="561">
                  <c:v>310</c:v>
                </c:pt>
                <c:pt idx="562">
                  <c:v>320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月送抽!$F$2:$F$678</c:f>
              <c:numCache>
                <c:formatCode>0.00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430.625</c:v>
                </c:pt>
                <c:pt idx="481">
                  <c:v>430.625</c:v>
                </c:pt>
                <c:pt idx="482">
                  <c:v>430.625</c:v>
                </c:pt>
                <c:pt idx="483">
                  <c:v>430.625</c:v>
                </c:pt>
                <c:pt idx="484">
                  <c:v>389</c:v>
                </c:pt>
                <c:pt idx="485">
                  <c:v>379.16666666666669</c:v>
                </c:pt>
                <c:pt idx="486">
                  <c:v>379.16666666666669</c:v>
                </c:pt>
                <c:pt idx="487">
                  <c:v>379.16666666666669</c:v>
                </c:pt>
                <c:pt idx="488">
                  <c:v>168.08333333333331</c:v>
                </c:pt>
                <c:pt idx="489">
                  <c:v>168.08333333333331</c:v>
                </c:pt>
                <c:pt idx="490">
                  <c:v>170.08333333333331</c:v>
                </c:pt>
                <c:pt idx="491">
                  <c:v>170.08333333333331</c:v>
                </c:pt>
                <c:pt idx="492">
                  <c:v>170.08333333333331</c:v>
                </c:pt>
                <c:pt idx="493">
                  <c:v>190</c:v>
                </c:pt>
                <c:pt idx="494">
                  <c:v>190</c:v>
                </c:pt>
                <c:pt idx="495">
                  <c:v>190</c:v>
                </c:pt>
                <c:pt idx="496">
                  <c:v>190</c:v>
                </c:pt>
                <c:pt idx="497">
                  <c:v>190</c:v>
                </c:pt>
                <c:pt idx="498">
                  <c:v>190</c:v>
                </c:pt>
                <c:pt idx="499">
                  <c:v>161.25</c:v>
                </c:pt>
                <c:pt idx="500">
                  <c:v>161.25</c:v>
                </c:pt>
                <c:pt idx="501">
                  <c:v>146.83333333333331</c:v>
                </c:pt>
                <c:pt idx="502">
                  <c:v>146.83333333333331</c:v>
                </c:pt>
                <c:pt idx="503">
                  <c:v>146.83333333333331</c:v>
                </c:pt>
                <c:pt idx="504">
                  <c:v>146.83333333333331</c:v>
                </c:pt>
                <c:pt idx="505">
                  <c:v>153.20833333333331</c:v>
                </c:pt>
                <c:pt idx="506">
                  <c:v>153.20833333333331</c:v>
                </c:pt>
                <c:pt idx="507">
                  <c:v>153.20833333333331</c:v>
                </c:pt>
                <c:pt idx="508">
                  <c:v>153.20833333333331</c:v>
                </c:pt>
                <c:pt idx="509">
                  <c:v>153.20833333333331</c:v>
                </c:pt>
                <c:pt idx="510">
                  <c:v>153.20833333333331</c:v>
                </c:pt>
                <c:pt idx="511">
                  <c:v>153.20833333333331</c:v>
                </c:pt>
                <c:pt idx="512">
                  <c:v>152.41666666666669</c:v>
                </c:pt>
                <c:pt idx="513">
                  <c:v>152.41666666666669</c:v>
                </c:pt>
                <c:pt idx="514">
                  <c:v>152.41666666666669</c:v>
                </c:pt>
                <c:pt idx="515">
                  <c:v>136.58333333333331</c:v>
                </c:pt>
                <c:pt idx="516">
                  <c:v>153.125</c:v>
                </c:pt>
                <c:pt idx="517">
                  <c:v>116.04166666666667</c:v>
                </c:pt>
                <c:pt idx="518">
                  <c:v>119.45833333333333</c:v>
                </c:pt>
                <c:pt idx="519">
                  <c:v>139.45833333333331</c:v>
                </c:pt>
                <c:pt idx="520">
                  <c:v>139.45833333333331</c:v>
                </c:pt>
                <c:pt idx="521">
                  <c:v>141.54166666666669</c:v>
                </c:pt>
                <c:pt idx="522">
                  <c:v>145.58333333333331</c:v>
                </c:pt>
                <c:pt idx="523">
                  <c:v>162.625</c:v>
                </c:pt>
                <c:pt idx="524">
                  <c:v>162.625</c:v>
                </c:pt>
                <c:pt idx="525">
                  <c:v>203.08333333333331</c:v>
                </c:pt>
                <c:pt idx="526">
                  <c:v>203.08333333333331</c:v>
                </c:pt>
                <c:pt idx="527">
                  <c:v>203.08333333333331</c:v>
                </c:pt>
                <c:pt idx="528">
                  <c:v>203.08333333333331</c:v>
                </c:pt>
                <c:pt idx="529">
                  <c:v>206.08333333333331</c:v>
                </c:pt>
                <c:pt idx="530">
                  <c:v>241.29166666666669</c:v>
                </c:pt>
                <c:pt idx="531">
                  <c:v>251.29166666666669</c:v>
                </c:pt>
                <c:pt idx="532">
                  <c:v>298.66666666666663</c:v>
                </c:pt>
                <c:pt idx="533">
                  <c:v>318</c:v>
                </c:pt>
                <c:pt idx="534">
                  <c:v>357.375</c:v>
                </c:pt>
                <c:pt idx="535">
                  <c:v>357.375</c:v>
                </c:pt>
                <c:pt idx="536">
                  <c:v>357.375</c:v>
                </c:pt>
                <c:pt idx="537">
                  <c:v>393.375</c:v>
                </c:pt>
                <c:pt idx="538">
                  <c:v>405.20833333333337</c:v>
                </c:pt>
                <c:pt idx="539">
                  <c:v>420.375</c:v>
                </c:pt>
                <c:pt idx="540">
                  <c:v>432.20833333333337</c:v>
                </c:pt>
                <c:pt idx="541">
                  <c:v>428.75</c:v>
                </c:pt>
                <c:pt idx="542">
                  <c:v>440.58333333333337</c:v>
                </c:pt>
                <c:pt idx="543">
                  <c:v>446.29166666666663</c:v>
                </c:pt>
                <c:pt idx="544">
                  <c:v>485.33333333333337</c:v>
                </c:pt>
                <c:pt idx="545">
                  <c:v>509.16666666666663</c:v>
                </c:pt>
                <c:pt idx="546">
                  <c:v>519.16666666666663</c:v>
                </c:pt>
                <c:pt idx="547">
                  <c:v>538.04166666666663</c:v>
                </c:pt>
                <c:pt idx="548">
                  <c:v>550.70833333333337</c:v>
                </c:pt>
                <c:pt idx="549">
                  <c:v>565.58333333333337</c:v>
                </c:pt>
                <c:pt idx="550">
                  <c:v>595.33333333333337</c:v>
                </c:pt>
                <c:pt idx="551">
                  <c:v>605.08333333333337</c:v>
                </c:pt>
                <c:pt idx="552">
                  <c:v>605.08333333333337</c:v>
                </c:pt>
                <c:pt idx="553">
                  <c:v>610.04166666666663</c:v>
                </c:pt>
                <c:pt idx="554">
                  <c:v>625.20833333333337</c:v>
                </c:pt>
                <c:pt idx="555">
                  <c:v>620</c:v>
                </c:pt>
                <c:pt idx="556">
                  <c:v>652.45833333333337</c:v>
                </c:pt>
                <c:pt idx="557">
                  <c:v>652.45833333333337</c:v>
                </c:pt>
                <c:pt idx="558">
                  <c:v>608.875</c:v>
                </c:pt>
                <c:pt idx="559">
                  <c:v>620.95833333333337</c:v>
                </c:pt>
                <c:pt idx="560">
                  <c:v>630.95833333333337</c:v>
                </c:pt>
                <c:pt idx="561">
                  <c:v>600.91666666666663</c:v>
                </c:pt>
                <c:pt idx="562">
                  <c:v>608.08333333333337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23" t="s">
        <v>221</v>
      </c>
      <c r="AM1" s="524"/>
      <c r="AN1" s="524"/>
      <c r="AO1" s="524"/>
      <c r="AP1" s="524"/>
      <c r="AQ1" s="524"/>
      <c r="AR1" s="524"/>
      <c r="AS1" s="524"/>
      <c r="AT1" s="524"/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5"/>
    </row>
    <row r="2" spans="1:63" s="176" customFormat="1" ht="15.75" customHeight="1" x14ac:dyDescent="0.25">
      <c r="A2" s="521" t="s">
        <v>215</v>
      </c>
      <c r="B2" s="521"/>
      <c r="C2" s="522"/>
      <c r="D2" s="520" t="s">
        <v>60</v>
      </c>
      <c r="E2" s="521"/>
      <c r="F2" s="521"/>
      <c r="G2" s="521"/>
      <c r="H2" s="522"/>
      <c r="I2" s="527" t="s">
        <v>227</v>
      </c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9"/>
      <c r="U2" s="527" t="s">
        <v>250</v>
      </c>
      <c r="V2" s="528"/>
      <c r="W2" s="528"/>
      <c r="X2" s="528"/>
      <c r="Y2" s="528"/>
      <c r="Z2" s="528"/>
      <c r="AA2" s="529"/>
      <c r="AB2" s="527" t="s">
        <v>235</v>
      </c>
      <c r="AC2" s="528"/>
      <c r="AD2" s="528"/>
      <c r="AE2" s="528"/>
      <c r="AF2" s="528"/>
      <c r="AG2" s="528"/>
      <c r="AH2" s="528"/>
      <c r="AI2" s="528"/>
      <c r="AJ2" s="528"/>
      <c r="AK2" s="529"/>
      <c r="AL2" s="520" t="s">
        <v>220</v>
      </c>
      <c r="AM2" s="521"/>
      <c r="AN2" s="521"/>
      <c r="AO2" s="521"/>
      <c r="AP2" s="521"/>
      <c r="AQ2" s="521"/>
      <c r="AR2" s="522"/>
      <c r="AS2" s="520" t="s">
        <v>213</v>
      </c>
      <c r="AT2" s="521"/>
      <c r="AU2" s="521"/>
      <c r="AV2" s="521"/>
      <c r="AW2" s="521"/>
      <c r="AX2" s="521"/>
      <c r="AY2" s="521"/>
      <c r="AZ2" s="522"/>
      <c r="BA2" s="521" t="s">
        <v>214</v>
      </c>
      <c r="BB2" s="521"/>
      <c r="BC2" s="521"/>
      <c r="BD2" s="521"/>
      <c r="BE2" s="521"/>
      <c r="BF2" s="521"/>
      <c r="BG2" s="521"/>
      <c r="BH2" s="521"/>
      <c r="BI2" s="521"/>
      <c r="BJ2" s="521"/>
      <c r="BK2" s="522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518" t="s">
        <v>219</v>
      </c>
      <c r="AT3" s="526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30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17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31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518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31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518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31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518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31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19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3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518" t="s">
        <v>216</v>
      </c>
      <c r="E9" s="526"/>
      <c r="F9" s="526"/>
      <c r="G9" s="535">
        <v>2230</v>
      </c>
      <c r="H9" s="536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17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30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11" t="s">
        <v>226</v>
      </c>
      <c r="E10" s="512"/>
      <c r="F10" s="513">
        <v>140138020</v>
      </c>
      <c r="G10" s="513"/>
      <c r="H10" s="514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518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31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518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31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518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31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19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31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17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32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518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30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19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31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31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17" t="s">
        <v>68</v>
      </c>
      <c r="AT18" s="199" t="s">
        <v>210</v>
      </c>
      <c r="AU18" s="539">
        <f>MAX(SUM(BC28:BK32) - G9 + SUM(Z4:Z8),0)</f>
        <v>0</v>
      </c>
      <c r="AV18" s="539"/>
      <c r="AW18" s="539"/>
      <c r="AX18" s="539"/>
      <c r="AY18" s="539"/>
      <c r="AZ18" s="540"/>
      <c r="BA18" s="531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518"/>
      <c r="AT19" s="163" t="s">
        <v>224</v>
      </c>
      <c r="AU19" s="509">
        <f>ROUNDUP(AU18/AP6,0)</f>
        <v>0</v>
      </c>
      <c r="AV19" s="509"/>
      <c r="AW19" s="509"/>
      <c r="AX19" s="509"/>
      <c r="AY19" s="509"/>
      <c r="AZ19" s="510"/>
      <c r="BA19" s="531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518"/>
      <c r="AT20" s="201" t="s">
        <v>225</v>
      </c>
      <c r="AU20" s="537">
        <f>ROUNDUP(AU18/AP11,0)</f>
        <v>0</v>
      </c>
      <c r="AV20" s="537"/>
      <c r="AW20" s="537"/>
      <c r="AX20" s="537"/>
      <c r="AY20" s="537"/>
      <c r="AZ20" s="538"/>
      <c r="BA20" s="532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33">
        <f>MAX(SUM(BC34:BK38) - F10 + SUM(AA4:AA8),0)</f>
        <v>659861980</v>
      </c>
      <c r="AV21" s="533"/>
      <c r="AW21" s="533"/>
      <c r="AX21" s="533"/>
      <c r="AY21" s="533"/>
      <c r="AZ21" s="534"/>
      <c r="BA21" s="530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31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31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31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31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32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30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31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31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31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31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32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30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31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31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31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31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32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54" priority="8" operator="equal">
      <formula>"X"</formula>
    </cfRule>
    <cfRule type="cellIs" dxfId="53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41" t="s">
        <v>67</v>
      </c>
      <c r="B1" s="541"/>
      <c r="C1" s="541"/>
      <c r="D1" s="541"/>
      <c r="E1" s="541"/>
      <c r="F1" s="541"/>
      <c r="G1" s="541"/>
      <c r="H1" s="541"/>
      <c r="I1" s="541"/>
      <c r="J1" s="541"/>
      <c r="K1" s="541" t="s">
        <v>71</v>
      </c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21"/>
    </row>
    <row r="2" spans="1:23" s="157" customFormat="1" ht="15" customHeight="1" x14ac:dyDescent="0.25">
      <c r="A2" s="541" t="s">
        <v>204</v>
      </c>
      <c r="B2" s="541"/>
      <c r="C2" s="541"/>
      <c r="D2" s="541"/>
      <c r="E2" s="541"/>
      <c r="F2" s="541" t="s">
        <v>86</v>
      </c>
      <c r="G2" s="541"/>
      <c r="H2" s="541"/>
      <c r="I2" s="541"/>
      <c r="J2" s="541"/>
      <c r="K2" s="541" t="s">
        <v>204</v>
      </c>
      <c r="L2" s="541"/>
      <c r="M2" s="541"/>
      <c r="N2" s="541"/>
      <c r="O2" s="541"/>
      <c r="P2" s="541"/>
      <c r="Q2" s="541" t="s">
        <v>86</v>
      </c>
      <c r="R2" s="541"/>
      <c r="S2" s="541"/>
      <c r="T2" s="541"/>
      <c r="U2" s="541"/>
      <c r="V2" s="541"/>
      <c r="W2" s="21"/>
    </row>
    <row r="3" spans="1:23" s="157" customFormat="1" ht="15" customHeight="1" x14ac:dyDescent="0.25">
      <c r="A3" s="541" t="s">
        <v>202</v>
      </c>
      <c r="B3" s="541"/>
      <c r="C3" s="541"/>
      <c r="D3" s="541" t="s">
        <v>203</v>
      </c>
      <c r="E3" s="541"/>
      <c r="F3" s="541" t="s">
        <v>202</v>
      </c>
      <c r="G3" s="541"/>
      <c r="H3" s="541"/>
      <c r="I3" s="541" t="s">
        <v>203</v>
      </c>
      <c r="J3" s="541"/>
      <c r="K3" s="541" t="s">
        <v>202</v>
      </c>
      <c r="L3" s="541"/>
      <c r="M3" s="541"/>
      <c r="N3" s="541"/>
      <c r="O3" s="541" t="s">
        <v>203</v>
      </c>
      <c r="P3" s="541"/>
      <c r="Q3" s="541" t="s">
        <v>202</v>
      </c>
      <c r="R3" s="541"/>
      <c r="S3" s="541"/>
      <c r="T3" s="541"/>
      <c r="U3" s="541" t="s">
        <v>203</v>
      </c>
      <c r="V3" s="541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23" t="s">
        <v>221</v>
      </c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4"/>
      <c r="BL1" s="524"/>
      <c r="BM1" s="524"/>
      <c r="BN1" s="524"/>
      <c r="BO1" s="524"/>
      <c r="BP1" s="524"/>
      <c r="BQ1" s="524"/>
      <c r="BR1" s="524"/>
      <c r="BS1" s="525"/>
    </row>
    <row r="2" spans="1:71" s="176" customFormat="1" ht="15.75" customHeight="1" x14ac:dyDescent="0.25">
      <c r="A2" s="527" t="s">
        <v>215</v>
      </c>
      <c r="B2" s="528"/>
      <c r="C2" s="528"/>
      <c r="D2" s="528"/>
      <c r="E2" s="529"/>
      <c r="F2" s="527" t="s">
        <v>60</v>
      </c>
      <c r="G2" s="528"/>
      <c r="H2" s="528"/>
      <c r="I2" s="528"/>
      <c r="J2" s="529"/>
      <c r="K2" s="542" t="s">
        <v>227</v>
      </c>
      <c r="L2" s="543"/>
      <c r="M2" s="543"/>
      <c r="N2" s="543"/>
      <c r="O2" s="543"/>
      <c r="P2" s="543"/>
      <c r="Q2" s="543"/>
      <c r="R2" s="543"/>
      <c r="S2" s="543"/>
      <c r="T2" s="543"/>
      <c r="U2" s="543"/>
      <c r="V2" s="543"/>
      <c r="W2" s="543"/>
      <c r="X2" s="543"/>
      <c r="Y2" s="543"/>
      <c r="Z2" s="543"/>
      <c r="AA2" s="544"/>
      <c r="AB2" s="527" t="s">
        <v>250</v>
      </c>
      <c r="AC2" s="528"/>
      <c r="AD2" s="528"/>
      <c r="AE2" s="528"/>
      <c r="AF2" s="528"/>
      <c r="AG2" s="528"/>
      <c r="AH2" s="528"/>
      <c r="AI2" s="529"/>
      <c r="AJ2" s="527" t="s">
        <v>235</v>
      </c>
      <c r="AK2" s="528"/>
      <c r="AL2" s="528"/>
      <c r="AM2" s="528"/>
      <c r="AN2" s="528"/>
      <c r="AO2" s="528"/>
      <c r="AP2" s="528"/>
      <c r="AQ2" s="528"/>
      <c r="AR2" s="528"/>
      <c r="AS2" s="529"/>
      <c r="AT2" s="545" t="s">
        <v>220</v>
      </c>
      <c r="AU2" s="546"/>
      <c r="AV2" s="546"/>
      <c r="AW2" s="546"/>
      <c r="AX2" s="546"/>
      <c r="AY2" s="546"/>
      <c r="AZ2" s="547"/>
      <c r="BA2" s="520" t="s">
        <v>213</v>
      </c>
      <c r="BB2" s="521"/>
      <c r="BC2" s="521"/>
      <c r="BD2" s="521"/>
      <c r="BE2" s="521"/>
      <c r="BF2" s="521"/>
      <c r="BG2" s="521"/>
      <c r="BH2" s="547"/>
      <c r="BI2" s="521" t="s">
        <v>214</v>
      </c>
      <c r="BJ2" s="521"/>
      <c r="BK2" s="521"/>
      <c r="BL2" s="521"/>
      <c r="BM2" s="521"/>
      <c r="BN2" s="521"/>
      <c r="BO2" s="521"/>
      <c r="BP2" s="521"/>
      <c r="BQ2" s="521"/>
      <c r="BR2" s="521"/>
      <c r="BS2" s="522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26" t="s">
        <v>204</v>
      </c>
      <c r="BB3" s="526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30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48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31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518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31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518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31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518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31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11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32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518" t="s">
        <v>216</v>
      </c>
      <c r="G9" s="526"/>
      <c r="H9" s="526"/>
      <c r="I9" s="535">
        <v>5639</v>
      </c>
      <c r="J9" s="535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48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30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518" t="s">
        <v>259</v>
      </c>
      <c r="G10" s="526"/>
      <c r="H10" s="549">
        <v>295</v>
      </c>
      <c r="I10" s="549"/>
      <c r="J10" s="549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518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31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11" t="s">
        <v>226</v>
      </c>
      <c r="G11" s="512"/>
      <c r="H11" s="513">
        <v>512790199</v>
      </c>
      <c r="I11" s="513"/>
      <c r="J11" s="513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518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31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518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31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11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31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48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32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518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30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518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31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48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52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518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52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11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52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50">
        <f>MAX(SUM(BK28:BS32) - H10 + SUM(AG4:AG8),0)</f>
        <v>0</v>
      </c>
      <c r="BD20" s="550"/>
      <c r="BE20" s="550"/>
      <c r="BF20" s="550"/>
      <c r="BG20" s="550"/>
      <c r="BH20" s="551"/>
      <c r="BI20" s="532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48" t="s">
        <v>68</v>
      </c>
      <c r="BB21" s="358" t="s">
        <v>210</v>
      </c>
      <c r="BC21" s="553">
        <f>MAX(SUM(BK34:BS38) - I9 + SUM(AH4:AH8),0)</f>
        <v>0</v>
      </c>
      <c r="BD21" s="553"/>
      <c r="BE21" s="553"/>
      <c r="BF21" s="553"/>
      <c r="BG21" s="553"/>
      <c r="BH21" s="554"/>
      <c r="BI21" s="530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11"/>
      <c r="BB22" s="353" t="s">
        <v>225</v>
      </c>
      <c r="BC22" s="555">
        <f>ROUNDUP(BC21/IF($BA$3="共鬥",$AX$11,IF($BA$3="單機",$AU$11)),0)</f>
        <v>0</v>
      </c>
      <c r="BD22" s="555"/>
      <c r="BE22" s="555"/>
      <c r="BF22" s="555"/>
      <c r="BG22" s="555"/>
      <c r="BH22" s="556"/>
      <c r="BI22" s="531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57">
        <f>MAX(SUM(BK40:BS44) - H11 + SUM(AI4:AI8),0)</f>
        <v>0</v>
      </c>
      <c r="BD23" s="557"/>
      <c r="BE23" s="557"/>
      <c r="BF23" s="557"/>
      <c r="BG23" s="557"/>
      <c r="BH23" s="558"/>
      <c r="BI23" s="531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31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31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32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30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31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31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31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31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32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30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31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31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31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31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32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30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31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31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31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31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32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2" priority="30" operator="equal">
      <formula>"X"</formula>
    </cfRule>
    <cfRule type="cellIs" dxfId="51" priority="72" operator="equal">
      <formula>"O"</formula>
    </cfRule>
  </conditionalFormatting>
  <conditionalFormatting sqref="M14:R14">
    <cfRule type="cellIs" dxfId="50" priority="17" operator="equal">
      <formula>"X"</formula>
    </cfRule>
    <cfRule type="cellIs" dxfId="49" priority="18" operator="equal">
      <formula>"O"</formula>
    </cfRule>
  </conditionalFormatting>
  <conditionalFormatting sqref="M26:R26">
    <cfRule type="cellIs" dxfId="48" priority="5" operator="equal">
      <formula>"X"</formula>
    </cfRule>
    <cfRule type="cellIs" dxfId="47" priority="6" operator="equal">
      <formula>"O"</formula>
    </cfRule>
  </conditionalFormatting>
  <conditionalFormatting sqref="M15:R23">
    <cfRule type="cellIs" dxfId="46" priority="13" operator="equal">
      <formula>"X"</formula>
    </cfRule>
    <cfRule type="cellIs" dxfId="45" priority="14" operator="equal">
      <formula>"O"</formula>
    </cfRule>
  </conditionalFormatting>
  <conditionalFormatting sqref="S15:T24">
    <cfRule type="cellIs" dxfId="44" priority="11" operator="equal">
      <formula>"X"</formula>
    </cfRule>
    <cfRule type="cellIs" dxfId="43" priority="12" operator="equal">
      <formula>"O"</formula>
    </cfRule>
  </conditionalFormatting>
  <conditionalFormatting sqref="M24:R24">
    <cfRule type="cellIs" dxfId="42" priority="9" operator="equal">
      <formula>"X"</formula>
    </cfRule>
    <cfRule type="cellIs" dxfId="41" priority="10" operator="equal">
      <formula>"O"</formula>
    </cfRule>
  </conditionalFormatting>
  <conditionalFormatting sqref="S26:T26">
    <cfRule type="cellIs" dxfId="40" priority="7" operator="equal">
      <formula>"X"</formula>
    </cfRule>
    <cfRule type="cellIs" dxfId="39" priority="8" operator="equal">
      <formula>"O"</formula>
    </cfRule>
  </conditionalFormatting>
  <conditionalFormatting sqref="M25:R25">
    <cfRule type="cellIs" dxfId="38" priority="1" operator="equal">
      <formula>"X"</formula>
    </cfRule>
    <cfRule type="cellIs" dxfId="37" priority="2" operator="equal">
      <formula>"O"</formula>
    </cfRule>
  </conditionalFormatting>
  <conditionalFormatting sqref="S25:T25">
    <cfRule type="cellIs" dxfId="36" priority="3" operator="equal">
      <formula>"X"</formula>
    </cfRule>
    <cfRule type="cellIs" dxfId="35" priority="4" operator="equal">
      <formula>"O"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59" t="s">
        <v>67</v>
      </c>
      <c r="D1" s="559"/>
      <c r="E1" s="559"/>
      <c r="F1" s="559"/>
      <c r="G1" s="559"/>
      <c r="H1" s="559" t="s">
        <v>71</v>
      </c>
      <c r="I1" s="559"/>
      <c r="J1" s="559"/>
      <c r="K1" s="559" t="s">
        <v>71</v>
      </c>
      <c r="L1" s="559"/>
      <c r="M1" s="559"/>
      <c r="O1" s="541" t="s">
        <v>75</v>
      </c>
      <c r="P1" s="541" t="s">
        <v>358</v>
      </c>
      <c r="Q1" s="541"/>
      <c r="R1" s="541" t="s">
        <v>134</v>
      </c>
      <c r="S1" s="541"/>
      <c r="T1" s="541" t="s">
        <v>113</v>
      </c>
      <c r="U1" s="541"/>
    </row>
    <row r="2" spans="1:21" s="262" customFormat="1" x14ac:dyDescent="0.25">
      <c r="A2" s="69" t="s">
        <v>204</v>
      </c>
      <c r="B2" s="69" t="s">
        <v>86</v>
      </c>
      <c r="C2" s="559" t="s">
        <v>204</v>
      </c>
      <c r="D2" s="559"/>
      <c r="E2" s="559" t="s">
        <v>86</v>
      </c>
      <c r="F2" s="559"/>
      <c r="G2" s="559"/>
      <c r="H2" s="559" t="s">
        <v>204</v>
      </c>
      <c r="I2" s="559"/>
      <c r="J2" s="559"/>
      <c r="K2" s="559" t="s">
        <v>86</v>
      </c>
      <c r="L2" s="559"/>
      <c r="M2" s="559"/>
      <c r="N2" s="277"/>
      <c r="O2" s="541"/>
      <c r="P2" s="541"/>
      <c r="Q2" s="541"/>
      <c r="R2" s="541"/>
      <c r="S2" s="541"/>
      <c r="T2" s="541"/>
      <c r="U2" s="541"/>
    </row>
    <row r="3" spans="1:21" s="262" customFormat="1" x14ac:dyDescent="0.25">
      <c r="A3" s="69" t="s">
        <v>202</v>
      </c>
      <c r="B3" s="69" t="s">
        <v>202</v>
      </c>
      <c r="C3" s="559" t="s">
        <v>202</v>
      </c>
      <c r="D3" s="559"/>
      <c r="E3" s="559" t="s">
        <v>202</v>
      </c>
      <c r="F3" s="559"/>
      <c r="G3" s="321" t="s">
        <v>203</v>
      </c>
      <c r="H3" s="559" t="s">
        <v>202</v>
      </c>
      <c r="I3" s="559"/>
      <c r="J3" s="559"/>
      <c r="K3" s="559" t="s">
        <v>202</v>
      </c>
      <c r="L3" s="559"/>
      <c r="M3" s="559"/>
      <c r="N3" s="277"/>
      <c r="O3" s="541"/>
      <c r="P3" s="541" t="s">
        <v>18</v>
      </c>
      <c r="Q3" s="541" t="s">
        <v>17</v>
      </c>
      <c r="R3" s="541" t="s">
        <v>18</v>
      </c>
      <c r="S3" s="541" t="s">
        <v>17</v>
      </c>
      <c r="T3" s="541" t="s">
        <v>18</v>
      </c>
      <c r="U3" s="541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41"/>
      <c r="P4" s="541"/>
      <c r="Q4" s="541"/>
      <c r="R4" s="541"/>
      <c r="S4" s="541"/>
      <c r="T4" s="541"/>
      <c r="U4" s="541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63" t="s">
        <v>209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15" t="s">
        <v>243</v>
      </c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64"/>
    </row>
    <row r="2" spans="1:46" ht="15.75" customHeight="1" x14ac:dyDescent="0.25">
      <c r="A2" s="527" t="s">
        <v>60</v>
      </c>
      <c r="B2" s="528"/>
      <c r="C2" s="528"/>
      <c r="D2" s="529"/>
      <c r="E2" s="527" t="s">
        <v>227</v>
      </c>
      <c r="F2" s="528"/>
      <c r="G2" s="528"/>
      <c r="H2" s="528"/>
      <c r="I2" s="528"/>
      <c r="J2" s="528"/>
      <c r="K2" s="528"/>
      <c r="L2" s="529"/>
      <c r="M2" s="527" t="s">
        <v>235</v>
      </c>
      <c r="N2" s="528"/>
      <c r="O2" s="528"/>
      <c r="P2" s="528"/>
      <c r="Q2" s="528"/>
      <c r="R2" s="528"/>
      <c r="S2" s="528"/>
      <c r="T2" s="528"/>
      <c r="U2" s="528"/>
      <c r="V2" s="529"/>
      <c r="W2" s="527" t="s">
        <v>240</v>
      </c>
      <c r="X2" s="528"/>
      <c r="Y2" s="528"/>
      <c r="Z2" s="528"/>
      <c r="AA2" s="529"/>
      <c r="AB2" s="527" t="s">
        <v>213</v>
      </c>
      <c r="AC2" s="528"/>
      <c r="AD2" s="528"/>
      <c r="AE2" s="528"/>
      <c r="AF2" s="528"/>
      <c r="AG2" s="528"/>
      <c r="AH2" s="528"/>
      <c r="AI2" s="529"/>
      <c r="AJ2" s="527" t="s">
        <v>214</v>
      </c>
      <c r="AK2" s="528"/>
      <c r="AL2" s="528"/>
      <c r="AM2" s="528"/>
      <c r="AN2" s="528"/>
      <c r="AO2" s="528"/>
      <c r="AP2" s="528"/>
      <c r="AQ2" s="528"/>
      <c r="AR2" s="528"/>
      <c r="AS2" s="528"/>
      <c r="AT2" s="529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48" t="s">
        <v>239</v>
      </c>
      <c r="AC3" s="565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62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17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60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518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60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19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60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17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60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518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61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19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60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17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60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518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60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19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60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60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61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60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60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60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60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60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61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4" priority="7" operator="equal">
      <formula>"X"</formula>
    </cfRule>
    <cfRule type="cellIs" dxfId="3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74" t="s">
        <v>185</v>
      </c>
      <c r="B1" s="575"/>
      <c r="C1" s="575"/>
      <c r="D1" s="575"/>
      <c r="E1" s="575"/>
      <c r="F1" s="575"/>
      <c r="G1" s="575"/>
      <c r="H1" s="576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71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72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73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68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69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70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66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66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67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632" t="s">
        <v>209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4"/>
      <c r="X1" s="629" t="s">
        <v>221</v>
      </c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0"/>
      <c r="AO1" s="630"/>
      <c r="AP1" s="630"/>
      <c r="AQ1" s="630"/>
      <c r="AR1" s="630"/>
      <c r="AS1" s="630"/>
      <c r="AT1" s="630"/>
      <c r="AU1" s="630"/>
      <c r="AV1" s="630"/>
      <c r="AW1" s="630"/>
      <c r="AX1" s="630"/>
      <c r="AY1" s="630"/>
      <c r="AZ1" s="630"/>
      <c r="BA1" s="630"/>
      <c r="BB1" s="630"/>
      <c r="BC1" s="630"/>
      <c r="BD1" s="630"/>
      <c r="BE1" s="630"/>
      <c r="BF1" s="630"/>
      <c r="BG1" s="630"/>
      <c r="BH1" s="630"/>
      <c r="BI1" s="630"/>
      <c r="BJ1" s="630"/>
      <c r="BK1" s="630"/>
      <c r="BL1" s="630"/>
      <c r="BM1" s="630"/>
      <c r="BN1" s="630"/>
      <c r="BO1" s="630"/>
      <c r="BP1" s="630"/>
      <c r="BQ1" s="630"/>
      <c r="BR1" s="630"/>
      <c r="BS1" s="630"/>
      <c r="BT1" s="630"/>
      <c r="BU1" s="630"/>
      <c r="BV1" s="630"/>
      <c r="BW1" s="630"/>
      <c r="BX1" s="631"/>
    </row>
    <row r="2" spans="1:76" ht="18.75" customHeight="1" x14ac:dyDescent="0.25">
      <c r="A2" s="625" t="s">
        <v>215</v>
      </c>
      <c r="B2" s="625"/>
      <c r="C2" s="625"/>
      <c r="D2" s="625"/>
      <c r="E2" s="626" t="s">
        <v>60</v>
      </c>
      <c r="F2" s="626"/>
      <c r="G2" s="638" t="s">
        <v>227</v>
      </c>
      <c r="H2" s="639"/>
      <c r="I2" s="639"/>
      <c r="J2" s="639"/>
      <c r="K2" s="639"/>
      <c r="L2" s="639"/>
      <c r="M2" s="639"/>
      <c r="N2" s="639"/>
      <c r="O2" s="639"/>
      <c r="P2" s="639"/>
      <c r="Q2" s="627" t="s">
        <v>250</v>
      </c>
      <c r="R2" s="627"/>
      <c r="S2" s="635" t="s">
        <v>24</v>
      </c>
      <c r="T2" s="636"/>
      <c r="U2" s="636"/>
      <c r="V2" s="636"/>
      <c r="W2" s="637"/>
      <c r="X2" s="596" t="s">
        <v>439</v>
      </c>
      <c r="Y2" s="597"/>
      <c r="Z2" s="628" t="s">
        <v>220</v>
      </c>
      <c r="AA2" s="628"/>
      <c r="AB2" s="628"/>
      <c r="AC2" s="628"/>
      <c r="AD2" s="628"/>
      <c r="AE2" s="628"/>
      <c r="AF2" s="628"/>
      <c r="AG2" s="596" t="s">
        <v>436</v>
      </c>
      <c r="AH2" s="597"/>
      <c r="AI2" s="597"/>
      <c r="AJ2" s="597"/>
      <c r="AK2" s="597"/>
      <c r="AL2" s="597"/>
      <c r="AM2" s="597"/>
      <c r="AN2" s="597"/>
      <c r="AO2" s="597"/>
      <c r="AP2" s="597"/>
      <c r="AQ2" s="597"/>
      <c r="AR2" s="597"/>
      <c r="AS2" s="597"/>
      <c r="AT2" s="599"/>
      <c r="AU2" s="599"/>
      <c r="AV2" s="599"/>
      <c r="AW2" s="599"/>
      <c r="AX2" s="599"/>
      <c r="AY2" s="599"/>
      <c r="AZ2" s="599"/>
      <c r="BA2" s="599"/>
      <c r="BB2" s="599"/>
      <c r="BC2" s="599"/>
      <c r="BD2" s="599"/>
      <c r="BE2" s="599"/>
      <c r="BF2" s="599"/>
      <c r="BG2" s="599"/>
      <c r="BH2" s="599"/>
      <c r="BI2" s="599"/>
      <c r="BJ2" s="599"/>
      <c r="BK2" s="599"/>
      <c r="BL2" s="599"/>
      <c r="BM2" s="599"/>
      <c r="BN2" s="599"/>
      <c r="BO2" s="599"/>
      <c r="BP2" s="599"/>
      <c r="BQ2" s="599"/>
      <c r="BR2" s="599"/>
      <c r="BS2" s="600"/>
      <c r="BT2" s="583" t="s">
        <v>214</v>
      </c>
      <c r="BU2" s="584"/>
      <c r="BV2" s="584"/>
      <c r="BW2" s="584"/>
      <c r="BX2" s="585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96"/>
      <c r="AH3" s="597"/>
      <c r="AI3" s="597"/>
      <c r="AJ3" s="597"/>
      <c r="AK3" s="597"/>
      <c r="AL3" s="597"/>
      <c r="AM3" s="597"/>
      <c r="AN3" s="597"/>
      <c r="AO3" s="597"/>
      <c r="AP3" s="597"/>
      <c r="AQ3" s="597"/>
      <c r="AR3" s="597"/>
      <c r="AS3" s="598"/>
      <c r="AT3" s="601" t="s">
        <v>446</v>
      </c>
      <c r="AU3" s="602"/>
      <c r="AV3" s="602"/>
      <c r="AW3" s="602"/>
      <c r="AX3" s="602"/>
      <c r="AY3" s="602"/>
      <c r="AZ3" s="602"/>
      <c r="BA3" s="602"/>
      <c r="BB3" s="602"/>
      <c r="BC3" s="602"/>
      <c r="BD3" s="602"/>
      <c r="BE3" s="602"/>
      <c r="BF3" s="602"/>
      <c r="BG3" s="602"/>
      <c r="BH3" s="602"/>
      <c r="BI3" s="602"/>
      <c r="BJ3" s="602"/>
      <c r="BK3" s="602"/>
      <c r="BL3" s="602"/>
      <c r="BM3" s="602"/>
      <c r="BN3" s="602"/>
      <c r="BO3" s="602"/>
      <c r="BP3" s="602"/>
      <c r="BQ3" s="602"/>
      <c r="BR3" s="602"/>
      <c r="BS3" s="603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589" t="s">
        <v>418</v>
      </c>
      <c r="AH4" s="593" t="s">
        <v>65</v>
      </c>
      <c r="AI4" s="594"/>
      <c r="AJ4" s="594"/>
      <c r="AK4" s="595"/>
      <c r="AL4" s="593" t="s">
        <v>67</v>
      </c>
      <c r="AM4" s="594"/>
      <c r="AN4" s="594"/>
      <c r="AO4" s="595"/>
      <c r="AP4" s="593" t="s">
        <v>71</v>
      </c>
      <c r="AQ4" s="594"/>
      <c r="AR4" s="594"/>
      <c r="AS4" s="595"/>
      <c r="AT4" s="611" t="s">
        <v>422</v>
      </c>
      <c r="AU4" s="619" t="s">
        <v>418</v>
      </c>
      <c r="AV4" s="620"/>
      <c r="AW4" s="617">
        <f>MAX(VLOOKUP(AT4, $BU$4:$BX$9, 2, FALSE) - VLOOKUP(AU4, $E$4:$F$11, 2, FALSE) + VLOOKUP(AU4, $Q$4:$R$11, 2, FALSE), 0)</f>
        <v>801</v>
      </c>
      <c r="AX4" s="618"/>
      <c r="AY4" s="621" t="s">
        <v>419</v>
      </c>
      <c r="AZ4" s="622"/>
      <c r="BA4" s="617">
        <f>MAX(VLOOKUP(AT4, $BU$4:$BX$9, 3, FALSE) - VLOOKUP(AY4, $E$4:$F$11, 2, FALSE) + VLOOKUP(AY4, $Q$4:$R$11, 2, FALSE), 0)</f>
        <v>700</v>
      </c>
      <c r="BB4" s="618"/>
      <c r="BC4" s="623" t="s">
        <v>412</v>
      </c>
      <c r="BD4" s="624"/>
      <c r="BE4" s="617">
        <f>MAX(VLOOKUP(AT4, $BU$4:$BX$9, 4, FALSE) - VLOOKUP(AT4, $E$4:$F$11, 2, FALSE) + VLOOKUP(AT4, $Q$4:$R$11, 2, FALSE), 0)</f>
        <v>480</v>
      </c>
      <c r="BF4" s="618"/>
      <c r="BG4" s="611" t="s">
        <v>423</v>
      </c>
      <c r="BH4" s="619" t="s">
        <v>418</v>
      </c>
      <c r="BI4" s="620"/>
      <c r="BJ4" s="617">
        <f>MAX(VLOOKUP(BG4, $BU$4:$BX$9, 2, FALSE) - VLOOKUP(BH4, $E$4:$F$11, 2, FALSE) + VLOOKUP(BH4, $Q$4:$R$11, 2, FALSE), 0)</f>
        <v>801</v>
      </c>
      <c r="BK4" s="618"/>
      <c r="BL4" s="621" t="s">
        <v>419</v>
      </c>
      <c r="BM4" s="622"/>
      <c r="BN4" s="617">
        <f>MAX(VLOOKUP(BG4, $BU$4:$BX$9, 3, FALSE) - VLOOKUP(BL4, $E$4:$F$11, 2, FALSE) + VLOOKUP(BL4, $Q$4:$R$11, 2, FALSE), 0)</f>
        <v>700</v>
      </c>
      <c r="BO4" s="618"/>
      <c r="BP4" s="623" t="s">
        <v>412</v>
      </c>
      <c r="BQ4" s="624"/>
      <c r="BR4" s="617">
        <f>MAX(VLOOKUP(BG4, $BU$4:$BX$9, 4, FALSE) - VLOOKUP(BG4, $E$4:$F$11, 2, FALSE) + VLOOKUP(BG4, $Q$4:$R$11, 2, FALSE), 0)</f>
        <v>480</v>
      </c>
      <c r="BS4" s="618"/>
      <c r="BT4" s="586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590"/>
      <c r="AH5" s="593" t="s">
        <v>204</v>
      </c>
      <c r="AI5" s="595"/>
      <c r="AJ5" s="593" t="s">
        <v>86</v>
      </c>
      <c r="AK5" s="595"/>
      <c r="AL5" s="593" t="s">
        <v>204</v>
      </c>
      <c r="AM5" s="595"/>
      <c r="AN5" s="593" t="s">
        <v>86</v>
      </c>
      <c r="AO5" s="595"/>
      <c r="AP5" s="593" t="s">
        <v>204</v>
      </c>
      <c r="AQ5" s="595"/>
      <c r="AR5" s="593" t="s">
        <v>86</v>
      </c>
      <c r="AS5" s="595"/>
      <c r="AT5" s="611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611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587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611"/>
      <c r="AU6" s="606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606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606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611"/>
      <c r="BH6" s="606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606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606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587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77" t="s">
        <v>77</v>
      </c>
      <c r="O7" s="578"/>
      <c r="P7" s="579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611"/>
      <c r="AU7" s="607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607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607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611"/>
      <c r="BH7" s="607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607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607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587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80">
        <v>30</v>
      </c>
      <c r="O8" s="581"/>
      <c r="P8" s="582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611"/>
      <c r="AU8" s="606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606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606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611"/>
      <c r="BH8" s="606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606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606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587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77" t="s">
        <v>450</v>
      </c>
      <c r="O9" s="578"/>
      <c r="P9" s="579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611"/>
      <c r="AU9" s="607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607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607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611"/>
      <c r="BH9" s="607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607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607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588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80">
        <v>2</v>
      </c>
      <c r="O10" s="581"/>
      <c r="P10" s="582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611"/>
      <c r="AU10" s="606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606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606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611"/>
      <c r="BH10" s="606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606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606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586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612"/>
      <c r="AU11" s="607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607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607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612"/>
      <c r="BH11" s="607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607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607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587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610" t="s">
        <v>421</v>
      </c>
      <c r="AU12" s="613" t="s">
        <v>418</v>
      </c>
      <c r="AV12" s="614"/>
      <c r="AW12" s="604">
        <f>MAX(VLOOKUP(AT12, $BU$4:$BX$9, 2, FALSE) - VLOOKUP(AU12, $E$4:$F$11, 2, FALSE) + VLOOKUP(AU12, $Q$4:$R$11, 2, FALSE), 0)</f>
        <v>801</v>
      </c>
      <c r="AX12" s="605"/>
      <c r="AY12" s="615" t="s">
        <v>419</v>
      </c>
      <c r="AZ12" s="616"/>
      <c r="BA12" s="604">
        <f>MAX(VLOOKUP(AT12, $BU$4:$BX$9, 3, FALSE) - VLOOKUP(AY12, $E$4:$F$11, 2, FALSE) + VLOOKUP(AY12, $Q$4:$R$11, 2, FALSE), 0)</f>
        <v>700</v>
      </c>
      <c r="BB12" s="605"/>
      <c r="BC12" s="608" t="s">
        <v>412</v>
      </c>
      <c r="BD12" s="609"/>
      <c r="BE12" s="604">
        <f>MAX(VLOOKUP(AT12, $BU$4:$BX$9, 4, FALSE) - VLOOKUP(AT12, $E$4:$F$11, 2, FALSE) + VLOOKUP(AT12, $Q$4:$R$11, 2, FALSE), 0)</f>
        <v>480</v>
      </c>
      <c r="BF12" s="605"/>
      <c r="BG12" s="610" t="s">
        <v>424</v>
      </c>
      <c r="BH12" s="613" t="s">
        <v>418</v>
      </c>
      <c r="BI12" s="614"/>
      <c r="BJ12" s="604">
        <f>MAX(VLOOKUP(BG12, $BU$4:$BX$9, 2, FALSE) - VLOOKUP(BH12, $E$4:$F$11, 2, FALSE) + VLOOKUP(BH12, $Q$4:$R$11, 2, FALSE), 0)</f>
        <v>801</v>
      </c>
      <c r="BK12" s="605"/>
      <c r="BL12" s="615" t="s">
        <v>419</v>
      </c>
      <c r="BM12" s="616"/>
      <c r="BN12" s="604">
        <f>MAX(VLOOKUP(BG12, $BU$4:$BX$9, 3, FALSE) - VLOOKUP(BL12, $E$4:$F$11, 2, FALSE) + VLOOKUP(BL12, $Q$4:$R$11, 2, FALSE), 0)</f>
        <v>700</v>
      </c>
      <c r="BO12" s="605"/>
      <c r="BP12" s="608" t="s">
        <v>412</v>
      </c>
      <c r="BQ12" s="609"/>
      <c r="BR12" s="604">
        <f>MAX(VLOOKUP(BG12, $BU$4:$BX$9, 4, FALSE) - VLOOKUP(BG12, $E$4:$F$11, 2, FALSE) + VLOOKUP(BG12, $Q$4:$R$11, 2, FALSE), 0)</f>
        <v>480</v>
      </c>
      <c r="BS12" s="605"/>
      <c r="BT12" s="587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611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611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587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611"/>
      <c r="AU14" s="606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606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606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611"/>
      <c r="BH14" s="606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606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606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587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611"/>
      <c r="AU15" s="607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607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607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611"/>
      <c r="BH15" s="607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607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607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587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591" t="s">
        <v>419</v>
      </c>
      <c r="AH16" s="593" t="s">
        <v>65</v>
      </c>
      <c r="AI16" s="594"/>
      <c r="AJ16" s="594"/>
      <c r="AK16" s="595"/>
      <c r="AL16" s="593" t="s">
        <v>67</v>
      </c>
      <c r="AM16" s="594"/>
      <c r="AN16" s="594"/>
      <c r="AO16" s="595"/>
      <c r="AP16" s="593" t="s">
        <v>71</v>
      </c>
      <c r="AQ16" s="594"/>
      <c r="AR16" s="594"/>
      <c r="AS16" s="595"/>
      <c r="AT16" s="611"/>
      <c r="AU16" s="606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606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606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611"/>
      <c r="BH16" s="606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606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606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587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592"/>
      <c r="AH17" s="593" t="s">
        <v>204</v>
      </c>
      <c r="AI17" s="595"/>
      <c r="AJ17" s="593" t="s">
        <v>86</v>
      </c>
      <c r="AK17" s="595"/>
      <c r="AL17" s="593" t="s">
        <v>204</v>
      </c>
      <c r="AM17" s="595"/>
      <c r="AN17" s="593" t="s">
        <v>86</v>
      </c>
      <c r="AO17" s="595"/>
      <c r="AP17" s="593" t="s">
        <v>204</v>
      </c>
      <c r="AQ17" s="595"/>
      <c r="AR17" s="593" t="s">
        <v>86</v>
      </c>
      <c r="AS17" s="595"/>
      <c r="AT17" s="611"/>
      <c r="AU17" s="607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607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607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611"/>
      <c r="BH17" s="607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607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607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587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611"/>
      <c r="AU18" s="606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606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606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611"/>
      <c r="BH18" s="606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606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606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588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612"/>
      <c r="AU19" s="607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607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607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612"/>
      <c r="BH19" s="607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607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607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610" t="s">
        <v>425</v>
      </c>
      <c r="AU20" s="613" t="s">
        <v>418</v>
      </c>
      <c r="AV20" s="614"/>
      <c r="AW20" s="604">
        <f>MAX(VLOOKUP(AT20, $BU$4:$BX$9, 2, FALSE) - VLOOKUP(AU20, $E$4:$F$11, 2, FALSE) + VLOOKUP(AU20, $Q$4:$R$11, 2, FALSE), 0)</f>
        <v>801</v>
      </c>
      <c r="AX20" s="605"/>
      <c r="AY20" s="615" t="s">
        <v>419</v>
      </c>
      <c r="AZ20" s="616"/>
      <c r="BA20" s="604">
        <f>MAX(VLOOKUP(AT20, $BU$4:$BX$9, 3, FALSE) - VLOOKUP(AY20, $E$4:$F$11, 2, FALSE) + VLOOKUP(AY20, $Q$4:$R$11, 2, FALSE), 0)</f>
        <v>700</v>
      </c>
      <c r="BB20" s="605"/>
      <c r="BC20" s="608" t="s">
        <v>412</v>
      </c>
      <c r="BD20" s="609"/>
      <c r="BE20" s="604">
        <f>MAX(VLOOKUP(AT20, $BU$4:$BX$9, 4, FALSE) - VLOOKUP(AT20, $E$4:$F$11, 2, FALSE) + VLOOKUP(AT20, $Q$4:$R$11, 2, FALSE), 0)</f>
        <v>480</v>
      </c>
      <c r="BF20" s="605"/>
      <c r="BG20" s="610" t="s">
        <v>426</v>
      </c>
      <c r="BH20" s="613" t="s">
        <v>418</v>
      </c>
      <c r="BI20" s="614"/>
      <c r="BJ20" s="604">
        <f>MAX(VLOOKUP(BG20, $BU$4:$BX$9, 2, FALSE) - VLOOKUP(BH20, $E$4:$F$11, 2, FALSE) + VLOOKUP(BH20, $Q$4:$R$11, 2, FALSE), 0)</f>
        <v>801</v>
      </c>
      <c r="BK20" s="605"/>
      <c r="BL20" s="615" t="s">
        <v>419</v>
      </c>
      <c r="BM20" s="616"/>
      <c r="BN20" s="604">
        <f>MAX(VLOOKUP(BG20, $BU$4:$BX$9, 3, FALSE) - VLOOKUP(BL20, $E$4:$F$11, 2, FALSE) + VLOOKUP(BL20, $Q$4:$R$11, 2, FALSE), 0)</f>
        <v>700</v>
      </c>
      <c r="BO20" s="605"/>
      <c r="BP20" s="608" t="s">
        <v>412</v>
      </c>
      <c r="BQ20" s="609"/>
      <c r="BR20" s="604">
        <f>MAX(VLOOKUP(BG20, $BU$4:$BX$9, 4, FALSE) - VLOOKUP(BG20, $E$4:$F$11, 2, FALSE) + VLOOKUP(BG20, $Q$4:$R$11, 2, FALSE), 0)</f>
        <v>480</v>
      </c>
      <c r="BS20" s="605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611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611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611"/>
      <c r="AU22" s="606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606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606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611"/>
      <c r="BH22" s="606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606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606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611"/>
      <c r="AU23" s="607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607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607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611"/>
      <c r="BH23" s="607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607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607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611"/>
      <c r="AU24" s="606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606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606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611"/>
      <c r="BH24" s="606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606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606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611"/>
      <c r="AU25" s="607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607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607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611"/>
      <c r="BH25" s="607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607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607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611"/>
      <c r="AU26" s="606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606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606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611"/>
      <c r="BH26" s="606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606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606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612"/>
      <c r="AU27" s="607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607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607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612"/>
      <c r="BH27" s="607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607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607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2" priority="62" operator="equal">
      <formula>"X"</formula>
    </cfRule>
    <cfRule type="cellIs" dxfId="31" priority="63" operator="equal">
      <formula>"O"</formula>
    </cfRule>
  </conditionalFormatting>
  <conditionalFormatting sqref="H30:I30 H5:I8">
    <cfRule type="cellIs" dxfId="30" priority="29" operator="equal">
      <formula>"X"</formula>
    </cfRule>
    <cfRule type="cellIs" dxfId="29" priority="30" operator="equal">
      <formula>"O"</formula>
    </cfRule>
  </conditionalFormatting>
  <conditionalFormatting sqref="H10:I13">
    <cfRule type="cellIs" dxfId="28" priority="27" operator="equal">
      <formula>"X"</formula>
    </cfRule>
    <cfRule type="cellIs" dxfId="27" priority="28" operator="equal">
      <formula>"O"</formula>
    </cfRule>
  </conditionalFormatting>
  <conditionalFormatting sqref="H16:I19">
    <cfRule type="cellIs" dxfId="26" priority="25" operator="equal">
      <formula>"X"</formula>
    </cfRule>
    <cfRule type="cellIs" dxfId="25" priority="26" operator="equal">
      <formula>"O"</formula>
    </cfRule>
  </conditionalFormatting>
  <conditionalFormatting sqref="H24:I26">
    <cfRule type="cellIs" dxfId="24" priority="21" operator="equal">
      <formula>"X"</formula>
    </cfRule>
    <cfRule type="cellIs" dxfId="23" priority="22" operator="equal">
      <formula>"O"</formula>
    </cfRule>
  </conditionalFormatting>
  <conditionalFormatting sqref="I15">
    <cfRule type="cellIs" dxfId="22" priority="19" operator="equal">
      <formula>"X"</formula>
    </cfRule>
    <cfRule type="cellIs" dxfId="21" priority="20" operator="equal">
      <formula>"O"</formula>
    </cfRule>
  </conditionalFormatting>
  <conditionalFormatting sqref="I22">
    <cfRule type="cellIs" dxfId="20" priority="17" operator="equal">
      <formula>"X"</formula>
    </cfRule>
    <cfRule type="cellIs" dxfId="19" priority="18" operator="equal">
      <formula>"O"</formula>
    </cfRule>
  </conditionalFormatting>
  <conditionalFormatting sqref="W3:W8 W13:W1048576">
    <cfRule type="cellIs" dxfId="18" priority="5" operator="equal">
      <formula>47</formula>
    </cfRule>
    <cfRule type="cellIs" dxfId="17" priority="6" operator="equal">
      <formula>36</formula>
    </cfRule>
    <cfRule type="cellIs" dxfId="16" priority="7" operator="equal">
      <formula>25</formula>
    </cfRule>
    <cfRule type="cellIs" dxfId="15" priority="8" operator="equal">
      <formula>14</formula>
    </cfRule>
  </conditionalFormatting>
  <conditionalFormatting sqref="W9:W12">
    <cfRule type="cellIs" dxfId="14" priority="1" operator="equal">
      <formula>47</formula>
    </cfRule>
    <cfRule type="cellIs" dxfId="13" priority="2" operator="equal">
      <formula>36</formula>
    </cfRule>
    <cfRule type="cellIs" dxfId="12" priority="3" operator="equal">
      <formula>25</formula>
    </cfRule>
    <cfRule type="cellIs" dxfId="11" priority="4" operator="equal">
      <formula>14</formula>
    </cfRule>
  </conditionalFormatting>
  <conditionalFormatting sqref="T3:T1048576">
    <cfRule type="cellIs" dxfId="10" priority="13" operator="equal">
      <formula>47</formula>
    </cfRule>
    <cfRule type="cellIs" dxfId="9" priority="14" operator="equal">
      <formula>36</formula>
    </cfRule>
    <cfRule type="cellIs" dxfId="8" priority="15" operator="equal">
      <formula>25</formula>
    </cfRule>
    <cfRule type="cellIs" dxfId="7" priority="16" operator="equal">
      <formula>14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  <pageSetUpPr autoPageBreaks="0"/>
  </sheetPr>
  <dimension ref="A1:M648"/>
  <sheetViews>
    <sheetView topLeftCell="A640" zoomScaleNormal="100" workbookViewId="0">
      <selection activeCell="B650" sqref="B650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40" t="s">
        <v>107</v>
      </c>
      <c r="F1" s="640"/>
      <c r="G1" s="640"/>
      <c r="H1" s="640"/>
      <c r="I1" s="640"/>
      <c r="J1" s="640"/>
      <c r="L1" s="541" t="s">
        <v>108</v>
      </c>
      <c r="M1" s="541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15121.983749539399</v>
      </c>
      <c r="F3" s="87" cm="1">
        <f t="array" ref="F3">SUMIF($H6:$H99998,"&gt;0") / SCOUT_DAYS_FROM_EARLIEST * 30</f>
        <v>52793.564396399146</v>
      </c>
      <c r="G3" s="87"/>
      <c r="H3" s="87" cm="1">
        <f t="array" ref="H3">(SUMIF($F6:$F99998,"&gt;0") + SUMIF($H6:$H99998,"&gt;0")) / SCOUT_DAYS_FROM_EARLIEST * 30</f>
        <v>67915.548145938534</v>
      </c>
      <c r="I3" s="87" cm="1">
        <f t="array" ref="I3">(SUMIF($F6:$F99998,"&lt;0") + SUMIF($H6:$H99998,"&lt;0")) / SCOUT_DAYS_FROM_EARLIEST * 30</f>
        <v>-73816.710246916045</v>
      </c>
      <c r="J3" s="87">
        <f>H3+I3</f>
        <v>-5901.1621009775117</v>
      </c>
      <c r="L3" s="10" cm="1">
        <f t="array" ref="L3">SUM(L6:L99998) / SCOUT_DAYS_FROM_EARLIEST * 30</f>
        <v>53261.274415176675</v>
      </c>
      <c r="M3" s="90" cm="1">
        <f t="array" ref="M3">SUM(M6:M99998) / SCOUT_DAYS_FROM_EARLIEST * 30</f>
        <v>990.15636242388484</v>
      </c>
    </row>
    <row r="4" spans="1:13" s="80" customFormat="1" ht="15" customHeight="1" x14ac:dyDescent="0.25">
      <c r="A4" s="641" t="s">
        <v>78</v>
      </c>
      <c r="B4" s="565" t="s">
        <v>83</v>
      </c>
      <c r="C4" s="565" t="s">
        <v>32</v>
      </c>
      <c r="D4" s="565"/>
      <c r="E4" s="565"/>
      <c r="F4" s="565" t="s">
        <v>33</v>
      </c>
      <c r="G4" s="565"/>
      <c r="H4" s="565"/>
      <c r="I4" s="565"/>
      <c r="J4" s="565"/>
      <c r="K4" s="98" t="s">
        <v>107</v>
      </c>
      <c r="L4" s="565" t="s">
        <v>93</v>
      </c>
      <c r="M4" s="565"/>
    </row>
    <row r="5" spans="1:13" s="73" customFormat="1" ht="15" customHeight="1" x14ac:dyDescent="0.25">
      <c r="A5" s="642"/>
      <c r="B5" s="526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617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21"/>
        <v>28180</v>
      </c>
      <c r="F588" s="76">
        <f t="shared" ref="F588" si="129">C588-C587</f>
        <v>200</v>
      </c>
      <c r="G588" s="76">
        <f>SUMIF(F$6:F588,"&gt;0")</f>
        <v>257615</v>
      </c>
      <c r="H588" s="76">
        <f t="shared" ref="H588" si="130">D588-D587</f>
        <v>70</v>
      </c>
      <c r="I588" s="76">
        <f t="shared" ref="I588" si="131">SUM(F588,H588)</f>
        <v>270</v>
      </c>
      <c r="J588" s="81">
        <f t="shared" ref="J588" si="132">I588/4200*80</f>
        <v>5.1428571428571423</v>
      </c>
      <c r="K588" s="76">
        <f t="shared" ref="K588" si="133">IFERROR(G588 - _xlfn.XLOOKUP(A588-30, $A$6:$A$14998,G$6:G$14998,"",-1,2),NA())</f>
        <v>12925</v>
      </c>
    </row>
    <row r="589" spans="1:13" x14ac:dyDescent="0.25">
      <c r="A589" s="77">
        <v>44420.800694444442</v>
      </c>
      <c r="C589" s="74">
        <v>6605</v>
      </c>
      <c r="D589" s="74">
        <v>24005</v>
      </c>
      <c r="E589" s="74">
        <f t="shared" si="121"/>
        <v>30610</v>
      </c>
      <c r="F589" s="76">
        <f t="shared" ref="F589" si="134">C589-C588</f>
        <v>890</v>
      </c>
      <c r="G589" s="76">
        <f>SUMIF(F$6:F589,"&gt;0")</f>
        <v>258505</v>
      </c>
      <c r="H589" s="76">
        <f t="shared" ref="H589" si="135">D589-D588</f>
        <v>1540</v>
      </c>
      <c r="I589" s="76">
        <f t="shared" ref="I589" si="136">SUM(F589,H589)</f>
        <v>2430</v>
      </c>
      <c r="J589" s="81">
        <f t="shared" ref="J589" si="137">I589/4200*80</f>
        <v>46.285714285714292</v>
      </c>
      <c r="K589" s="76">
        <f t="shared" ref="K589" si="138">IFERROR(G589 - _xlfn.XLOOKUP(A589-30, $A$6:$A$14998,G$6:G$14998,"",-1,2),NA())</f>
        <v>12915</v>
      </c>
      <c r="L589" s="74">
        <v>1500</v>
      </c>
      <c r="M589" s="74">
        <v>8</v>
      </c>
    </row>
    <row r="590" spans="1:13" x14ac:dyDescent="0.25">
      <c r="A590" s="77">
        <v>44421.125</v>
      </c>
      <c r="C590" s="74">
        <v>6605</v>
      </c>
      <c r="D590" s="74">
        <v>11975</v>
      </c>
      <c r="E590" s="74">
        <f t="shared" si="121"/>
        <v>18580</v>
      </c>
      <c r="F590" s="76">
        <f t="shared" ref="F590" si="139">C590-C589</f>
        <v>0</v>
      </c>
      <c r="G590" s="76">
        <f>SUMIF(F$6:F590,"&gt;0")</f>
        <v>258505</v>
      </c>
      <c r="H590" s="76">
        <f t="shared" ref="H590" si="140">D590-D589</f>
        <v>-12030</v>
      </c>
      <c r="I590" s="76">
        <f t="shared" ref="I590" si="141">SUM(F590,H590)</f>
        <v>-12030</v>
      </c>
      <c r="J590" s="81">
        <f t="shared" ref="J590" si="142">I590/4200*80</f>
        <v>-229.14285714285714</v>
      </c>
      <c r="K590" s="76">
        <f t="shared" ref="K590" si="143">IFERROR(G590 - _xlfn.XLOOKUP(A590-30, $A$6:$A$14998,G$6:G$14998,"",-1,2),NA())</f>
        <v>12915</v>
      </c>
    </row>
    <row r="591" spans="1:13" x14ac:dyDescent="0.25">
      <c r="A591" s="77">
        <v>44422.18472222222</v>
      </c>
      <c r="C591" s="74">
        <v>9865</v>
      </c>
      <c r="D591" s="74">
        <v>11595</v>
      </c>
      <c r="E591" s="74">
        <f t="shared" si="121"/>
        <v>21460</v>
      </c>
      <c r="F591" s="76">
        <f t="shared" ref="F591" si="144">C591-C590</f>
        <v>3260</v>
      </c>
      <c r="G591" s="76">
        <f>SUMIF(F$6:F591,"&gt;0")</f>
        <v>261765</v>
      </c>
      <c r="H591" s="76">
        <f t="shared" ref="H591" si="145">D591-D590</f>
        <v>-380</v>
      </c>
      <c r="I591" s="76">
        <f t="shared" ref="I591" si="146">SUM(F591,H591)</f>
        <v>2880</v>
      </c>
      <c r="J591" s="81">
        <f t="shared" ref="J591" si="147">I591/4200*80</f>
        <v>54.857142857142861</v>
      </c>
      <c r="K591" s="76">
        <f t="shared" ref="K591" si="148">IFERROR(G591 - _xlfn.XLOOKUP(A591-30, $A$6:$A$14998,G$6:G$14998,"",-1,2),NA())</f>
        <v>14520</v>
      </c>
    </row>
    <row r="592" spans="1:13" x14ac:dyDescent="0.25">
      <c r="A592" s="77">
        <v>44425.225694444445</v>
      </c>
      <c r="C592" s="74">
        <v>11415</v>
      </c>
      <c r="D592" s="74">
        <v>11685</v>
      </c>
      <c r="E592" s="74">
        <f t="shared" si="121"/>
        <v>23100</v>
      </c>
      <c r="F592" s="76">
        <f t="shared" ref="F592" si="149">C592-C591</f>
        <v>1550</v>
      </c>
      <c r="G592" s="76">
        <f>SUMIF(F$6:F592,"&gt;0")</f>
        <v>263315</v>
      </c>
      <c r="H592" s="76">
        <f t="shared" ref="H592" si="150">D592-D591</f>
        <v>90</v>
      </c>
      <c r="I592" s="76">
        <f t="shared" ref="I592" si="151">SUM(F592,H592)</f>
        <v>1640</v>
      </c>
      <c r="J592" s="81">
        <f t="shared" ref="J592" si="152">I592/4200*80</f>
        <v>31.238095238095237</v>
      </c>
      <c r="K592" s="76">
        <f t="shared" ref="K592" si="153">IFERROR(G592 - _xlfn.XLOOKUP(A592-30, $A$6:$A$14998,G$6:G$14998,"",-1,2),NA())</f>
        <v>13340</v>
      </c>
    </row>
    <row r="593" spans="1:13" x14ac:dyDescent="0.25">
      <c r="A593" s="77">
        <v>44427.193055555559</v>
      </c>
      <c r="C593" s="74">
        <v>12060</v>
      </c>
      <c r="D593" s="74">
        <v>11725</v>
      </c>
      <c r="E593" s="74">
        <f t="shared" si="121"/>
        <v>23785</v>
      </c>
      <c r="F593" s="76">
        <f t="shared" ref="F593" si="154">C593-C592</f>
        <v>645</v>
      </c>
      <c r="G593" s="76">
        <f>SUMIF(F$6:F593,"&gt;0")</f>
        <v>263960</v>
      </c>
      <c r="H593" s="76">
        <f t="shared" ref="H593" si="155">D593-D592</f>
        <v>40</v>
      </c>
      <c r="I593" s="76">
        <f t="shared" ref="I593" si="156">SUM(F593,H593)</f>
        <v>685</v>
      </c>
      <c r="J593" s="81">
        <f t="shared" ref="J593" si="157">I593/4200*80</f>
        <v>13.047619047619047</v>
      </c>
      <c r="K593" s="76">
        <f t="shared" ref="K593" si="158">IFERROR(G593 - _xlfn.XLOOKUP(A593-30, $A$6:$A$14998,G$6:G$14998,"",-1,2),NA())</f>
        <v>12490</v>
      </c>
    </row>
    <row r="594" spans="1:13" x14ac:dyDescent="0.25">
      <c r="A594" s="77">
        <v>44430.296527777777</v>
      </c>
      <c r="C594" s="74">
        <v>12460</v>
      </c>
      <c r="D594" s="74">
        <v>12315</v>
      </c>
      <c r="E594" s="74">
        <f t="shared" si="121"/>
        <v>24775</v>
      </c>
      <c r="F594" s="76">
        <f t="shared" ref="F594:F595" si="159">C594-C593</f>
        <v>400</v>
      </c>
      <c r="G594" s="76">
        <f>SUMIF(F$6:F594,"&gt;0")</f>
        <v>264360</v>
      </c>
      <c r="H594" s="76">
        <f t="shared" ref="H594:H595" si="160">D594-D593</f>
        <v>590</v>
      </c>
      <c r="I594" s="76">
        <f t="shared" ref="I594:I595" si="161">SUM(F594,H594)</f>
        <v>990</v>
      </c>
      <c r="J594" s="81">
        <f t="shared" ref="J594:J595" si="162">I594/4200*80</f>
        <v>18.857142857142858</v>
      </c>
      <c r="K594" s="76">
        <f t="shared" ref="K594:K595" si="163">IFERROR(G594 - _xlfn.XLOOKUP(A594-30, $A$6:$A$14998,G$6:G$14998,"",-1,2),NA())</f>
        <v>12730</v>
      </c>
    </row>
    <row r="595" spans="1:13" x14ac:dyDescent="0.25">
      <c r="A595" s="77">
        <v>44436.177777777775</v>
      </c>
      <c r="C595" s="74">
        <v>14860</v>
      </c>
      <c r="D595" s="74">
        <v>13020</v>
      </c>
      <c r="E595" s="74">
        <f t="shared" si="121"/>
        <v>27880</v>
      </c>
      <c r="F595" s="76">
        <f t="shared" si="159"/>
        <v>2400</v>
      </c>
      <c r="G595" s="76">
        <f>SUMIF(F$6:F595,"&gt;0")</f>
        <v>266760</v>
      </c>
      <c r="H595" s="76">
        <f t="shared" si="160"/>
        <v>705</v>
      </c>
      <c r="I595" s="76">
        <f t="shared" si="161"/>
        <v>3105</v>
      </c>
      <c r="J595" s="81">
        <f t="shared" si="162"/>
        <v>59.142857142857146</v>
      </c>
      <c r="K595" s="76">
        <f t="shared" si="163"/>
        <v>14280</v>
      </c>
    </row>
    <row r="596" spans="1:13" x14ac:dyDescent="0.25">
      <c r="A596" s="77">
        <v>44438.03125</v>
      </c>
      <c r="C596" s="74">
        <v>14985</v>
      </c>
      <c r="D596" s="74">
        <v>13040</v>
      </c>
      <c r="E596" s="74">
        <f t="shared" si="121"/>
        <v>28025</v>
      </c>
      <c r="F596" s="76">
        <f t="shared" ref="F596" si="164">C596-C595</f>
        <v>125</v>
      </c>
      <c r="G596" s="76">
        <f>SUMIF(F$6:F596,"&gt;0")</f>
        <v>266885</v>
      </c>
      <c r="H596" s="76">
        <f t="shared" ref="H596" si="165">D596-D595</f>
        <v>20</v>
      </c>
      <c r="I596" s="76">
        <f t="shared" ref="I596" si="166">SUM(F596,H596)</f>
        <v>145</v>
      </c>
      <c r="J596" s="81">
        <f t="shared" ref="J596" si="167">I596/4200*80</f>
        <v>2.7619047619047619</v>
      </c>
      <c r="K596" s="76">
        <f t="shared" ref="K596" si="168">IFERROR(G596 - _xlfn.XLOOKUP(A596-30, $A$6:$A$14998,G$6:G$14998,"",-1,2),NA())</f>
        <v>13230</v>
      </c>
    </row>
    <row r="597" spans="1:13" x14ac:dyDescent="0.25">
      <c r="A597" s="77">
        <v>44438.086805555555</v>
      </c>
      <c r="B597" s="105" t="s">
        <v>487</v>
      </c>
      <c r="C597" s="74">
        <v>8985</v>
      </c>
      <c r="D597" s="74">
        <v>13010</v>
      </c>
      <c r="E597" s="74">
        <f t="shared" si="121"/>
        <v>21995</v>
      </c>
      <c r="F597" s="76">
        <f t="shared" ref="F597" si="169">C597-C596</f>
        <v>-6000</v>
      </c>
      <c r="G597" s="76">
        <f>SUMIF(F$6:F597,"&gt;0")</f>
        <v>266885</v>
      </c>
      <c r="H597" s="76">
        <f t="shared" ref="H597" si="170">D597-D596</f>
        <v>-30</v>
      </c>
      <c r="I597" s="76">
        <f t="shared" ref="I597" si="171">SUM(F597,H597)</f>
        <v>-6030</v>
      </c>
      <c r="J597" s="81">
        <f t="shared" ref="J597" si="172">I597/4200*80</f>
        <v>-114.85714285714286</v>
      </c>
      <c r="K597" s="76">
        <f t="shared" ref="K597" si="173">IFERROR(G597 - _xlfn.XLOOKUP(A597-30, $A$6:$A$14998,G$6:G$14998,"",-1,2),NA())</f>
        <v>13230</v>
      </c>
    </row>
    <row r="598" spans="1:13" x14ac:dyDescent="0.25">
      <c r="A598" s="77">
        <v>44438.879166666666</v>
      </c>
      <c r="C598" s="74">
        <v>9085</v>
      </c>
      <c r="D598" s="74">
        <v>13010</v>
      </c>
      <c r="E598" s="74">
        <f t="shared" si="121"/>
        <v>22095</v>
      </c>
      <c r="F598" s="76">
        <f t="shared" ref="F598" si="174">C598-C597</f>
        <v>100</v>
      </c>
      <c r="G598" s="76">
        <f>SUMIF(F$6:F598,"&gt;0")</f>
        <v>266985</v>
      </c>
      <c r="H598" s="76">
        <f t="shared" ref="H598" si="175">D598-D597</f>
        <v>0</v>
      </c>
      <c r="I598" s="76">
        <f t="shared" ref="I598" si="176">SUM(F598,H598)</f>
        <v>100</v>
      </c>
      <c r="J598" s="81">
        <f t="shared" ref="J598" si="177">I598/4200*80</f>
        <v>1.9047619047619047</v>
      </c>
      <c r="K598" s="76">
        <f t="shared" ref="K598" si="178">IFERROR(G598 - _xlfn.XLOOKUP(A598-30, $A$6:$A$14998,G$6:G$14998,"",-1,2),NA())</f>
        <v>13330</v>
      </c>
    </row>
    <row r="599" spans="1:13" x14ac:dyDescent="0.25">
      <c r="A599" s="77">
        <v>44442.029166666667</v>
      </c>
      <c r="C599" s="74">
        <v>10385</v>
      </c>
      <c r="D599" s="74">
        <v>13150</v>
      </c>
      <c r="E599" s="74">
        <f t="shared" si="121"/>
        <v>23535</v>
      </c>
      <c r="F599" s="76">
        <f t="shared" ref="F599" si="179">C599-C598</f>
        <v>1300</v>
      </c>
      <c r="G599" s="76">
        <f>SUMIF(F$6:F599,"&gt;0")</f>
        <v>268285</v>
      </c>
      <c r="H599" s="76">
        <f t="shared" ref="H599" si="180">D599-D598</f>
        <v>140</v>
      </c>
      <c r="I599" s="76">
        <f t="shared" ref="I599" si="181">SUM(F599,H599)</f>
        <v>1440</v>
      </c>
      <c r="J599" s="81">
        <f t="shared" ref="J599" si="182">I599/4200*80</f>
        <v>27.428571428571431</v>
      </c>
      <c r="K599" s="76">
        <f t="shared" ref="K599" si="183">IFERROR(G599 - _xlfn.XLOOKUP(A599-30, $A$6:$A$14998,G$6:G$14998,"",-1,2),NA())</f>
        <v>11860</v>
      </c>
    </row>
    <row r="600" spans="1:13" x14ac:dyDescent="0.25">
      <c r="A600" s="77">
        <v>44442.154166666667</v>
      </c>
      <c r="B600" s="105" t="s">
        <v>488</v>
      </c>
      <c r="C600" s="74">
        <v>4385</v>
      </c>
      <c r="D600" s="74">
        <v>1120</v>
      </c>
      <c r="E600" s="74">
        <f t="shared" si="121"/>
        <v>5505</v>
      </c>
      <c r="F600" s="76">
        <f t="shared" ref="F600" si="184">C600-C599</f>
        <v>-6000</v>
      </c>
      <c r="G600" s="76">
        <f>SUMIF(F$6:F600,"&gt;0")</f>
        <v>268285</v>
      </c>
      <c r="H600" s="76">
        <f t="shared" ref="H600" si="185">D600-D599</f>
        <v>-12030</v>
      </c>
      <c r="I600" s="76">
        <f t="shared" ref="I600" si="186">SUM(F600,H600)</f>
        <v>-18030</v>
      </c>
      <c r="J600" s="81">
        <f t="shared" ref="J600" si="187">I600/4200*80</f>
        <v>-343.42857142857144</v>
      </c>
      <c r="K600" s="76">
        <f t="shared" ref="K600" si="188">IFERROR(G600 - _xlfn.XLOOKUP(A600-30, $A$6:$A$14998,G$6:G$14998,"",-1,2),NA())</f>
        <v>11860</v>
      </c>
    </row>
    <row r="601" spans="1:13" x14ac:dyDescent="0.25">
      <c r="A601" s="77">
        <v>44449.21875</v>
      </c>
      <c r="C601" s="74">
        <v>6100</v>
      </c>
      <c r="D601" s="74">
        <v>1815</v>
      </c>
      <c r="E601" s="74">
        <f t="shared" si="121"/>
        <v>7915</v>
      </c>
      <c r="F601" s="76">
        <f t="shared" ref="F601" si="189">C601-C600</f>
        <v>1715</v>
      </c>
      <c r="G601" s="76">
        <f>SUMIF(F$6:F601,"&gt;0")</f>
        <v>270000</v>
      </c>
      <c r="H601" s="76">
        <f t="shared" ref="H601" si="190">D601-D600</f>
        <v>695</v>
      </c>
      <c r="I601" s="76">
        <f t="shared" ref="I601" si="191">SUM(F601,H601)</f>
        <v>2410</v>
      </c>
      <c r="J601" s="81">
        <f t="shared" ref="J601" si="192">I601/4200*80</f>
        <v>45.904761904761898</v>
      </c>
      <c r="K601" s="76">
        <f t="shared" ref="K601" si="193">IFERROR(G601 - _xlfn.XLOOKUP(A601-30, $A$6:$A$14998,G$6:G$14998,"",-1,2),NA())</f>
        <v>12385</v>
      </c>
      <c r="L601" s="74">
        <v>1005</v>
      </c>
      <c r="M601" s="74">
        <v>17</v>
      </c>
    </row>
    <row r="602" spans="1:13" x14ac:dyDescent="0.25">
      <c r="A602" s="77">
        <v>44451.445833333331</v>
      </c>
      <c r="C602" s="74">
        <v>6895</v>
      </c>
      <c r="D602" s="74">
        <v>2380</v>
      </c>
      <c r="E602" s="74">
        <f t="shared" si="121"/>
        <v>9275</v>
      </c>
      <c r="F602" s="76">
        <f t="shared" ref="F602" si="194">C602-C601</f>
        <v>795</v>
      </c>
      <c r="G602" s="76">
        <f>SUMIF(F$6:F602,"&gt;0")</f>
        <v>270795</v>
      </c>
      <c r="H602" s="76">
        <f t="shared" ref="H602" si="195">D602-D601</f>
        <v>565</v>
      </c>
      <c r="I602" s="76">
        <f t="shared" ref="I602" si="196">SUM(F602,H602)</f>
        <v>1360</v>
      </c>
      <c r="J602" s="81">
        <f t="shared" ref="J602" si="197">I602/4200*80</f>
        <v>25.904761904761905</v>
      </c>
      <c r="K602" s="76">
        <f t="shared" ref="K602" si="198">IFERROR(G602 - _xlfn.XLOOKUP(A602-30, $A$6:$A$14998,G$6:G$14998,"",-1,2),NA())</f>
        <v>12290</v>
      </c>
    </row>
    <row r="603" spans="1:13" x14ac:dyDescent="0.25">
      <c r="A603" s="77">
        <v>44451.448611111111</v>
      </c>
      <c r="C603" s="74">
        <v>6895</v>
      </c>
      <c r="D603" s="74">
        <v>18980</v>
      </c>
      <c r="E603" s="74">
        <f t="shared" si="121"/>
        <v>25875</v>
      </c>
      <c r="F603" s="76">
        <f t="shared" ref="F603" si="199">C603-C602</f>
        <v>0</v>
      </c>
      <c r="G603" s="76">
        <f>SUMIF(F$6:F603,"&gt;0")</f>
        <v>270795</v>
      </c>
      <c r="H603" s="76">
        <f t="shared" ref="H603" si="200">D603-D602</f>
        <v>16600</v>
      </c>
      <c r="I603" s="76">
        <f t="shared" ref="I603" si="201">SUM(F603,H603)</f>
        <v>16600</v>
      </c>
      <c r="J603" s="81">
        <f t="shared" ref="J603" si="202">I603/4200*80</f>
        <v>316.1904761904762</v>
      </c>
      <c r="K603" s="76">
        <f t="shared" ref="K603" si="203">IFERROR(G603 - _xlfn.XLOOKUP(A603-30, $A$6:$A$14998,G$6:G$14998,"",-1,2),NA())</f>
        <v>12290</v>
      </c>
      <c r="L603" s="74">
        <v>16600</v>
      </c>
      <c r="M603" s="74">
        <v>320</v>
      </c>
    </row>
    <row r="604" spans="1:13" x14ac:dyDescent="0.25">
      <c r="A604" s="77">
        <v>44452.125</v>
      </c>
      <c r="B604" s="105" t="s">
        <v>489</v>
      </c>
      <c r="C604" s="74">
        <v>5695</v>
      </c>
      <c r="D604" s="74">
        <v>9350</v>
      </c>
      <c r="E604" s="74">
        <f t="shared" si="121"/>
        <v>15045</v>
      </c>
      <c r="F604" s="76">
        <f t="shared" ref="F604" si="204">C604-C603</f>
        <v>-1200</v>
      </c>
      <c r="G604" s="76">
        <f>SUMIF(F$6:F604,"&gt;0")</f>
        <v>270795</v>
      </c>
      <c r="H604" s="76">
        <f t="shared" ref="H604" si="205">D604-D603</f>
        <v>-9630</v>
      </c>
      <c r="I604" s="76">
        <f t="shared" ref="I604" si="206">SUM(F604,H604)</f>
        <v>-10830</v>
      </c>
      <c r="J604" s="81">
        <f t="shared" ref="J604" si="207">I604/4200*80</f>
        <v>-206.28571428571431</v>
      </c>
      <c r="K604" s="76">
        <f t="shared" ref="K604" si="208">IFERROR(G604 - _xlfn.XLOOKUP(A604-30, $A$6:$A$14998,G$6:G$14998,"",-1,2),NA())</f>
        <v>12290</v>
      </c>
    </row>
    <row r="605" spans="1:13" x14ac:dyDescent="0.25">
      <c r="A605" s="77">
        <v>44453.745138888888</v>
      </c>
      <c r="C605" s="74">
        <v>6815</v>
      </c>
      <c r="D605" s="74">
        <v>8870</v>
      </c>
      <c r="E605" s="74">
        <f t="shared" si="121"/>
        <v>15685</v>
      </c>
      <c r="F605" s="76">
        <f t="shared" ref="F605" si="209">C605-C604</f>
        <v>1120</v>
      </c>
      <c r="G605" s="76">
        <f>SUMIF(F$6:F605,"&gt;0")</f>
        <v>271915</v>
      </c>
      <c r="H605" s="76">
        <f t="shared" ref="H605" si="210">D605-D604</f>
        <v>-480</v>
      </c>
      <c r="I605" s="76">
        <f t="shared" ref="I605" si="211">SUM(F605,H605)</f>
        <v>640</v>
      </c>
      <c r="J605" s="81">
        <f t="shared" ref="J605" si="212">I605/4200*80</f>
        <v>12.190476190476192</v>
      </c>
      <c r="K605" s="76">
        <f t="shared" ref="K605" si="213">IFERROR(G605 - _xlfn.XLOOKUP(A605-30, $A$6:$A$14998,G$6:G$14998,"",-1,2),NA())</f>
        <v>10150</v>
      </c>
    </row>
    <row r="606" spans="1:13" x14ac:dyDescent="0.25">
      <c r="A606" s="77">
        <v>44454.372916666667</v>
      </c>
      <c r="C606" s="74">
        <v>8080</v>
      </c>
      <c r="D606" s="74">
        <v>8970</v>
      </c>
      <c r="E606" s="74">
        <f t="shared" si="121"/>
        <v>17050</v>
      </c>
      <c r="F606" s="76">
        <f t="shared" ref="F606" si="214">C606-C605</f>
        <v>1265</v>
      </c>
      <c r="G606" s="76">
        <f>SUMIF(F$6:F606,"&gt;0")</f>
        <v>273180</v>
      </c>
      <c r="H606" s="76">
        <f t="shared" ref="H606" si="215">D606-D605</f>
        <v>100</v>
      </c>
      <c r="I606" s="76">
        <f t="shared" ref="I606" si="216">SUM(F606,H606)</f>
        <v>1365</v>
      </c>
      <c r="J606" s="81">
        <f t="shared" ref="J606" si="217">I606/4200*80</f>
        <v>26</v>
      </c>
      <c r="K606" s="76">
        <f t="shared" ref="K606" si="218">IFERROR(G606 - _xlfn.XLOOKUP(A606-30, $A$6:$A$14998,G$6:G$14998,"",-1,2),NA())</f>
        <v>11415</v>
      </c>
      <c r="L606" s="74">
        <v>480</v>
      </c>
      <c r="M606" s="74">
        <v>10</v>
      </c>
    </row>
    <row r="607" spans="1:13" x14ac:dyDescent="0.25">
      <c r="A607" s="77">
        <v>44455.883333333331</v>
      </c>
      <c r="C607" s="74">
        <v>8180</v>
      </c>
      <c r="D607" s="74">
        <v>8990</v>
      </c>
      <c r="E607" s="74">
        <f t="shared" si="121"/>
        <v>17170</v>
      </c>
      <c r="F607" s="76">
        <f t="shared" ref="F607" si="219">C607-C606</f>
        <v>100</v>
      </c>
      <c r="G607" s="76">
        <f>SUMIF(F$6:F607,"&gt;0")</f>
        <v>273280</v>
      </c>
      <c r="H607" s="76">
        <f t="shared" ref="H607" si="220">D607-D606</f>
        <v>20</v>
      </c>
      <c r="I607" s="76">
        <f t="shared" ref="I607" si="221">SUM(F607,H607)</f>
        <v>120</v>
      </c>
      <c r="J607" s="81">
        <f t="shared" ref="J607" si="222">I607/4200*80</f>
        <v>2.2857142857142856</v>
      </c>
      <c r="K607" s="76">
        <f t="shared" ref="K607" si="223">IFERROR(G607 - _xlfn.XLOOKUP(A607-30, $A$6:$A$14998,G$6:G$14998,"",-1,2),NA())</f>
        <v>9965</v>
      </c>
    </row>
    <row r="608" spans="1:13" x14ac:dyDescent="0.25">
      <c r="A608" s="77">
        <v>44456.552083333336</v>
      </c>
      <c r="C608" s="74">
        <v>8350</v>
      </c>
      <c r="D608" s="74">
        <v>9010</v>
      </c>
      <c r="E608" s="74">
        <f t="shared" si="121"/>
        <v>17360</v>
      </c>
      <c r="F608" s="76">
        <f t="shared" ref="F608" si="224">C608-C607</f>
        <v>170</v>
      </c>
      <c r="G608" s="76">
        <f>SUMIF(F$6:F608,"&gt;0")</f>
        <v>273450</v>
      </c>
      <c r="H608" s="76">
        <f t="shared" ref="H608" si="225">D608-D607</f>
        <v>20</v>
      </c>
      <c r="I608" s="76">
        <f t="shared" ref="I608" si="226">SUM(F608,H608)</f>
        <v>190</v>
      </c>
      <c r="J608" s="81">
        <f t="shared" ref="J608" si="227">I608/4200*80</f>
        <v>3.6190476190476191</v>
      </c>
      <c r="K608" s="76">
        <f t="shared" ref="K608" si="228">IFERROR(G608 - _xlfn.XLOOKUP(A608-30, $A$6:$A$14998,G$6:G$14998,"",-1,2),NA())</f>
        <v>10135</v>
      </c>
    </row>
    <row r="609" spans="1:13" x14ac:dyDescent="0.25">
      <c r="A609" s="77">
        <v>44458.804861111108</v>
      </c>
      <c r="C609" s="74">
        <v>10195</v>
      </c>
      <c r="D609" s="74">
        <v>9050</v>
      </c>
      <c r="E609" s="74">
        <f t="shared" si="121"/>
        <v>19245</v>
      </c>
      <c r="F609" s="76">
        <f t="shared" ref="F609" si="229">C609-C608</f>
        <v>1845</v>
      </c>
      <c r="G609" s="76">
        <f>SUMIF(F$6:F609,"&gt;0")</f>
        <v>275295</v>
      </c>
      <c r="H609" s="76">
        <f t="shared" ref="H609" si="230">D609-D608</f>
        <v>40</v>
      </c>
      <c r="I609" s="76">
        <f t="shared" ref="I609" si="231">SUM(F609,H609)</f>
        <v>1885</v>
      </c>
      <c r="J609" s="81">
        <f t="shared" ref="J609" si="232">I609/4200*80</f>
        <v>35.904761904761905</v>
      </c>
      <c r="K609" s="76">
        <f t="shared" ref="K609" si="233">IFERROR(G609 - _xlfn.XLOOKUP(A609-30, $A$6:$A$14998,G$6:G$14998,"",-1,2),NA())</f>
        <v>11335</v>
      </c>
    </row>
    <row r="610" spans="1:13" x14ac:dyDescent="0.25">
      <c r="A610" s="77">
        <v>44459.826388888891</v>
      </c>
      <c r="C610" s="74">
        <v>10205</v>
      </c>
      <c r="D610" s="74">
        <v>9070</v>
      </c>
      <c r="E610" s="74">
        <f t="shared" si="121"/>
        <v>19275</v>
      </c>
      <c r="F610" s="76">
        <f t="shared" ref="F610" si="234">C610-C609</f>
        <v>10</v>
      </c>
      <c r="G610" s="76">
        <f>SUMIF(F$6:F610,"&gt;0")</f>
        <v>275305</v>
      </c>
      <c r="H610" s="76">
        <f t="shared" ref="H610" si="235">D610-D609</f>
        <v>20</v>
      </c>
      <c r="I610" s="76">
        <f t="shared" ref="I610" si="236">SUM(F610,H610)</f>
        <v>30</v>
      </c>
      <c r="J610" s="81">
        <f t="shared" ref="J610" si="237">I610/4200*80</f>
        <v>0.5714285714285714</v>
      </c>
      <c r="K610" s="76">
        <f t="shared" ref="K610" si="238">IFERROR(G610 - _xlfn.XLOOKUP(A610-30, $A$6:$A$14998,G$6:G$14998,"",-1,2),NA())</f>
        <v>11345</v>
      </c>
    </row>
    <row r="611" spans="1:13" x14ac:dyDescent="0.25">
      <c r="A611" s="77">
        <v>44460.709027777775</v>
      </c>
      <c r="C611" s="74">
        <v>10850</v>
      </c>
      <c r="D611" s="74">
        <v>9120</v>
      </c>
      <c r="E611" s="74">
        <f t="shared" si="121"/>
        <v>19970</v>
      </c>
      <c r="F611" s="76">
        <f t="shared" ref="F611" si="239">C611-C610</f>
        <v>645</v>
      </c>
      <c r="G611" s="76">
        <f>SUMIF(F$6:F611,"&gt;0")</f>
        <v>275950</v>
      </c>
      <c r="H611" s="76">
        <f t="shared" ref="H611" si="240">D611-D610</f>
        <v>50</v>
      </c>
      <c r="I611" s="76">
        <f t="shared" ref="I611" si="241">SUM(F611,H611)</f>
        <v>695</v>
      </c>
      <c r="J611" s="81">
        <f t="shared" ref="J611" si="242">I611/4200*80</f>
        <v>13.238095238095237</v>
      </c>
      <c r="K611" s="76">
        <f t="shared" ref="K611" si="243">IFERROR(G611 - _xlfn.XLOOKUP(A611-30, $A$6:$A$14998,G$6:G$14998,"",-1,2),NA())</f>
        <v>11590</v>
      </c>
    </row>
    <row r="612" spans="1:13" x14ac:dyDescent="0.25">
      <c r="A612" s="77">
        <v>44462.981944444444</v>
      </c>
      <c r="C612" s="74">
        <v>12175</v>
      </c>
      <c r="D612" s="74">
        <v>9685</v>
      </c>
      <c r="E612" s="74">
        <f t="shared" si="121"/>
        <v>21860</v>
      </c>
      <c r="F612" s="76">
        <f t="shared" ref="F612" si="244">C612-C611</f>
        <v>1325</v>
      </c>
      <c r="G612" s="76">
        <f>SUMIF(F$6:F612,"&gt;0")</f>
        <v>277275</v>
      </c>
      <c r="H612" s="76">
        <f t="shared" ref="H612" si="245">D612-D611</f>
        <v>565</v>
      </c>
      <c r="I612" s="76">
        <f t="shared" ref="I612" si="246">SUM(F612,H612)</f>
        <v>1890</v>
      </c>
      <c r="J612" s="81">
        <f t="shared" ref="J612" si="247">I612/4200*80</f>
        <v>36</v>
      </c>
      <c r="K612" s="76">
        <f t="shared" ref="K612" si="248">IFERROR(G612 - _xlfn.XLOOKUP(A612-30, $A$6:$A$14998,G$6:G$14998,"",-1,2),NA())</f>
        <v>12915</v>
      </c>
    </row>
    <row r="613" spans="1:13" x14ac:dyDescent="0.25">
      <c r="A613" s="77">
        <v>44467.04791666667</v>
      </c>
      <c r="C613" s="74">
        <v>12950</v>
      </c>
      <c r="D613" s="74">
        <v>15590</v>
      </c>
      <c r="E613" s="74">
        <f t="shared" si="121"/>
        <v>28540</v>
      </c>
      <c r="F613" s="76">
        <f t="shared" ref="F613" si="249">C613-C612</f>
        <v>775</v>
      </c>
      <c r="G613" s="76">
        <f>SUMIF(F$6:F613,"&gt;0")</f>
        <v>278050</v>
      </c>
      <c r="H613" s="76">
        <f t="shared" ref="H613" si="250">D613-D612</f>
        <v>5905</v>
      </c>
      <c r="I613" s="76">
        <f t="shared" ref="I613" si="251">SUM(F613,H613)</f>
        <v>6680</v>
      </c>
      <c r="J613" s="81">
        <f t="shared" ref="J613" si="252">I613/4200*80</f>
        <v>127.23809523809523</v>
      </c>
      <c r="K613" s="76">
        <f t="shared" ref="K613" si="253">IFERROR(G613 - _xlfn.XLOOKUP(A613-30, $A$6:$A$14998,G$6:G$14998,"",-1,2),NA())</f>
        <v>11290</v>
      </c>
      <c r="L613" s="74">
        <f>4800+525</f>
        <v>5325</v>
      </c>
      <c r="M613" s="74">
        <v>87</v>
      </c>
    </row>
    <row r="614" spans="1:13" x14ac:dyDescent="0.25">
      <c r="A614" s="77">
        <v>44468.963888888888</v>
      </c>
      <c r="C614" s="74">
        <v>16200</v>
      </c>
      <c r="D614" s="74">
        <v>15660</v>
      </c>
      <c r="E614" s="74">
        <f t="shared" si="121"/>
        <v>31860</v>
      </c>
      <c r="F614" s="76">
        <f t="shared" ref="F614" si="254">C614-C613</f>
        <v>3250</v>
      </c>
      <c r="G614" s="76">
        <f>SUMIF(F$6:F614,"&gt;0")</f>
        <v>281300</v>
      </c>
      <c r="H614" s="76">
        <f t="shared" ref="H614" si="255">D614-D613</f>
        <v>70</v>
      </c>
      <c r="I614" s="76">
        <f t="shared" ref="I614" si="256">SUM(F614,H614)</f>
        <v>3320</v>
      </c>
      <c r="J614" s="81">
        <f t="shared" ref="J614" si="257">I614/4200*80</f>
        <v>63.238095238095234</v>
      </c>
      <c r="K614" s="76">
        <f t="shared" ref="K614" si="258">IFERROR(G614 - _xlfn.XLOOKUP(A614-30, $A$6:$A$14998,G$6:G$14998,"",-1,2),NA())</f>
        <v>14315</v>
      </c>
    </row>
    <row r="615" spans="1:13" x14ac:dyDescent="0.25">
      <c r="A615" s="77">
        <v>44469.140277777777</v>
      </c>
      <c r="B615" s="105" t="s">
        <v>490</v>
      </c>
      <c r="C615" s="74">
        <v>3000</v>
      </c>
      <c r="D615" s="74">
        <v>8430</v>
      </c>
      <c r="E615" s="74">
        <f t="shared" si="121"/>
        <v>11430</v>
      </c>
      <c r="F615" s="76">
        <f t="shared" ref="F615" si="259">C615-C614</f>
        <v>-13200</v>
      </c>
      <c r="G615" s="76">
        <f>SUMIF(F$6:F615,"&gt;0")</f>
        <v>281300</v>
      </c>
      <c r="H615" s="76">
        <f t="shared" ref="H615" si="260">D615-D614</f>
        <v>-7230</v>
      </c>
      <c r="I615" s="76">
        <f t="shared" ref="I615" si="261">SUM(F615,H615)</f>
        <v>-20430</v>
      </c>
      <c r="J615" s="81">
        <f t="shared" ref="J615" si="262">I615/4200*80</f>
        <v>-389.14285714285711</v>
      </c>
      <c r="K615" s="76">
        <f t="shared" ref="K615" si="263">IFERROR(G615 - _xlfn.XLOOKUP(A615-30, $A$6:$A$14998,G$6:G$14998,"",-1,2),NA())</f>
        <v>14315</v>
      </c>
    </row>
    <row r="616" spans="1:13" x14ac:dyDescent="0.25">
      <c r="A616" s="77">
        <v>44469.723611111112</v>
      </c>
      <c r="C616" s="74">
        <v>4450</v>
      </c>
      <c r="D616" s="74">
        <v>8480</v>
      </c>
      <c r="E616" s="74">
        <f t="shared" si="121"/>
        <v>12930</v>
      </c>
      <c r="F616" s="76">
        <f t="shared" ref="F616" si="264">C616-C615</f>
        <v>1450</v>
      </c>
      <c r="G616" s="76">
        <f>SUMIF(F$6:F616,"&gt;0")</f>
        <v>282750</v>
      </c>
      <c r="H616" s="76">
        <f t="shared" ref="H616" si="265">D616-D615</f>
        <v>50</v>
      </c>
      <c r="I616" s="76">
        <f t="shared" ref="I616" si="266">SUM(F616,H616)</f>
        <v>1500</v>
      </c>
      <c r="J616" s="81">
        <f t="shared" ref="J616" si="267">I616/4200*80</f>
        <v>28.571428571428573</v>
      </c>
      <c r="K616" s="76">
        <f t="shared" ref="K616" si="268">IFERROR(G616 - _xlfn.XLOOKUP(A616-30, $A$6:$A$14998,G$6:G$14998,"",-1,2),NA())</f>
        <v>15765</v>
      </c>
    </row>
    <row r="617" spans="1:13" x14ac:dyDescent="0.25">
      <c r="A617" s="77">
        <v>44470.84652777778</v>
      </c>
      <c r="C617" s="74">
        <v>5085</v>
      </c>
      <c r="D617" s="74">
        <v>8000</v>
      </c>
      <c r="E617" s="74">
        <f t="shared" si="121"/>
        <v>13085</v>
      </c>
      <c r="F617" s="76">
        <f t="shared" ref="F617" si="269">C617-C616</f>
        <v>635</v>
      </c>
      <c r="G617" s="76">
        <f>SUMIF(F$6:F617,"&gt;0")</f>
        <v>283385</v>
      </c>
      <c r="H617" s="76">
        <f t="shared" ref="H617" si="270">D617-D616</f>
        <v>-480</v>
      </c>
      <c r="I617" s="76">
        <f t="shared" ref="I617" si="271">SUM(F617,H617)</f>
        <v>155</v>
      </c>
      <c r="J617" s="81">
        <f t="shared" ref="J617" si="272">I617/4200*80</f>
        <v>2.9523809523809526</v>
      </c>
      <c r="K617" s="76">
        <f t="shared" ref="K617" si="273">IFERROR(G617 - _xlfn.XLOOKUP(A617-30, $A$6:$A$14998,G$6:G$14998,"",-1,2),NA())</f>
        <v>16400</v>
      </c>
    </row>
    <row r="618" spans="1:13" x14ac:dyDescent="0.25">
      <c r="A618" s="77">
        <v>44471.875</v>
      </c>
      <c r="C618" s="74">
        <v>6085</v>
      </c>
      <c r="D618" s="74">
        <v>8020</v>
      </c>
      <c r="E618" s="74">
        <f t="shared" ref="E618:E619" si="274">SUM(C618:D618)</f>
        <v>14105</v>
      </c>
      <c r="F618" s="76">
        <f t="shared" ref="F618" si="275">C618-C617</f>
        <v>1000</v>
      </c>
      <c r="G618" s="76">
        <f>SUMIF(F$6:F618,"&gt;0")</f>
        <v>284385</v>
      </c>
      <c r="H618" s="76">
        <f t="shared" ref="H618" si="276">D618-D617</f>
        <v>20</v>
      </c>
      <c r="I618" s="76">
        <f t="shared" ref="I618" si="277">SUM(F618,H618)</f>
        <v>1020</v>
      </c>
      <c r="J618" s="81">
        <f t="shared" ref="J618" si="278">I618/4200*80</f>
        <v>19.428571428571427</v>
      </c>
      <c r="K618" s="76">
        <f t="shared" ref="K618" si="279">IFERROR(G618 - _xlfn.XLOOKUP(A618-30, $A$6:$A$14998,G$6:G$14998,"",-1,2),NA())</f>
        <v>17400</v>
      </c>
    </row>
    <row r="619" spans="1:13" x14ac:dyDescent="0.25">
      <c r="A619" s="77">
        <v>44474.04583333333</v>
      </c>
      <c r="C619" s="74">
        <v>6830</v>
      </c>
      <c r="D619" s="74">
        <v>8590</v>
      </c>
      <c r="E619" s="74">
        <f t="shared" si="274"/>
        <v>15420</v>
      </c>
      <c r="F619" s="76">
        <f t="shared" ref="F619" si="280">C619-C618</f>
        <v>745</v>
      </c>
      <c r="G619" s="76">
        <f>SUMIF(F$6:F619,"&gt;0")</f>
        <v>285130</v>
      </c>
      <c r="H619" s="76">
        <f t="shared" ref="H619" si="281">D619-D618</f>
        <v>570</v>
      </c>
      <c r="I619" s="76">
        <f t="shared" ref="I619" si="282">SUM(F619,H619)</f>
        <v>1315</v>
      </c>
      <c r="J619" s="81">
        <f t="shared" ref="J619" si="283">I619/4200*80</f>
        <v>25.047619047619047</v>
      </c>
      <c r="K619" s="76">
        <f t="shared" ref="K619" si="284">IFERROR(G619 - _xlfn.XLOOKUP(A619-30, $A$6:$A$14998,G$6:G$14998,"",-1,2),NA())</f>
        <v>16845</v>
      </c>
    </row>
    <row r="620" spans="1:13" x14ac:dyDescent="0.25">
      <c r="A620" s="77">
        <v>44474.050694444442</v>
      </c>
      <c r="B620" s="105" t="s">
        <v>491</v>
      </c>
      <c r="C620" s="74">
        <v>710</v>
      </c>
      <c r="D620" s="74">
        <v>160</v>
      </c>
      <c r="E620" s="74">
        <f t="shared" ref="E620" si="285">SUM(C620:D620)</f>
        <v>870</v>
      </c>
      <c r="F620" s="76">
        <f t="shared" ref="F620" si="286">C620-C619</f>
        <v>-6120</v>
      </c>
      <c r="G620" s="76">
        <f>SUMIF(F$6:F620,"&gt;0")</f>
        <v>285130</v>
      </c>
      <c r="H620" s="76">
        <f t="shared" ref="H620" si="287">D620-D619</f>
        <v>-8430</v>
      </c>
      <c r="I620" s="76">
        <f t="shared" ref="I620" si="288">SUM(F620,H620)</f>
        <v>-14550</v>
      </c>
      <c r="J620" s="81">
        <f t="shared" ref="J620" si="289">I620/4200*80</f>
        <v>-277.14285714285717</v>
      </c>
      <c r="K620" s="76">
        <f t="shared" ref="K620" si="290">IFERROR(G620 - _xlfn.XLOOKUP(A620-30, $A$6:$A$14998,G$6:G$14998,"",-1,2),NA())</f>
        <v>16845</v>
      </c>
    </row>
    <row r="621" spans="1:13" x14ac:dyDescent="0.25">
      <c r="A621" s="77">
        <v>44474.144444444442</v>
      </c>
      <c r="C621" s="74">
        <v>810</v>
      </c>
      <c r="D621" s="74">
        <v>21295</v>
      </c>
      <c r="E621" s="74">
        <f t="shared" ref="E621:E648" si="291">SUM(C621:D621)</f>
        <v>22105</v>
      </c>
      <c r="F621" s="76">
        <f t="shared" ref="F621" si="292">C621-C620</f>
        <v>100</v>
      </c>
      <c r="G621" s="76">
        <f>SUMIF(F$6:F621,"&gt;0")</f>
        <v>285230</v>
      </c>
      <c r="H621" s="76">
        <f t="shared" ref="H621" si="293">D621-D620</f>
        <v>21135</v>
      </c>
      <c r="I621" s="76">
        <f t="shared" ref="I621" si="294">SUM(F621,H621)</f>
        <v>21235</v>
      </c>
      <c r="J621" s="81">
        <f t="shared" ref="J621" si="295">I621/4200*80</f>
        <v>404.47619047619048</v>
      </c>
      <c r="K621" s="76">
        <f t="shared" ref="K621" si="296">IFERROR(G621 - _xlfn.XLOOKUP(A621-30, $A$6:$A$14998,G$6:G$14998,"",-1,2),NA())</f>
        <v>16945</v>
      </c>
      <c r="L621" s="74">
        <v>21085</v>
      </c>
      <c r="M621" s="74">
        <v>339</v>
      </c>
    </row>
    <row r="622" spans="1:13" x14ac:dyDescent="0.25">
      <c r="A622" s="77">
        <v>44475.90625</v>
      </c>
      <c r="C622" s="74">
        <v>2510</v>
      </c>
      <c r="D622" s="74">
        <v>21315</v>
      </c>
      <c r="E622" s="74">
        <f t="shared" si="291"/>
        <v>23825</v>
      </c>
      <c r="F622" s="76">
        <f t="shared" ref="F622" si="297">C622-C621</f>
        <v>1700</v>
      </c>
      <c r="G622" s="76">
        <f>SUMIF(F$6:F622,"&gt;0")</f>
        <v>286930</v>
      </c>
      <c r="H622" s="76">
        <f t="shared" ref="H622" si="298">D622-D621</f>
        <v>20</v>
      </c>
      <c r="I622" s="76">
        <f t="shared" ref="I622" si="299">SUM(F622,H622)</f>
        <v>1720</v>
      </c>
      <c r="J622" s="81">
        <f t="shared" ref="J622" si="300">I622/4200*80</f>
        <v>32.761904761904759</v>
      </c>
      <c r="K622" s="76">
        <f t="shared" ref="K622" si="301">IFERROR(G622 - _xlfn.XLOOKUP(A622-30, $A$6:$A$14998,G$6:G$14998,"",-1,2),NA())</f>
        <v>18645</v>
      </c>
    </row>
    <row r="623" spans="1:13" x14ac:dyDescent="0.25">
      <c r="A623" s="77">
        <v>44476.90625</v>
      </c>
      <c r="C623" s="74">
        <v>2610</v>
      </c>
      <c r="D623" s="74">
        <v>21335</v>
      </c>
      <c r="E623" s="74">
        <f t="shared" si="291"/>
        <v>23945</v>
      </c>
      <c r="F623" s="76">
        <f t="shared" ref="F623" si="302">C623-C622</f>
        <v>100</v>
      </c>
      <c r="G623" s="76">
        <f>SUMIF(F$6:F623,"&gt;0")</f>
        <v>287030</v>
      </c>
      <c r="H623" s="76">
        <f t="shared" ref="H623" si="303">D623-D622</f>
        <v>20</v>
      </c>
      <c r="I623" s="76">
        <f t="shared" ref="I623" si="304">SUM(F623,H623)</f>
        <v>120</v>
      </c>
      <c r="J623" s="81">
        <f t="shared" ref="J623" si="305">I623/4200*80</f>
        <v>2.2857142857142856</v>
      </c>
      <c r="K623" s="76">
        <f t="shared" ref="K623" si="306">IFERROR(G623 - _xlfn.XLOOKUP(A623-30, $A$6:$A$14998,G$6:G$14998,"",-1,2),NA())</f>
        <v>18745</v>
      </c>
    </row>
    <row r="624" spans="1:13" x14ac:dyDescent="0.25">
      <c r="A624" s="77">
        <v>44477.90625</v>
      </c>
      <c r="C624" s="74">
        <v>3110</v>
      </c>
      <c r="D624" s="74">
        <v>21355</v>
      </c>
      <c r="E624" s="74">
        <f t="shared" si="291"/>
        <v>24465</v>
      </c>
      <c r="F624" s="76">
        <f t="shared" ref="F624" si="307">C624-C623</f>
        <v>500</v>
      </c>
      <c r="G624" s="76">
        <f>SUMIF(F$6:F624,"&gt;0")</f>
        <v>287530</v>
      </c>
      <c r="H624" s="76">
        <f t="shared" ref="H624" si="308">D624-D623</f>
        <v>20</v>
      </c>
      <c r="I624" s="76">
        <f t="shared" ref="I624" si="309">SUM(F624,H624)</f>
        <v>520</v>
      </c>
      <c r="J624" s="81">
        <f t="shared" ref="J624" si="310">I624/4200*80</f>
        <v>9.9047619047619051</v>
      </c>
      <c r="K624" s="76">
        <f t="shared" ref="K624" si="311">IFERROR(G624 - _xlfn.XLOOKUP(A624-30, $A$6:$A$14998,G$6:G$14998,"",-1,2),NA())</f>
        <v>19245</v>
      </c>
    </row>
    <row r="625" spans="1:13" x14ac:dyDescent="0.25">
      <c r="A625" s="77">
        <v>44478.90625</v>
      </c>
      <c r="C625" s="74">
        <v>3210</v>
      </c>
      <c r="D625" s="74">
        <v>21395</v>
      </c>
      <c r="E625" s="74">
        <f t="shared" si="291"/>
        <v>24605</v>
      </c>
      <c r="F625" s="76">
        <f t="shared" ref="F625" si="312">C625-C624</f>
        <v>100</v>
      </c>
      <c r="G625" s="76">
        <f>SUMIF(F$6:F625,"&gt;0")</f>
        <v>287630</v>
      </c>
      <c r="H625" s="76">
        <f t="shared" ref="H625" si="313">D625-D624</f>
        <v>40</v>
      </c>
      <c r="I625" s="76">
        <f t="shared" ref="I625" si="314">SUM(F625,H625)</f>
        <v>140</v>
      </c>
      <c r="J625" s="81">
        <f t="shared" ref="J625" si="315">I625/4200*80</f>
        <v>2.6666666666666665</v>
      </c>
      <c r="K625" s="76">
        <f t="shared" ref="K625" si="316">IFERROR(G625 - _xlfn.XLOOKUP(A625-30, $A$6:$A$14998,G$6:G$14998,"",-1,2),NA())</f>
        <v>19345</v>
      </c>
    </row>
    <row r="626" spans="1:13" x14ac:dyDescent="0.25">
      <c r="A626" s="77">
        <v>44479.897222222222</v>
      </c>
      <c r="C626" s="74">
        <v>3310</v>
      </c>
      <c r="D626" s="74">
        <v>21425</v>
      </c>
      <c r="E626" s="74">
        <f t="shared" si="291"/>
        <v>24735</v>
      </c>
      <c r="F626" s="76">
        <f t="shared" ref="F626" si="317">C626-C625</f>
        <v>100</v>
      </c>
      <c r="G626" s="76">
        <f>SUMIF(F$6:F626,"&gt;0")</f>
        <v>287730</v>
      </c>
      <c r="H626" s="76">
        <f t="shared" ref="H626" si="318">D626-D625</f>
        <v>30</v>
      </c>
      <c r="I626" s="76">
        <f t="shared" ref="I626" si="319">SUM(F626,H626)</f>
        <v>130</v>
      </c>
      <c r="J626" s="81">
        <f t="shared" ref="J626" si="320">I626/4200*80</f>
        <v>2.4761904761904763</v>
      </c>
      <c r="K626" s="76">
        <f t="shared" ref="K626" si="321">IFERROR(G626 - _xlfn.XLOOKUP(A626-30, $A$6:$A$14998,G$6:G$14998,"",-1,2),NA())</f>
        <v>17730</v>
      </c>
    </row>
    <row r="627" spans="1:13" x14ac:dyDescent="0.25">
      <c r="A627" s="77">
        <v>44480.813194444447</v>
      </c>
      <c r="C627" s="74">
        <v>3410</v>
      </c>
      <c r="D627" s="74">
        <v>21445</v>
      </c>
      <c r="E627" s="74">
        <f t="shared" si="291"/>
        <v>24855</v>
      </c>
      <c r="F627" s="76">
        <f t="shared" ref="F627" si="322">C627-C626</f>
        <v>100</v>
      </c>
      <c r="G627" s="76">
        <f>SUMIF(F$6:F627,"&gt;0")</f>
        <v>287830</v>
      </c>
      <c r="H627" s="76">
        <f t="shared" ref="H627" si="323">D627-D626</f>
        <v>20</v>
      </c>
      <c r="I627" s="76">
        <f t="shared" ref="I627" si="324">SUM(F627,H627)</f>
        <v>120</v>
      </c>
      <c r="J627" s="81">
        <f t="shared" ref="J627" si="325">I627/4200*80</f>
        <v>2.2857142857142856</v>
      </c>
      <c r="K627" s="76">
        <f t="shared" ref="K627" si="326">IFERROR(G627 - _xlfn.XLOOKUP(A627-30, $A$6:$A$14998,G$6:G$14998,"",-1,2),NA())</f>
        <v>17830</v>
      </c>
    </row>
    <row r="628" spans="1:13" x14ac:dyDescent="0.25">
      <c r="A628" s="77">
        <v>44481.76458333333</v>
      </c>
      <c r="C628" s="74">
        <v>3810</v>
      </c>
      <c r="D628" s="74">
        <v>21465</v>
      </c>
      <c r="E628" s="74">
        <f t="shared" si="291"/>
        <v>25275</v>
      </c>
      <c r="F628" s="76">
        <f t="shared" ref="F628" si="327">C628-C627</f>
        <v>400</v>
      </c>
      <c r="G628" s="76">
        <f>SUMIF(F$6:F628,"&gt;0")</f>
        <v>288230</v>
      </c>
      <c r="H628" s="76">
        <f t="shared" ref="H628" si="328">D628-D627</f>
        <v>20</v>
      </c>
      <c r="I628" s="76">
        <f t="shared" ref="I628" si="329">SUM(F628,H628)</f>
        <v>420</v>
      </c>
      <c r="J628" s="81">
        <f t="shared" ref="J628" si="330">I628/4200*80</f>
        <v>8</v>
      </c>
      <c r="K628" s="76">
        <f t="shared" ref="K628" si="331">IFERROR(G628 - _xlfn.XLOOKUP(A628-30, $A$6:$A$14998,G$6:G$14998,"",-1,2),NA())</f>
        <v>17435</v>
      </c>
    </row>
    <row r="629" spans="1:13" x14ac:dyDescent="0.25">
      <c r="A629" s="77">
        <v>44482.463194444441</v>
      </c>
      <c r="C629" s="74">
        <v>5135</v>
      </c>
      <c r="D629" s="74">
        <v>21485</v>
      </c>
      <c r="E629" s="74">
        <f t="shared" si="291"/>
        <v>26620</v>
      </c>
      <c r="F629" s="76">
        <f t="shared" ref="F629" si="332">C629-C628</f>
        <v>1325</v>
      </c>
      <c r="G629" s="76">
        <f>SUMIF(F$6:F629,"&gt;0")</f>
        <v>289555</v>
      </c>
      <c r="H629" s="76">
        <f t="shared" ref="H629" si="333">D629-D628</f>
        <v>20</v>
      </c>
      <c r="I629" s="76">
        <f t="shared" ref="I629" si="334">SUM(F629,H629)</f>
        <v>1345</v>
      </c>
      <c r="J629" s="81">
        <f t="shared" ref="J629" si="335">I629/4200*80</f>
        <v>25.619047619047617</v>
      </c>
      <c r="K629" s="76">
        <f t="shared" ref="K629" si="336">IFERROR(G629 - _xlfn.XLOOKUP(A629-30, $A$6:$A$14998,G$6:G$14998,"",-1,2),NA())</f>
        <v>18760</v>
      </c>
    </row>
    <row r="630" spans="1:13" x14ac:dyDescent="0.25">
      <c r="A630" s="77">
        <v>44483.835416666669</v>
      </c>
      <c r="C630" s="74">
        <v>7435</v>
      </c>
      <c r="D630" s="74">
        <v>20505</v>
      </c>
      <c r="E630" s="74">
        <f t="shared" si="291"/>
        <v>27940</v>
      </c>
      <c r="F630" s="76">
        <f t="shared" ref="F630" si="337">C630-C629</f>
        <v>2300</v>
      </c>
      <c r="G630" s="76">
        <f>SUMIF(F$6:F630,"&gt;0")</f>
        <v>291855</v>
      </c>
      <c r="H630" s="76">
        <f t="shared" ref="H630" si="338">D630-D629</f>
        <v>-980</v>
      </c>
      <c r="I630" s="76">
        <f t="shared" ref="I630" si="339">SUM(F630,H630)</f>
        <v>1320</v>
      </c>
      <c r="J630" s="81">
        <f t="shared" ref="J630" si="340">I630/4200*80</f>
        <v>25.142857142857142</v>
      </c>
      <c r="K630" s="76">
        <f t="shared" ref="K630" si="341">IFERROR(G630 - _xlfn.XLOOKUP(A630-30, $A$6:$A$14998,G$6:G$14998,"",-1,2),NA())</f>
        <v>19940</v>
      </c>
    </row>
    <row r="631" spans="1:13" x14ac:dyDescent="0.25">
      <c r="A631" s="77">
        <v>44484.0625</v>
      </c>
      <c r="B631" s="105" t="s">
        <v>501</v>
      </c>
      <c r="C631" s="74">
        <v>235</v>
      </c>
      <c r="D631" s="74">
        <v>75</v>
      </c>
      <c r="E631" s="74">
        <f t="shared" si="291"/>
        <v>310</v>
      </c>
      <c r="F631" s="76">
        <f t="shared" ref="F631" si="342">C631-C630</f>
        <v>-7200</v>
      </c>
      <c r="G631" s="76">
        <f>SUMIF(F$6:F631,"&gt;0")</f>
        <v>291855</v>
      </c>
      <c r="H631" s="76">
        <f t="shared" ref="H631" si="343">D631-D630</f>
        <v>-20430</v>
      </c>
      <c r="I631" s="76">
        <f t="shared" ref="I631" si="344">SUM(F631,H631)</f>
        <v>-27630</v>
      </c>
      <c r="J631" s="81">
        <f t="shared" ref="J631" si="345">I631/4200*80</f>
        <v>-526.28571428571422</v>
      </c>
      <c r="K631" s="76">
        <f t="shared" ref="K631" si="346">IFERROR(G631 - _xlfn.XLOOKUP(A631-30, $A$6:$A$14998,G$6:G$14998,"",-1,2),NA())</f>
        <v>19940</v>
      </c>
    </row>
    <row r="632" spans="1:13" x14ac:dyDescent="0.25">
      <c r="A632" s="77">
        <v>44484.583333333336</v>
      </c>
      <c r="C632" s="74">
        <v>1185</v>
      </c>
      <c r="D632" s="74">
        <v>1180</v>
      </c>
      <c r="E632" s="74">
        <f t="shared" si="291"/>
        <v>2365</v>
      </c>
      <c r="F632" s="76">
        <f t="shared" ref="F632" si="347">C632-C631</f>
        <v>950</v>
      </c>
      <c r="G632" s="76">
        <f>SUMIF(F$6:F632,"&gt;0")</f>
        <v>292805</v>
      </c>
      <c r="H632" s="76">
        <f t="shared" ref="H632" si="348">D632-D631</f>
        <v>1105</v>
      </c>
      <c r="I632" s="76">
        <f t="shared" ref="I632" si="349">SUM(F632,H632)</f>
        <v>2055</v>
      </c>
      <c r="J632" s="81">
        <f t="shared" ref="J632" si="350">I632/4200*80</f>
        <v>39.142857142857139</v>
      </c>
      <c r="K632" s="76">
        <f t="shared" ref="K632" si="351">IFERROR(G632 - _xlfn.XLOOKUP(A632-30, $A$6:$A$14998,G$6:G$14998,"",-1,2),NA())</f>
        <v>19625</v>
      </c>
      <c r="L632" s="74">
        <v>525</v>
      </c>
      <c r="M632" s="74">
        <v>7</v>
      </c>
    </row>
    <row r="633" spans="1:13" x14ac:dyDescent="0.25">
      <c r="A633" s="77">
        <v>44485.474305555559</v>
      </c>
      <c r="C633" s="74">
        <v>1485</v>
      </c>
      <c r="D633" s="74">
        <v>1200</v>
      </c>
      <c r="E633" s="74">
        <f t="shared" si="291"/>
        <v>2685</v>
      </c>
      <c r="F633" s="76">
        <f t="shared" ref="F633" si="352">C633-C632</f>
        <v>300</v>
      </c>
      <c r="G633" s="76">
        <f>SUMIF(F$6:F633,"&gt;0")</f>
        <v>293105</v>
      </c>
      <c r="H633" s="76">
        <f t="shared" ref="H633" si="353">D633-D632</f>
        <v>20</v>
      </c>
      <c r="I633" s="76">
        <f t="shared" ref="I633" si="354">SUM(F633,H633)</f>
        <v>320</v>
      </c>
      <c r="J633" s="81">
        <f t="shared" ref="J633" si="355">I633/4200*80</f>
        <v>6.0952380952380958</v>
      </c>
      <c r="K633" s="76">
        <f t="shared" ref="K633" si="356">IFERROR(G633 - _xlfn.XLOOKUP(A633-30, $A$6:$A$14998,G$6:G$14998,"",-1,2),NA())</f>
        <v>19925</v>
      </c>
    </row>
    <row r="634" spans="1:13" x14ac:dyDescent="0.25">
      <c r="A634" s="77">
        <v>44486.304166666669</v>
      </c>
      <c r="C634" s="74">
        <v>1785</v>
      </c>
      <c r="D634" s="74">
        <v>1220</v>
      </c>
      <c r="E634" s="74">
        <f t="shared" si="291"/>
        <v>3005</v>
      </c>
      <c r="F634" s="76">
        <f t="shared" ref="F634" si="357">C634-C633</f>
        <v>300</v>
      </c>
      <c r="G634" s="76">
        <f>SUMIF(F$6:F634,"&gt;0")</f>
        <v>293405</v>
      </c>
      <c r="H634" s="76">
        <f t="shared" ref="H634" si="358">D634-D633</f>
        <v>20</v>
      </c>
      <c r="I634" s="76">
        <f t="shared" ref="I634" si="359">SUM(F634,H634)</f>
        <v>320</v>
      </c>
      <c r="J634" s="81">
        <f t="shared" ref="J634" si="360">I634/4200*80</f>
        <v>6.0952380952380958</v>
      </c>
      <c r="K634" s="76">
        <f t="shared" ref="K634" si="361">IFERROR(G634 - _xlfn.XLOOKUP(A634-30, $A$6:$A$14998,G$6:G$14998,"",-1,2),NA())</f>
        <v>20125</v>
      </c>
    </row>
    <row r="635" spans="1:13" x14ac:dyDescent="0.25">
      <c r="A635" s="77">
        <v>44487.609027777777</v>
      </c>
      <c r="C635" s="74">
        <v>2660</v>
      </c>
      <c r="D635" s="74">
        <v>5965</v>
      </c>
      <c r="E635" s="74">
        <f t="shared" si="291"/>
        <v>8625</v>
      </c>
      <c r="F635" s="76">
        <f t="shared" ref="F635" si="362">C635-C634</f>
        <v>875</v>
      </c>
      <c r="G635" s="76">
        <f>SUMIF(F$6:F635,"&gt;0")</f>
        <v>294280</v>
      </c>
      <c r="H635" s="76">
        <f t="shared" ref="H635" si="363">D635-D634</f>
        <v>4745</v>
      </c>
      <c r="I635" s="76">
        <f t="shared" ref="I635" si="364">SUM(F635,H635)</f>
        <v>5620</v>
      </c>
      <c r="J635" s="81">
        <f t="shared" ref="J635" si="365">I635/4200*80</f>
        <v>107.04761904761904</v>
      </c>
      <c r="K635" s="76">
        <f t="shared" ref="K635" si="366">IFERROR(G635 - _xlfn.XLOOKUP(A635-30, $A$6:$A$14998,G$6:G$14998,"",-1,2),NA())</f>
        <v>20830</v>
      </c>
      <c r="L635" s="74">
        <v>4725</v>
      </c>
      <c r="M635" s="74">
        <v>7</v>
      </c>
    </row>
    <row r="636" spans="1:13" x14ac:dyDescent="0.25">
      <c r="A636" s="77">
        <v>44487.734027777777</v>
      </c>
      <c r="C636" s="74">
        <v>2660</v>
      </c>
      <c r="D636" s="74">
        <v>3565</v>
      </c>
      <c r="E636" s="74">
        <f t="shared" si="291"/>
        <v>6225</v>
      </c>
      <c r="F636" s="76">
        <f t="shared" ref="F636" si="367">C636-C635</f>
        <v>0</v>
      </c>
      <c r="G636" s="76">
        <f>SUMIF(F$6:F636,"&gt;0")</f>
        <v>294280</v>
      </c>
      <c r="H636" s="76">
        <f t="shared" ref="H636" si="368">D636-D635</f>
        <v>-2400</v>
      </c>
      <c r="I636" s="76">
        <f t="shared" ref="I636" si="369">SUM(F636,H636)</f>
        <v>-2400</v>
      </c>
      <c r="J636" s="81">
        <f t="shared" ref="J636" si="370">I636/4200*80</f>
        <v>-45.714285714285708</v>
      </c>
      <c r="K636" s="76">
        <f t="shared" ref="K636" si="371">IFERROR(G636 - _xlfn.XLOOKUP(A636-30, $A$6:$A$14998,G$6:G$14998,"",-1,2),NA())</f>
        <v>20830</v>
      </c>
    </row>
    <row r="637" spans="1:13" x14ac:dyDescent="0.25">
      <c r="A637" s="77">
        <v>44488.708333333336</v>
      </c>
      <c r="C637" s="74">
        <v>4310</v>
      </c>
      <c r="D637" s="74">
        <v>3585</v>
      </c>
      <c r="E637" s="74">
        <f t="shared" si="291"/>
        <v>7895</v>
      </c>
      <c r="F637" s="76">
        <f t="shared" ref="F637" si="372">C637-C636</f>
        <v>1650</v>
      </c>
      <c r="G637" s="76">
        <f>SUMIF(F$6:F637,"&gt;0")</f>
        <v>295930</v>
      </c>
      <c r="H637" s="76">
        <f t="shared" ref="H637" si="373">D637-D636</f>
        <v>20</v>
      </c>
      <c r="I637" s="76">
        <f t="shared" ref="I637" si="374">SUM(F637,H637)</f>
        <v>1670</v>
      </c>
      <c r="J637" s="81">
        <f t="shared" ref="J637" si="375">I637/4200*80</f>
        <v>31.809523809523807</v>
      </c>
      <c r="K637" s="76">
        <f t="shared" ref="K637" si="376">IFERROR(G637 - _xlfn.XLOOKUP(A637-30, $A$6:$A$14998,G$6:G$14998,"",-1,2),NA())</f>
        <v>22480</v>
      </c>
    </row>
    <row r="638" spans="1:13" x14ac:dyDescent="0.25">
      <c r="A638" s="77">
        <v>44490.667361111111</v>
      </c>
      <c r="C638" s="74">
        <v>5055</v>
      </c>
      <c r="D638" s="74">
        <v>4155</v>
      </c>
      <c r="E638" s="74">
        <f t="shared" si="291"/>
        <v>9210</v>
      </c>
      <c r="F638" s="76">
        <f t="shared" ref="F638" si="377">C638-C637</f>
        <v>745</v>
      </c>
      <c r="G638" s="76">
        <f>SUMIF(F$6:F638,"&gt;0")</f>
        <v>296675</v>
      </c>
      <c r="H638" s="76">
        <f t="shared" ref="H638" si="378">D638-D637</f>
        <v>570</v>
      </c>
      <c r="I638" s="76">
        <f t="shared" ref="I638" si="379">SUM(F638,H638)</f>
        <v>1315</v>
      </c>
      <c r="J638" s="81">
        <f t="shared" ref="J638" si="380">I638/4200*80</f>
        <v>25.047619047619047</v>
      </c>
      <c r="K638" s="76">
        <f t="shared" ref="K638" si="381">IFERROR(G638 - _xlfn.XLOOKUP(A638-30, $A$6:$A$14998,G$6:G$14998,"",-1,2),NA())</f>
        <v>21370</v>
      </c>
      <c r="L638" s="74">
        <v>480</v>
      </c>
      <c r="M638" s="74">
        <v>10</v>
      </c>
    </row>
    <row r="639" spans="1:13" x14ac:dyDescent="0.25">
      <c r="A639" s="77">
        <v>44491.955555555556</v>
      </c>
      <c r="C639" s="74">
        <v>5455</v>
      </c>
      <c r="D639" s="74">
        <v>4175</v>
      </c>
      <c r="E639" s="74">
        <f t="shared" si="291"/>
        <v>9630</v>
      </c>
      <c r="F639" s="76">
        <f t="shared" ref="F639" si="382">C639-C638</f>
        <v>400</v>
      </c>
      <c r="G639" s="76">
        <f>SUMIF(F$6:F639,"&gt;0")</f>
        <v>297075</v>
      </c>
      <c r="H639" s="76">
        <f t="shared" ref="H639" si="383">D639-D638</f>
        <v>20</v>
      </c>
      <c r="I639" s="76">
        <f t="shared" ref="I639" si="384">SUM(F639,H639)</f>
        <v>420</v>
      </c>
      <c r="J639" s="81">
        <f t="shared" ref="J639" si="385">I639/4200*80</f>
        <v>8</v>
      </c>
      <c r="K639" s="76">
        <f t="shared" ref="K639" si="386">IFERROR(G639 - _xlfn.XLOOKUP(A639-30, $A$6:$A$14998,G$6:G$14998,"",-1,2),NA())</f>
        <v>21125</v>
      </c>
    </row>
    <row r="640" spans="1:13" x14ac:dyDescent="0.25">
      <c r="A640" s="77">
        <v>44492.913888888892</v>
      </c>
      <c r="C640" s="74">
        <v>5955</v>
      </c>
      <c r="D640" s="74">
        <v>4195</v>
      </c>
      <c r="E640" s="74">
        <f t="shared" si="291"/>
        <v>10150</v>
      </c>
      <c r="F640" s="76">
        <f t="shared" ref="F640" si="387">C640-C639</f>
        <v>500</v>
      </c>
      <c r="G640" s="76">
        <f>SUMIF(F$6:F640,"&gt;0")</f>
        <v>297575</v>
      </c>
      <c r="H640" s="76">
        <f t="shared" ref="H640" si="388">D640-D639</f>
        <v>20</v>
      </c>
      <c r="I640" s="76">
        <f t="shared" ref="I640" si="389">SUM(F640,H640)</f>
        <v>520</v>
      </c>
      <c r="J640" s="81">
        <f t="shared" ref="J640" si="390">I640/4200*80</f>
        <v>9.9047619047619051</v>
      </c>
      <c r="K640" s="76">
        <f t="shared" ref="K640" si="391">IFERROR(G640 - _xlfn.XLOOKUP(A640-30, $A$6:$A$14998,G$6:G$14998,"",-1,2),NA())</f>
        <v>21625</v>
      </c>
    </row>
    <row r="641" spans="1:13" x14ac:dyDescent="0.25">
      <c r="A641" s="77">
        <v>44493.913888888892</v>
      </c>
      <c r="C641" s="74">
        <v>6055</v>
      </c>
      <c r="D641" s="74">
        <v>3715</v>
      </c>
      <c r="E641" s="74">
        <f t="shared" si="291"/>
        <v>9770</v>
      </c>
      <c r="F641" s="76">
        <f t="shared" ref="F641" si="392">C641-C640</f>
        <v>100</v>
      </c>
      <c r="G641" s="76">
        <f>SUMIF(F$6:F641,"&gt;0")</f>
        <v>297675</v>
      </c>
      <c r="H641" s="76">
        <f t="shared" ref="H641" si="393">D641-D640</f>
        <v>-480</v>
      </c>
      <c r="I641" s="76">
        <f t="shared" ref="I641" si="394">SUM(F641,H641)</f>
        <v>-380</v>
      </c>
      <c r="J641" s="81">
        <f t="shared" ref="J641" si="395">I641/4200*80</f>
        <v>-7.2380952380952381</v>
      </c>
      <c r="K641" s="76">
        <f t="shared" ref="K641" si="396">IFERROR(G641 - _xlfn.XLOOKUP(A641-30, $A$6:$A$14998,G$6:G$14998,"",-1,2),NA())</f>
        <v>20400</v>
      </c>
    </row>
    <row r="642" spans="1:13" x14ac:dyDescent="0.25">
      <c r="A642" s="77">
        <v>44495.950694444444</v>
      </c>
      <c r="C642" s="74">
        <v>6230</v>
      </c>
      <c r="D642" s="74">
        <v>3755</v>
      </c>
      <c r="E642" s="74">
        <f t="shared" si="291"/>
        <v>9985</v>
      </c>
      <c r="F642" s="76">
        <f t="shared" ref="F642" si="397">C642-C641</f>
        <v>175</v>
      </c>
      <c r="G642" s="76">
        <f>SUMIF(F$6:F642,"&gt;0")</f>
        <v>297850</v>
      </c>
      <c r="H642" s="76">
        <f t="shared" ref="H642" si="398">D642-D641</f>
        <v>40</v>
      </c>
      <c r="I642" s="76">
        <f t="shared" ref="I642" si="399">SUM(F642,H642)</f>
        <v>215</v>
      </c>
      <c r="J642" s="81">
        <f t="shared" ref="J642" si="400">I642/4200*80</f>
        <v>4.0952380952380949</v>
      </c>
      <c r="K642" s="76">
        <f t="shared" ref="K642" si="401">IFERROR(G642 - _xlfn.XLOOKUP(A642-30, $A$6:$A$14998,G$6:G$14998,"",-1,2),NA())</f>
        <v>20575</v>
      </c>
    </row>
    <row r="643" spans="1:13" x14ac:dyDescent="0.25">
      <c r="A643" s="77">
        <v>44496.986111111109</v>
      </c>
      <c r="C643" s="74">
        <v>6280</v>
      </c>
      <c r="D643" s="74">
        <v>4305</v>
      </c>
      <c r="E643" s="74">
        <f t="shared" si="291"/>
        <v>10585</v>
      </c>
      <c r="F643" s="76">
        <f t="shared" ref="F643" si="402">C643-C642</f>
        <v>50</v>
      </c>
      <c r="G643" s="76">
        <f>SUMIF(F$6:F643,"&gt;0")</f>
        <v>297900</v>
      </c>
      <c r="H643" s="76">
        <f t="shared" ref="H643" si="403">D643-D642</f>
        <v>550</v>
      </c>
      <c r="I643" s="76">
        <f t="shared" ref="I643" si="404">SUM(F643,H643)</f>
        <v>600</v>
      </c>
      <c r="J643" s="81">
        <f t="shared" ref="J643" si="405">I643/4200*80</f>
        <v>11.428571428571427</v>
      </c>
      <c r="K643" s="76">
        <f t="shared" ref="K643" si="406">IFERROR(G643 - _xlfn.XLOOKUP(A643-30, $A$6:$A$14998,G$6:G$14998,"",-1,2),NA())</f>
        <v>20625</v>
      </c>
    </row>
    <row r="644" spans="1:13" x14ac:dyDescent="0.25">
      <c r="A644" s="77">
        <v>44497.978472222225</v>
      </c>
      <c r="C644" s="74">
        <v>6705</v>
      </c>
      <c r="D644" s="74">
        <v>4325</v>
      </c>
      <c r="E644" s="74">
        <f t="shared" si="291"/>
        <v>11030</v>
      </c>
      <c r="F644" s="76">
        <f t="shared" ref="F644" si="407">C644-C643</f>
        <v>425</v>
      </c>
      <c r="G644" s="76">
        <f>SUMIF(F$6:F644,"&gt;0")</f>
        <v>298325</v>
      </c>
      <c r="H644" s="76">
        <f t="shared" ref="H644" si="408">D644-D643</f>
        <v>20</v>
      </c>
      <c r="I644" s="76">
        <f t="shared" ref="I644" si="409">SUM(F644,H644)</f>
        <v>445</v>
      </c>
      <c r="J644" s="81">
        <f t="shared" ref="J644" si="410">I644/4200*80</f>
        <v>8.4761904761904763</v>
      </c>
      <c r="K644" s="76">
        <f t="shared" ref="K644" si="411">IFERROR(G644 - _xlfn.XLOOKUP(A644-30, $A$6:$A$14998,G$6:G$14998,"",-1,2),NA())</f>
        <v>20275</v>
      </c>
    </row>
    <row r="645" spans="1:13" x14ac:dyDescent="0.25">
      <c r="A645" s="77">
        <v>44498.061805555553</v>
      </c>
      <c r="C645" s="74">
        <v>6705</v>
      </c>
      <c r="D645" s="74">
        <v>34420</v>
      </c>
      <c r="E645" s="74">
        <f t="shared" si="291"/>
        <v>41125</v>
      </c>
      <c r="F645" s="76">
        <f t="shared" ref="F645" si="412">C645-C644</f>
        <v>0</v>
      </c>
      <c r="G645" s="76">
        <f>SUMIF(F$6:F645,"&gt;0")</f>
        <v>298325</v>
      </c>
      <c r="H645" s="76">
        <f t="shared" ref="H645" si="413">D645-D644</f>
        <v>30095</v>
      </c>
      <c r="I645" s="76">
        <f t="shared" ref="I645" si="414">SUM(F645,H645)</f>
        <v>30095</v>
      </c>
      <c r="J645" s="81">
        <f t="shared" ref="J645" si="415">I645/4200*80</f>
        <v>573.23809523809518</v>
      </c>
      <c r="K645" s="76">
        <f t="shared" ref="K645" si="416">IFERROR(G645 - _xlfn.XLOOKUP(A645-30, $A$6:$A$14998,G$6:G$14998,"",-1,2),NA())</f>
        <v>20275</v>
      </c>
      <c r="L645" s="74">
        <v>29925</v>
      </c>
      <c r="M645" s="74">
        <v>567</v>
      </c>
    </row>
    <row r="646" spans="1:13" x14ac:dyDescent="0.25">
      <c r="A646" s="77">
        <v>44498.083333333336</v>
      </c>
      <c r="B646" s="105" t="s">
        <v>502</v>
      </c>
      <c r="C646" s="74">
        <v>6705</v>
      </c>
      <c r="D646" s="74">
        <v>1820</v>
      </c>
      <c r="E646" s="74">
        <f t="shared" si="291"/>
        <v>8525</v>
      </c>
      <c r="F646" s="76">
        <f t="shared" ref="F646" si="417">C646-C645</f>
        <v>0</v>
      </c>
      <c r="G646" s="76">
        <f>SUMIF(F$6:F646,"&gt;0")</f>
        <v>298325</v>
      </c>
      <c r="H646" s="76">
        <f t="shared" ref="H646" si="418">D646-D645</f>
        <v>-32600</v>
      </c>
      <c r="I646" s="76">
        <f t="shared" ref="I646" si="419">SUM(F646,H646)</f>
        <v>-32600</v>
      </c>
      <c r="J646" s="81">
        <f t="shared" ref="J646" si="420">I646/4200*80</f>
        <v>-620.95238095238096</v>
      </c>
      <c r="K646" s="76">
        <f t="shared" ref="K646" si="421">IFERROR(G646 - _xlfn.XLOOKUP(A646-30, $A$6:$A$14998,G$6:G$14998,"",-1,2),NA())</f>
        <v>20275</v>
      </c>
    </row>
    <row r="647" spans="1:13" x14ac:dyDescent="0.25">
      <c r="A647" s="77">
        <v>44499.083333333336</v>
      </c>
      <c r="C647" s="74">
        <v>7430</v>
      </c>
      <c r="D647" s="74">
        <v>1890</v>
      </c>
      <c r="E647" s="74">
        <f t="shared" si="291"/>
        <v>9320</v>
      </c>
      <c r="F647" s="76">
        <f t="shared" ref="F647" si="422">C647-C646</f>
        <v>725</v>
      </c>
      <c r="G647" s="76">
        <f>SUMIF(F$6:F647,"&gt;0")</f>
        <v>299050</v>
      </c>
      <c r="H647" s="76">
        <f t="shared" ref="H647" si="423">D647-D646</f>
        <v>70</v>
      </c>
      <c r="I647" s="76">
        <f t="shared" ref="I647" si="424">SUM(F647,H647)</f>
        <v>795</v>
      </c>
      <c r="J647" s="81">
        <f t="shared" ref="J647" si="425">I647/4200*80</f>
        <v>15.142857142857142</v>
      </c>
      <c r="K647" s="76">
        <f t="shared" ref="K647" si="426">IFERROR(G647 - _xlfn.XLOOKUP(A647-30, $A$6:$A$14998,G$6:G$14998,"",-1,2),NA())</f>
        <v>17750</v>
      </c>
    </row>
    <row r="648" spans="1:13" x14ac:dyDescent="0.25">
      <c r="A648" s="77">
        <v>44500.243055555555</v>
      </c>
      <c r="C648" s="74">
        <v>7580</v>
      </c>
      <c r="D648" s="74">
        <v>1910</v>
      </c>
      <c r="E648" s="74">
        <f t="shared" si="291"/>
        <v>9490</v>
      </c>
      <c r="F648" s="76">
        <f t="shared" ref="F648" si="427">C648-C647</f>
        <v>150</v>
      </c>
      <c r="G648" s="76">
        <f>SUMIF(F$6:F648,"&gt;0")</f>
        <v>299200</v>
      </c>
      <c r="H648" s="76">
        <f t="shared" ref="H648" si="428">D648-D647</f>
        <v>20</v>
      </c>
      <c r="I648" s="76">
        <f t="shared" ref="I648" si="429">SUM(F648,H648)</f>
        <v>170</v>
      </c>
      <c r="J648" s="81">
        <f t="shared" ref="J648" si="430">I648/4200*80</f>
        <v>3.2380952380952381</v>
      </c>
      <c r="K648" s="76">
        <f t="shared" ref="K648" si="431">IFERROR(G648 - _xlfn.XLOOKUP(A648-30, $A$6:$A$14998,G$6:G$14998,"",-1,2),NA())</f>
        <v>16450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  <pageSetUpPr autoPageBreaks="0"/>
  </sheetPr>
  <dimension ref="A1:O370"/>
  <sheetViews>
    <sheetView tabSelected="1" workbookViewId="0">
      <pane ySplit="1" topLeftCell="A358" activePane="bottomLeft" state="frozen"/>
      <selection pane="bottomLeft" activeCell="F366" sqref="F366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10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  <row r="314" spans="1:15" x14ac:dyDescent="0.25">
      <c r="A314" s="77">
        <v>44420.916666666664</v>
      </c>
      <c r="C314" s="74">
        <v>2</v>
      </c>
      <c r="D314" s="74">
        <v>0</v>
      </c>
      <c r="E314" s="431">
        <v>0</v>
      </c>
      <c r="F314" s="150">
        <f t="shared" ref="F314:F324" si="107">C314+D314*10+_xlfn.IFNA(E314,0)</f>
        <v>2</v>
      </c>
      <c r="G314" s="76">
        <f t="shared" ref="G314" si="108">C314-C313</f>
        <v>2</v>
      </c>
      <c r="H314" s="76">
        <f t="shared" ref="H314" si="109">D314-D313</f>
        <v>0</v>
      </c>
      <c r="I314" s="76">
        <f t="shared" ref="I314" si="110">F314-F313</f>
        <v>2</v>
      </c>
      <c r="J314" s="76">
        <f>SUMIF(I$2:I314,"&gt;0")</f>
        <v>1077</v>
      </c>
      <c r="K314" s="76">
        <f t="shared" ref="K314" si="111">IFERROR(J314 - _xlfn.XLOOKUP(A314-30, $A$2:$A$14999,J$2:J$14999,"",-1,2),NA())</f>
        <v>163</v>
      </c>
      <c r="L314" s="76">
        <f>SUMIF(E$2:E314,"&gt;0")</f>
        <v>416</v>
      </c>
      <c r="M314" s="76">
        <f t="shared" ref="M314" si="112">IFERROR(L314 - _xlfn.XLOOKUP(A314-30, $A$2:$A$14999,L$2:L$14999,"",-1,2),NA())</f>
        <v>160</v>
      </c>
      <c r="N314" s="74">
        <f t="shared" ref="N314" si="113">F314*120</f>
        <v>240</v>
      </c>
      <c r="O314" s="76">
        <f t="shared" ref="O314" si="114">N314-N313</f>
        <v>240</v>
      </c>
    </row>
    <row r="315" spans="1:15" x14ac:dyDescent="0.25">
      <c r="A315" s="77">
        <v>44421.125</v>
      </c>
      <c r="B315" s="21" t="s">
        <v>486</v>
      </c>
      <c r="C315" s="74">
        <v>0</v>
      </c>
      <c r="D315" s="74">
        <v>0</v>
      </c>
      <c r="E315" s="431">
        <v>0</v>
      </c>
      <c r="F315" s="150">
        <f t="shared" si="107"/>
        <v>0</v>
      </c>
      <c r="G315" s="76">
        <f t="shared" ref="G315" si="115">C315-C314</f>
        <v>-2</v>
      </c>
      <c r="H315" s="76">
        <f t="shared" ref="H315" si="116">D315-D314</f>
        <v>0</v>
      </c>
      <c r="I315" s="76">
        <f t="shared" ref="I315" si="117">F315-F314</f>
        <v>-2</v>
      </c>
      <c r="J315" s="76">
        <f>SUMIF(I$2:I315,"&gt;0")</f>
        <v>1077</v>
      </c>
      <c r="K315" s="76">
        <f t="shared" ref="K315" si="118">IFERROR(J315 - _xlfn.XLOOKUP(A315-30, $A$2:$A$14999,J$2:J$14999,"",-1,2),NA())</f>
        <v>163</v>
      </c>
      <c r="L315" s="76">
        <f>SUMIF(E$2:E315,"&gt;0")</f>
        <v>416</v>
      </c>
      <c r="M315" s="76">
        <f t="shared" ref="M315" si="119">IFERROR(L315 - _xlfn.XLOOKUP(A315-30, $A$2:$A$14999,L$2:L$14999,"",-1,2),NA())</f>
        <v>160</v>
      </c>
      <c r="N315" s="74">
        <f t="shared" ref="N315" si="120">F315*120</f>
        <v>0</v>
      </c>
      <c r="O315" s="76">
        <f t="shared" ref="O315" si="121">N315-N314</f>
        <v>-240</v>
      </c>
    </row>
    <row r="316" spans="1:15" x14ac:dyDescent="0.25">
      <c r="A316" s="77">
        <v>44425.226388888892</v>
      </c>
      <c r="C316" s="74">
        <v>15</v>
      </c>
      <c r="D316" s="74">
        <v>1</v>
      </c>
      <c r="E316" s="431">
        <v>0</v>
      </c>
      <c r="F316" s="150">
        <f t="shared" si="107"/>
        <v>25</v>
      </c>
      <c r="G316" s="76">
        <f t="shared" ref="G316" si="122">C316-C315</f>
        <v>15</v>
      </c>
      <c r="H316" s="76">
        <f t="shared" ref="H316" si="123">D316-D315</f>
        <v>1</v>
      </c>
      <c r="I316" s="76">
        <f>F316-F315</f>
        <v>25</v>
      </c>
      <c r="J316" s="76">
        <f>SUMIF(I$2:I316,"&gt;0")</f>
        <v>1102</v>
      </c>
      <c r="K316" s="76">
        <f t="shared" ref="K316" si="124">IFERROR(J316 - _xlfn.XLOOKUP(A316-30, $A$2:$A$14999,J$2:J$14999,"",-1,2),NA())</f>
        <v>168</v>
      </c>
      <c r="L316" s="76">
        <f>SUMIF(E$2:E316,"&gt;0")</f>
        <v>416</v>
      </c>
      <c r="M316" s="76">
        <f t="shared" ref="M316" si="125">IFERROR(L316 - _xlfn.XLOOKUP(A316-30, $A$2:$A$14999,L$2:L$14999,"",-1,2),NA())</f>
        <v>100</v>
      </c>
      <c r="N316" s="74">
        <f t="shared" ref="N316" si="126">F316*120</f>
        <v>3000</v>
      </c>
      <c r="O316" s="76">
        <f t="shared" ref="O316" si="127">N316-N315</f>
        <v>3000</v>
      </c>
    </row>
    <row r="317" spans="1:15" x14ac:dyDescent="0.25">
      <c r="A317" s="77">
        <v>44427.193055555559</v>
      </c>
      <c r="C317" s="74">
        <v>17</v>
      </c>
      <c r="D317" s="74">
        <v>1</v>
      </c>
      <c r="E317" s="431">
        <v>0</v>
      </c>
      <c r="F317" s="150">
        <f t="shared" si="107"/>
        <v>27</v>
      </c>
      <c r="G317" s="76">
        <f t="shared" ref="G317" si="128">C317-C316</f>
        <v>2</v>
      </c>
      <c r="H317" s="76">
        <f t="shared" ref="H317" si="129">D317-D316</f>
        <v>0</v>
      </c>
      <c r="I317" s="76">
        <f t="shared" ref="I317" si="130">F317-F316</f>
        <v>2</v>
      </c>
      <c r="J317" s="76">
        <f>SUMIF(I$2:I317,"&gt;0")</f>
        <v>1104</v>
      </c>
      <c r="K317" s="76">
        <f t="shared" ref="K317" si="131">IFERROR(J317 - _xlfn.XLOOKUP(A317-30, $A$2:$A$14999,J$2:J$14999,"",-1,2),NA())</f>
        <v>64</v>
      </c>
      <c r="L317" s="76">
        <f>SUMIF(E$2:E317,"&gt;0")</f>
        <v>416</v>
      </c>
      <c r="M317" s="76">
        <f t="shared" ref="M317" si="132">IFERROR(L317 - _xlfn.XLOOKUP(A317-30, $A$2:$A$14999,L$2:L$14999,"",-1,2),NA())</f>
        <v>0</v>
      </c>
      <c r="N317" s="74">
        <f t="shared" ref="N317" si="133">F317*120</f>
        <v>3240</v>
      </c>
      <c r="O317" s="76">
        <f t="shared" ref="O317" si="134">N317-N316</f>
        <v>240</v>
      </c>
    </row>
    <row r="318" spans="1:15" x14ac:dyDescent="0.25">
      <c r="A318" s="77">
        <v>44430.297222222223</v>
      </c>
      <c r="C318" s="74">
        <v>18</v>
      </c>
      <c r="D318" s="74">
        <v>1</v>
      </c>
      <c r="E318" s="431">
        <v>0</v>
      </c>
      <c r="F318" s="150">
        <f t="shared" si="107"/>
        <v>28</v>
      </c>
      <c r="G318" s="76">
        <f t="shared" ref="G318" si="135">C318-C317</f>
        <v>1</v>
      </c>
      <c r="H318" s="76">
        <f t="shared" ref="H318" si="136">D318-D317</f>
        <v>0</v>
      </c>
      <c r="I318" s="76">
        <f t="shared" ref="I318" si="137">F318-F317</f>
        <v>1</v>
      </c>
      <c r="J318" s="76">
        <f>SUMIF(I$2:I318,"&gt;0")</f>
        <v>1105</v>
      </c>
      <c r="K318" s="76">
        <f t="shared" ref="K318" si="138">IFERROR(J318 - _xlfn.XLOOKUP(A318-30, $A$2:$A$14999,J$2:J$14999,"",-1,2),NA())</f>
        <v>64</v>
      </c>
      <c r="L318" s="76">
        <f>SUMIF(E$2:E318,"&gt;0")</f>
        <v>416</v>
      </c>
      <c r="M318" s="76">
        <f t="shared" ref="M318" si="139">IFERROR(L318 - _xlfn.XLOOKUP(A318-30, $A$2:$A$14999,L$2:L$14999,"",-1,2),NA())</f>
        <v>0</v>
      </c>
      <c r="N318" s="74">
        <f t="shared" ref="N318" si="140">F318*120</f>
        <v>3360</v>
      </c>
      <c r="O318" s="76">
        <f t="shared" ref="O318" si="141">N318-N317</f>
        <v>120</v>
      </c>
    </row>
    <row r="319" spans="1:15" x14ac:dyDescent="0.25">
      <c r="A319" s="77">
        <v>44436.177777777775</v>
      </c>
      <c r="C319" s="74">
        <v>25</v>
      </c>
      <c r="D319" s="74">
        <v>1</v>
      </c>
      <c r="E319" s="431">
        <v>0</v>
      </c>
      <c r="F319" s="150">
        <f t="shared" si="107"/>
        <v>35</v>
      </c>
      <c r="G319" s="76">
        <f t="shared" ref="G319" si="142">C319-C318</f>
        <v>7</v>
      </c>
      <c r="H319" s="76">
        <f t="shared" ref="H319" si="143">D319-D318</f>
        <v>0</v>
      </c>
      <c r="I319" s="76">
        <f t="shared" ref="I319" si="144">F319-F318</f>
        <v>7</v>
      </c>
      <c r="J319" s="76">
        <f>SUMIF(I$2:I319,"&gt;0")</f>
        <v>1112</v>
      </c>
      <c r="K319" s="76">
        <f t="shared" ref="K319" si="145">IFERROR(J319 - _xlfn.XLOOKUP(A319-30, $A$2:$A$14999,J$2:J$14999,"",-1,2),NA())</f>
        <v>71</v>
      </c>
      <c r="L319" s="76">
        <f>SUMIF(E$2:E319,"&gt;0")</f>
        <v>416</v>
      </c>
      <c r="M319" s="76">
        <f t="shared" ref="M319" si="146">IFERROR(L319 - _xlfn.XLOOKUP(A319-30, $A$2:$A$14999,L$2:L$14999,"",-1,2),NA())</f>
        <v>0</v>
      </c>
      <c r="N319" s="74">
        <f t="shared" ref="N319" si="147">F319*120</f>
        <v>4200</v>
      </c>
      <c r="O319" s="76">
        <f t="shared" ref="O319" si="148">N319-N318</f>
        <v>840</v>
      </c>
    </row>
    <row r="320" spans="1:15" x14ac:dyDescent="0.25">
      <c r="A320" s="77">
        <v>44438.030555555553</v>
      </c>
      <c r="C320" s="74">
        <v>25</v>
      </c>
      <c r="D320" s="74">
        <v>1</v>
      </c>
      <c r="E320" s="431">
        <v>0</v>
      </c>
      <c r="F320" s="150">
        <f t="shared" si="107"/>
        <v>35</v>
      </c>
      <c r="G320" s="76">
        <f t="shared" ref="G320" si="149">C320-C319</f>
        <v>0</v>
      </c>
      <c r="H320" s="76">
        <f t="shared" ref="H320" si="150">D320-D319</f>
        <v>0</v>
      </c>
      <c r="I320" s="76">
        <f t="shared" ref="I320" si="151">F320-F319</f>
        <v>0</v>
      </c>
      <c r="J320" s="76">
        <f>SUMIF(I$2:I320,"&gt;0")</f>
        <v>1112</v>
      </c>
      <c r="K320" s="76">
        <f t="shared" ref="K320" si="152">IFERROR(J320 - _xlfn.XLOOKUP(A320-30, $A$2:$A$14999,J$2:J$14999,"",-1,2),NA())</f>
        <v>51</v>
      </c>
      <c r="L320" s="76">
        <f>SUMIF(E$2:E320,"&gt;0")</f>
        <v>416</v>
      </c>
      <c r="M320" s="76">
        <f t="shared" ref="M320" si="153">IFERROR(L320 - _xlfn.XLOOKUP(A320-30, $A$2:$A$14999,L$2:L$14999,"",-1,2),NA())</f>
        <v>0</v>
      </c>
      <c r="N320" s="74">
        <f t="shared" ref="N320" si="154">F320*120</f>
        <v>4200</v>
      </c>
      <c r="O320" s="76">
        <f t="shared" ref="O320" si="155">N320-N319</f>
        <v>0</v>
      </c>
    </row>
    <row r="321" spans="1:15" x14ac:dyDescent="0.25">
      <c r="A321" s="77">
        <v>44438.086111111108</v>
      </c>
      <c r="B321" s="21" t="s">
        <v>487</v>
      </c>
      <c r="C321" s="74">
        <v>0</v>
      </c>
      <c r="D321" s="74">
        <v>0</v>
      </c>
      <c r="E321" s="431">
        <v>0</v>
      </c>
      <c r="F321" s="150">
        <f t="shared" si="107"/>
        <v>0</v>
      </c>
      <c r="G321" s="76">
        <f t="shared" ref="G321" si="156">C321-C320</f>
        <v>-25</v>
      </c>
      <c r="H321" s="76">
        <f t="shared" ref="H321" si="157">D321-D320</f>
        <v>-1</v>
      </c>
      <c r="I321" s="76">
        <f t="shared" ref="I321" si="158">F321-F320</f>
        <v>-35</v>
      </c>
      <c r="J321" s="76">
        <f>SUMIF(I$2:I321,"&gt;0")</f>
        <v>1112</v>
      </c>
      <c r="K321" s="76">
        <f t="shared" ref="K321" si="159">IFERROR(J321 - _xlfn.XLOOKUP(A321-30, $A$2:$A$14999,J$2:J$14999,"",-1,2),NA())</f>
        <v>51</v>
      </c>
      <c r="L321" s="76">
        <f>SUMIF(E$2:E321,"&gt;0")</f>
        <v>416</v>
      </c>
      <c r="M321" s="76">
        <f t="shared" ref="M321" si="160">IFERROR(L321 - _xlfn.XLOOKUP(A321-30, $A$2:$A$14999,L$2:L$14999,"",-1,2),NA())</f>
        <v>0</v>
      </c>
      <c r="N321" s="74">
        <f t="shared" ref="N321" si="161">F321*120</f>
        <v>0</v>
      </c>
      <c r="O321" s="76">
        <f t="shared" ref="O321" si="162">N321-N320</f>
        <v>-4200</v>
      </c>
    </row>
    <row r="322" spans="1:15" x14ac:dyDescent="0.25">
      <c r="A322" s="77">
        <v>44442.029166666667</v>
      </c>
      <c r="C322" s="74">
        <v>11</v>
      </c>
      <c r="D322" s="74">
        <v>0</v>
      </c>
      <c r="E322" s="431">
        <v>0</v>
      </c>
      <c r="F322" s="150">
        <f t="shared" si="107"/>
        <v>11</v>
      </c>
      <c r="G322" s="76">
        <f t="shared" ref="G322" si="163">C322-C321</f>
        <v>11</v>
      </c>
      <c r="H322" s="76">
        <f t="shared" ref="H322" si="164">D322-D321</f>
        <v>0</v>
      </c>
      <c r="I322" s="76">
        <f t="shared" ref="I322" si="165">F322-F321</f>
        <v>11</v>
      </c>
      <c r="J322" s="76">
        <f>SUMIF(I$2:I322,"&gt;0")</f>
        <v>1123</v>
      </c>
      <c r="K322" s="76">
        <f>IFERROR(J322 - _xlfn.XLOOKUP(A322-30, $A$2:$A$14999,J$2:J$14999,"",-1,2),NA())</f>
        <v>48</v>
      </c>
      <c r="L322" s="76">
        <f>SUMIF(E$2:E322,"&gt;0")</f>
        <v>416</v>
      </c>
      <c r="M322" s="76">
        <f t="shared" ref="M322" si="166">IFERROR(L322 - _xlfn.XLOOKUP(A322-30, $A$2:$A$14999,L$2:L$14999,"",-1,2),NA())</f>
        <v>0</v>
      </c>
      <c r="N322" s="74">
        <f t="shared" ref="N322" si="167">F322*120</f>
        <v>1320</v>
      </c>
      <c r="O322" s="76">
        <f t="shared" ref="O322" si="168">N322-N321</f>
        <v>1320</v>
      </c>
    </row>
    <row r="323" spans="1:15" x14ac:dyDescent="0.25">
      <c r="A323" s="77">
        <v>44442.154166666667</v>
      </c>
      <c r="B323" s="21" t="s">
        <v>488</v>
      </c>
      <c r="C323" s="74">
        <v>0</v>
      </c>
      <c r="D323" s="74">
        <v>0</v>
      </c>
      <c r="E323" s="431">
        <v>0</v>
      </c>
      <c r="F323" s="150">
        <f t="shared" si="107"/>
        <v>0</v>
      </c>
      <c r="G323" s="76">
        <f t="shared" ref="G323" si="169">C323-C322</f>
        <v>-11</v>
      </c>
      <c r="H323" s="76">
        <f t="shared" ref="H323" si="170">D323-D322</f>
        <v>0</v>
      </c>
      <c r="I323" s="76">
        <f t="shared" ref="I323" si="171">F323-F322</f>
        <v>-11</v>
      </c>
      <c r="J323" s="76">
        <f>SUMIF(I$2:I323,"&gt;0")</f>
        <v>1123</v>
      </c>
      <c r="K323" s="76">
        <f t="shared" ref="K323" si="172">IFERROR(J323 - _xlfn.XLOOKUP(A323-30, $A$2:$A$14999,J$2:J$14999,"",-1,2),NA())</f>
        <v>48</v>
      </c>
      <c r="L323" s="76">
        <f>SUMIF(E$2:E323,"&gt;0")</f>
        <v>416</v>
      </c>
      <c r="M323" s="76">
        <f t="shared" ref="M323" si="173">IFERROR(L323 - _xlfn.XLOOKUP(A323-30, $A$2:$A$14999,L$2:L$14999,"",-1,2),NA())</f>
        <v>0</v>
      </c>
      <c r="N323" s="74">
        <f t="shared" ref="N323" si="174">F323*120</f>
        <v>0</v>
      </c>
      <c r="O323" s="76">
        <f t="shared" ref="O323" si="175">N323-N322</f>
        <v>-1320</v>
      </c>
    </row>
    <row r="324" spans="1:15" x14ac:dyDescent="0.25">
      <c r="A324" s="77">
        <v>44449.218055555553</v>
      </c>
      <c r="C324" s="74">
        <v>2</v>
      </c>
      <c r="D324" s="74">
        <v>0</v>
      </c>
      <c r="E324" s="431">
        <v>0</v>
      </c>
      <c r="F324" s="150">
        <f t="shared" si="107"/>
        <v>2</v>
      </c>
      <c r="G324" s="76">
        <f t="shared" ref="G324" si="176">C324-C323</f>
        <v>2</v>
      </c>
      <c r="H324" s="76">
        <f t="shared" ref="H324" si="177">D324-D323</f>
        <v>0</v>
      </c>
      <c r="I324" s="76">
        <f t="shared" ref="I324" si="178">F324-F323</f>
        <v>2</v>
      </c>
      <c r="J324" s="76">
        <f>SUMIF(I$2:I324,"&gt;0")</f>
        <v>1125</v>
      </c>
      <c r="K324" s="76">
        <f t="shared" ref="K324" si="179">IFERROR(J324 - _xlfn.XLOOKUP(A324-30, $A$2:$A$14999,J$2:J$14999,"",-1,2),NA())</f>
        <v>50</v>
      </c>
      <c r="L324" s="76">
        <f>SUMIF(E$2:E324,"&gt;0")</f>
        <v>416</v>
      </c>
      <c r="M324" s="76">
        <f t="shared" ref="M324" si="180">IFERROR(L324 - _xlfn.XLOOKUP(A324-30, $A$2:$A$14999,L$2:L$14999,"",-1,2),NA())</f>
        <v>0</v>
      </c>
      <c r="N324" s="74">
        <f t="shared" ref="N324" si="181">F324*120</f>
        <v>240</v>
      </c>
      <c r="O324" s="76">
        <f t="shared" ref="O324" si="182">N324-N323</f>
        <v>240</v>
      </c>
    </row>
    <row r="325" spans="1:15" x14ac:dyDescent="0.25">
      <c r="A325" s="77">
        <v>44451.445833333331</v>
      </c>
      <c r="C325" s="74">
        <v>4</v>
      </c>
      <c r="D325" s="74">
        <v>0</v>
      </c>
      <c r="E325" s="431">
        <v>0</v>
      </c>
      <c r="F325" s="150">
        <f t="shared" ref="F325" si="183">C325+D325*10+_xlfn.IFNA(E325,0)</f>
        <v>4</v>
      </c>
      <c r="G325" s="76">
        <f t="shared" ref="G325" si="184">C325-C324</f>
        <v>2</v>
      </c>
      <c r="H325" s="76">
        <f t="shared" ref="H325" si="185">D325-D324</f>
        <v>0</v>
      </c>
      <c r="I325" s="76">
        <f t="shared" ref="I325" si="186">F325-F324</f>
        <v>2</v>
      </c>
      <c r="J325" s="76">
        <f>SUMIF(I$2:I325,"&gt;0")</f>
        <v>1127</v>
      </c>
      <c r="K325" s="76">
        <f t="shared" ref="K325" si="187">IFERROR(J325 - _xlfn.XLOOKUP(A325-30, $A$2:$A$14999,J$2:J$14999,"",-1,2),NA())</f>
        <v>50</v>
      </c>
      <c r="L325" s="76">
        <f>SUMIF(E$2:E325,"&gt;0")</f>
        <v>416</v>
      </c>
      <c r="M325" s="76">
        <f t="shared" ref="M325" si="188">IFERROR(L325 - _xlfn.XLOOKUP(A325-30, $A$2:$A$14999,L$2:L$14999,"",-1,2),NA())</f>
        <v>0</v>
      </c>
      <c r="N325" s="74">
        <f t="shared" ref="N325" si="189">F325*120</f>
        <v>480</v>
      </c>
      <c r="O325" s="76">
        <f t="shared" ref="O325" si="190">N325-N324</f>
        <v>240</v>
      </c>
    </row>
    <row r="326" spans="1:15" x14ac:dyDescent="0.25">
      <c r="A326" s="77">
        <v>44452.125</v>
      </c>
      <c r="B326" s="21" t="s">
        <v>489</v>
      </c>
      <c r="C326" s="74">
        <v>0</v>
      </c>
      <c r="D326" s="74">
        <v>0</v>
      </c>
      <c r="E326" s="431">
        <v>0</v>
      </c>
      <c r="F326" s="150">
        <f t="shared" ref="F326" si="191">C326+D326*10+_xlfn.IFNA(E326,0)</f>
        <v>0</v>
      </c>
      <c r="G326" s="76">
        <f t="shared" ref="G326" si="192">C326-C325</f>
        <v>-4</v>
      </c>
      <c r="H326" s="76">
        <f t="shared" ref="H326" si="193">D326-D325</f>
        <v>0</v>
      </c>
      <c r="I326" s="76">
        <f t="shared" ref="I326" si="194">F326-F325</f>
        <v>-4</v>
      </c>
      <c r="J326" s="76">
        <f>SUMIF(I$2:I326,"&gt;0")</f>
        <v>1127</v>
      </c>
      <c r="K326" s="76">
        <f t="shared" ref="K326" si="195">IFERROR(J326 - _xlfn.XLOOKUP(A326-30, $A$2:$A$14999,J$2:J$14999,"",-1,2),NA())</f>
        <v>50</v>
      </c>
      <c r="L326" s="76">
        <f>SUMIF(E$2:E326,"&gt;0")</f>
        <v>416</v>
      </c>
      <c r="M326" s="76">
        <f t="shared" ref="M326" si="196">IFERROR(L326 - _xlfn.XLOOKUP(A326-30, $A$2:$A$14999,L$2:L$14999,"",-1,2),NA())</f>
        <v>0</v>
      </c>
      <c r="N326" s="74">
        <f t="shared" ref="N326" si="197">F326*120</f>
        <v>0</v>
      </c>
      <c r="O326" s="76">
        <f t="shared" ref="O326" si="198">N326-N325</f>
        <v>-480</v>
      </c>
    </row>
    <row r="327" spans="1:15" x14ac:dyDescent="0.25">
      <c r="A327" s="77">
        <v>44453.745138888888</v>
      </c>
      <c r="C327" s="74">
        <v>2</v>
      </c>
      <c r="D327" s="74">
        <v>0</v>
      </c>
      <c r="E327" s="431">
        <v>0</v>
      </c>
      <c r="F327" s="150">
        <f t="shared" ref="F327" si="199">C327+D327*10+_xlfn.IFNA(E327,0)</f>
        <v>2</v>
      </c>
      <c r="G327" s="76">
        <f t="shared" ref="G327" si="200">C327-C326</f>
        <v>2</v>
      </c>
      <c r="H327" s="76">
        <f t="shared" ref="H327" si="201">D327-D326</f>
        <v>0</v>
      </c>
      <c r="I327" s="76">
        <f t="shared" ref="I327" si="202">F327-F326</f>
        <v>2</v>
      </c>
      <c r="J327" s="76">
        <f>SUMIF(I$2:I327,"&gt;0")</f>
        <v>1129</v>
      </c>
      <c r="K327" s="76">
        <f t="shared" ref="K327" si="203">IFERROR(J327 - _xlfn.XLOOKUP(A327-30, $A$2:$A$14999,J$2:J$14999,"",-1,2),NA())</f>
        <v>52</v>
      </c>
      <c r="L327" s="76">
        <f>SUMIF(E$2:E327,"&gt;0")</f>
        <v>416</v>
      </c>
      <c r="M327" s="76">
        <f t="shared" ref="M327" si="204">IFERROR(L327 - _xlfn.XLOOKUP(A327-30, $A$2:$A$14999,L$2:L$14999,"",-1,2),NA())</f>
        <v>0</v>
      </c>
      <c r="N327" s="74">
        <f t="shared" ref="N327" si="205">F327*120</f>
        <v>240</v>
      </c>
      <c r="O327" s="76">
        <f t="shared" ref="O327" si="206">N327-N326</f>
        <v>240</v>
      </c>
    </row>
    <row r="328" spans="1:15" x14ac:dyDescent="0.25">
      <c r="A328" s="77">
        <v>44454.372916666667</v>
      </c>
      <c r="C328" s="74">
        <v>8</v>
      </c>
      <c r="D328" s="74">
        <v>0</v>
      </c>
      <c r="E328" s="431">
        <v>0</v>
      </c>
      <c r="F328" s="150">
        <f t="shared" ref="F328" si="207">C328+D328*10+_xlfn.IFNA(E328,0)</f>
        <v>8</v>
      </c>
      <c r="G328" s="76">
        <f t="shared" ref="G328" si="208">C328-C327</f>
        <v>6</v>
      </c>
      <c r="H328" s="76">
        <f t="shared" ref="H328" si="209">D328-D327</f>
        <v>0</v>
      </c>
      <c r="I328" s="76">
        <f t="shared" ref="I328" si="210">F328-F327</f>
        <v>6</v>
      </c>
      <c r="J328" s="76">
        <f>SUMIF(I$2:I328,"&gt;0")</f>
        <v>1135</v>
      </c>
      <c r="K328" s="76">
        <f t="shared" ref="K328" si="211">IFERROR(J328 - _xlfn.XLOOKUP(A328-30, $A$2:$A$14999,J$2:J$14999,"",-1,2),NA())</f>
        <v>58</v>
      </c>
      <c r="L328" s="76">
        <f>SUMIF(E$2:E328,"&gt;0")</f>
        <v>416</v>
      </c>
      <c r="M328" s="76">
        <f t="shared" ref="M328" si="212">IFERROR(L328 - _xlfn.XLOOKUP(A328-30, $A$2:$A$14999,L$2:L$14999,"",-1,2),NA())</f>
        <v>0</v>
      </c>
      <c r="N328" s="74">
        <f t="shared" ref="N328" si="213">F328*120</f>
        <v>960</v>
      </c>
      <c r="O328" s="76">
        <f t="shared" ref="O328" si="214">N328-N327</f>
        <v>720</v>
      </c>
    </row>
    <row r="329" spans="1:15" x14ac:dyDescent="0.25">
      <c r="A329" s="77">
        <v>44455.883333333331</v>
      </c>
      <c r="C329" s="74">
        <v>8</v>
      </c>
      <c r="D329" s="74">
        <v>0</v>
      </c>
      <c r="E329" s="431">
        <v>0</v>
      </c>
      <c r="F329" s="150">
        <f t="shared" ref="F329" si="215">C329+D329*10+_xlfn.IFNA(E329,0)</f>
        <v>8</v>
      </c>
      <c r="G329" s="76">
        <f t="shared" ref="G329" si="216">C329-C328</f>
        <v>0</v>
      </c>
      <c r="H329" s="76">
        <f t="shared" ref="H329" si="217">D329-D328</f>
        <v>0</v>
      </c>
      <c r="I329" s="76">
        <f t="shared" ref="I329" si="218">F329-F328</f>
        <v>0</v>
      </c>
      <c r="J329" s="76">
        <f>SUMIF(I$2:I329,"&gt;0")</f>
        <v>1135</v>
      </c>
      <c r="K329" s="76">
        <f t="shared" ref="K329" si="219">IFERROR(J329 - _xlfn.XLOOKUP(A329-30, $A$2:$A$14999,J$2:J$14999,"",-1,2),NA())</f>
        <v>33</v>
      </c>
      <c r="L329" s="76">
        <f>SUMIF(E$2:E329,"&gt;0")</f>
        <v>416</v>
      </c>
      <c r="M329" s="76">
        <f t="shared" ref="M329" si="220">IFERROR(L329 - _xlfn.XLOOKUP(A329-30, $A$2:$A$14999,L$2:L$14999,"",-1,2),NA())</f>
        <v>0</v>
      </c>
      <c r="N329" s="74">
        <f t="shared" ref="N329" si="221">F329*120</f>
        <v>960</v>
      </c>
      <c r="O329" s="76">
        <f t="shared" ref="O329" si="222">N329-N328</f>
        <v>0</v>
      </c>
    </row>
    <row r="330" spans="1:15" x14ac:dyDescent="0.25">
      <c r="A330" s="77">
        <v>44456.552083333336</v>
      </c>
      <c r="C330" s="74">
        <v>10</v>
      </c>
      <c r="D330" s="74">
        <v>0</v>
      </c>
      <c r="E330" s="431">
        <v>0</v>
      </c>
      <c r="F330" s="150">
        <f t="shared" ref="F330" si="223">C330+D330*10+_xlfn.IFNA(E330,0)</f>
        <v>10</v>
      </c>
      <c r="G330" s="76">
        <f t="shared" ref="G330" si="224">C330-C329</f>
        <v>2</v>
      </c>
      <c r="H330" s="76">
        <f t="shared" ref="H330" si="225">D330-D329</f>
        <v>0</v>
      </c>
      <c r="I330" s="76">
        <f t="shared" ref="I330" si="226">F330-F329</f>
        <v>2</v>
      </c>
      <c r="J330" s="76">
        <f>SUMIF(I$2:I330,"&gt;0")</f>
        <v>1137</v>
      </c>
      <c r="K330" s="76">
        <f t="shared" ref="K330" si="227">IFERROR(J330 - _xlfn.XLOOKUP(A330-30, $A$2:$A$14999,J$2:J$14999,"",-1,2),NA())</f>
        <v>35</v>
      </c>
      <c r="L330" s="76">
        <f>SUMIF(E$2:E330,"&gt;0")</f>
        <v>416</v>
      </c>
      <c r="M330" s="76">
        <f t="shared" ref="M330" si="228">IFERROR(L330 - _xlfn.XLOOKUP(A330-30, $A$2:$A$14999,L$2:L$14999,"",-1,2),NA())</f>
        <v>0</v>
      </c>
      <c r="N330" s="74">
        <f t="shared" ref="N330" si="229">F330*120</f>
        <v>1200</v>
      </c>
      <c r="O330" s="76">
        <f t="shared" ref="O330" si="230">N330-N329</f>
        <v>240</v>
      </c>
    </row>
    <row r="331" spans="1:15" x14ac:dyDescent="0.25">
      <c r="A331" s="77">
        <v>44458.804861111108</v>
      </c>
      <c r="C331" s="74">
        <v>12</v>
      </c>
      <c r="D331" s="74">
        <v>1</v>
      </c>
      <c r="E331" s="431">
        <v>0</v>
      </c>
      <c r="F331" s="150">
        <f t="shared" ref="F331" si="231">C331+D331*10+_xlfn.IFNA(E331,0)</f>
        <v>22</v>
      </c>
      <c r="G331" s="76">
        <f t="shared" ref="G331" si="232">C331-C330</f>
        <v>2</v>
      </c>
      <c r="H331" s="76">
        <f t="shared" ref="H331" si="233">D331-D330</f>
        <v>1</v>
      </c>
      <c r="I331" s="76">
        <f t="shared" ref="I331" si="234">F331-F330</f>
        <v>12</v>
      </c>
      <c r="J331" s="76">
        <f>SUMIF(I$2:I331,"&gt;0")</f>
        <v>1149</v>
      </c>
      <c r="K331" s="76">
        <f t="shared" ref="K331" si="235">IFERROR(J331 - _xlfn.XLOOKUP(A331-30, $A$2:$A$14999,J$2:J$14999,"",-1,2),NA())</f>
        <v>45</v>
      </c>
      <c r="L331" s="76">
        <f>SUMIF(E$2:E331,"&gt;0")</f>
        <v>416</v>
      </c>
      <c r="M331" s="76">
        <f t="shared" ref="M331" si="236">IFERROR(L331 - _xlfn.XLOOKUP(A331-30, $A$2:$A$14999,L$2:L$14999,"",-1,2),NA())</f>
        <v>0</v>
      </c>
      <c r="N331" s="74">
        <f t="shared" ref="N331" si="237">F331*120</f>
        <v>2640</v>
      </c>
      <c r="O331" s="76">
        <f t="shared" ref="O331" si="238">N331-N330</f>
        <v>1440</v>
      </c>
    </row>
    <row r="332" spans="1:15" x14ac:dyDescent="0.25">
      <c r="A332" s="77">
        <v>44459.826388888891</v>
      </c>
      <c r="C332" s="74">
        <v>14</v>
      </c>
      <c r="D332" s="74">
        <v>1</v>
      </c>
      <c r="E332" s="431">
        <v>0</v>
      </c>
      <c r="F332" s="150">
        <f t="shared" ref="F332" si="239">C332+D332*10+_xlfn.IFNA(E332,0)</f>
        <v>24</v>
      </c>
      <c r="G332" s="76">
        <f t="shared" ref="G332" si="240">C332-C331</f>
        <v>2</v>
      </c>
      <c r="H332" s="76">
        <f t="shared" ref="H332" si="241">D332-D331</f>
        <v>0</v>
      </c>
      <c r="I332" s="76">
        <f t="shared" ref="I332" si="242">F332-F331</f>
        <v>2</v>
      </c>
      <c r="J332" s="76">
        <f>SUMIF(I$2:I332,"&gt;0")</f>
        <v>1151</v>
      </c>
      <c r="K332" s="76">
        <f t="shared" ref="K332" si="243">IFERROR(J332 - _xlfn.XLOOKUP(A332-30, $A$2:$A$14999,J$2:J$14999,"",-1,2),NA())</f>
        <v>47</v>
      </c>
      <c r="L332" s="76">
        <f>SUMIF(E$2:E332,"&gt;0")</f>
        <v>416</v>
      </c>
      <c r="M332" s="76">
        <f t="shared" ref="M332" si="244">IFERROR(L332 - _xlfn.XLOOKUP(A332-30, $A$2:$A$14999,L$2:L$14999,"",-1,2),NA())</f>
        <v>0</v>
      </c>
      <c r="N332" s="74">
        <f t="shared" ref="N332" si="245">F332*120</f>
        <v>2880</v>
      </c>
      <c r="O332" s="76">
        <f t="shared" ref="O332" si="246">N332-N331</f>
        <v>240</v>
      </c>
    </row>
    <row r="333" spans="1:15" x14ac:dyDescent="0.25">
      <c r="A333" s="77">
        <v>44460.709027777775</v>
      </c>
      <c r="C333" s="74">
        <v>17</v>
      </c>
      <c r="D333" s="74">
        <v>1</v>
      </c>
      <c r="E333" s="431">
        <v>0</v>
      </c>
      <c r="F333" s="150">
        <f t="shared" ref="F333" si="247">C333+D333*10+_xlfn.IFNA(E333,0)</f>
        <v>27</v>
      </c>
      <c r="G333" s="76">
        <f t="shared" ref="G333" si="248">C333-C332</f>
        <v>3</v>
      </c>
      <c r="H333" s="76">
        <f t="shared" ref="H333" si="249">D333-D332</f>
        <v>0</v>
      </c>
      <c r="I333" s="76">
        <f t="shared" ref="I333" si="250">F333-F332</f>
        <v>3</v>
      </c>
      <c r="J333" s="76">
        <f>SUMIF(I$2:I333,"&gt;0")</f>
        <v>1154</v>
      </c>
      <c r="K333" s="76">
        <f t="shared" ref="K333" si="251">IFERROR(J333 - _xlfn.XLOOKUP(A333-30, $A$2:$A$14999,J$2:J$14999,"",-1,2),NA())</f>
        <v>49</v>
      </c>
      <c r="L333" s="76">
        <f>SUMIF(E$2:E333,"&gt;0")</f>
        <v>416</v>
      </c>
      <c r="M333" s="76">
        <f t="shared" ref="M333" si="252">IFERROR(L333 - _xlfn.XLOOKUP(A333-30, $A$2:$A$14999,L$2:L$14999,"",-1,2),NA())</f>
        <v>0</v>
      </c>
      <c r="N333" s="74">
        <f t="shared" ref="N333" si="253">F333*120</f>
        <v>3240</v>
      </c>
      <c r="O333" s="76">
        <f t="shared" ref="O333" si="254">N333-N332</f>
        <v>360</v>
      </c>
    </row>
    <row r="334" spans="1:15" x14ac:dyDescent="0.25">
      <c r="A334" s="77">
        <v>44462.981944444444</v>
      </c>
      <c r="C334" s="74">
        <v>23</v>
      </c>
      <c r="D334" s="74">
        <v>1</v>
      </c>
      <c r="E334" s="431">
        <v>0</v>
      </c>
      <c r="F334" s="150">
        <f t="shared" ref="F334" si="255">C334+D334*10+_xlfn.IFNA(E334,0)</f>
        <v>33</v>
      </c>
      <c r="G334" s="76">
        <f t="shared" ref="G334" si="256">C334-C333</f>
        <v>6</v>
      </c>
      <c r="H334" s="76">
        <f t="shared" ref="H334" si="257">D334-D333</f>
        <v>0</v>
      </c>
      <c r="I334" s="76">
        <f t="shared" ref="I334" si="258">F334-F333</f>
        <v>6</v>
      </c>
      <c r="J334" s="76">
        <f>SUMIF(I$2:I334,"&gt;0")</f>
        <v>1160</v>
      </c>
      <c r="K334" s="76">
        <f t="shared" ref="K334" si="259">IFERROR(J334 - _xlfn.XLOOKUP(A334-30, $A$2:$A$14999,J$2:J$14999,"",-1,2),NA())</f>
        <v>55</v>
      </c>
      <c r="L334" s="76">
        <f>SUMIF(E$2:E334,"&gt;0")</f>
        <v>416</v>
      </c>
      <c r="M334" s="76">
        <f t="shared" ref="M334" si="260">IFERROR(L334 - _xlfn.XLOOKUP(A334-30, $A$2:$A$14999,L$2:L$14999,"",-1,2),NA())</f>
        <v>0</v>
      </c>
      <c r="N334" s="74">
        <f t="shared" ref="N334" si="261">F334*120</f>
        <v>3960</v>
      </c>
      <c r="O334" s="76">
        <f t="shared" ref="O334" si="262">N334-N333</f>
        <v>720</v>
      </c>
    </row>
    <row r="335" spans="1:15" x14ac:dyDescent="0.25">
      <c r="A335" s="77">
        <v>44466.125</v>
      </c>
      <c r="C335" s="74">
        <v>37</v>
      </c>
      <c r="D335" s="74">
        <v>3</v>
      </c>
      <c r="E335" s="431">
        <v>10</v>
      </c>
      <c r="F335" s="150">
        <f t="shared" ref="F335:F338" si="263">C335+D335*10+_xlfn.IFNA(E335,0)</f>
        <v>77</v>
      </c>
      <c r="G335" s="76">
        <f t="shared" ref="G335:G336" si="264">C335-C334</f>
        <v>14</v>
      </c>
      <c r="H335" s="76">
        <f t="shared" ref="H335:H336" si="265">D335-D334</f>
        <v>2</v>
      </c>
      <c r="I335" s="76">
        <f t="shared" ref="I335:I336" si="266">F335-F334</f>
        <v>44</v>
      </c>
      <c r="J335" s="76">
        <f>SUMIF(I$2:I335,"&gt;0")</f>
        <v>1204</v>
      </c>
      <c r="K335" s="76">
        <f t="shared" ref="K335:K336" si="267">IFERROR(J335 - _xlfn.XLOOKUP(A335-30, $A$2:$A$14999,J$2:J$14999,"",-1,2),NA())</f>
        <v>99</v>
      </c>
      <c r="L335" s="76">
        <f>SUMIF(E$2:E335,"&gt;0")</f>
        <v>426</v>
      </c>
      <c r="M335" s="76">
        <f t="shared" ref="M335:M336" si="268">IFERROR(L335 - _xlfn.XLOOKUP(A335-30, $A$2:$A$14999,L$2:L$14999,"",-1,2),NA())</f>
        <v>10</v>
      </c>
      <c r="N335" s="74">
        <f t="shared" ref="N335:N336" si="269">F335*120</f>
        <v>9240</v>
      </c>
      <c r="O335" s="76">
        <f t="shared" ref="O335:O336" si="270">N335-N334</f>
        <v>5280</v>
      </c>
    </row>
    <row r="336" spans="1:15" x14ac:dyDescent="0.25">
      <c r="A336" s="77">
        <v>44467.04791666667</v>
      </c>
      <c r="C336" s="74">
        <v>37</v>
      </c>
      <c r="D336" s="74">
        <v>3</v>
      </c>
      <c r="E336" s="431">
        <v>10</v>
      </c>
      <c r="F336" s="150">
        <f t="shared" si="263"/>
        <v>77</v>
      </c>
      <c r="G336" s="76">
        <f t="shared" si="264"/>
        <v>0</v>
      </c>
      <c r="H336" s="76">
        <f t="shared" si="265"/>
        <v>0</v>
      </c>
      <c r="I336" s="76">
        <f t="shared" si="266"/>
        <v>0</v>
      </c>
      <c r="J336" s="76">
        <f>SUMIF(I$2:I336,"&gt;0")</f>
        <v>1204</v>
      </c>
      <c r="K336" s="76">
        <f t="shared" si="267"/>
        <v>92</v>
      </c>
      <c r="L336" s="76">
        <f>SUMIF(E$2:E336,"&gt;0")</f>
        <v>436</v>
      </c>
      <c r="M336" s="76">
        <f t="shared" si="268"/>
        <v>20</v>
      </c>
      <c r="N336" s="74">
        <f t="shared" si="269"/>
        <v>9240</v>
      </c>
      <c r="O336" s="76">
        <f t="shared" si="270"/>
        <v>0</v>
      </c>
    </row>
    <row r="337" spans="1:15" x14ac:dyDescent="0.25">
      <c r="A337" s="77">
        <v>44468.963194444441</v>
      </c>
      <c r="C337" s="74">
        <v>37</v>
      </c>
      <c r="D337" s="74">
        <v>3</v>
      </c>
      <c r="E337" s="431">
        <v>10</v>
      </c>
      <c r="F337" s="150">
        <f t="shared" si="263"/>
        <v>77</v>
      </c>
      <c r="G337" s="76">
        <f t="shared" ref="G337" si="271">C337-C336</f>
        <v>0</v>
      </c>
      <c r="H337" s="76">
        <f t="shared" ref="H337" si="272">D337-D336</f>
        <v>0</v>
      </c>
      <c r="I337" s="76">
        <f t="shared" ref="I337" si="273">F337-F336</f>
        <v>0</v>
      </c>
      <c r="J337" s="76">
        <f>SUMIF(I$2:I337,"&gt;0")</f>
        <v>1204</v>
      </c>
      <c r="K337" s="76">
        <f t="shared" ref="K337" si="274">IFERROR(J337 - _xlfn.XLOOKUP(A337-30, $A$2:$A$14999,J$2:J$14999,"",-1,2),NA())</f>
        <v>92</v>
      </c>
      <c r="L337" s="76">
        <f>SUMIF(E$2:E337,"&gt;0")</f>
        <v>446</v>
      </c>
      <c r="M337" s="76">
        <f t="shared" ref="M337" si="275">IFERROR(L337 - _xlfn.XLOOKUP(A337-30, $A$2:$A$14999,L$2:L$14999,"",-1,2),NA())</f>
        <v>30</v>
      </c>
      <c r="N337" s="74">
        <f t="shared" ref="N337" si="276">F337*120</f>
        <v>9240</v>
      </c>
      <c r="O337" s="76">
        <f t="shared" ref="O337" si="277">N337-N336</f>
        <v>0</v>
      </c>
    </row>
    <row r="338" spans="1:15" x14ac:dyDescent="0.25">
      <c r="A338" s="77">
        <v>44469.049305555556</v>
      </c>
      <c r="C338" s="74">
        <v>0</v>
      </c>
      <c r="D338" s="74">
        <v>0</v>
      </c>
      <c r="E338" s="431">
        <v>10</v>
      </c>
      <c r="F338" s="150">
        <f t="shared" si="263"/>
        <v>10</v>
      </c>
      <c r="G338" s="76">
        <f t="shared" ref="G338" si="278">C338-C337</f>
        <v>-37</v>
      </c>
      <c r="H338" s="76">
        <f t="shared" ref="H338" si="279">D338-D337</f>
        <v>-3</v>
      </c>
      <c r="I338" s="76">
        <f t="shared" ref="I338" si="280">F338-F337</f>
        <v>-67</v>
      </c>
      <c r="J338" s="76">
        <f>SUMIF(I$2:I338,"&gt;0")</f>
        <v>1204</v>
      </c>
      <c r="K338" s="76">
        <f t="shared" ref="K338" si="281">IFERROR(J338 - _xlfn.XLOOKUP(A338-30, $A$2:$A$14999,J$2:J$14999,"",-1,2),NA())</f>
        <v>92</v>
      </c>
      <c r="L338" s="76">
        <f>SUMIF(E$2:E338,"&gt;0")</f>
        <v>456</v>
      </c>
      <c r="M338" s="76">
        <f t="shared" ref="M338" si="282">IFERROR(L338 - _xlfn.XLOOKUP(A338-30, $A$2:$A$14999,L$2:L$14999,"",-1,2),NA())</f>
        <v>40</v>
      </c>
      <c r="N338" s="74">
        <f t="shared" ref="N338" si="283">F338*120</f>
        <v>1200</v>
      </c>
      <c r="O338" s="76">
        <f t="shared" ref="O338" si="284">N338-N337</f>
        <v>-8040</v>
      </c>
    </row>
    <row r="339" spans="1:15" x14ac:dyDescent="0.25">
      <c r="A339" s="77">
        <v>44469.723611111112</v>
      </c>
      <c r="C339" s="74">
        <v>2</v>
      </c>
      <c r="D339" s="74">
        <v>1</v>
      </c>
      <c r="E339" s="431">
        <v>0</v>
      </c>
      <c r="F339" s="150">
        <f t="shared" ref="F339" si="285">C339+D339*10+_xlfn.IFNA(E339,0)</f>
        <v>12</v>
      </c>
      <c r="G339" s="76">
        <f t="shared" ref="G339" si="286">C339-C338</f>
        <v>2</v>
      </c>
      <c r="H339" s="76">
        <f t="shared" ref="H339" si="287">D339-D338</f>
        <v>1</v>
      </c>
      <c r="I339" s="76">
        <f t="shared" ref="I339" si="288">F339-F338</f>
        <v>2</v>
      </c>
      <c r="J339" s="76">
        <f>SUMIF(I$2:I339,"&gt;0")</f>
        <v>1206</v>
      </c>
      <c r="K339" s="76">
        <f t="shared" ref="K339" si="289">IFERROR(J339 - _xlfn.XLOOKUP(A339-30, $A$2:$A$14999,J$2:J$14999,"",-1,2),NA())</f>
        <v>94</v>
      </c>
      <c r="L339" s="76">
        <f>SUMIF(E$2:E339,"&gt;0")</f>
        <v>456</v>
      </c>
      <c r="M339" s="76">
        <f t="shared" ref="M339" si="290">IFERROR(L339 - _xlfn.XLOOKUP(A339-30, $A$2:$A$14999,L$2:L$14999,"",-1,2),NA())</f>
        <v>40</v>
      </c>
      <c r="N339" s="74">
        <f t="shared" ref="N339" si="291">F339*120</f>
        <v>1440</v>
      </c>
      <c r="O339" s="76">
        <f t="shared" ref="O339" si="292">N339-N338</f>
        <v>240</v>
      </c>
    </row>
    <row r="340" spans="1:15" x14ac:dyDescent="0.25">
      <c r="A340" s="77">
        <v>44470.845833333333</v>
      </c>
      <c r="C340" s="74">
        <v>10</v>
      </c>
      <c r="D340" s="74">
        <v>1</v>
      </c>
      <c r="E340" s="431">
        <v>10</v>
      </c>
      <c r="F340" s="150">
        <f t="shared" ref="F340" si="293">C340+D340*10+_xlfn.IFNA(E340,0)</f>
        <v>30</v>
      </c>
      <c r="G340" s="76">
        <f t="shared" ref="G340" si="294">C340-C339</f>
        <v>8</v>
      </c>
      <c r="H340" s="76">
        <f t="shared" ref="H340" si="295">D340-D339</f>
        <v>0</v>
      </c>
      <c r="I340" s="76">
        <f t="shared" ref="I340" si="296">F340-F339</f>
        <v>18</v>
      </c>
      <c r="J340" s="76">
        <f>SUMIF(I$2:I340,"&gt;0")</f>
        <v>1224</v>
      </c>
      <c r="K340" s="76">
        <f t="shared" ref="K340" si="297">IFERROR(J340 - _xlfn.XLOOKUP(A340-30, $A$2:$A$14999,J$2:J$14999,"",-1,2),NA())</f>
        <v>112</v>
      </c>
      <c r="L340" s="76">
        <f>SUMIF(E$2:E340,"&gt;0")</f>
        <v>466</v>
      </c>
      <c r="M340" s="76">
        <f t="shared" ref="M340" si="298">IFERROR(L340 - _xlfn.XLOOKUP(A340-30, $A$2:$A$14999,L$2:L$14999,"",-1,2),NA())</f>
        <v>50</v>
      </c>
      <c r="N340" s="74">
        <f t="shared" ref="N340" si="299">F340*120</f>
        <v>3600</v>
      </c>
      <c r="O340" s="76">
        <f t="shared" ref="O340" si="300">N340-N339</f>
        <v>2160</v>
      </c>
    </row>
    <row r="341" spans="1:15" x14ac:dyDescent="0.25">
      <c r="A341" s="77">
        <v>44471.875</v>
      </c>
      <c r="C341" s="74">
        <v>11</v>
      </c>
      <c r="D341" s="74">
        <v>1</v>
      </c>
      <c r="E341" s="431">
        <v>10</v>
      </c>
      <c r="F341" s="150">
        <f t="shared" ref="F341" si="301">C341+D341*10+_xlfn.IFNA(E341,0)</f>
        <v>31</v>
      </c>
      <c r="G341" s="76">
        <f t="shared" ref="G341" si="302">C341-C340</f>
        <v>1</v>
      </c>
      <c r="H341" s="76">
        <f t="shared" ref="H341" si="303">D341-D340</f>
        <v>0</v>
      </c>
      <c r="I341" s="76">
        <f t="shared" ref="I341" si="304">F341-F340</f>
        <v>1</v>
      </c>
      <c r="J341" s="76">
        <f>SUMIF(I$2:I341,"&gt;0")</f>
        <v>1225</v>
      </c>
      <c r="K341" s="76">
        <f t="shared" ref="K341" si="305">IFERROR(J341 - _xlfn.XLOOKUP(A341-30, $A$2:$A$14999,J$2:J$14999,"",-1,2),NA())</f>
        <v>113</v>
      </c>
      <c r="L341" s="76">
        <f>SUMIF(E$2:E341,"&gt;0")</f>
        <v>476</v>
      </c>
      <c r="M341" s="76">
        <f t="shared" ref="M341" si="306">IFERROR(L341 - _xlfn.XLOOKUP(A341-30, $A$2:$A$14999,L$2:L$14999,"",-1,2),NA())</f>
        <v>60</v>
      </c>
      <c r="N341" s="74">
        <f t="shared" ref="N341" si="307">F341*120</f>
        <v>3720</v>
      </c>
      <c r="O341" s="76">
        <f t="shared" ref="O341" si="308">N341-N340</f>
        <v>120</v>
      </c>
    </row>
    <row r="342" spans="1:15" x14ac:dyDescent="0.25">
      <c r="A342" s="77">
        <v>44474.045138888891</v>
      </c>
      <c r="C342" s="74">
        <v>16</v>
      </c>
      <c r="D342" s="74">
        <v>1</v>
      </c>
      <c r="E342" s="431">
        <v>30</v>
      </c>
      <c r="F342" s="150">
        <f t="shared" ref="F342:F343" si="309">C342+D342*10+_xlfn.IFNA(E342,0)</f>
        <v>56</v>
      </c>
      <c r="G342" s="76">
        <f t="shared" ref="G342" si="310">C342-C341</f>
        <v>5</v>
      </c>
      <c r="H342" s="76">
        <f t="shared" ref="H342" si="311">D342-D341</f>
        <v>0</v>
      </c>
      <c r="I342" s="76">
        <f t="shared" ref="I342" si="312">F342-F341</f>
        <v>25</v>
      </c>
      <c r="J342" s="76">
        <f>SUMIF(I$2:I342,"&gt;0")</f>
        <v>1250</v>
      </c>
      <c r="K342" s="76">
        <f t="shared" ref="K342" si="313">IFERROR(J342 - _xlfn.XLOOKUP(A342-30, $A$2:$A$14999,J$2:J$14999,"",-1,2),NA())</f>
        <v>127</v>
      </c>
      <c r="L342" s="76">
        <f>SUMIF(E$2:E342,"&gt;0")</f>
        <v>506</v>
      </c>
      <c r="M342" s="76">
        <f t="shared" ref="M342" si="314">IFERROR(L342 - _xlfn.XLOOKUP(A342-30, $A$2:$A$14999,L$2:L$14999,"",-1,2),NA())</f>
        <v>90</v>
      </c>
      <c r="N342" s="74">
        <f t="shared" ref="N342" si="315">F342*120</f>
        <v>6720</v>
      </c>
      <c r="O342" s="76">
        <f t="shared" ref="O342" si="316">N342-N341</f>
        <v>3000</v>
      </c>
    </row>
    <row r="343" spans="1:15" x14ac:dyDescent="0.25">
      <c r="A343" s="77">
        <v>44474.050694444442</v>
      </c>
      <c r="B343" s="21" t="s">
        <v>491</v>
      </c>
      <c r="C343" s="74">
        <v>0</v>
      </c>
      <c r="D343" s="74">
        <v>0</v>
      </c>
      <c r="E343" s="431">
        <v>0</v>
      </c>
      <c r="F343" s="150">
        <f t="shared" si="309"/>
        <v>0</v>
      </c>
      <c r="G343" s="76">
        <f t="shared" ref="G343" si="317">C343-C342</f>
        <v>-16</v>
      </c>
      <c r="H343" s="76">
        <f t="shared" ref="H343" si="318">D343-D342</f>
        <v>-1</v>
      </c>
      <c r="I343" s="76">
        <f t="shared" ref="I343" si="319">F343-F342</f>
        <v>-56</v>
      </c>
      <c r="J343" s="76">
        <f>SUMIF(I$2:I343,"&gt;0")</f>
        <v>1250</v>
      </c>
      <c r="K343" s="76">
        <f t="shared" ref="K343" si="320">IFERROR(J343 - _xlfn.XLOOKUP(A343-30, $A$2:$A$14999,J$2:J$14999,"",-1,2),NA())</f>
        <v>127</v>
      </c>
      <c r="L343" s="76">
        <f>SUMIF(E$2:E343,"&gt;0")</f>
        <v>506</v>
      </c>
      <c r="M343" s="76">
        <f t="shared" ref="M343" si="321">IFERROR(L343 - _xlfn.XLOOKUP(A343-30, $A$2:$A$14999,L$2:L$14999,"",-1,2),NA())</f>
        <v>90</v>
      </c>
      <c r="N343" s="74">
        <f t="shared" ref="N343" si="322">F343*120</f>
        <v>0</v>
      </c>
      <c r="O343" s="76">
        <f t="shared" ref="O343" si="323">N343-N342</f>
        <v>-6720</v>
      </c>
    </row>
    <row r="344" spans="1:15" x14ac:dyDescent="0.25">
      <c r="A344" s="77">
        <v>44474.144444444442</v>
      </c>
      <c r="C344" s="74">
        <v>1</v>
      </c>
      <c r="D344" s="74">
        <v>0</v>
      </c>
      <c r="E344" s="431">
        <v>0</v>
      </c>
      <c r="F344" s="150">
        <f t="shared" ref="F344:F347" si="324">C344+D344*10+_xlfn.IFNA(E344,0)</f>
        <v>1</v>
      </c>
      <c r="G344" s="76">
        <f t="shared" ref="G344" si="325">C344-C343</f>
        <v>1</v>
      </c>
      <c r="H344" s="76">
        <f t="shared" ref="H344" si="326">D344-D343</f>
        <v>0</v>
      </c>
      <c r="I344" s="76">
        <f t="shared" ref="I344" si="327">F344-F343</f>
        <v>1</v>
      </c>
      <c r="J344" s="76">
        <f>SUMIF(I$2:I344,"&gt;0")</f>
        <v>1251</v>
      </c>
      <c r="K344" s="76">
        <f t="shared" ref="K344" si="328">IFERROR(J344 - _xlfn.XLOOKUP(A344-30, $A$2:$A$14999,J$2:J$14999,"",-1,2),NA())</f>
        <v>128</v>
      </c>
      <c r="L344" s="76">
        <f>SUMIF(E$2:E344,"&gt;0")</f>
        <v>506</v>
      </c>
      <c r="M344" s="76">
        <f t="shared" ref="M344" si="329">IFERROR(L344 - _xlfn.XLOOKUP(A344-30, $A$2:$A$14999,L$2:L$14999,"",-1,2),NA())</f>
        <v>90</v>
      </c>
      <c r="N344" s="74">
        <f t="shared" ref="N344" si="330">F344*120</f>
        <v>120</v>
      </c>
      <c r="O344" s="76">
        <f t="shared" ref="O344" si="331">N344-N343</f>
        <v>120</v>
      </c>
    </row>
    <row r="345" spans="1:15" x14ac:dyDescent="0.25">
      <c r="A345" s="77">
        <v>44475.90625</v>
      </c>
      <c r="C345" s="74">
        <v>1</v>
      </c>
      <c r="D345" s="74">
        <v>0</v>
      </c>
      <c r="E345" s="431">
        <v>10</v>
      </c>
      <c r="F345" s="150">
        <f t="shared" si="324"/>
        <v>11</v>
      </c>
      <c r="G345" s="76">
        <f t="shared" ref="G345" si="332">C345-C344</f>
        <v>0</v>
      </c>
      <c r="H345" s="76">
        <f t="shared" ref="H345" si="333">D345-D344</f>
        <v>0</v>
      </c>
      <c r="I345" s="76">
        <f t="shared" ref="I345" si="334">F345-F344</f>
        <v>10</v>
      </c>
      <c r="J345" s="76">
        <f>SUMIF(I$2:I345,"&gt;0")</f>
        <v>1261</v>
      </c>
      <c r="K345" s="76">
        <f t="shared" ref="K345" si="335">IFERROR(J345 - _xlfn.XLOOKUP(A345-30, $A$2:$A$14999,J$2:J$14999,"",-1,2),NA())</f>
        <v>138</v>
      </c>
      <c r="L345" s="76">
        <f>SUMIF(E$2:E345,"&gt;0")</f>
        <v>516</v>
      </c>
      <c r="M345" s="76">
        <f t="shared" ref="M345" si="336">IFERROR(L345 - _xlfn.XLOOKUP(A345-30, $A$2:$A$14999,L$2:L$14999,"",-1,2),NA())</f>
        <v>100</v>
      </c>
      <c r="N345" s="74">
        <f t="shared" ref="N345" si="337">F345*120</f>
        <v>1320</v>
      </c>
      <c r="O345" s="76">
        <f t="shared" ref="O345" si="338">N345-N344</f>
        <v>1200</v>
      </c>
    </row>
    <row r="346" spans="1:15" x14ac:dyDescent="0.25">
      <c r="A346" s="77">
        <v>44476.90625</v>
      </c>
      <c r="C346" s="74">
        <v>2</v>
      </c>
      <c r="D346" s="74">
        <v>0</v>
      </c>
      <c r="E346" s="431">
        <v>10</v>
      </c>
      <c r="F346" s="150">
        <f t="shared" si="324"/>
        <v>12</v>
      </c>
      <c r="G346" s="76">
        <f t="shared" ref="G346" si="339">C346-C345</f>
        <v>1</v>
      </c>
      <c r="H346" s="76">
        <f t="shared" ref="H346" si="340">D346-D345</f>
        <v>0</v>
      </c>
      <c r="I346" s="76">
        <f t="shared" ref="I346" si="341">F346-F345</f>
        <v>1</v>
      </c>
      <c r="J346" s="76">
        <f>SUMIF(I$2:I346,"&gt;0")</f>
        <v>1262</v>
      </c>
      <c r="K346" s="76">
        <f t="shared" ref="K346" si="342">IFERROR(J346 - _xlfn.XLOOKUP(A346-30, $A$2:$A$14999,J$2:J$14999,"",-1,2),NA())</f>
        <v>139</v>
      </c>
      <c r="L346" s="76">
        <f>SUMIF(E$2:E346,"&gt;0")</f>
        <v>526</v>
      </c>
      <c r="M346" s="76">
        <f t="shared" ref="M346" si="343">IFERROR(L346 - _xlfn.XLOOKUP(A346-30, $A$2:$A$14999,L$2:L$14999,"",-1,2),NA())</f>
        <v>110</v>
      </c>
      <c r="N346" s="74">
        <f t="shared" ref="N346" si="344">F346*120</f>
        <v>1440</v>
      </c>
      <c r="O346" s="76">
        <f t="shared" ref="O346" si="345">N346-N345</f>
        <v>120</v>
      </c>
    </row>
    <row r="347" spans="1:15" x14ac:dyDescent="0.25">
      <c r="A347" s="77">
        <v>44477.90625</v>
      </c>
      <c r="C347" s="74">
        <v>3</v>
      </c>
      <c r="D347" s="74">
        <v>0</v>
      </c>
      <c r="E347" s="431">
        <v>10</v>
      </c>
      <c r="F347" s="150">
        <f t="shared" si="324"/>
        <v>13</v>
      </c>
      <c r="G347" s="76">
        <f t="shared" ref="G347" si="346">C347-C346</f>
        <v>1</v>
      </c>
      <c r="H347" s="76">
        <f t="shared" ref="H347" si="347">D347-D346</f>
        <v>0</v>
      </c>
      <c r="I347" s="76">
        <f t="shared" ref="I347" si="348">F347-F346</f>
        <v>1</v>
      </c>
      <c r="J347" s="76">
        <f>SUMIF(I$2:I347,"&gt;0")</f>
        <v>1263</v>
      </c>
      <c r="K347" s="76">
        <f t="shared" ref="K347" si="349">IFERROR(J347 - _xlfn.XLOOKUP(A347-30, $A$2:$A$14999,J$2:J$14999,"",-1,2),NA())</f>
        <v>140</v>
      </c>
      <c r="L347" s="76">
        <f>SUMIF(E$2:E347,"&gt;0")</f>
        <v>536</v>
      </c>
      <c r="M347" s="76">
        <f t="shared" ref="M347" si="350">IFERROR(L347 - _xlfn.XLOOKUP(A347-30, $A$2:$A$14999,L$2:L$14999,"",-1,2),NA())</f>
        <v>120</v>
      </c>
      <c r="N347" s="74">
        <f t="shared" ref="N347" si="351">F347*120</f>
        <v>1560</v>
      </c>
      <c r="O347" s="76">
        <f t="shared" ref="O347" si="352">N347-N346</f>
        <v>120</v>
      </c>
    </row>
    <row r="348" spans="1:15" x14ac:dyDescent="0.25">
      <c r="A348" s="77">
        <v>44478.90625</v>
      </c>
      <c r="C348" s="74">
        <v>4</v>
      </c>
      <c r="D348" s="74">
        <v>0</v>
      </c>
      <c r="E348" s="431">
        <v>10</v>
      </c>
      <c r="F348" s="150">
        <f t="shared" ref="F348:F349" si="353">C348+D348*10+_xlfn.IFNA(E348,0)</f>
        <v>14</v>
      </c>
      <c r="G348" s="76">
        <f t="shared" ref="G348" si="354">C348-C347</f>
        <v>1</v>
      </c>
      <c r="H348" s="76">
        <f t="shared" ref="H348" si="355">D348-D347</f>
        <v>0</v>
      </c>
      <c r="I348" s="76">
        <f t="shared" ref="I348" si="356">F348-F347</f>
        <v>1</v>
      </c>
      <c r="J348" s="76">
        <f>SUMIF(I$2:I348,"&gt;0")</f>
        <v>1264</v>
      </c>
      <c r="K348" s="76">
        <f t="shared" ref="K348" si="357">IFERROR(J348 - _xlfn.XLOOKUP(A348-30, $A$2:$A$14999,J$2:J$14999,"",-1,2),NA())</f>
        <v>141</v>
      </c>
      <c r="L348" s="76">
        <f>SUMIF(E$2:E348,"&gt;0")</f>
        <v>546</v>
      </c>
      <c r="M348" s="76">
        <f t="shared" ref="M348" si="358">IFERROR(L348 - _xlfn.XLOOKUP(A348-30, $A$2:$A$14999,L$2:L$14999,"",-1,2),NA())</f>
        <v>130</v>
      </c>
      <c r="N348" s="74">
        <f t="shared" ref="N348" si="359">F348*120</f>
        <v>1680</v>
      </c>
      <c r="O348" s="76">
        <f t="shared" ref="O348" si="360">N348-N347</f>
        <v>120</v>
      </c>
    </row>
    <row r="349" spans="1:15" x14ac:dyDescent="0.25">
      <c r="A349" s="77">
        <v>44479.897222222222</v>
      </c>
      <c r="C349" s="74">
        <v>6</v>
      </c>
      <c r="D349" s="74">
        <v>0</v>
      </c>
      <c r="E349" s="431">
        <v>10</v>
      </c>
      <c r="F349" s="150">
        <f t="shared" si="353"/>
        <v>16</v>
      </c>
      <c r="G349" s="76">
        <f t="shared" ref="G349" si="361">C349-C348</f>
        <v>2</v>
      </c>
      <c r="H349" s="76">
        <f t="shared" ref="H349" si="362">D349-D348</f>
        <v>0</v>
      </c>
      <c r="I349" s="76">
        <f t="shared" ref="I349" si="363">F349-F348</f>
        <v>2</v>
      </c>
      <c r="J349" s="76">
        <f>SUMIF(I$2:I349,"&gt;0")</f>
        <v>1266</v>
      </c>
      <c r="K349" s="76">
        <f t="shared" ref="K349" si="364">IFERROR(J349 - _xlfn.XLOOKUP(A349-30, $A$2:$A$14999,J$2:J$14999,"",-1,2),NA())</f>
        <v>141</v>
      </c>
      <c r="L349" s="76">
        <f>SUMIF(E$2:E349,"&gt;0")</f>
        <v>556</v>
      </c>
      <c r="M349" s="76">
        <f t="shared" ref="M349" si="365">IFERROR(L349 - _xlfn.XLOOKUP(A349-30, $A$2:$A$14999,L$2:L$14999,"",-1,2),NA())</f>
        <v>140</v>
      </c>
      <c r="N349" s="74">
        <f t="shared" ref="N349" si="366">F349*120</f>
        <v>1920</v>
      </c>
      <c r="O349" s="76">
        <f t="shared" ref="O349" si="367">N349-N348</f>
        <v>240</v>
      </c>
    </row>
    <row r="350" spans="1:15" x14ac:dyDescent="0.25">
      <c r="A350" s="77">
        <v>44480.813194444447</v>
      </c>
      <c r="C350" s="74">
        <v>7</v>
      </c>
      <c r="D350" s="74">
        <v>0</v>
      </c>
      <c r="E350" s="431">
        <v>10</v>
      </c>
      <c r="F350" s="150">
        <f t="shared" ref="F350" si="368">C350+D350*10+_xlfn.IFNA(E350,0)</f>
        <v>17</v>
      </c>
      <c r="G350" s="76">
        <f t="shared" ref="G350" si="369">C350-C349</f>
        <v>1</v>
      </c>
      <c r="H350" s="76">
        <f t="shared" ref="H350" si="370">D350-D349</f>
        <v>0</v>
      </c>
      <c r="I350" s="76">
        <f t="shared" ref="I350" si="371">F350-F349</f>
        <v>1</v>
      </c>
      <c r="J350" s="76">
        <f>SUMIF(I$2:I350,"&gt;0")</f>
        <v>1267</v>
      </c>
      <c r="K350" s="76">
        <f t="shared" ref="K350" si="372">IFERROR(J350 - _xlfn.XLOOKUP(A350-30, $A$2:$A$14999,J$2:J$14999,"",-1,2),NA())</f>
        <v>142</v>
      </c>
      <c r="L350" s="76">
        <f>SUMIF(E$2:E350,"&gt;0")</f>
        <v>566</v>
      </c>
      <c r="M350" s="76">
        <f t="shared" ref="M350" si="373">IFERROR(L350 - _xlfn.XLOOKUP(A350-30, $A$2:$A$14999,L$2:L$14999,"",-1,2),NA())</f>
        <v>150</v>
      </c>
      <c r="N350" s="74">
        <f t="shared" ref="N350" si="374">F350*120</f>
        <v>2040</v>
      </c>
      <c r="O350" s="76">
        <f t="shared" ref="O350" si="375">N350-N349</f>
        <v>120</v>
      </c>
    </row>
    <row r="351" spans="1:15" x14ac:dyDescent="0.25">
      <c r="A351" s="77">
        <v>44481.76458333333</v>
      </c>
      <c r="C351" s="74">
        <v>8</v>
      </c>
      <c r="D351" s="74">
        <v>0</v>
      </c>
      <c r="E351" s="431">
        <v>10</v>
      </c>
      <c r="F351" s="150">
        <f t="shared" ref="F351" si="376">C351+D351*10+_xlfn.IFNA(E351,0)</f>
        <v>18</v>
      </c>
      <c r="G351" s="76">
        <f t="shared" ref="G351" si="377">C351-C350</f>
        <v>1</v>
      </c>
      <c r="H351" s="76">
        <f t="shared" ref="H351" si="378">D351-D350</f>
        <v>0</v>
      </c>
      <c r="I351" s="76">
        <f t="shared" ref="I351" si="379">F351-F350</f>
        <v>1</v>
      </c>
      <c r="J351" s="76">
        <f>SUMIF(I$2:I351,"&gt;0")</f>
        <v>1268</v>
      </c>
      <c r="K351" s="76">
        <f t="shared" ref="K351" si="380">IFERROR(J351 - _xlfn.XLOOKUP(A351-30, $A$2:$A$14999,J$2:J$14999,"",-1,2),NA())</f>
        <v>141</v>
      </c>
      <c r="L351" s="76">
        <f>SUMIF(E$2:E351,"&gt;0")</f>
        <v>576</v>
      </c>
      <c r="M351" s="76">
        <f t="shared" ref="M351" si="381">IFERROR(L351 - _xlfn.XLOOKUP(A351-30, $A$2:$A$14999,L$2:L$14999,"",-1,2),NA())</f>
        <v>160</v>
      </c>
      <c r="N351" s="74">
        <f t="shared" ref="N351" si="382">F351*120</f>
        <v>2160</v>
      </c>
      <c r="O351" s="76">
        <f t="shared" ref="O351" si="383">N351-N350</f>
        <v>120</v>
      </c>
    </row>
    <row r="352" spans="1:15" x14ac:dyDescent="0.25">
      <c r="A352" s="77">
        <v>44482.463194444441</v>
      </c>
      <c r="C352" s="74">
        <v>16</v>
      </c>
      <c r="D352" s="74">
        <v>1</v>
      </c>
      <c r="E352" s="431">
        <v>10</v>
      </c>
      <c r="F352" s="150">
        <f t="shared" ref="F352" si="384">C352+D352*10+_xlfn.IFNA(E352,0)</f>
        <v>36</v>
      </c>
      <c r="G352" s="76">
        <f t="shared" ref="G352" si="385">C352-C351</f>
        <v>8</v>
      </c>
      <c r="H352" s="76">
        <f t="shared" ref="H352" si="386">D352-D351</f>
        <v>1</v>
      </c>
      <c r="I352" s="76">
        <f t="shared" ref="I352" si="387">F352-F351</f>
        <v>18</v>
      </c>
      <c r="J352" s="76">
        <f>SUMIF(I$2:I352,"&gt;0")</f>
        <v>1286</v>
      </c>
      <c r="K352" s="76">
        <f t="shared" ref="K352" si="388">IFERROR(J352 - _xlfn.XLOOKUP(A352-30, $A$2:$A$14999,J$2:J$14999,"",-1,2),NA())</f>
        <v>159</v>
      </c>
      <c r="L352" s="76">
        <f>SUMIF(E$2:E352,"&gt;0")</f>
        <v>586</v>
      </c>
      <c r="M352" s="76">
        <f t="shared" ref="M352" si="389">IFERROR(L352 - _xlfn.XLOOKUP(A352-30, $A$2:$A$14999,L$2:L$14999,"",-1,2),NA())</f>
        <v>170</v>
      </c>
      <c r="N352" s="74">
        <f t="shared" ref="N352" si="390">F352*120</f>
        <v>4320</v>
      </c>
      <c r="O352" s="76">
        <f t="shared" ref="O352" si="391">N352-N351</f>
        <v>2160</v>
      </c>
    </row>
    <row r="353" spans="1:15" x14ac:dyDescent="0.25">
      <c r="A353" s="77">
        <v>44483.835416666669</v>
      </c>
      <c r="C353" s="74">
        <v>22</v>
      </c>
      <c r="D353" s="74">
        <v>1</v>
      </c>
      <c r="E353" s="431">
        <v>10</v>
      </c>
      <c r="F353" s="150">
        <f t="shared" ref="F353:F354" si="392">C353+D353*10+_xlfn.IFNA(E353,0)</f>
        <v>42</v>
      </c>
      <c r="G353" s="76">
        <f t="shared" ref="G353" si="393">C353-C352</f>
        <v>6</v>
      </c>
      <c r="H353" s="76">
        <f t="shared" ref="H353" si="394">D353-D352</f>
        <v>0</v>
      </c>
      <c r="I353" s="76">
        <f t="shared" ref="I353" si="395">F353-F352</f>
        <v>6</v>
      </c>
      <c r="J353" s="76">
        <f>SUMIF(I$2:I353,"&gt;0")</f>
        <v>1292</v>
      </c>
      <c r="K353" s="76">
        <f t="shared" ref="K353" si="396">IFERROR(J353 - _xlfn.XLOOKUP(A353-30, $A$2:$A$14999,J$2:J$14999,"",-1,2),NA())</f>
        <v>163</v>
      </c>
      <c r="L353" s="76">
        <f>SUMIF(E$2:E353,"&gt;0")</f>
        <v>596</v>
      </c>
      <c r="M353" s="76">
        <f t="shared" ref="M353" si="397">IFERROR(L353 - _xlfn.XLOOKUP(A353-30, $A$2:$A$14999,L$2:L$14999,"",-1,2),NA())</f>
        <v>180</v>
      </c>
      <c r="N353" s="74">
        <f t="shared" ref="N353" si="398">F353*120</f>
        <v>5040</v>
      </c>
      <c r="O353" s="76">
        <f t="shared" ref="O353" si="399">N353-N352</f>
        <v>720</v>
      </c>
    </row>
    <row r="354" spans="1:15" x14ac:dyDescent="0.25">
      <c r="A354" s="77">
        <v>44484.0625</v>
      </c>
      <c r="B354" s="21" t="s">
        <v>501</v>
      </c>
      <c r="C354" s="74">
        <v>0</v>
      </c>
      <c r="D354" s="74">
        <v>0</v>
      </c>
      <c r="E354" s="431">
        <v>10</v>
      </c>
      <c r="F354" s="150">
        <f t="shared" si="392"/>
        <v>10</v>
      </c>
      <c r="G354" s="76">
        <f t="shared" ref="G354" si="400">C354-C353</f>
        <v>-22</v>
      </c>
      <c r="H354" s="76">
        <f t="shared" ref="H354" si="401">D354-D353</f>
        <v>-1</v>
      </c>
      <c r="I354" s="76">
        <f t="shared" ref="I354" si="402">F354-F353</f>
        <v>-32</v>
      </c>
      <c r="J354" s="76">
        <f>SUMIF(I$2:I354,"&gt;0")</f>
        <v>1292</v>
      </c>
      <c r="K354" s="76">
        <f t="shared" ref="K354" si="403">IFERROR(J354 - _xlfn.XLOOKUP(A354-30, $A$2:$A$14999,J$2:J$14999,"",-1,2),NA())</f>
        <v>163</v>
      </c>
      <c r="L354" s="76">
        <f>SUMIF(E$2:E354,"&gt;0")</f>
        <v>606</v>
      </c>
      <c r="M354" s="76">
        <f t="shared" ref="M354" si="404">IFERROR(L354 - _xlfn.XLOOKUP(A354-30, $A$2:$A$14999,L$2:L$14999,"",-1,2),NA())</f>
        <v>190</v>
      </c>
      <c r="N354" s="74">
        <f t="shared" ref="N354" si="405">F354*120</f>
        <v>1200</v>
      </c>
      <c r="O354" s="76">
        <f t="shared" ref="O354" si="406">N354-N353</f>
        <v>-3840</v>
      </c>
    </row>
    <row r="355" spans="1:15" x14ac:dyDescent="0.25">
      <c r="A355" s="77">
        <v>44484.583333333336</v>
      </c>
      <c r="C355" s="74">
        <v>4</v>
      </c>
      <c r="D355" s="74">
        <v>0</v>
      </c>
      <c r="E355" s="431">
        <v>10</v>
      </c>
      <c r="F355" s="150">
        <f t="shared" ref="F355" si="407">C355+D355*10+_xlfn.IFNA(E355,0)</f>
        <v>14</v>
      </c>
      <c r="G355" s="76">
        <f t="shared" ref="G355" si="408">C355-C354</f>
        <v>4</v>
      </c>
      <c r="H355" s="76">
        <f t="shared" ref="H355" si="409">D355-D354</f>
        <v>0</v>
      </c>
      <c r="I355" s="76">
        <f t="shared" ref="I355" si="410">F355-F354</f>
        <v>4</v>
      </c>
      <c r="J355" s="76">
        <f>SUMIF(I$2:I355,"&gt;0")</f>
        <v>1296</v>
      </c>
      <c r="K355" s="76">
        <f t="shared" ref="K355" si="411">IFERROR(J355 - _xlfn.XLOOKUP(A355-30, $A$2:$A$14999,J$2:J$14999,"",-1,2),NA())</f>
        <v>161</v>
      </c>
      <c r="L355" s="76">
        <f>SUMIF(E$2:E355,"&gt;0")</f>
        <v>616</v>
      </c>
      <c r="M355" s="76">
        <f t="shared" ref="M355" si="412">IFERROR(L355 - _xlfn.XLOOKUP(A355-30, $A$2:$A$14999,L$2:L$14999,"",-1,2),NA())</f>
        <v>200</v>
      </c>
      <c r="N355" s="74">
        <f t="shared" ref="N355" si="413">F355*120</f>
        <v>1680</v>
      </c>
      <c r="O355" s="76">
        <f t="shared" ref="O355" si="414">N355-N354</f>
        <v>480</v>
      </c>
    </row>
    <row r="356" spans="1:15" x14ac:dyDescent="0.25">
      <c r="A356" s="77">
        <v>44485.474999999999</v>
      </c>
      <c r="C356" s="74">
        <v>5</v>
      </c>
      <c r="D356" s="74">
        <v>0</v>
      </c>
      <c r="E356" s="431">
        <v>10</v>
      </c>
      <c r="F356" s="150">
        <f t="shared" ref="F356" si="415">C356+D356*10+_xlfn.IFNA(E356,0)</f>
        <v>15</v>
      </c>
      <c r="G356" s="76">
        <f t="shared" ref="G356" si="416">C356-C355</f>
        <v>1</v>
      </c>
      <c r="H356" s="76">
        <f t="shared" ref="H356" si="417">D356-D355</f>
        <v>0</v>
      </c>
      <c r="I356" s="76">
        <f t="shared" ref="I356" si="418">F356-F355</f>
        <v>1</v>
      </c>
      <c r="J356" s="76">
        <f>SUMIF(I$2:I356,"&gt;0")</f>
        <v>1297</v>
      </c>
      <c r="K356" s="76">
        <f t="shared" ref="K356" si="419">IFERROR(J356 - _xlfn.XLOOKUP(A356-30, $A$2:$A$14999,J$2:J$14999,"",-1,2),NA())</f>
        <v>162</v>
      </c>
      <c r="L356" s="76">
        <f>SUMIF(E$2:E356,"&gt;0")</f>
        <v>626</v>
      </c>
      <c r="M356" s="76">
        <f t="shared" ref="M356" si="420">IFERROR(L356 - _xlfn.XLOOKUP(A356-30, $A$2:$A$14999,L$2:L$14999,"",-1,2),NA())</f>
        <v>210</v>
      </c>
      <c r="N356" s="74">
        <f t="shared" ref="N356" si="421">F356*120</f>
        <v>1800</v>
      </c>
      <c r="O356" s="76">
        <f t="shared" ref="O356" si="422">N356-N355</f>
        <v>120</v>
      </c>
    </row>
    <row r="357" spans="1:15" x14ac:dyDescent="0.25">
      <c r="A357" s="77">
        <v>44486.304166666669</v>
      </c>
      <c r="C357" s="74">
        <v>6</v>
      </c>
      <c r="D357" s="74">
        <v>0</v>
      </c>
      <c r="E357" s="431">
        <v>10</v>
      </c>
      <c r="F357" s="150">
        <f t="shared" ref="F357" si="423">C357+D357*10+_xlfn.IFNA(E357,0)</f>
        <v>16</v>
      </c>
      <c r="G357" s="76">
        <f t="shared" ref="G357" si="424">C357-C356</f>
        <v>1</v>
      </c>
      <c r="H357" s="76">
        <f t="shared" ref="H357" si="425">D357-D356</f>
        <v>0</v>
      </c>
      <c r="I357" s="76">
        <f t="shared" ref="I357" si="426">F357-F356</f>
        <v>1</v>
      </c>
      <c r="J357" s="76">
        <f>SUMIF(I$2:I357,"&gt;0")</f>
        <v>1298</v>
      </c>
      <c r="K357" s="76">
        <f t="shared" ref="K357" si="427">IFERROR(J357 - _xlfn.XLOOKUP(A357-30, $A$2:$A$14999,J$2:J$14999,"",-1,2),NA())</f>
        <v>163</v>
      </c>
      <c r="L357" s="76">
        <f>SUMIF(E$2:E357,"&gt;0")</f>
        <v>636</v>
      </c>
      <c r="M357" s="76">
        <f t="shared" ref="M357" si="428">IFERROR(L357 - _xlfn.XLOOKUP(A357-30, $A$2:$A$14999,L$2:L$14999,"",-1,2),NA())</f>
        <v>220</v>
      </c>
      <c r="N357" s="74">
        <f t="shared" ref="N357" si="429">F357*120</f>
        <v>1920</v>
      </c>
      <c r="O357" s="76">
        <f t="shared" ref="O357" si="430">N357-N356</f>
        <v>120</v>
      </c>
    </row>
    <row r="358" spans="1:15" x14ac:dyDescent="0.25">
      <c r="A358" s="77">
        <v>44487.734027777777</v>
      </c>
      <c r="C358" s="74">
        <v>7</v>
      </c>
      <c r="D358" s="74">
        <v>0</v>
      </c>
      <c r="E358" s="431">
        <v>10</v>
      </c>
      <c r="F358" s="150">
        <f t="shared" ref="F358" si="431">C358+D358*10+_xlfn.IFNA(E358,0)</f>
        <v>17</v>
      </c>
      <c r="G358" s="76">
        <f t="shared" ref="G358" si="432">C358-C357</f>
        <v>1</v>
      </c>
      <c r="H358" s="76">
        <f t="shared" ref="H358" si="433">D358-D357</f>
        <v>0</v>
      </c>
      <c r="I358" s="76">
        <f t="shared" ref="I358" si="434">F358-F357</f>
        <v>1</v>
      </c>
      <c r="J358" s="76">
        <f>SUMIF(I$2:I358,"&gt;0")</f>
        <v>1299</v>
      </c>
      <c r="K358" s="76">
        <f t="shared" ref="K358" si="435">IFERROR(J358 - _xlfn.XLOOKUP(A358-30, $A$2:$A$14999,J$2:J$14999,"",-1,2),NA())</f>
        <v>162</v>
      </c>
      <c r="L358" s="76">
        <f>SUMIF(E$2:E358,"&gt;0")</f>
        <v>646</v>
      </c>
      <c r="M358" s="76">
        <f t="shared" ref="M358" si="436">IFERROR(L358 - _xlfn.XLOOKUP(A358-30, $A$2:$A$14999,L$2:L$14999,"",-1,2),NA())</f>
        <v>230</v>
      </c>
      <c r="N358" s="74">
        <f t="shared" ref="N358" si="437">F358*120</f>
        <v>2040</v>
      </c>
      <c r="O358" s="76">
        <f t="shared" ref="O358" si="438">N358-N357</f>
        <v>120</v>
      </c>
    </row>
    <row r="359" spans="1:15" x14ac:dyDescent="0.25">
      <c r="A359" s="77">
        <v>44488.708333333336</v>
      </c>
      <c r="C359" s="74">
        <v>13</v>
      </c>
      <c r="D359" s="74">
        <v>0</v>
      </c>
      <c r="E359" s="431">
        <v>10</v>
      </c>
      <c r="F359" s="150">
        <f t="shared" ref="F359:F361" si="439">C359+D359*10+_xlfn.IFNA(E359,0)</f>
        <v>23</v>
      </c>
      <c r="G359" s="76">
        <f t="shared" ref="G359" si="440">C359-C358</f>
        <v>6</v>
      </c>
      <c r="H359" s="76">
        <f t="shared" ref="H359" si="441">D359-D358</f>
        <v>0</v>
      </c>
      <c r="I359" s="76">
        <f t="shared" ref="I359" si="442">F359-F358</f>
        <v>6</v>
      </c>
      <c r="J359" s="76">
        <f>SUMIF(I$2:I359,"&gt;0")</f>
        <v>1305</v>
      </c>
      <c r="K359" s="76">
        <f t="shared" ref="K359" si="443">IFERROR(J359 - _xlfn.XLOOKUP(A359-30, $A$2:$A$14999,J$2:J$14999,"",-1,2),NA())</f>
        <v>168</v>
      </c>
      <c r="L359" s="76">
        <f>SUMIF(E$2:E359,"&gt;0")</f>
        <v>656</v>
      </c>
      <c r="M359" s="76">
        <f t="shared" ref="M359" si="444">IFERROR(L359 - _xlfn.XLOOKUP(A359-30, $A$2:$A$14999,L$2:L$14999,"",-1,2),NA())</f>
        <v>240</v>
      </c>
      <c r="N359" s="74">
        <f t="shared" ref="N359" si="445">F359*120</f>
        <v>2760</v>
      </c>
      <c r="O359" s="76">
        <f t="shared" ref="O359" si="446">N359-N358</f>
        <v>720</v>
      </c>
    </row>
    <row r="360" spans="1:15" x14ac:dyDescent="0.25">
      <c r="A360" s="77">
        <v>44490.667361111111</v>
      </c>
      <c r="C360" s="74">
        <v>16</v>
      </c>
      <c r="D360" s="74">
        <v>0</v>
      </c>
      <c r="E360" s="431">
        <v>20</v>
      </c>
      <c r="F360" s="150">
        <f t="shared" si="439"/>
        <v>36</v>
      </c>
      <c r="G360" s="76">
        <f t="shared" ref="G360" si="447">C360-C359</f>
        <v>3</v>
      </c>
      <c r="H360" s="76">
        <f t="shared" ref="H360" si="448">D360-D359</f>
        <v>0</v>
      </c>
      <c r="I360" s="76">
        <f t="shared" ref="I360" si="449">F360-F359</f>
        <v>13</v>
      </c>
      <c r="J360" s="76">
        <f>SUMIF(I$2:I360,"&gt;0")</f>
        <v>1318</v>
      </c>
      <c r="K360" s="76">
        <f t="shared" ref="K360" si="450">IFERROR(J360 - _xlfn.XLOOKUP(A360-30, $A$2:$A$14999,J$2:J$14999,"",-1,2),NA())</f>
        <v>167</v>
      </c>
      <c r="L360" s="76">
        <f>SUMIF(E$2:E360,"&gt;0")</f>
        <v>676</v>
      </c>
      <c r="M360" s="76">
        <f t="shared" ref="M360" si="451">IFERROR(L360 - _xlfn.XLOOKUP(A360-30, $A$2:$A$14999,L$2:L$14999,"",-1,2),NA())</f>
        <v>260</v>
      </c>
      <c r="N360" s="74">
        <f t="shared" ref="N360" si="452">F360*120</f>
        <v>4320</v>
      </c>
      <c r="O360" s="76">
        <f t="shared" ref="O360" si="453">N360-N359</f>
        <v>1560</v>
      </c>
    </row>
    <row r="361" spans="1:15" x14ac:dyDescent="0.25">
      <c r="A361" s="77">
        <v>44491.955555555556</v>
      </c>
      <c r="C361" s="74">
        <v>17</v>
      </c>
      <c r="D361" s="74">
        <v>0</v>
      </c>
      <c r="E361" s="431">
        <v>10</v>
      </c>
      <c r="F361" s="150">
        <f t="shared" si="439"/>
        <v>27</v>
      </c>
      <c r="G361" s="76">
        <f t="shared" ref="G361" si="454">C361-C360</f>
        <v>1</v>
      </c>
      <c r="H361" s="76">
        <f t="shared" ref="H361" si="455">D361-D360</f>
        <v>0</v>
      </c>
      <c r="I361" s="76">
        <f t="shared" ref="I361" si="456">F361-F360</f>
        <v>-9</v>
      </c>
      <c r="J361" s="76">
        <f>SUMIF(I$2:I361,"&gt;0")</f>
        <v>1318</v>
      </c>
      <c r="K361" s="76">
        <f t="shared" ref="K361" si="457">IFERROR(J361 - _xlfn.XLOOKUP(A361-30, $A$2:$A$14999,J$2:J$14999,"",-1,2),NA())</f>
        <v>164</v>
      </c>
      <c r="L361" s="76">
        <f>SUMIF(E$2:E361,"&gt;0")</f>
        <v>686</v>
      </c>
      <c r="M361" s="76">
        <f t="shared" ref="M361" si="458">IFERROR(L361 - _xlfn.XLOOKUP(A361-30, $A$2:$A$14999,L$2:L$14999,"",-1,2),NA())</f>
        <v>270</v>
      </c>
      <c r="N361" s="74">
        <f t="shared" ref="N361" si="459">F361*120</f>
        <v>3240</v>
      </c>
      <c r="O361" s="76">
        <f t="shared" ref="O361" si="460">N361-N360</f>
        <v>-1080</v>
      </c>
    </row>
    <row r="362" spans="1:15" x14ac:dyDescent="0.25">
      <c r="A362" s="77">
        <v>44492.913888888892</v>
      </c>
      <c r="C362" s="74">
        <v>18</v>
      </c>
      <c r="D362" s="74">
        <v>0</v>
      </c>
      <c r="E362" s="431">
        <v>10</v>
      </c>
      <c r="F362" s="150">
        <f t="shared" ref="F362:F363" si="461">C362+D362*10+_xlfn.IFNA(E362,0)</f>
        <v>28</v>
      </c>
      <c r="G362" s="76">
        <f t="shared" ref="G362" si="462">C362-C361</f>
        <v>1</v>
      </c>
      <c r="H362" s="76">
        <f t="shared" ref="H362" si="463">D362-D361</f>
        <v>0</v>
      </c>
      <c r="I362" s="76">
        <f t="shared" ref="I362" si="464">F362-F361</f>
        <v>1</v>
      </c>
      <c r="J362" s="76">
        <f>SUMIF(I$2:I362,"&gt;0")</f>
        <v>1319</v>
      </c>
      <c r="K362" s="76">
        <f t="shared" ref="K362" si="465">IFERROR(J362 - _xlfn.XLOOKUP(A362-30, $A$2:$A$14999,J$2:J$14999,"",-1,2),NA())</f>
        <v>165</v>
      </c>
      <c r="L362" s="76">
        <f>SUMIF(E$2:E362,"&gt;0")</f>
        <v>696</v>
      </c>
      <c r="M362" s="76">
        <f t="shared" ref="M362" si="466">IFERROR(L362 - _xlfn.XLOOKUP(A362-30, $A$2:$A$14999,L$2:L$14999,"",-1,2),NA())</f>
        <v>280</v>
      </c>
      <c r="N362" s="74">
        <f t="shared" ref="N362" si="467">F362*120</f>
        <v>3360</v>
      </c>
      <c r="O362" s="76">
        <f t="shared" ref="O362" si="468">N362-N361</f>
        <v>120</v>
      </c>
    </row>
    <row r="363" spans="1:15" x14ac:dyDescent="0.25">
      <c r="A363" s="77">
        <v>44493.955555555556</v>
      </c>
      <c r="C363" s="74">
        <v>19</v>
      </c>
      <c r="D363" s="74">
        <v>0</v>
      </c>
      <c r="E363" s="431">
        <v>10</v>
      </c>
      <c r="F363" s="150">
        <f t="shared" si="461"/>
        <v>29</v>
      </c>
      <c r="G363" s="76">
        <f t="shared" ref="G363" si="469">C363-C362</f>
        <v>1</v>
      </c>
      <c r="H363" s="76">
        <f t="shared" ref="H363" si="470">D363-D362</f>
        <v>0</v>
      </c>
      <c r="I363" s="76">
        <f t="shared" ref="I363" si="471">F363-F362</f>
        <v>1</v>
      </c>
      <c r="J363" s="76">
        <f>SUMIF(I$2:I363,"&gt;0")</f>
        <v>1320</v>
      </c>
      <c r="K363" s="76">
        <f t="shared" ref="K363" si="472">IFERROR(J363 - _xlfn.XLOOKUP(A363-30, $A$2:$A$14999,J$2:J$14999,"",-1,2),NA())</f>
        <v>160</v>
      </c>
      <c r="L363" s="76">
        <f>SUMIF(E$2:E363,"&gt;0")</f>
        <v>706</v>
      </c>
      <c r="M363" s="76">
        <f t="shared" ref="M363" si="473">IFERROR(L363 - _xlfn.XLOOKUP(A363-30, $A$2:$A$14999,L$2:L$14999,"",-1,2),NA())</f>
        <v>290</v>
      </c>
      <c r="N363" s="74">
        <f t="shared" ref="N363" si="474">F363*120</f>
        <v>3480</v>
      </c>
      <c r="O363" s="76">
        <f t="shared" ref="O363" si="475">N363-N362</f>
        <v>120</v>
      </c>
    </row>
    <row r="364" spans="1:15" x14ac:dyDescent="0.25">
      <c r="A364" s="77">
        <v>44495.95</v>
      </c>
      <c r="C364" s="74">
        <v>20</v>
      </c>
      <c r="D364" s="74">
        <v>0</v>
      </c>
      <c r="E364" s="431">
        <v>20</v>
      </c>
      <c r="F364" s="150">
        <f t="shared" ref="F364:F366" si="476">C364+D364*10+_xlfn.IFNA(E364,0)</f>
        <v>40</v>
      </c>
      <c r="G364" s="76">
        <f t="shared" ref="G364" si="477">C364-C363</f>
        <v>1</v>
      </c>
      <c r="H364" s="76">
        <f t="shared" ref="H364" si="478">D364-D363</f>
        <v>0</v>
      </c>
      <c r="I364" s="76">
        <f t="shared" ref="I364" si="479">F364-F363</f>
        <v>11</v>
      </c>
      <c r="J364" s="76">
        <f>SUMIF(I$2:I364,"&gt;0")</f>
        <v>1331</v>
      </c>
      <c r="K364" s="76">
        <f t="shared" ref="K364" si="480">IFERROR(J364 - _xlfn.XLOOKUP(A364-30, $A$2:$A$14999,J$2:J$14999,"",-1,2),NA())</f>
        <v>171</v>
      </c>
      <c r="L364" s="76">
        <f>SUMIF(E$2:E364,"&gt;0")</f>
        <v>726</v>
      </c>
      <c r="M364" s="76">
        <f t="shared" ref="M364" si="481">IFERROR(L364 - _xlfn.XLOOKUP(A364-30, $A$2:$A$14999,L$2:L$14999,"",-1,2),NA())</f>
        <v>310</v>
      </c>
      <c r="N364" s="74">
        <f t="shared" ref="N364" si="482">F364*120</f>
        <v>4800</v>
      </c>
      <c r="O364" s="76">
        <f t="shared" ref="O364" si="483">N364-N363</f>
        <v>1320</v>
      </c>
    </row>
    <row r="365" spans="1:15" x14ac:dyDescent="0.25">
      <c r="A365" s="77">
        <v>44496.986805555556</v>
      </c>
      <c r="C365" s="74">
        <v>20</v>
      </c>
      <c r="D365" s="74">
        <v>0</v>
      </c>
      <c r="E365" s="431">
        <v>10</v>
      </c>
      <c r="F365" s="150">
        <f t="shared" si="476"/>
        <v>30</v>
      </c>
      <c r="G365" s="76">
        <f t="shared" ref="G365" si="484">C365-C364</f>
        <v>0</v>
      </c>
      <c r="H365" s="76">
        <f t="shared" ref="H365" si="485">D365-D364</f>
        <v>0</v>
      </c>
      <c r="I365" s="76">
        <f t="shared" ref="I365" si="486">F365-F364</f>
        <v>-10</v>
      </c>
      <c r="J365" s="76">
        <f>SUMIF(I$2:I365,"&gt;0")</f>
        <v>1331</v>
      </c>
      <c r="K365" s="76">
        <f t="shared" ref="K365" si="487">IFERROR(J365 - _xlfn.XLOOKUP(A365-30, $A$2:$A$14999,J$2:J$14999,"",-1,2),NA())</f>
        <v>127</v>
      </c>
      <c r="L365" s="76">
        <f>SUMIF(E$2:E365,"&gt;0")</f>
        <v>736</v>
      </c>
      <c r="M365" s="76">
        <f t="shared" ref="M365" si="488">IFERROR(L365 - _xlfn.XLOOKUP(A365-30, $A$2:$A$14999,L$2:L$14999,"",-1,2),NA())</f>
        <v>310</v>
      </c>
      <c r="N365" s="74">
        <f t="shared" ref="N365" si="489">F365*120</f>
        <v>3600</v>
      </c>
      <c r="O365" s="76">
        <f t="shared" ref="O365" si="490">N365-N364</f>
        <v>-1200</v>
      </c>
    </row>
    <row r="366" spans="1:15" x14ac:dyDescent="0.25">
      <c r="A366" s="77">
        <v>44497.978472222225</v>
      </c>
      <c r="C366" s="74">
        <v>25</v>
      </c>
      <c r="D366" s="74">
        <v>1</v>
      </c>
      <c r="E366" s="431">
        <v>10</v>
      </c>
      <c r="F366" s="150">
        <f t="shared" si="476"/>
        <v>45</v>
      </c>
      <c r="G366" s="76">
        <f t="shared" ref="G366" si="491">C366-C365</f>
        <v>5</v>
      </c>
      <c r="H366" s="76">
        <f t="shared" ref="H366" si="492">D366-D365</f>
        <v>1</v>
      </c>
      <c r="I366" s="76">
        <f t="shared" ref="I366" si="493">F366-F365</f>
        <v>15</v>
      </c>
      <c r="J366" s="76">
        <f>SUMIF(I$2:I366,"&gt;0")</f>
        <v>1346</v>
      </c>
      <c r="K366" s="76">
        <f t="shared" ref="K366" si="494">IFERROR(J366 - _xlfn.XLOOKUP(A366-30, $A$2:$A$14999,J$2:J$14999,"",-1,2),NA())</f>
        <v>142</v>
      </c>
      <c r="L366" s="76">
        <f>SUMIF(E$2:E366,"&gt;0")</f>
        <v>746</v>
      </c>
      <c r="M366" s="76">
        <f t="shared" ref="M366" si="495">IFERROR(L366 - _xlfn.XLOOKUP(A366-30, $A$2:$A$14999,L$2:L$14999,"",-1,2),NA())</f>
        <v>310</v>
      </c>
      <c r="N366" s="74">
        <f t="shared" ref="N366" si="496">F366*120</f>
        <v>5400</v>
      </c>
      <c r="O366" s="76">
        <f t="shared" ref="O366" si="497">N366-N365</f>
        <v>1800</v>
      </c>
    </row>
    <row r="367" spans="1:15" x14ac:dyDescent="0.25">
      <c r="A367" s="77">
        <v>44498.916666666664</v>
      </c>
      <c r="C367" s="74">
        <v>25</v>
      </c>
      <c r="D367" s="74">
        <v>0</v>
      </c>
      <c r="E367" s="431">
        <v>10</v>
      </c>
      <c r="F367" s="150">
        <f t="shared" ref="F367:F370" si="498">C367+D367*10+_xlfn.IFNA(E367,0)</f>
        <v>35</v>
      </c>
      <c r="G367" s="76">
        <f t="shared" ref="G367" si="499">C367-C366</f>
        <v>0</v>
      </c>
      <c r="H367" s="76">
        <f t="shared" ref="H367" si="500">D367-D366</f>
        <v>-1</v>
      </c>
      <c r="I367" s="76">
        <f t="shared" ref="I367" si="501">F367-F366</f>
        <v>-10</v>
      </c>
      <c r="J367" s="76">
        <f>SUMIF(I$2:I367,"&gt;0")</f>
        <v>1346</v>
      </c>
      <c r="K367" s="76">
        <f t="shared" ref="K367" si="502">IFERROR(J367 - _xlfn.XLOOKUP(A367-30, $A$2:$A$14999,J$2:J$14999,"",-1,2),NA())</f>
        <v>142</v>
      </c>
      <c r="L367" s="76">
        <f>SUMIF(E$2:E367,"&gt;0")</f>
        <v>756</v>
      </c>
      <c r="M367" s="76">
        <f t="shared" ref="M367" si="503">IFERROR(L367 - _xlfn.XLOOKUP(A367-30, $A$2:$A$14999,L$2:L$14999,"",-1,2),NA())</f>
        <v>320</v>
      </c>
      <c r="N367" s="74">
        <f t="shared" ref="N367:N368" si="504">F367*120</f>
        <v>4200</v>
      </c>
      <c r="O367" s="76">
        <f t="shared" ref="O367" si="505">N367-N366</f>
        <v>-1200</v>
      </c>
    </row>
    <row r="368" spans="1:15" x14ac:dyDescent="0.25">
      <c r="A368" s="77">
        <v>44499.083333333336</v>
      </c>
      <c r="C368" s="74">
        <v>26</v>
      </c>
      <c r="D368" s="74">
        <v>0</v>
      </c>
      <c r="E368" s="431">
        <v>10</v>
      </c>
      <c r="F368" s="150">
        <f t="shared" si="498"/>
        <v>36</v>
      </c>
      <c r="G368" s="76">
        <f t="shared" ref="G368" si="506">C368-C367</f>
        <v>1</v>
      </c>
      <c r="H368" s="76">
        <f t="shared" ref="H368" si="507">D368-D367</f>
        <v>0</v>
      </c>
      <c r="I368" s="76">
        <f t="shared" ref="I368" si="508">F368-F367</f>
        <v>1</v>
      </c>
      <c r="J368" s="76">
        <f>SUMIF(I$2:I368,"&gt;0")</f>
        <v>1347</v>
      </c>
      <c r="K368" s="76">
        <f t="shared" ref="K368" si="509">IFERROR(J368 - _xlfn.XLOOKUP(A368-30, $A$2:$A$14999,J$2:J$14999,"",-1,2),NA())</f>
        <v>143</v>
      </c>
      <c r="L368" s="76">
        <f>SUMIF(E$2:E368,"&gt;0")</f>
        <v>766</v>
      </c>
      <c r="M368" s="76">
        <f t="shared" ref="M368" si="510">IFERROR(L368 - _xlfn.XLOOKUP(A368-30, $A$2:$A$14999,L$2:L$14999,"",-1,2),NA())</f>
        <v>310</v>
      </c>
      <c r="N368" s="74">
        <f t="shared" ref="N368:N369" si="511">F368*120</f>
        <v>4320</v>
      </c>
      <c r="O368" s="76">
        <f t="shared" ref="O368" si="512">N368-N367</f>
        <v>120</v>
      </c>
    </row>
    <row r="369" spans="1:15" x14ac:dyDescent="0.25">
      <c r="A369" s="77">
        <v>44500.243750000001</v>
      </c>
      <c r="C369" s="74">
        <v>26</v>
      </c>
      <c r="D369" s="74">
        <v>1</v>
      </c>
      <c r="E369" s="431">
        <v>10</v>
      </c>
      <c r="F369" s="150">
        <f t="shared" si="498"/>
        <v>46</v>
      </c>
      <c r="G369" s="76">
        <f t="shared" ref="G369" si="513">C369-C368</f>
        <v>0</v>
      </c>
      <c r="H369" s="76">
        <f t="shared" ref="H369" si="514">D369-D368</f>
        <v>1</v>
      </c>
      <c r="I369" s="76">
        <f t="shared" ref="I369" si="515">F369-F368</f>
        <v>10</v>
      </c>
      <c r="J369" s="76">
        <f>SUMIF(I$2:I369,"&gt;0")</f>
        <v>1357</v>
      </c>
      <c r="K369" s="76">
        <f t="shared" ref="K369" si="516">IFERROR(J369 - _xlfn.XLOOKUP(A369-30, $A$2:$A$14999,J$2:J$14999,"",-1,2),NA())</f>
        <v>151</v>
      </c>
      <c r="L369" s="76">
        <f>SUMIF(E$2:E369,"&gt;0")</f>
        <v>776</v>
      </c>
      <c r="M369" s="76">
        <f t="shared" ref="M369" si="517">IFERROR(L369 - _xlfn.XLOOKUP(A369-30, $A$2:$A$14999,L$2:L$14999,"",-1,2),NA())</f>
        <v>320</v>
      </c>
      <c r="N369" s="74">
        <f t="shared" ref="N369:N370" si="518">F369*120</f>
        <v>5520</v>
      </c>
      <c r="O369" s="76">
        <f t="shared" ref="O369" si="519">N369-N368</f>
        <v>1200</v>
      </c>
    </row>
    <row r="370" spans="1:15" x14ac:dyDescent="0.25">
      <c r="A370" s="77">
        <v>44500.250694444447</v>
      </c>
      <c r="B370" s="21" t="s">
        <v>502</v>
      </c>
      <c r="C370" s="74">
        <v>12</v>
      </c>
      <c r="D370" s="74">
        <v>1</v>
      </c>
      <c r="E370" s="431">
        <v>0</v>
      </c>
      <c r="F370" s="150">
        <f t="shared" ref="F370" si="520">C370+D370*10+_xlfn.IFNA(E370,0)</f>
        <v>22</v>
      </c>
      <c r="G370" s="76">
        <f t="shared" ref="G370" si="521">C370-C369</f>
        <v>-14</v>
      </c>
      <c r="H370" s="76">
        <f t="shared" ref="H370" si="522">D370-D369</f>
        <v>0</v>
      </c>
      <c r="I370" s="76">
        <f t="shared" ref="I370" si="523">F370-F369</f>
        <v>-24</v>
      </c>
      <c r="J370" s="76">
        <f>SUMIF(I$2:I370,"&gt;0")</f>
        <v>1357</v>
      </c>
      <c r="K370" s="76">
        <f t="shared" ref="K370" si="524">IFERROR(J370 - _xlfn.XLOOKUP(A370-30, $A$2:$A$14999,J$2:J$14999,"",-1,2),NA())</f>
        <v>151</v>
      </c>
      <c r="L370" s="76">
        <f>SUMIF(E$2:E370,"&gt;0")</f>
        <v>776</v>
      </c>
      <c r="M370" s="76">
        <f t="shared" ref="M370" si="525">IFERROR(L370 - _xlfn.XLOOKUP(A370-30, $A$2:$A$14999,L$2:L$14999,"",-1,2),NA())</f>
        <v>320</v>
      </c>
      <c r="N370" s="74">
        <f t="shared" ref="N370" si="526">F370*120</f>
        <v>2640</v>
      </c>
      <c r="O370" s="76">
        <f t="shared" ref="O370" si="527">N370-N369</f>
        <v>-2880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  <pageSetUpPr autoPageBreaks="0"/>
  </sheetPr>
  <dimension ref="A1:F678"/>
  <sheetViews>
    <sheetView workbookViewId="0">
      <pane ySplit="1" topLeftCell="A494" activePane="bottomLeft" state="frozen"/>
      <selection pane="bottomLeft" activeCell="E1" sqref="E1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17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>
        <f>IF(ISNUMBER(_xlfn.XLOOKUP(A482,鑽量!$A:$A,鑽量!$K:$K,,1,2)),_xlfn.XLOOKUP(A482,鑽量!$A:$A,鑽量!$K:$K,,1,2),NA())</f>
        <v>12915</v>
      </c>
      <c r="C482" s="416">
        <f t="shared" si="21"/>
        <v>107.625</v>
      </c>
      <c r="D482" s="416">
        <f>IF(ISNUMBER(_xlfn.XLOOKUP(A482,抽卷!$A:$A,抽卷!$K:$K,,1,2)),_xlfn.XLOOKUP(A482,抽卷!$A:$A,抽卷!$K:$K,,1,2),NA())</f>
        <v>163</v>
      </c>
      <c r="E482" s="416">
        <f>IF(ISNUMBER(_xlfn.XLOOKUP(A482,抽卷!$A:$A,抽卷!$M:$M,,1,2)),_xlfn.XLOOKUP(A482,抽卷!$A:$A,抽卷!$M:$M,,1,2),NA())</f>
        <v>160</v>
      </c>
      <c r="F482" s="70">
        <f t="shared" si="22"/>
        <v>430.625</v>
      </c>
    </row>
    <row r="483" spans="1:6" ht="15" customHeight="1" x14ac:dyDescent="0.25">
      <c r="A483" s="95">
        <f t="shared" si="23"/>
        <v>44419</v>
      </c>
      <c r="B483" s="76">
        <f>IF(ISNUMBER(_xlfn.XLOOKUP(A483,鑽量!$A:$A,鑽量!$K:$K,,1,2)),_xlfn.XLOOKUP(A483,鑽量!$A:$A,鑽量!$K:$K,,1,2),NA())</f>
        <v>12915</v>
      </c>
      <c r="C483" s="416">
        <f t="shared" si="21"/>
        <v>107.625</v>
      </c>
      <c r="D483" s="416">
        <f>IF(ISNUMBER(_xlfn.XLOOKUP(A483,抽卷!$A:$A,抽卷!$K:$K,,1,2)),_xlfn.XLOOKUP(A483,抽卷!$A:$A,抽卷!$K:$K,,1,2),NA())</f>
        <v>163</v>
      </c>
      <c r="E483" s="416">
        <f>IF(ISNUMBER(_xlfn.XLOOKUP(A483,抽卷!$A:$A,抽卷!$M:$M,,1,2)),_xlfn.XLOOKUP(A483,抽卷!$A:$A,抽卷!$M:$M,,1,2),NA())</f>
        <v>160</v>
      </c>
      <c r="F483" s="70">
        <f t="shared" si="22"/>
        <v>430.625</v>
      </c>
    </row>
    <row r="484" spans="1:6" ht="15" customHeight="1" x14ac:dyDescent="0.25">
      <c r="A484" s="95">
        <f t="shared" si="23"/>
        <v>44420</v>
      </c>
      <c r="B484" s="76">
        <f>IF(ISNUMBER(_xlfn.XLOOKUP(A484,鑽量!$A:$A,鑽量!$K:$K,,1,2)),_xlfn.XLOOKUP(A484,鑽量!$A:$A,鑽量!$K:$K,,1,2),NA())</f>
        <v>12915</v>
      </c>
      <c r="C484" s="416">
        <f t="shared" si="21"/>
        <v>107.625</v>
      </c>
      <c r="D484" s="416">
        <f>IF(ISNUMBER(_xlfn.XLOOKUP(A484,抽卷!$A:$A,抽卷!$K:$K,,1,2)),_xlfn.XLOOKUP(A484,抽卷!$A:$A,抽卷!$K:$K,,1,2),NA())</f>
        <v>163</v>
      </c>
      <c r="E484" s="416">
        <f>IF(ISNUMBER(_xlfn.XLOOKUP(A484,抽卷!$A:$A,抽卷!$M:$M,,1,2)),_xlfn.XLOOKUP(A484,抽卷!$A:$A,抽卷!$M:$M,,1,2),NA())</f>
        <v>160</v>
      </c>
      <c r="F484" s="70">
        <f t="shared" si="22"/>
        <v>430.625</v>
      </c>
    </row>
    <row r="485" spans="1:6" ht="15" customHeight="1" x14ac:dyDescent="0.25">
      <c r="A485" s="95">
        <f t="shared" si="23"/>
        <v>44421</v>
      </c>
      <c r="B485" s="76">
        <f>IF(ISNUMBER(_xlfn.XLOOKUP(A485,鑽量!$A:$A,鑽量!$K:$K,,1,2)),_xlfn.XLOOKUP(A485,鑽量!$A:$A,鑽量!$K:$K,,1,2),NA())</f>
        <v>12915</v>
      </c>
      <c r="C485" s="416">
        <f t="shared" si="21"/>
        <v>107.625</v>
      </c>
      <c r="D485" s="416">
        <f>IF(ISNUMBER(_xlfn.XLOOKUP(A485,抽卷!$A:$A,抽卷!$K:$K,,1,2)),_xlfn.XLOOKUP(A485,抽卷!$A:$A,抽卷!$K:$K,,1,2),NA())</f>
        <v>163</v>
      </c>
      <c r="E485" s="416">
        <f>IF(ISNUMBER(_xlfn.XLOOKUP(A485,抽卷!$A:$A,抽卷!$M:$M,,1,2)),_xlfn.XLOOKUP(A485,抽卷!$A:$A,抽卷!$M:$M,,1,2),NA())</f>
        <v>160</v>
      </c>
      <c r="F485" s="70">
        <f t="shared" si="22"/>
        <v>430.625</v>
      </c>
    </row>
    <row r="486" spans="1:6" ht="15" customHeight="1" x14ac:dyDescent="0.25">
      <c r="A486" s="95">
        <f t="shared" si="23"/>
        <v>44422</v>
      </c>
      <c r="B486" s="76">
        <f>IF(ISNUMBER(_xlfn.XLOOKUP(A486,鑽量!$A:$A,鑽量!$K:$K,,1,2)),_xlfn.XLOOKUP(A486,鑽量!$A:$A,鑽量!$K:$K,,1,2),NA())</f>
        <v>14520</v>
      </c>
      <c r="C486" s="416">
        <f t="shared" si="21"/>
        <v>121</v>
      </c>
      <c r="D486" s="416">
        <f>IF(ISNUMBER(_xlfn.XLOOKUP(A486,抽卷!$A:$A,抽卷!$K:$K,,1,2)),_xlfn.XLOOKUP(A486,抽卷!$A:$A,抽卷!$K:$K,,1,2),NA())</f>
        <v>168</v>
      </c>
      <c r="E486" s="416">
        <f>IF(ISNUMBER(_xlfn.XLOOKUP(A486,抽卷!$A:$A,抽卷!$M:$M,,1,2)),_xlfn.XLOOKUP(A486,抽卷!$A:$A,抽卷!$M:$M,,1,2),NA())</f>
        <v>100</v>
      </c>
      <c r="F486" s="70">
        <f t="shared" si="22"/>
        <v>389</v>
      </c>
    </row>
    <row r="487" spans="1:6" ht="15" customHeight="1" x14ac:dyDescent="0.25">
      <c r="A487" s="95">
        <f t="shared" si="23"/>
        <v>44423</v>
      </c>
      <c r="B487" s="76">
        <f>IF(ISNUMBER(_xlfn.XLOOKUP(A487,鑽量!$A:$A,鑽量!$K:$K,,1,2)),_xlfn.XLOOKUP(A487,鑽量!$A:$A,鑽量!$K:$K,,1,2),NA())</f>
        <v>13340</v>
      </c>
      <c r="C487" s="416">
        <f t="shared" si="21"/>
        <v>111.16666666666667</v>
      </c>
      <c r="D487" s="416">
        <f>IF(ISNUMBER(_xlfn.XLOOKUP(A487,抽卷!$A:$A,抽卷!$K:$K,,1,2)),_xlfn.XLOOKUP(A487,抽卷!$A:$A,抽卷!$K:$K,,1,2),NA())</f>
        <v>168</v>
      </c>
      <c r="E487" s="416">
        <f>IF(ISNUMBER(_xlfn.XLOOKUP(A487,抽卷!$A:$A,抽卷!$M:$M,,1,2)),_xlfn.XLOOKUP(A487,抽卷!$A:$A,抽卷!$M:$M,,1,2),NA())</f>
        <v>100</v>
      </c>
      <c r="F487" s="70">
        <f t="shared" si="22"/>
        <v>379.16666666666669</v>
      </c>
    </row>
    <row r="488" spans="1:6" ht="15" customHeight="1" x14ac:dyDescent="0.25">
      <c r="A488" s="95">
        <f t="shared" si="23"/>
        <v>44424</v>
      </c>
      <c r="B488" s="76">
        <f>IF(ISNUMBER(_xlfn.XLOOKUP(A488,鑽量!$A:$A,鑽量!$K:$K,,1,2)),_xlfn.XLOOKUP(A488,鑽量!$A:$A,鑽量!$K:$K,,1,2),NA())</f>
        <v>13340</v>
      </c>
      <c r="C488" s="416">
        <f t="shared" si="21"/>
        <v>111.16666666666667</v>
      </c>
      <c r="D488" s="416">
        <f>IF(ISNUMBER(_xlfn.XLOOKUP(A488,抽卷!$A:$A,抽卷!$K:$K,,1,2)),_xlfn.XLOOKUP(A488,抽卷!$A:$A,抽卷!$K:$K,,1,2),NA())</f>
        <v>168</v>
      </c>
      <c r="E488" s="416">
        <f>IF(ISNUMBER(_xlfn.XLOOKUP(A488,抽卷!$A:$A,抽卷!$M:$M,,1,2)),_xlfn.XLOOKUP(A488,抽卷!$A:$A,抽卷!$M:$M,,1,2),NA())</f>
        <v>100</v>
      </c>
      <c r="F488" s="70">
        <f t="shared" si="22"/>
        <v>379.16666666666669</v>
      </c>
    </row>
    <row r="489" spans="1:6" ht="15" customHeight="1" x14ac:dyDescent="0.25">
      <c r="A489" s="95">
        <f t="shared" si="23"/>
        <v>44425</v>
      </c>
      <c r="B489" s="76">
        <f>IF(ISNUMBER(_xlfn.XLOOKUP(A489,鑽量!$A:$A,鑽量!$K:$K,,1,2)),_xlfn.XLOOKUP(A489,鑽量!$A:$A,鑽量!$K:$K,,1,2),NA())</f>
        <v>13340</v>
      </c>
      <c r="C489" s="416">
        <f t="shared" si="21"/>
        <v>111.16666666666667</v>
      </c>
      <c r="D489" s="416">
        <f>IF(ISNUMBER(_xlfn.XLOOKUP(A489,抽卷!$A:$A,抽卷!$K:$K,,1,2)),_xlfn.XLOOKUP(A489,抽卷!$A:$A,抽卷!$K:$K,,1,2),NA())</f>
        <v>168</v>
      </c>
      <c r="E489" s="416">
        <f>IF(ISNUMBER(_xlfn.XLOOKUP(A489,抽卷!$A:$A,抽卷!$M:$M,,1,2)),_xlfn.XLOOKUP(A489,抽卷!$A:$A,抽卷!$M:$M,,1,2),NA())</f>
        <v>100</v>
      </c>
      <c r="F489" s="70">
        <f t="shared" si="22"/>
        <v>379.16666666666669</v>
      </c>
    </row>
    <row r="490" spans="1:6" ht="15" customHeight="1" x14ac:dyDescent="0.25">
      <c r="A490" s="95">
        <f t="shared" si="23"/>
        <v>44426</v>
      </c>
      <c r="B490" s="76">
        <f>IF(ISNUMBER(_xlfn.XLOOKUP(A490,鑽量!$A:$A,鑽量!$K:$K,,1,2)),_xlfn.XLOOKUP(A490,鑽量!$A:$A,鑽量!$K:$K,,1,2),NA())</f>
        <v>12490</v>
      </c>
      <c r="C490" s="416">
        <f t="shared" si="21"/>
        <v>104.08333333333333</v>
      </c>
      <c r="D490" s="416">
        <f>IF(ISNUMBER(_xlfn.XLOOKUP(A490,抽卷!$A:$A,抽卷!$K:$K,,1,2)),_xlfn.XLOOKUP(A490,抽卷!$A:$A,抽卷!$K:$K,,1,2),NA())</f>
        <v>64</v>
      </c>
      <c r="E490" s="416">
        <f>IF(ISNUMBER(_xlfn.XLOOKUP(A490,抽卷!$A:$A,抽卷!$M:$M,,1,2)),_xlfn.XLOOKUP(A490,抽卷!$A:$A,抽卷!$M:$M,,1,2),NA())</f>
        <v>0</v>
      </c>
      <c r="F490" s="70">
        <f t="shared" si="22"/>
        <v>168.08333333333331</v>
      </c>
    </row>
    <row r="491" spans="1:6" ht="15" customHeight="1" x14ac:dyDescent="0.25">
      <c r="A491" s="95">
        <f t="shared" si="23"/>
        <v>44427</v>
      </c>
      <c r="B491" s="76">
        <f>IF(ISNUMBER(_xlfn.XLOOKUP(A491,鑽量!$A:$A,鑽量!$K:$K,,1,2)),_xlfn.XLOOKUP(A491,鑽量!$A:$A,鑽量!$K:$K,,1,2),NA())</f>
        <v>12490</v>
      </c>
      <c r="C491" s="416">
        <f t="shared" si="21"/>
        <v>104.08333333333333</v>
      </c>
      <c r="D491" s="416">
        <f>IF(ISNUMBER(_xlfn.XLOOKUP(A491,抽卷!$A:$A,抽卷!$K:$K,,1,2)),_xlfn.XLOOKUP(A491,抽卷!$A:$A,抽卷!$K:$K,,1,2),NA())</f>
        <v>64</v>
      </c>
      <c r="E491" s="416">
        <f>IF(ISNUMBER(_xlfn.XLOOKUP(A491,抽卷!$A:$A,抽卷!$M:$M,,1,2)),_xlfn.XLOOKUP(A491,抽卷!$A:$A,抽卷!$M:$M,,1,2),NA())</f>
        <v>0</v>
      </c>
      <c r="F491" s="70">
        <f t="shared" si="22"/>
        <v>168.08333333333331</v>
      </c>
    </row>
    <row r="492" spans="1:6" ht="15" customHeight="1" x14ac:dyDescent="0.25">
      <c r="A492" s="95">
        <f t="shared" si="23"/>
        <v>44428</v>
      </c>
      <c r="B492" s="76">
        <f>IF(ISNUMBER(_xlfn.XLOOKUP(A492,鑽量!$A:$A,鑽量!$K:$K,,1,2)),_xlfn.XLOOKUP(A492,鑽量!$A:$A,鑽量!$K:$K,,1,2),NA())</f>
        <v>12730</v>
      </c>
      <c r="C492" s="416">
        <f t="shared" si="21"/>
        <v>106.08333333333333</v>
      </c>
      <c r="D492" s="416">
        <f>IF(ISNUMBER(_xlfn.XLOOKUP(A492,抽卷!$A:$A,抽卷!$K:$K,,1,2)),_xlfn.XLOOKUP(A492,抽卷!$A:$A,抽卷!$K:$K,,1,2),NA())</f>
        <v>64</v>
      </c>
      <c r="E492" s="416">
        <f>IF(ISNUMBER(_xlfn.XLOOKUP(A492,抽卷!$A:$A,抽卷!$M:$M,,1,2)),_xlfn.XLOOKUP(A492,抽卷!$A:$A,抽卷!$M:$M,,1,2),NA())</f>
        <v>0</v>
      </c>
      <c r="F492" s="70">
        <f t="shared" si="22"/>
        <v>170.08333333333331</v>
      </c>
    </row>
    <row r="493" spans="1:6" ht="15" customHeight="1" x14ac:dyDescent="0.25">
      <c r="A493" s="95">
        <f t="shared" si="23"/>
        <v>44429</v>
      </c>
      <c r="B493" s="76">
        <f>IF(ISNUMBER(_xlfn.XLOOKUP(A493,鑽量!$A:$A,鑽量!$K:$K,,1,2)),_xlfn.XLOOKUP(A493,鑽量!$A:$A,鑽量!$K:$K,,1,2),NA())</f>
        <v>12730</v>
      </c>
      <c r="C493" s="416">
        <f t="shared" si="21"/>
        <v>106.08333333333333</v>
      </c>
      <c r="D493" s="416">
        <f>IF(ISNUMBER(_xlfn.XLOOKUP(A493,抽卷!$A:$A,抽卷!$K:$K,,1,2)),_xlfn.XLOOKUP(A493,抽卷!$A:$A,抽卷!$K:$K,,1,2),NA())</f>
        <v>64</v>
      </c>
      <c r="E493" s="416">
        <f>IF(ISNUMBER(_xlfn.XLOOKUP(A493,抽卷!$A:$A,抽卷!$M:$M,,1,2)),_xlfn.XLOOKUP(A493,抽卷!$A:$A,抽卷!$M:$M,,1,2),NA())</f>
        <v>0</v>
      </c>
      <c r="F493" s="70">
        <f t="shared" si="22"/>
        <v>170.08333333333331</v>
      </c>
    </row>
    <row r="494" spans="1:6" ht="15" customHeight="1" x14ac:dyDescent="0.25">
      <c r="A494" s="95">
        <f t="shared" si="23"/>
        <v>44430</v>
      </c>
      <c r="B494" s="76">
        <f>IF(ISNUMBER(_xlfn.XLOOKUP(A494,鑽量!$A:$A,鑽量!$K:$K,,1,2)),_xlfn.XLOOKUP(A494,鑽量!$A:$A,鑽量!$K:$K,,1,2),NA())</f>
        <v>12730</v>
      </c>
      <c r="C494" s="416">
        <f t="shared" si="21"/>
        <v>106.08333333333333</v>
      </c>
      <c r="D494" s="416">
        <f>IF(ISNUMBER(_xlfn.XLOOKUP(A494,抽卷!$A:$A,抽卷!$K:$K,,1,2)),_xlfn.XLOOKUP(A494,抽卷!$A:$A,抽卷!$K:$K,,1,2),NA())</f>
        <v>64</v>
      </c>
      <c r="E494" s="416">
        <f>IF(ISNUMBER(_xlfn.XLOOKUP(A494,抽卷!$A:$A,抽卷!$M:$M,,1,2)),_xlfn.XLOOKUP(A494,抽卷!$A:$A,抽卷!$M:$M,,1,2),NA())</f>
        <v>0</v>
      </c>
      <c r="F494" s="70">
        <f t="shared" si="22"/>
        <v>170.08333333333331</v>
      </c>
    </row>
    <row r="495" spans="1:6" ht="15" customHeight="1" x14ac:dyDescent="0.25">
      <c r="A495" s="95">
        <f t="shared" si="23"/>
        <v>44431</v>
      </c>
      <c r="B495" s="76">
        <f>IF(ISNUMBER(_xlfn.XLOOKUP(A495,鑽量!$A:$A,鑽量!$K:$K,,1,2)),_xlfn.XLOOKUP(A495,鑽量!$A:$A,鑽量!$K:$K,,1,2),NA())</f>
        <v>14280</v>
      </c>
      <c r="C495" s="416">
        <f t="shared" ref="C495:C503" si="24">B495/120</f>
        <v>119</v>
      </c>
      <c r="D495" s="416">
        <f>IF(ISNUMBER(_xlfn.XLOOKUP(A495,抽卷!$A:$A,抽卷!$K:$K,,1,2)),_xlfn.XLOOKUP(A495,抽卷!$A:$A,抽卷!$K:$K,,1,2),NA())</f>
        <v>71</v>
      </c>
      <c r="E495" s="416">
        <f>IF(ISNUMBER(_xlfn.XLOOKUP(A495,抽卷!$A:$A,抽卷!$M:$M,,1,2)),_xlfn.XLOOKUP(A495,抽卷!$A:$A,抽卷!$M:$M,,1,2),NA())</f>
        <v>0</v>
      </c>
      <c r="F495" s="70">
        <f t="shared" si="22"/>
        <v>190</v>
      </c>
    </row>
    <row r="496" spans="1:6" ht="15" customHeight="1" x14ac:dyDescent="0.25">
      <c r="A496" s="95">
        <f t="shared" si="23"/>
        <v>44432</v>
      </c>
      <c r="B496" s="76">
        <f>IF(ISNUMBER(_xlfn.XLOOKUP(A496,鑽量!$A:$A,鑽量!$K:$K,,1,2)),_xlfn.XLOOKUP(A496,鑽量!$A:$A,鑽量!$K:$K,,1,2),NA())</f>
        <v>14280</v>
      </c>
      <c r="C496" s="416">
        <f t="shared" si="24"/>
        <v>119</v>
      </c>
      <c r="D496" s="416">
        <f>IF(ISNUMBER(_xlfn.XLOOKUP(A496,抽卷!$A:$A,抽卷!$K:$K,,1,2)),_xlfn.XLOOKUP(A496,抽卷!$A:$A,抽卷!$K:$K,,1,2),NA())</f>
        <v>71</v>
      </c>
      <c r="E496" s="416">
        <f>IF(ISNUMBER(_xlfn.XLOOKUP(A496,抽卷!$A:$A,抽卷!$M:$M,,1,2)),_xlfn.XLOOKUP(A496,抽卷!$A:$A,抽卷!$M:$M,,1,2),NA())</f>
        <v>0</v>
      </c>
      <c r="F496" s="70">
        <f t="shared" si="22"/>
        <v>190</v>
      </c>
    </row>
    <row r="497" spans="1:6" ht="15" customHeight="1" x14ac:dyDescent="0.25">
      <c r="A497" s="95">
        <f t="shared" si="23"/>
        <v>44433</v>
      </c>
      <c r="B497" s="76">
        <f>IF(ISNUMBER(_xlfn.XLOOKUP(A497,鑽量!$A:$A,鑽量!$K:$K,,1,2)),_xlfn.XLOOKUP(A497,鑽量!$A:$A,鑽量!$K:$K,,1,2),NA())</f>
        <v>14280</v>
      </c>
      <c r="C497" s="416">
        <f t="shared" si="24"/>
        <v>119</v>
      </c>
      <c r="D497" s="416">
        <f>IF(ISNUMBER(_xlfn.XLOOKUP(A497,抽卷!$A:$A,抽卷!$K:$K,,1,2)),_xlfn.XLOOKUP(A497,抽卷!$A:$A,抽卷!$K:$K,,1,2),NA())</f>
        <v>71</v>
      </c>
      <c r="E497" s="416">
        <f>IF(ISNUMBER(_xlfn.XLOOKUP(A497,抽卷!$A:$A,抽卷!$M:$M,,1,2)),_xlfn.XLOOKUP(A497,抽卷!$A:$A,抽卷!$M:$M,,1,2),NA())</f>
        <v>0</v>
      </c>
      <c r="F497" s="70">
        <f t="shared" si="22"/>
        <v>190</v>
      </c>
    </row>
    <row r="498" spans="1:6" ht="15" customHeight="1" x14ac:dyDescent="0.25">
      <c r="A498" s="95">
        <f t="shared" si="23"/>
        <v>44434</v>
      </c>
      <c r="B498" s="76">
        <f>IF(ISNUMBER(_xlfn.XLOOKUP(A498,鑽量!$A:$A,鑽量!$K:$K,,1,2)),_xlfn.XLOOKUP(A498,鑽量!$A:$A,鑽量!$K:$K,,1,2),NA())</f>
        <v>14280</v>
      </c>
      <c r="C498" s="416">
        <f t="shared" si="24"/>
        <v>119</v>
      </c>
      <c r="D498" s="416">
        <f>IF(ISNUMBER(_xlfn.XLOOKUP(A498,抽卷!$A:$A,抽卷!$K:$K,,1,2)),_xlfn.XLOOKUP(A498,抽卷!$A:$A,抽卷!$K:$K,,1,2),NA())</f>
        <v>71</v>
      </c>
      <c r="E498" s="416">
        <f>IF(ISNUMBER(_xlfn.XLOOKUP(A498,抽卷!$A:$A,抽卷!$M:$M,,1,2)),_xlfn.XLOOKUP(A498,抽卷!$A:$A,抽卷!$M:$M,,1,2),NA())</f>
        <v>0</v>
      </c>
      <c r="F498" s="70">
        <f t="shared" si="22"/>
        <v>190</v>
      </c>
    </row>
    <row r="499" spans="1:6" ht="15" customHeight="1" x14ac:dyDescent="0.25">
      <c r="A499" s="95">
        <f t="shared" si="23"/>
        <v>44435</v>
      </c>
      <c r="B499" s="76">
        <f>IF(ISNUMBER(_xlfn.XLOOKUP(A499,鑽量!$A:$A,鑽量!$K:$K,,1,2)),_xlfn.XLOOKUP(A499,鑽量!$A:$A,鑽量!$K:$K,,1,2),NA())</f>
        <v>14280</v>
      </c>
      <c r="C499" s="416">
        <f t="shared" si="24"/>
        <v>119</v>
      </c>
      <c r="D499" s="416">
        <f>IF(ISNUMBER(_xlfn.XLOOKUP(A499,抽卷!$A:$A,抽卷!$K:$K,,1,2)),_xlfn.XLOOKUP(A499,抽卷!$A:$A,抽卷!$K:$K,,1,2),NA())</f>
        <v>71</v>
      </c>
      <c r="E499" s="416">
        <f>IF(ISNUMBER(_xlfn.XLOOKUP(A499,抽卷!$A:$A,抽卷!$M:$M,,1,2)),_xlfn.XLOOKUP(A499,抽卷!$A:$A,抽卷!$M:$M,,1,2),NA())</f>
        <v>0</v>
      </c>
      <c r="F499" s="70">
        <f t="shared" si="22"/>
        <v>190</v>
      </c>
    </row>
    <row r="500" spans="1:6" ht="15" customHeight="1" x14ac:dyDescent="0.25">
      <c r="A500" s="95">
        <f t="shared" si="23"/>
        <v>44436</v>
      </c>
      <c r="B500" s="76">
        <f>IF(ISNUMBER(_xlfn.XLOOKUP(A500,鑽量!$A:$A,鑽量!$K:$K,,1,2)),_xlfn.XLOOKUP(A500,鑽量!$A:$A,鑽量!$K:$K,,1,2),NA())</f>
        <v>14280</v>
      </c>
      <c r="C500" s="416">
        <f t="shared" si="24"/>
        <v>119</v>
      </c>
      <c r="D500" s="416">
        <f>IF(ISNUMBER(_xlfn.XLOOKUP(A500,抽卷!$A:$A,抽卷!$K:$K,,1,2)),_xlfn.XLOOKUP(A500,抽卷!$A:$A,抽卷!$K:$K,,1,2),NA())</f>
        <v>71</v>
      </c>
      <c r="E500" s="416">
        <f>IF(ISNUMBER(_xlfn.XLOOKUP(A500,抽卷!$A:$A,抽卷!$M:$M,,1,2)),_xlfn.XLOOKUP(A500,抽卷!$A:$A,抽卷!$M:$M,,1,2),NA())</f>
        <v>0</v>
      </c>
      <c r="F500" s="70">
        <f t="shared" si="22"/>
        <v>190</v>
      </c>
    </row>
    <row r="501" spans="1:6" ht="15" customHeight="1" x14ac:dyDescent="0.25">
      <c r="A501" s="95">
        <f t="shared" si="23"/>
        <v>44437</v>
      </c>
      <c r="B501" s="76">
        <f>IF(ISNUMBER(_xlfn.XLOOKUP(A501,鑽量!$A:$A,鑽量!$K:$K,,1,2)),_xlfn.XLOOKUP(A501,鑽量!$A:$A,鑽量!$K:$K,,1,2),NA())</f>
        <v>13230</v>
      </c>
      <c r="C501" s="416">
        <f t="shared" si="24"/>
        <v>110.25</v>
      </c>
      <c r="D501" s="416">
        <f>IF(ISNUMBER(_xlfn.XLOOKUP(A501,抽卷!$A:$A,抽卷!$K:$K,,1,2)),_xlfn.XLOOKUP(A501,抽卷!$A:$A,抽卷!$K:$K,,1,2),NA())</f>
        <v>51</v>
      </c>
      <c r="E501" s="416">
        <f>IF(ISNUMBER(_xlfn.XLOOKUP(A501,抽卷!$A:$A,抽卷!$M:$M,,1,2)),_xlfn.XLOOKUP(A501,抽卷!$A:$A,抽卷!$M:$M,,1,2),NA())</f>
        <v>0</v>
      </c>
      <c r="F501" s="70">
        <f t="shared" si="22"/>
        <v>161.25</v>
      </c>
    </row>
    <row r="502" spans="1:6" ht="15" customHeight="1" x14ac:dyDescent="0.25">
      <c r="A502" s="95">
        <f t="shared" si="23"/>
        <v>44438</v>
      </c>
      <c r="B502" s="76">
        <f>IF(ISNUMBER(_xlfn.XLOOKUP(A502,鑽量!$A:$A,鑽量!$K:$K,,1,2)),_xlfn.XLOOKUP(A502,鑽量!$A:$A,鑽量!$K:$K,,1,2),NA())</f>
        <v>13230</v>
      </c>
      <c r="C502" s="416">
        <f t="shared" si="24"/>
        <v>110.25</v>
      </c>
      <c r="D502" s="416">
        <f>IF(ISNUMBER(_xlfn.XLOOKUP(A502,抽卷!$A:$A,抽卷!$K:$K,,1,2)),_xlfn.XLOOKUP(A502,抽卷!$A:$A,抽卷!$K:$K,,1,2),NA())</f>
        <v>51</v>
      </c>
      <c r="E502" s="416">
        <f>IF(ISNUMBER(_xlfn.XLOOKUP(A502,抽卷!$A:$A,抽卷!$M:$M,,1,2)),_xlfn.XLOOKUP(A502,抽卷!$A:$A,抽卷!$M:$M,,1,2),NA())</f>
        <v>0</v>
      </c>
      <c r="F502" s="70">
        <f t="shared" si="22"/>
        <v>161.25</v>
      </c>
    </row>
    <row r="503" spans="1:6" ht="15" customHeight="1" x14ac:dyDescent="0.25">
      <c r="A503" s="95">
        <f t="shared" si="23"/>
        <v>44439</v>
      </c>
      <c r="B503" s="76">
        <f>IF(ISNUMBER(_xlfn.XLOOKUP(A503,鑽量!$A:$A,鑽量!$K:$K,,1,2)),_xlfn.XLOOKUP(A503,鑽量!$A:$A,鑽量!$K:$K,,1,2),NA())</f>
        <v>11860</v>
      </c>
      <c r="C503" s="416">
        <f t="shared" si="24"/>
        <v>98.833333333333329</v>
      </c>
      <c r="D503" s="416">
        <f>IF(ISNUMBER(_xlfn.XLOOKUP(A503,抽卷!$A:$A,抽卷!$K:$K,,1,2)),_xlfn.XLOOKUP(A503,抽卷!$A:$A,抽卷!$K:$K,,1,2),NA())</f>
        <v>48</v>
      </c>
      <c r="E503" s="416">
        <f>IF(ISNUMBER(_xlfn.XLOOKUP(A503,抽卷!$A:$A,抽卷!$M:$M,,1,2)),_xlfn.XLOOKUP(A503,抽卷!$A:$A,抽卷!$M:$M,,1,2),NA())</f>
        <v>0</v>
      </c>
      <c r="F503" s="70">
        <f t="shared" si="22"/>
        <v>146.83333333333331</v>
      </c>
    </row>
    <row r="504" spans="1:6" ht="15" customHeight="1" x14ac:dyDescent="0.25">
      <c r="A504" s="95">
        <f t="shared" si="23"/>
        <v>44440</v>
      </c>
      <c r="B504" s="76">
        <f>IF(ISNUMBER(_xlfn.XLOOKUP(A504,鑽量!$A:$A,鑽量!$K:$K,,1,2)),_xlfn.XLOOKUP(A504,鑽量!$A:$A,鑽量!$K:$K,,1,2),NA())</f>
        <v>11860</v>
      </c>
      <c r="C504" s="416">
        <f t="shared" ref="C504:C567" si="25">B504/120</f>
        <v>98.833333333333329</v>
      </c>
      <c r="D504" s="416">
        <f>IF(ISNUMBER(_xlfn.XLOOKUP(A504,抽卷!$A:$A,抽卷!$K:$K,,1,2)),_xlfn.XLOOKUP(A504,抽卷!$A:$A,抽卷!$K:$K,,1,2),NA())</f>
        <v>48</v>
      </c>
      <c r="E504" s="416">
        <f>IF(ISNUMBER(_xlfn.XLOOKUP(A504,抽卷!$A:$A,抽卷!$M:$M,,1,2)),_xlfn.XLOOKUP(A504,抽卷!$A:$A,抽卷!$M:$M,,1,2),NA())</f>
        <v>0</v>
      </c>
      <c r="F504" s="70">
        <f t="shared" ref="F504:F567" si="26">IF(ISNA(E504),IF(ISNA(D504),C504,C504+D504),E504+D504+C504)</f>
        <v>146.83333333333331</v>
      </c>
    </row>
    <row r="505" spans="1:6" ht="15" customHeight="1" x14ac:dyDescent="0.25">
      <c r="A505" s="95">
        <f t="shared" si="23"/>
        <v>44441</v>
      </c>
      <c r="B505" s="76">
        <f>IF(ISNUMBER(_xlfn.XLOOKUP(A505,鑽量!$A:$A,鑽量!$K:$K,,1,2)),_xlfn.XLOOKUP(A505,鑽量!$A:$A,鑽量!$K:$K,,1,2),NA())</f>
        <v>11860</v>
      </c>
      <c r="C505" s="416">
        <f t="shared" si="25"/>
        <v>98.833333333333329</v>
      </c>
      <c r="D505" s="416">
        <f>IF(ISNUMBER(_xlfn.XLOOKUP(A505,抽卷!$A:$A,抽卷!$K:$K,,1,2)),_xlfn.XLOOKUP(A505,抽卷!$A:$A,抽卷!$K:$K,,1,2),NA())</f>
        <v>48</v>
      </c>
      <c r="E505" s="416">
        <f>IF(ISNUMBER(_xlfn.XLOOKUP(A505,抽卷!$A:$A,抽卷!$M:$M,,1,2)),_xlfn.XLOOKUP(A505,抽卷!$A:$A,抽卷!$M:$M,,1,2),NA())</f>
        <v>0</v>
      </c>
      <c r="F505" s="70">
        <f t="shared" si="26"/>
        <v>146.83333333333331</v>
      </c>
    </row>
    <row r="506" spans="1:6" ht="15" customHeight="1" x14ac:dyDescent="0.25">
      <c r="A506" s="95">
        <f t="shared" si="23"/>
        <v>44442</v>
      </c>
      <c r="B506" s="76">
        <f>IF(ISNUMBER(_xlfn.XLOOKUP(A506,鑽量!$A:$A,鑽量!$K:$K,,1,2)),_xlfn.XLOOKUP(A506,鑽量!$A:$A,鑽量!$K:$K,,1,2),NA())</f>
        <v>11860</v>
      </c>
      <c r="C506" s="416">
        <f t="shared" si="25"/>
        <v>98.833333333333329</v>
      </c>
      <c r="D506" s="416">
        <f>IF(ISNUMBER(_xlfn.XLOOKUP(A506,抽卷!$A:$A,抽卷!$K:$K,,1,2)),_xlfn.XLOOKUP(A506,抽卷!$A:$A,抽卷!$K:$K,,1,2),NA())</f>
        <v>48</v>
      </c>
      <c r="E506" s="416">
        <f>IF(ISNUMBER(_xlfn.XLOOKUP(A506,抽卷!$A:$A,抽卷!$M:$M,,1,2)),_xlfn.XLOOKUP(A506,抽卷!$A:$A,抽卷!$M:$M,,1,2),NA())</f>
        <v>0</v>
      </c>
      <c r="F506" s="70">
        <f t="shared" si="26"/>
        <v>146.83333333333331</v>
      </c>
    </row>
    <row r="507" spans="1:6" ht="15" customHeight="1" x14ac:dyDescent="0.25">
      <c r="A507" s="95">
        <f t="shared" si="23"/>
        <v>44443</v>
      </c>
      <c r="B507" s="76">
        <f>IF(ISNUMBER(_xlfn.XLOOKUP(A507,鑽量!$A:$A,鑽量!$K:$K,,1,2)),_xlfn.XLOOKUP(A507,鑽量!$A:$A,鑽量!$K:$K,,1,2),NA())</f>
        <v>12385</v>
      </c>
      <c r="C507" s="416">
        <f t="shared" si="25"/>
        <v>103.20833333333333</v>
      </c>
      <c r="D507" s="416">
        <f>IF(ISNUMBER(_xlfn.XLOOKUP(A507,抽卷!$A:$A,抽卷!$K:$K,,1,2)),_xlfn.XLOOKUP(A507,抽卷!$A:$A,抽卷!$K:$K,,1,2),NA())</f>
        <v>50</v>
      </c>
      <c r="E507" s="416">
        <f>IF(ISNUMBER(_xlfn.XLOOKUP(A507,抽卷!$A:$A,抽卷!$M:$M,,1,2)),_xlfn.XLOOKUP(A507,抽卷!$A:$A,抽卷!$M:$M,,1,2),NA())</f>
        <v>0</v>
      </c>
      <c r="F507" s="70">
        <f t="shared" si="26"/>
        <v>153.20833333333331</v>
      </c>
    </row>
    <row r="508" spans="1:6" ht="15" customHeight="1" x14ac:dyDescent="0.25">
      <c r="A508" s="95">
        <f t="shared" si="23"/>
        <v>44444</v>
      </c>
      <c r="B508" s="76">
        <f>IF(ISNUMBER(_xlfn.XLOOKUP(A508,鑽量!$A:$A,鑽量!$K:$K,,1,2)),_xlfn.XLOOKUP(A508,鑽量!$A:$A,鑽量!$K:$K,,1,2),NA())</f>
        <v>12385</v>
      </c>
      <c r="C508" s="416">
        <f t="shared" si="25"/>
        <v>103.20833333333333</v>
      </c>
      <c r="D508" s="416">
        <f>IF(ISNUMBER(_xlfn.XLOOKUP(A508,抽卷!$A:$A,抽卷!$K:$K,,1,2)),_xlfn.XLOOKUP(A508,抽卷!$A:$A,抽卷!$K:$K,,1,2),NA())</f>
        <v>50</v>
      </c>
      <c r="E508" s="416">
        <f>IF(ISNUMBER(_xlfn.XLOOKUP(A508,抽卷!$A:$A,抽卷!$M:$M,,1,2)),_xlfn.XLOOKUP(A508,抽卷!$A:$A,抽卷!$M:$M,,1,2),NA())</f>
        <v>0</v>
      </c>
      <c r="F508" s="70">
        <f t="shared" si="26"/>
        <v>153.20833333333331</v>
      </c>
    </row>
    <row r="509" spans="1:6" ht="15" customHeight="1" x14ac:dyDescent="0.25">
      <c r="A509" s="95">
        <f t="shared" si="23"/>
        <v>44445</v>
      </c>
      <c r="B509" s="76">
        <f>IF(ISNUMBER(_xlfn.XLOOKUP(A509,鑽量!$A:$A,鑽量!$K:$K,,1,2)),_xlfn.XLOOKUP(A509,鑽量!$A:$A,鑽量!$K:$K,,1,2),NA())</f>
        <v>12385</v>
      </c>
      <c r="C509" s="416">
        <f t="shared" si="25"/>
        <v>103.20833333333333</v>
      </c>
      <c r="D509" s="416">
        <f>IF(ISNUMBER(_xlfn.XLOOKUP(A509,抽卷!$A:$A,抽卷!$K:$K,,1,2)),_xlfn.XLOOKUP(A509,抽卷!$A:$A,抽卷!$K:$K,,1,2),NA())</f>
        <v>50</v>
      </c>
      <c r="E509" s="416">
        <f>IF(ISNUMBER(_xlfn.XLOOKUP(A509,抽卷!$A:$A,抽卷!$M:$M,,1,2)),_xlfn.XLOOKUP(A509,抽卷!$A:$A,抽卷!$M:$M,,1,2),NA())</f>
        <v>0</v>
      </c>
      <c r="F509" s="70">
        <f t="shared" si="26"/>
        <v>153.20833333333331</v>
      </c>
    </row>
    <row r="510" spans="1:6" ht="15" customHeight="1" x14ac:dyDescent="0.25">
      <c r="A510" s="95">
        <f t="shared" si="23"/>
        <v>44446</v>
      </c>
      <c r="B510" s="76">
        <f>IF(ISNUMBER(_xlfn.XLOOKUP(A510,鑽量!$A:$A,鑽量!$K:$K,,1,2)),_xlfn.XLOOKUP(A510,鑽量!$A:$A,鑽量!$K:$K,,1,2),NA())</f>
        <v>12385</v>
      </c>
      <c r="C510" s="416">
        <f t="shared" si="25"/>
        <v>103.20833333333333</v>
      </c>
      <c r="D510" s="416">
        <f>IF(ISNUMBER(_xlfn.XLOOKUP(A510,抽卷!$A:$A,抽卷!$K:$K,,1,2)),_xlfn.XLOOKUP(A510,抽卷!$A:$A,抽卷!$K:$K,,1,2),NA())</f>
        <v>50</v>
      </c>
      <c r="E510" s="416">
        <f>IF(ISNUMBER(_xlfn.XLOOKUP(A510,抽卷!$A:$A,抽卷!$M:$M,,1,2)),_xlfn.XLOOKUP(A510,抽卷!$A:$A,抽卷!$M:$M,,1,2),NA())</f>
        <v>0</v>
      </c>
      <c r="F510" s="70">
        <f t="shared" si="26"/>
        <v>153.20833333333331</v>
      </c>
    </row>
    <row r="511" spans="1:6" ht="15" customHeight="1" x14ac:dyDescent="0.25">
      <c r="A511" s="95">
        <f t="shared" si="23"/>
        <v>44447</v>
      </c>
      <c r="B511" s="76">
        <f>IF(ISNUMBER(_xlfn.XLOOKUP(A511,鑽量!$A:$A,鑽量!$K:$K,,1,2)),_xlfn.XLOOKUP(A511,鑽量!$A:$A,鑽量!$K:$K,,1,2),NA())</f>
        <v>12385</v>
      </c>
      <c r="C511" s="416">
        <f t="shared" si="25"/>
        <v>103.20833333333333</v>
      </c>
      <c r="D511" s="416">
        <f>IF(ISNUMBER(_xlfn.XLOOKUP(A511,抽卷!$A:$A,抽卷!$K:$K,,1,2)),_xlfn.XLOOKUP(A511,抽卷!$A:$A,抽卷!$K:$K,,1,2),NA())</f>
        <v>50</v>
      </c>
      <c r="E511" s="416">
        <f>IF(ISNUMBER(_xlfn.XLOOKUP(A511,抽卷!$A:$A,抽卷!$M:$M,,1,2)),_xlfn.XLOOKUP(A511,抽卷!$A:$A,抽卷!$M:$M,,1,2),NA())</f>
        <v>0</v>
      </c>
      <c r="F511" s="70">
        <f t="shared" si="26"/>
        <v>153.20833333333331</v>
      </c>
    </row>
    <row r="512" spans="1:6" ht="15" customHeight="1" x14ac:dyDescent="0.25">
      <c r="A512" s="95">
        <f t="shared" si="23"/>
        <v>44448</v>
      </c>
      <c r="B512" s="76">
        <f>IF(ISNUMBER(_xlfn.XLOOKUP(A512,鑽量!$A:$A,鑽量!$K:$K,,1,2)),_xlfn.XLOOKUP(A512,鑽量!$A:$A,鑽量!$K:$K,,1,2),NA())</f>
        <v>12385</v>
      </c>
      <c r="C512" s="416">
        <f t="shared" si="25"/>
        <v>103.20833333333333</v>
      </c>
      <c r="D512" s="416">
        <f>IF(ISNUMBER(_xlfn.XLOOKUP(A512,抽卷!$A:$A,抽卷!$K:$K,,1,2)),_xlfn.XLOOKUP(A512,抽卷!$A:$A,抽卷!$K:$K,,1,2),NA())</f>
        <v>50</v>
      </c>
      <c r="E512" s="416">
        <f>IF(ISNUMBER(_xlfn.XLOOKUP(A512,抽卷!$A:$A,抽卷!$M:$M,,1,2)),_xlfn.XLOOKUP(A512,抽卷!$A:$A,抽卷!$M:$M,,1,2),NA())</f>
        <v>0</v>
      </c>
      <c r="F512" s="70">
        <f t="shared" si="26"/>
        <v>153.20833333333331</v>
      </c>
    </row>
    <row r="513" spans="1:6" ht="15" customHeight="1" x14ac:dyDescent="0.25">
      <c r="A513" s="95">
        <f t="shared" si="23"/>
        <v>44449</v>
      </c>
      <c r="B513" s="76">
        <f>IF(ISNUMBER(_xlfn.XLOOKUP(A513,鑽量!$A:$A,鑽量!$K:$K,,1,2)),_xlfn.XLOOKUP(A513,鑽量!$A:$A,鑽量!$K:$K,,1,2),NA())</f>
        <v>12385</v>
      </c>
      <c r="C513" s="416">
        <f t="shared" si="25"/>
        <v>103.20833333333333</v>
      </c>
      <c r="D513" s="416">
        <f>IF(ISNUMBER(_xlfn.XLOOKUP(A513,抽卷!$A:$A,抽卷!$K:$K,,1,2)),_xlfn.XLOOKUP(A513,抽卷!$A:$A,抽卷!$K:$K,,1,2),NA())</f>
        <v>50</v>
      </c>
      <c r="E513" s="416">
        <f>IF(ISNUMBER(_xlfn.XLOOKUP(A513,抽卷!$A:$A,抽卷!$M:$M,,1,2)),_xlfn.XLOOKUP(A513,抽卷!$A:$A,抽卷!$M:$M,,1,2),NA())</f>
        <v>0</v>
      </c>
      <c r="F513" s="70">
        <f t="shared" si="26"/>
        <v>153.20833333333331</v>
      </c>
    </row>
    <row r="514" spans="1:6" ht="15" customHeight="1" x14ac:dyDescent="0.25">
      <c r="A514" s="95">
        <f t="shared" si="23"/>
        <v>44450</v>
      </c>
      <c r="B514" s="76">
        <f>IF(ISNUMBER(_xlfn.XLOOKUP(A514,鑽量!$A:$A,鑽量!$K:$K,,1,2)),_xlfn.XLOOKUP(A514,鑽量!$A:$A,鑽量!$K:$K,,1,2),NA())</f>
        <v>12290</v>
      </c>
      <c r="C514" s="416">
        <f t="shared" si="25"/>
        <v>102.41666666666667</v>
      </c>
      <c r="D514" s="416">
        <f>IF(ISNUMBER(_xlfn.XLOOKUP(A514,抽卷!$A:$A,抽卷!$K:$K,,1,2)),_xlfn.XLOOKUP(A514,抽卷!$A:$A,抽卷!$K:$K,,1,2),NA())</f>
        <v>50</v>
      </c>
      <c r="E514" s="416">
        <f>IF(ISNUMBER(_xlfn.XLOOKUP(A514,抽卷!$A:$A,抽卷!$M:$M,,1,2)),_xlfn.XLOOKUP(A514,抽卷!$A:$A,抽卷!$M:$M,,1,2),NA())</f>
        <v>0</v>
      </c>
      <c r="F514" s="70">
        <f t="shared" si="26"/>
        <v>152.41666666666669</v>
      </c>
    </row>
    <row r="515" spans="1:6" ht="15" customHeight="1" x14ac:dyDescent="0.25">
      <c r="A515" s="95">
        <f t="shared" si="23"/>
        <v>44451</v>
      </c>
      <c r="B515" s="76">
        <f>IF(ISNUMBER(_xlfn.XLOOKUP(A515,鑽量!$A:$A,鑽量!$K:$K,,1,2)),_xlfn.XLOOKUP(A515,鑽量!$A:$A,鑽量!$K:$K,,1,2),NA())</f>
        <v>12290</v>
      </c>
      <c r="C515" s="416">
        <f t="shared" si="25"/>
        <v>102.41666666666667</v>
      </c>
      <c r="D515" s="416">
        <f>IF(ISNUMBER(_xlfn.XLOOKUP(A515,抽卷!$A:$A,抽卷!$K:$K,,1,2)),_xlfn.XLOOKUP(A515,抽卷!$A:$A,抽卷!$K:$K,,1,2),NA())</f>
        <v>50</v>
      </c>
      <c r="E515" s="416">
        <f>IF(ISNUMBER(_xlfn.XLOOKUP(A515,抽卷!$A:$A,抽卷!$M:$M,,1,2)),_xlfn.XLOOKUP(A515,抽卷!$A:$A,抽卷!$M:$M,,1,2),NA())</f>
        <v>0</v>
      </c>
      <c r="F515" s="70">
        <f t="shared" si="26"/>
        <v>152.41666666666669</v>
      </c>
    </row>
    <row r="516" spans="1:6" ht="15" customHeight="1" x14ac:dyDescent="0.25">
      <c r="A516" s="95">
        <f t="shared" si="23"/>
        <v>44452</v>
      </c>
      <c r="B516" s="76">
        <f>IF(ISNUMBER(_xlfn.XLOOKUP(A516,鑽量!$A:$A,鑽量!$K:$K,,1,2)),_xlfn.XLOOKUP(A516,鑽量!$A:$A,鑽量!$K:$K,,1,2),NA())</f>
        <v>12290</v>
      </c>
      <c r="C516" s="416">
        <f t="shared" si="25"/>
        <v>102.41666666666667</v>
      </c>
      <c r="D516" s="416">
        <f>IF(ISNUMBER(_xlfn.XLOOKUP(A516,抽卷!$A:$A,抽卷!$K:$K,,1,2)),_xlfn.XLOOKUP(A516,抽卷!$A:$A,抽卷!$K:$K,,1,2),NA())</f>
        <v>50</v>
      </c>
      <c r="E516" s="416">
        <f>IF(ISNUMBER(_xlfn.XLOOKUP(A516,抽卷!$A:$A,抽卷!$M:$M,,1,2)),_xlfn.XLOOKUP(A516,抽卷!$A:$A,抽卷!$M:$M,,1,2),NA())</f>
        <v>0</v>
      </c>
      <c r="F516" s="70">
        <f t="shared" si="26"/>
        <v>152.41666666666669</v>
      </c>
    </row>
    <row r="517" spans="1:6" ht="15" customHeight="1" x14ac:dyDescent="0.25">
      <c r="A517" s="95">
        <f t="shared" si="23"/>
        <v>44453</v>
      </c>
      <c r="B517" s="76">
        <f>IF(ISNUMBER(_xlfn.XLOOKUP(A517,鑽量!$A:$A,鑽量!$K:$K,,1,2)),_xlfn.XLOOKUP(A517,鑽量!$A:$A,鑽量!$K:$K,,1,2),NA())</f>
        <v>10150</v>
      </c>
      <c r="C517" s="416">
        <f t="shared" si="25"/>
        <v>84.583333333333329</v>
      </c>
      <c r="D517" s="416">
        <f>IF(ISNUMBER(_xlfn.XLOOKUP(A517,抽卷!$A:$A,抽卷!$K:$K,,1,2)),_xlfn.XLOOKUP(A517,抽卷!$A:$A,抽卷!$K:$K,,1,2),NA())</f>
        <v>52</v>
      </c>
      <c r="E517" s="416">
        <f>IF(ISNUMBER(_xlfn.XLOOKUP(A517,抽卷!$A:$A,抽卷!$M:$M,,1,2)),_xlfn.XLOOKUP(A517,抽卷!$A:$A,抽卷!$M:$M,,1,2),NA())</f>
        <v>0</v>
      </c>
      <c r="F517" s="70">
        <f t="shared" si="26"/>
        <v>136.58333333333331</v>
      </c>
    </row>
    <row r="518" spans="1:6" ht="15" customHeight="1" x14ac:dyDescent="0.25">
      <c r="A518" s="95">
        <f t="shared" ref="A518:A581" si="27">A517+1</f>
        <v>44454</v>
      </c>
      <c r="B518" s="76">
        <f>IF(ISNUMBER(_xlfn.XLOOKUP(A518,鑽量!$A:$A,鑽量!$K:$K,,1,2)),_xlfn.XLOOKUP(A518,鑽量!$A:$A,鑽量!$K:$K,,1,2),NA())</f>
        <v>11415</v>
      </c>
      <c r="C518" s="416">
        <f t="shared" si="25"/>
        <v>95.125</v>
      </c>
      <c r="D518" s="416">
        <f>IF(ISNUMBER(_xlfn.XLOOKUP(A518,抽卷!$A:$A,抽卷!$K:$K,,1,2)),_xlfn.XLOOKUP(A518,抽卷!$A:$A,抽卷!$K:$K,,1,2),NA())</f>
        <v>58</v>
      </c>
      <c r="E518" s="416">
        <f>IF(ISNUMBER(_xlfn.XLOOKUP(A518,抽卷!$A:$A,抽卷!$M:$M,,1,2)),_xlfn.XLOOKUP(A518,抽卷!$A:$A,抽卷!$M:$M,,1,2),NA())</f>
        <v>0</v>
      </c>
      <c r="F518" s="70">
        <f t="shared" si="26"/>
        <v>153.125</v>
      </c>
    </row>
    <row r="519" spans="1:6" ht="15" customHeight="1" x14ac:dyDescent="0.25">
      <c r="A519" s="95">
        <f t="shared" si="27"/>
        <v>44455</v>
      </c>
      <c r="B519" s="76">
        <f>IF(ISNUMBER(_xlfn.XLOOKUP(A519,鑽量!$A:$A,鑽量!$K:$K,,1,2)),_xlfn.XLOOKUP(A519,鑽量!$A:$A,鑽量!$K:$K,,1,2),NA())</f>
        <v>9965</v>
      </c>
      <c r="C519" s="416">
        <f t="shared" si="25"/>
        <v>83.041666666666671</v>
      </c>
      <c r="D519" s="416">
        <f>IF(ISNUMBER(_xlfn.XLOOKUP(A519,抽卷!$A:$A,抽卷!$K:$K,,1,2)),_xlfn.XLOOKUP(A519,抽卷!$A:$A,抽卷!$K:$K,,1,2),NA())</f>
        <v>33</v>
      </c>
      <c r="E519" s="416">
        <f>IF(ISNUMBER(_xlfn.XLOOKUP(A519,抽卷!$A:$A,抽卷!$M:$M,,1,2)),_xlfn.XLOOKUP(A519,抽卷!$A:$A,抽卷!$M:$M,,1,2),NA())</f>
        <v>0</v>
      </c>
      <c r="F519" s="70">
        <f t="shared" si="26"/>
        <v>116.04166666666667</v>
      </c>
    </row>
    <row r="520" spans="1:6" ht="15" customHeight="1" x14ac:dyDescent="0.25">
      <c r="A520" s="95">
        <f t="shared" si="27"/>
        <v>44456</v>
      </c>
      <c r="B520" s="76">
        <f>IF(ISNUMBER(_xlfn.XLOOKUP(A520,鑽量!$A:$A,鑽量!$K:$K,,1,2)),_xlfn.XLOOKUP(A520,鑽量!$A:$A,鑽量!$K:$K,,1,2),NA())</f>
        <v>10135</v>
      </c>
      <c r="C520" s="416">
        <f t="shared" si="25"/>
        <v>84.458333333333329</v>
      </c>
      <c r="D520" s="416">
        <f>IF(ISNUMBER(_xlfn.XLOOKUP(A520,抽卷!$A:$A,抽卷!$K:$K,,1,2)),_xlfn.XLOOKUP(A520,抽卷!$A:$A,抽卷!$K:$K,,1,2),NA())</f>
        <v>35</v>
      </c>
      <c r="E520" s="416">
        <f>IF(ISNUMBER(_xlfn.XLOOKUP(A520,抽卷!$A:$A,抽卷!$M:$M,,1,2)),_xlfn.XLOOKUP(A520,抽卷!$A:$A,抽卷!$M:$M,,1,2),NA())</f>
        <v>0</v>
      </c>
      <c r="F520" s="70">
        <f t="shared" si="26"/>
        <v>119.45833333333333</v>
      </c>
    </row>
    <row r="521" spans="1:6" ht="15" customHeight="1" x14ac:dyDescent="0.25">
      <c r="A521" s="95">
        <f t="shared" si="27"/>
        <v>44457</v>
      </c>
      <c r="B521" s="76">
        <f>IF(ISNUMBER(_xlfn.XLOOKUP(A521,鑽量!$A:$A,鑽量!$K:$K,,1,2)),_xlfn.XLOOKUP(A521,鑽量!$A:$A,鑽量!$K:$K,,1,2),NA())</f>
        <v>11335</v>
      </c>
      <c r="C521" s="416">
        <f t="shared" si="25"/>
        <v>94.458333333333329</v>
      </c>
      <c r="D521" s="416">
        <f>IF(ISNUMBER(_xlfn.XLOOKUP(A521,抽卷!$A:$A,抽卷!$K:$K,,1,2)),_xlfn.XLOOKUP(A521,抽卷!$A:$A,抽卷!$K:$K,,1,2),NA())</f>
        <v>45</v>
      </c>
      <c r="E521" s="416">
        <f>IF(ISNUMBER(_xlfn.XLOOKUP(A521,抽卷!$A:$A,抽卷!$M:$M,,1,2)),_xlfn.XLOOKUP(A521,抽卷!$A:$A,抽卷!$M:$M,,1,2),NA())</f>
        <v>0</v>
      </c>
      <c r="F521" s="70">
        <f t="shared" si="26"/>
        <v>139.45833333333331</v>
      </c>
    </row>
    <row r="522" spans="1:6" ht="15" customHeight="1" x14ac:dyDescent="0.25">
      <c r="A522" s="95">
        <f t="shared" si="27"/>
        <v>44458</v>
      </c>
      <c r="B522" s="76">
        <f>IF(ISNUMBER(_xlfn.XLOOKUP(A522,鑽量!$A:$A,鑽量!$K:$K,,1,2)),_xlfn.XLOOKUP(A522,鑽量!$A:$A,鑽量!$K:$K,,1,2),NA())</f>
        <v>11335</v>
      </c>
      <c r="C522" s="416">
        <f t="shared" si="25"/>
        <v>94.458333333333329</v>
      </c>
      <c r="D522" s="416">
        <f>IF(ISNUMBER(_xlfn.XLOOKUP(A522,抽卷!$A:$A,抽卷!$K:$K,,1,2)),_xlfn.XLOOKUP(A522,抽卷!$A:$A,抽卷!$K:$K,,1,2),NA())</f>
        <v>45</v>
      </c>
      <c r="E522" s="416">
        <f>IF(ISNUMBER(_xlfn.XLOOKUP(A522,抽卷!$A:$A,抽卷!$M:$M,,1,2)),_xlfn.XLOOKUP(A522,抽卷!$A:$A,抽卷!$M:$M,,1,2),NA())</f>
        <v>0</v>
      </c>
      <c r="F522" s="70">
        <f t="shared" si="26"/>
        <v>139.45833333333331</v>
      </c>
    </row>
    <row r="523" spans="1:6" ht="15" customHeight="1" x14ac:dyDescent="0.25">
      <c r="A523" s="95">
        <f t="shared" si="27"/>
        <v>44459</v>
      </c>
      <c r="B523" s="76">
        <f>IF(ISNUMBER(_xlfn.XLOOKUP(A523,鑽量!$A:$A,鑽量!$K:$K,,1,2)),_xlfn.XLOOKUP(A523,鑽量!$A:$A,鑽量!$K:$K,,1,2),NA())</f>
        <v>11345</v>
      </c>
      <c r="C523" s="416">
        <f t="shared" si="25"/>
        <v>94.541666666666671</v>
      </c>
      <c r="D523" s="416">
        <f>IF(ISNUMBER(_xlfn.XLOOKUP(A523,抽卷!$A:$A,抽卷!$K:$K,,1,2)),_xlfn.XLOOKUP(A523,抽卷!$A:$A,抽卷!$K:$K,,1,2),NA())</f>
        <v>47</v>
      </c>
      <c r="E523" s="416">
        <f>IF(ISNUMBER(_xlfn.XLOOKUP(A523,抽卷!$A:$A,抽卷!$M:$M,,1,2)),_xlfn.XLOOKUP(A523,抽卷!$A:$A,抽卷!$M:$M,,1,2),NA())</f>
        <v>0</v>
      </c>
      <c r="F523" s="70">
        <f t="shared" si="26"/>
        <v>141.54166666666669</v>
      </c>
    </row>
    <row r="524" spans="1:6" ht="15" customHeight="1" x14ac:dyDescent="0.25">
      <c r="A524" s="95">
        <f t="shared" si="27"/>
        <v>44460</v>
      </c>
      <c r="B524" s="76">
        <f>IF(ISNUMBER(_xlfn.XLOOKUP(A524,鑽量!$A:$A,鑽量!$K:$K,,1,2)),_xlfn.XLOOKUP(A524,鑽量!$A:$A,鑽量!$K:$K,,1,2),NA())</f>
        <v>11590</v>
      </c>
      <c r="C524" s="416">
        <f t="shared" si="25"/>
        <v>96.583333333333329</v>
      </c>
      <c r="D524" s="416">
        <f>IF(ISNUMBER(_xlfn.XLOOKUP(A524,抽卷!$A:$A,抽卷!$K:$K,,1,2)),_xlfn.XLOOKUP(A524,抽卷!$A:$A,抽卷!$K:$K,,1,2),NA())</f>
        <v>49</v>
      </c>
      <c r="E524" s="416">
        <f>IF(ISNUMBER(_xlfn.XLOOKUP(A524,抽卷!$A:$A,抽卷!$M:$M,,1,2)),_xlfn.XLOOKUP(A524,抽卷!$A:$A,抽卷!$M:$M,,1,2),NA())</f>
        <v>0</v>
      </c>
      <c r="F524" s="70">
        <f t="shared" si="26"/>
        <v>145.58333333333331</v>
      </c>
    </row>
    <row r="525" spans="1:6" ht="15" customHeight="1" x14ac:dyDescent="0.25">
      <c r="A525" s="95">
        <f t="shared" si="27"/>
        <v>44461</v>
      </c>
      <c r="B525" s="76">
        <f>IF(ISNUMBER(_xlfn.XLOOKUP(A525,鑽量!$A:$A,鑽量!$K:$K,,1,2)),_xlfn.XLOOKUP(A525,鑽量!$A:$A,鑽量!$K:$K,,1,2),NA())</f>
        <v>12915</v>
      </c>
      <c r="C525" s="416">
        <f t="shared" si="25"/>
        <v>107.625</v>
      </c>
      <c r="D525" s="416">
        <f>IF(ISNUMBER(_xlfn.XLOOKUP(A525,抽卷!$A:$A,抽卷!$K:$K,,1,2)),_xlfn.XLOOKUP(A525,抽卷!$A:$A,抽卷!$K:$K,,1,2),NA())</f>
        <v>55</v>
      </c>
      <c r="E525" s="416">
        <f>IF(ISNUMBER(_xlfn.XLOOKUP(A525,抽卷!$A:$A,抽卷!$M:$M,,1,2)),_xlfn.XLOOKUP(A525,抽卷!$A:$A,抽卷!$M:$M,,1,2),NA())</f>
        <v>0</v>
      </c>
      <c r="F525" s="70">
        <f t="shared" si="26"/>
        <v>162.625</v>
      </c>
    </row>
    <row r="526" spans="1:6" ht="15" customHeight="1" x14ac:dyDescent="0.25">
      <c r="A526" s="95">
        <f t="shared" si="27"/>
        <v>44462</v>
      </c>
      <c r="B526" s="76">
        <f>IF(ISNUMBER(_xlfn.XLOOKUP(A526,鑽量!$A:$A,鑽量!$K:$K,,1,2)),_xlfn.XLOOKUP(A526,鑽量!$A:$A,鑽量!$K:$K,,1,2),NA())</f>
        <v>12915</v>
      </c>
      <c r="C526" s="416">
        <f t="shared" si="25"/>
        <v>107.625</v>
      </c>
      <c r="D526" s="416">
        <f>IF(ISNUMBER(_xlfn.XLOOKUP(A526,抽卷!$A:$A,抽卷!$K:$K,,1,2)),_xlfn.XLOOKUP(A526,抽卷!$A:$A,抽卷!$K:$K,,1,2),NA())</f>
        <v>55</v>
      </c>
      <c r="E526" s="416">
        <f>IF(ISNUMBER(_xlfn.XLOOKUP(A526,抽卷!$A:$A,抽卷!$M:$M,,1,2)),_xlfn.XLOOKUP(A526,抽卷!$A:$A,抽卷!$M:$M,,1,2),NA())</f>
        <v>0</v>
      </c>
      <c r="F526" s="70">
        <f t="shared" si="26"/>
        <v>162.625</v>
      </c>
    </row>
    <row r="527" spans="1:6" ht="15" customHeight="1" x14ac:dyDescent="0.25">
      <c r="A527" s="95">
        <f t="shared" si="27"/>
        <v>44463</v>
      </c>
      <c r="B527" s="76">
        <f>IF(ISNUMBER(_xlfn.XLOOKUP(A527,鑽量!$A:$A,鑽量!$K:$K,,1,2)),_xlfn.XLOOKUP(A527,鑽量!$A:$A,鑽量!$K:$K,,1,2),NA())</f>
        <v>11290</v>
      </c>
      <c r="C527" s="416">
        <f t="shared" si="25"/>
        <v>94.083333333333329</v>
      </c>
      <c r="D527" s="416">
        <f>IF(ISNUMBER(_xlfn.XLOOKUP(A527,抽卷!$A:$A,抽卷!$K:$K,,1,2)),_xlfn.XLOOKUP(A527,抽卷!$A:$A,抽卷!$K:$K,,1,2),NA())</f>
        <v>99</v>
      </c>
      <c r="E527" s="416">
        <f>IF(ISNUMBER(_xlfn.XLOOKUP(A527,抽卷!$A:$A,抽卷!$M:$M,,1,2)),_xlfn.XLOOKUP(A527,抽卷!$A:$A,抽卷!$M:$M,,1,2),NA())</f>
        <v>10</v>
      </c>
      <c r="F527" s="70">
        <f t="shared" si="26"/>
        <v>203.08333333333331</v>
      </c>
    </row>
    <row r="528" spans="1:6" ht="15" customHeight="1" x14ac:dyDescent="0.25">
      <c r="A528" s="95">
        <f t="shared" si="27"/>
        <v>44464</v>
      </c>
      <c r="B528" s="76">
        <f>IF(ISNUMBER(_xlfn.XLOOKUP(A528,鑽量!$A:$A,鑽量!$K:$K,,1,2)),_xlfn.XLOOKUP(A528,鑽量!$A:$A,鑽量!$K:$K,,1,2),NA())</f>
        <v>11290</v>
      </c>
      <c r="C528" s="416">
        <f t="shared" si="25"/>
        <v>94.083333333333329</v>
      </c>
      <c r="D528" s="416">
        <f>IF(ISNUMBER(_xlfn.XLOOKUP(A528,抽卷!$A:$A,抽卷!$K:$K,,1,2)),_xlfn.XLOOKUP(A528,抽卷!$A:$A,抽卷!$K:$K,,1,2),NA())</f>
        <v>99</v>
      </c>
      <c r="E528" s="416">
        <f>IF(ISNUMBER(_xlfn.XLOOKUP(A528,抽卷!$A:$A,抽卷!$M:$M,,1,2)),_xlfn.XLOOKUP(A528,抽卷!$A:$A,抽卷!$M:$M,,1,2),NA())</f>
        <v>10</v>
      </c>
      <c r="F528" s="70">
        <f t="shared" si="26"/>
        <v>203.08333333333331</v>
      </c>
    </row>
    <row r="529" spans="1:6" ht="15" customHeight="1" x14ac:dyDescent="0.25">
      <c r="A529" s="95">
        <f t="shared" si="27"/>
        <v>44465</v>
      </c>
      <c r="B529" s="76">
        <f>IF(ISNUMBER(_xlfn.XLOOKUP(A529,鑽量!$A:$A,鑽量!$K:$K,,1,2)),_xlfn.XLOOKUP(A529,鑽量!$A:$A,鑽量!$K:$K,,1,2),NA())</f>
        <v>11290</v>
      </c>
      <c r="C529" s="416">
        <f t="shared" si="25"/>
        <v>94.083333333333329</v>
      </c>
      <c r="D529" s="416">
        <f>IF(ISNUMBER(_xlfn.XLOOKUP(A529,抽卷!$A:$A,抽卷!$K:$K,,1,2)),_xlfn.XLOOKUP(A529,抽卷!$A:$A,抽卷!$K:$K,,1,2),NA())</f>
        <v>99</v>
      </c>
      <c r="E529" s="416">
        <f>IF(ISNUMBER(_xlfn.XLOOKUP(A529,抽卷!$A:$A,抽卷!$M:$M,,1,2)),_xlfn.XLOOKUP(A529,抽卷!$A:$A,抽卷!$M:$M,,1,2),NA())</f>
        <v>10</v>
      </c>
      <c r="F529" s="70">
        <f t="shared" si="26"/>
        <v>203.08333333333331</v>
      </c>
    </row>
    <row r="530" spans="1:6" ht="15" customHeight="1" x14ac:dyDescent="0.25">
      <c r="A530" s="95">
        <f t="shared" si="27"/>
        <v>44466</v>
      </c>
      <c r="B530" s="76">
        <f>IF(ISNUMBER(_xlfn.XLOOKUP(A530,鑽量!$A:$A,鑽量!$K:$K,,1,2)),_xlfn.XLOOKUP(A530,鑽量!$A:$A,鑽量!$K:$K,,1,2),NA())</f>
        <v>11290</v>
      </c>
      <c r="C530" s="416">
        <f t="shared" si="25"/>
        <v>94.083333333333329</v>
      </c>
      <c r="D530" s="416">
        <f>IF(ISNUMBER(_xlfn.XLOOKUP(A530,抽卷!$A:$A,抽卷!$K:$K,,1,2)),_xlfn.XLOOKUP(A530,抽卷!$A:$A,抽卷!$K:$K,,1,2),NA())</f>
        <v>99</v>
      </c>
      <c r="E530" s="416">
        <f>IF(ISNUMBER(_xlfn.XLOOKUP(A530,抽卷!$A:$A,抽卷!$M:$M,,1,2)),_xlfn.XLOOKUP(A530,抽卷!$A:$A,抽卷!$M:$M,,1,2),NA())</f>
        <v>10</v>
      </c>
      <c r="F530" s="70">
        <f t="shared" si="26"/>
        <v>203.08333333333331</v>
      </c>
    </row>
    <row r="531" spans="1:6" ht="15" customHeight="1" x14ac:dyDescent="0.25">
      <c r="A531" s="95">
        <f t="shared" si="27"/>
        <v>44467</v>
      </c>
      <c r="B531" s="76">
        <f>IF(ISNUMBER(_xlfn.XLOOKUP(A531,鑽量!$A:$A,鑽量!$K:$K,,1,2)),_xlfn.XLOOKUP(A531,鑽量!$A:$A,鑽量!$K:$K,,1,2),NA())</f>
        <v>11290</v>
      </c>
      <c r="C531" s="416">
        <f t="shared" si="25"/>
        <v>94.083333333333329</v>
      </c>
      <c r="D531" s="416">
        <f>IF(ISNUMBER(_xlfn.XLOOKUP(A531,抽卷!$A:$A,抽卷!$K:$K,,1,2)),_xlfn.XLOOKUP(A531,抽卷!$A:$A,抽卷!$K:$K,,1,2),NA())</f>
        <v>92</v>
      </c>
      <c r="E531" s="416">
        <f>IF(ISNUMBER(_xlfn.XLOOKUP(A531,抽卷!$A:$A,抽卷!$M:$M,,1,2)),_xlfn.XLOOKUP(A531,抽卷!$A:$A,抽卷!$M:$M,,1,2),NA())</f>
        <v>20</v>
      </c>
      <c r="F531" s="70">
        <f t="shared" si="26"/>
        <v>206.08333333333331</v>
      </c>
    </row>
    <row r="532" spans="1:6" ht="15" customHeight="1" x14ac:dyDescent="0.25">
      <c r="A532" s="95">
        <f t="shared" si="27"/>
        <v>44468</v>
      </c>
      <c r="B532" s="76">
        <f>IF(ISNUMBER(_xlfn.XLOOKUP(A532,鑽量!$A:$A,鑽量!$K:$K,,1,2)),_xlfn.XLOOKUP(A532,鑽量!$A:$A,鑽量!$K:$K,,1,2),NA())</f>
        <v>14315</v>
      </c>
      <c r="C532" s="416">
        <f t="shared" si="25"/>
        <v>119.29166666666667</v>
      </c>
      <c r="D532" s="416">
        <f>IF(ISNUMBER(_xlfn.XLOOKUP(A532,抽卷!$A:$A,抽卷!$K:$K,,1,2)),_xlfn.XLOOKUP(A532,抽卷!$A:$A,抽卷!$K:$K,,1,2),NA())</f>
        <v>92</v>
      </c>
      <c r="E532" s="416">
        <f>IF(ISNUMBER(_xlfn.XLOOKUP(A532,抽卷!$A:$A,抽卷!$M:$M,,1,2)),_xlfn.XLOOKUP(A532,抽卷!$A:$A,抽卷!$M:$M,,1,2),NA())</f>
        <v>30</v>
      </c>
      <c r="F532" s="70">
        <f t="shared" si="26"/>
        <v>241.29166666666669</v>
      </c>
    </row>
    <row r="533" spans="1:6" ht="15" customHeight="1" x14ac:dyDescent="0.25">
      <c r="A533" s="95">
        <f t="shared" si="27"/>
        <v>44469</v>
      </c>
      <c r="B533" s="76">
        <f>IF(ISNUMBER(_xlfn.XLOOKUP(A533,鑽量!$A:$A,鑽量!$K:$K,,1,2)),_xlfn.XLOOKUP(A533,鑽量!$A:$A,鑽量!$K:$K,,1,2),NA())</f>
        <v>14315</v>
      </c>
      <c r="C533" s="416">
        <f t="shared" si="25"/>
        <v>119.29166666666667</v>
      </c>
      <c r="D533" s="416">
        <f>IF(ISNUMBER(_xlfn.XLOOKUP(A533,抽卷!$A:$A,抽卷!$K:$K,,1,2)),_xlfn.XLOOKUP(A533,抽卷!$A:$A,抽卷!$K:$K,,1,2),NA())</f>
        <v>92</v>
      </c>
      <c r="E533" s="416">
        <f>IF(ISNUMBER(_xlfn.XLOOKUP(A533,抽卷!$A:$A,抽卷!$M:$M,,1,2)),_xlfn.XLOOKUP(A533,抽卷!$A:$A,抽卷!$M:$M,,1,2),NA())</f>
        <v>40</v>
      </c>
      <c r="F533" s="70">
        <f t="shared" si="26"/>
        <v>251.29166666666669</v>
      </c>
    </row>
    <row r="534" spans="1:6" ht="15" customHeight="1" x14ac:dyDescent="0.25">
      <c r="A534" s="95">
        <f t="shared" si="27"/>
        <v>44470</v>
      </c>
      <c r="B534" s="76">
        <f>IF(ISNUMBER(_xlfn.XLOOKUP(A534,鑽量!$A:$A,鑽量!$K:$K,,1,2)),_xlfn.XLOOKUP(A534,鑽量!$A:$A,鑽量!$K:$K,,1,2),NA())</f>
        <v>16400</v>
      </c>
      <c r="C534" s="416">
        <f t="shared" si="25"/>
        <v>136.66666666666666</v>
      </c>
      <c r="D534" s="416">
        <f>IF(ISNUMBER(_xlfn.XLOOKUP(A534,抽卷!$A:$A,抽卷!$K:$K,,1,2)),_xlfn.XLOOKUP(A534,抽卷!$A:$A,抽卷!$K:$K,,1,2),NA())</f>
        <v>112</v>
      </c>
      <c r="E534" s="416">
        <f>IF(ISNUMBER(_xlfn.XLOOKUP(A534,抽卷!$A:$A,抽卷!$M:$M,,1,2)),_xlfn.XLOOKUP(A534,抽卷!$A:$A,抽卷!$M:$M,,1,2),NA())</f>
        <v>50</v>
      </c>
      <c r="F534" s="70">
        <f t="shared" si="26"/>
        <v>298.66666666666663</v>
      </c>
    </row>
    <row r="535" spans="1:6" ht="15" customHeight="1" x14ac:dyDescent="0.25">
      <c r="A535" s="95">
        <f t="shared" si="27"/>
        <v>44471</v>
      </c>
      <c r="B535" s="76">
        <f>IF(ISNUMBER(_xlfn.XLOOKUP(A535,鑽量!$A:$A,鑽量!$K:$K,,1,2)),_xlfn.XLOOKUP(A535,鑽量!$A:$A,鑽量!$K:$K,,1,2),NA())</f>
        <v>17400</v>
      </c>
      <c r="C535" s="416">
        <f t="shared" si="25"/>
        <v>145</v>
      </c>
      <c r="D535" s="416">
        <f>IF(ISNUMBER(_xlfn.XLOOKUP(A535,抽卷!$A:$A,抽卷!$K:$K,,1,2)),_xlfn.XLOOKUP(A535,抽卷!$A:$A,抽卷!$K:$K,,1,2),NA())</f>
        <v>113</v>
      </c>
      <c r="E535" s="416">
        <f>IF(ISNUMBER(_xlfn.XLOOKUP(A535,抽卷!$A:$A,抽卷!$M:$M,,1,2)),_xlfn.XLOOKUP(A535,抽卷!$A:$A,抽卷!$M:$M,,1,2),NA())</f>
        <v>60</v>
      </c>
      <c r="F535" s="70">
        <f t="shared" si="26"/>
        <v>318</v>
      </c>
    </row>
    <row r="536" spans="1:6" ht="15" customHeight="1" x14ac:dyDescent="0.25">
      <c r="A536" s="95">
        <f t="shared" si="27"/>
        <v>44472</v>
      </c>
      <c r="B536" s="76">
        <f>IF(ISNUMBER(_xlfn.XLOOKUP(A536,鑽量!$A:$A,鑽量!$K:$K,,1,2)),_xlfn.XLOOKUP(A536,鑽量!$A:$A,鑽量!$K:$K,,1,2),NA())</f>
        <v>16845</v>
      </c>
      <c r="C536" s="416">
        <f t="shared" si="25"/>
        <v>140.375</v>
      </c>
      <c r="D536" s="416">
        <f>IF(ISNUMBER(_xlfn.XLOOKUP(A536,抽卷!$A:$A,抽卷!$K:$K,,1,2)),_xlfn.XLOOKUP(A536,抽卷!$A:$A,抽卷!$K:$K,,1,2),NA())</f>
        <v>127</v>
      </c>
      <c r="E536" s="416">
        <f>IF(ISNUMBER(_xlfn.XLOOKUP(A536,抽卷!$A:$A,抽卷!$M:$M,,1,2)),_xlfn.XLOOKUP(A536,抽卷!$A:$A,抽卷!$M:$M,,1,2),NA())</f>
        <v>90</v>
      </c>
      <c r="F536" s="70">
        <f t="shared" si="26"/>
        <v>357.375</v>
      </c>
    </row>
    <row r="537" spans="1:6" ht="15" customHeight="1" x14ac:dyDescent="0.25">
      <c r="A537" s="95">
        <f t="shared" si="27"/>
        <v>44473</v>
      </c>
      <c r="B537" s="76">
        <f>IF(ISNUMBER(_xlfn.XLOOKUP(A537,鑽量!$A:$A,鑽量!$K:$K,,1,2)),_xlfn.XLOOKUP(A537,鑽量!$A:$A,鑽量!$K:$K,,1,2),NA())</f>
        <v>16845</v>
      </c>
      <c r="C537" s="416">
        <f t="shared" si="25"/>
        <v>140.375</v>
      </c>
      <c r="D537" s="416">
        <f>IF(ISNUMBER(_xlfn.XLOOKUP(A537,抽卷!$A:$A,抽卷!$K:$K,,1,2)),_xlfn.XLOOKUP(A537,抽卷!$A:$A,抽卷!$K:$K,,1,2),NA())</f>
        <v>127</v>
      </c>
      <c r="E537" s="416">
        <f>IF(ISNUMBER(_xlfn.XLOOKUP(A537,抽卷!$A:$A,抽卷!$M:$M,,1,2)),_xlfn.XLOOKUP(A537,抽卷!$A:$A,抽卷!$M:$M,,1,2),NA())</f>
        <v>90</v>
      </c>
      <c r="F537" s="70">
        <f t="shared" si="26"/>
        <v>357.375</v>
      </c>
    </row>
    <row r="538" spans="1:6" ht="15" customHeight="1" x14ac:dyDescent="0.25">
      <c r="A538" s="95">
        <f t="shared" si="27"/>
        <v>44474</v>
      </c>
      <c r="B538" s="76">
        <f>IF(ISNUMBER(_xlfn.XLOOKUP(A538,鑽量!$A:$A,鑽量!$K:$K,,1,2)),_xlfn.XLOOKUP(A538,鑽量!$A:$A,鑽量!$K:$K,,1,2),NA())</f>
        <v>16845</v>
      </c>
      <c r="C538" s="416">
        <f t="shared" si="25"/>
        <v>140.375</v>
      </c>
      <c r="D538" s="416">
        <f>IF(ISNUMBER(_xlfn.XLOOKUP(A538,抽卷!$A:$A,抽卷!$K:$K,,1,2)),_xlfn.XLOOKUP(A538,抽卷!$A:$A,抽卷!$K:$K,,1,2),NA())</f>
        <v>127</v>
      </c>
      <c r="E538" s="416">
        <f>IF(ISNUMBER(_xlfn.XLOOKUP(A538,抽卷!$A:$A,抽卷!$M:$M,,1,2)),_xlfn.XLOOKUP(A538,抽卷!$A:$A,抽卷!$M:$M,,1,2),NA())</f>
        <v>90</v>
      </c>
      <c r="F538" s="70">
        <f t="shared" si="26"/>
        <v>357.375</v>
      </c>
    </row>
    <row r="539" spans="1:6" ht="15" customHeight="1" x14ac:dyDescent="0.25">
      <c r="A539" s="95">
        <f t="shared" si="27"/>
        <v>44475</v>
      </c>
      <c r="B539" s="76">
        <f>IF(ISNUMBER(_xlfn.XLOOKUP(A539,鑽量!$A:$A,鑽量!$K:$K,,1,2)),_xlfn.XLOOKUP(A539,鑽量!$A:$A,鑽量!$K:$K,,1,2),NA())</f>
        <v>18645</v>
      </c>
      <c r="C539" s="416">
        <f t="shared" si="25"/>
        <v>155.375</v>
      </c>
      <c r="D539" s="416">
        <f>IF(ISNUMBER(_xlfn.XLOOKUP(A539,抽卷!$A:$A,抽卷!$K:$K,,1,2)),_xlfn.XLOOKUP(A539,抽卷!$A:$A,抽卷!$K:$K,,1,2),NA())</f>
        <v>138</v>
      </c>
      <c r="E539" s="416">
        <f>IF(ISNUMBER(_xlfn.XLOOKUP(A539,抽卷!$A:$A,抽卷!$M:$M,,1,2)),_xlfn.XLOOKUP(A539,抽卷!$A:$A,抽卷!$M:$M,,1,2),NA())</f>
        <v>100</v>
      </c>
      <c r="F539" s="70">
        <f t="shared" si="26"/>
        <v>393.375</v>
      </c>
    </row>
    <row r="540" spans="1:6" ht="15" customHeight="1" x14ac:dyDescent="0.25">
      <c r="A540" s="95">
        <f t="shared" si="27"/>
        <v>44476</v>
      </c>
      <c r="B540" s="76">
        <f>IF(ISNUMBER(_xlfn.XLOOKUP(A540,鑽量!$A:$A,鑽量!$K:$K,,1,2)),_xlfn.XLOOKUP(A540,鑽量!$A:$A,鑽量!$K:$K,,1,2),NA())</f>
        <v>18745</v>
      </c>
      <c r="C540" s="416">
        <f t="shared" si="25"/>
        <v>156.20833333333334</v>
      </c>
      <c r="D540" s="416">
        <f>IF(ISNUMBER(_xlfn.XLOOKUP(A540,抽卷!$A:$A,抽卷!$K:$K,,1,2)),_xlfn.XLOOKUP(A540,抽卷!$A:$A,抽卷!$K:$K,,1,2),NA())</f>
        <v>139</v>
      </c>
      <c r="E540" s="416">
        <f>IF(ISNUMBER(_xlfn.XLOOKUP(A540,抽卷!$A:$A,抽卷!$M:$M,,1,2)),_xlfn.XLOOKUP(A540,抽卷!$A:$A,抽卷!$M:$M,,1,2),NA())</f>
        <v>110</v>
      </c>
      <c r="F540" s="70">
        <f t="shared" si="26"/>
        <v>405.20833333333337</v>
      </c>
    </row>
    <row r="541" spans="1:6" ht="15" customHeight="1" x14ac:dyDescent="0.25">
      <c r="A541" s="95">
        <f t="shared" si="27"/>
        <v>44477</v>
      </c>
      <c r="B541" s="76">
        <f>IF(ISNUMBER(_xlfn.XLOOKUP(A541,鑽量!$A:$A,鑽量!$K:$K,,1,2)),_xlfn.XLOOKUP(A541,鑽量!$A:$A,鑽量!$K:$K,,1,2),NA())</f>
        <v>19245</v>
      </c>
      <c r="C541" s="416">
        <f t="shared" si="25"/>
        <v>160.375</v>
      </c>
      <c r="D541" s="416">
        <f>IF(ISNUMBER(_xlfn.XLOOKUP(A541,抽卷!$A:$A,抽卷!$K:$K,,1,2)),_xlfn.XLOOKUP(A541,抽卷!$A:$A,抽卷!$K:$K,,1,2),NA())</f>
        <v>140</v>
      </c>
      <c r="E541" s="416">
        <f>IF(ISNUMBER(_xlfn.XLOOKUP(A541,抽卷!$A:$A,抽卷!$M:$M,,1,2)),_xlfn.XLOOKUP(A541,抽卷!$A:$A,抽卷!$M:$M,,1,2),NA())</f>
        <v>120</v>
      </c>
      <c r="F541" s="70">
        <f t="shared" si="26"/>
        <v>420.375</v>
      </c>
    </row>
    <row r="542" spans="1:6" ht="15" customHeight="1" x14ac:dyDescent="0.25">
      <c r="A542" s="95">
        <f t="shared" si="27"/>
        <v>44478</v>
      </c>
      <c r="B542" s="76">
        <f>IF(ISNUMBER(_xlfn.XLOOKUP(A542,鑽量!$A:$A,鑽量!$K:$K,,1,2)),_xlfn.XLOOKUP(A542,鑽量!$A:$A,鑽量!$K:$K,,1,2),NA())</f>
        <v>19345</v>
      </c>
      <c r="C542" s="416">
        <f t="shared" si="25"/>
        <v>161.20833333333334</v>
      </c>
      <c r="D542" s="416">
        <f>IF(ISNUMBER(_xlfn.XLOOKUP(A542,抽卷!$A:$A,抽卷!$K:$K,,1,2)),_xlfn.XLOOKUP(A542,抽卷!$A:$A,抽卷!$K:$K,,1,2),NA())</f>
        <v>141</v>
      </c>
      <c r="E542" s="416">
        <f>IF(ISNUMBER(_xlfn.XLOOKUP(A542,抽卷!$A:$A,抽卷!$M:$M,,1,2)),_xlfn.XLOOKUP(A542,抽卷!$A:$A,抽卷!$M:$M,,1,2),NA())</f>
        <v>130</v>
      </c>
      <c r="F542" s="70">
        <f t="shared" si="26"/>
        <v>432.20833333333337</v>
      </c>
    </row>
    <row r="543" spans="1:6" ht="15" customHeight="1" x14ac:dyDescent="0.25">
      <c r="A543" s="95">
        <f t="shared" si="27"/>
        <v>44479</v>
      </c>
      <c r="B543" s="76">
        <f>IF(ISNUMBER(_xlfn.XLOOKUP(A543,鑽量!$A:$A,鑽量!$K:$K,,1,2)),_xlfn.XLOOKUP(A543,鑽量!$A:$A,鑽量!$K:$K,,1,2),NA())</f>
        <v>17730</v>
      </c>
      <c r="C543" s="416">
        <f t="shared" si="25"/>
        <v>147.75</v>
      </c>
      <c r="D543" s="416">
        <f>IF(ISNUMBER(_xlfn.XLOOKUP(A543,抽卷!$A:$A,抽卷!$K:$K,,1,2)),_xlfn.XLOOKUP(A543,抽卷!$A:$A,抽卷!$K:$K,,1,2),NA())</f>
        <v>141</v>
      </c>
      <c r="E543" s="416">
        <f>IF(ISNUMBER(_xlfn.XLOOKUP(A543,抽卷!$A:$A,抽卷!$M:$M,,1,2)),_xlfn.XLOOKUP(A543,抽卷!$A:$A,抽卷!$M:$M,,1,2),NA())</f>
        <v>140</v>
      </c>
      <c r="F543" s="70">
        <f t="shared" si="26"/>
        <v>428.75</v>
      </c>
    </row>
    <row r="544" spans="1:6" ht="15" customHeight="1" x14ac:dyDescent="0.25">
      <c r="A544" s="95">
        <f t="shared" si="27"/>
        <v>44480</v>
      </c>
      <c r="B544" s="76">
        <f>IF(ISNUMBER(_xlfn.XLOOKUP(A544,鑽量!$A:$A,鑽量!$K:$K,,1,2)),_xlfn.XLOOKUP(A544,鑽量!$A:$A,鑽量!$K:$K,,1,2),NA())</f>
        <v>17830</v>
      </c>
      <c r="C544" s="416">
        <f t="shared" si="25"/>
        <v>148.58333333333334</v>
      </c>
      <c r="D544" s="416">
        <f>IF(ISNUMBER(_xlfn.XLOOKUP(A544,抽卷!$A:$A,抽卷!$K:$K,,1,2)),_xlfn.XLOOKUP(A544,抽卷!$A:$A,抽卷!$K:$K,,1,2),NA())</f>
        <v>142</v>
      </c>
      <c r="E544" s="416">
        <f>IF(ISNUMBER(_xlfn.XLOOKUP(A544,抽卷!$A:$A,抽卷!$M:$M,,1,2)),_xlfn.XLOOKUP(A544,抽卷!$A:$A,抽卷!$M:$M,,1,2),NA())</f>
        <v>150</v>
      </c>
      <c r="F544" s="70">
        <f t="shared" si="26"/>
        <v>440.58333333333337</v>
      </c>
    </row>
    <row r="545" spans="1:6" ht="15" customHeight="1" x14ac:dyDescent="0.25">
      <c r="A545" s="95">
        <f t="shared" si="27"/>
        <v>44481</v>
      </c>
      <c r="B545" s="76">
        <f>IF(ISNUMBER(_xlfn.XLOOKUP(A545,鑽量!$A:$A,鑽量!$K:$K,,1,2)),_xlfn.XLOOKUP(A545,鑽量!$A:$A,鑽量!$K:$K,,1,2),NA())</f>
        <v>17435</v>
      </c>
      <c r="C545" s="416">
        <f t="shared" si="25"/>
        <v>145.29166666666666</v>
      </c>
      <c r="D545" s="416">
        <f>IF(ISNUMBER(_xlfn.XLOOKUP(A545,抽卷!$A:$A,抽卷!$K:$K,,1,2)),_xlfn.XLOOKUP(A545,抽卷!$A:$A,抽卷!$K:$K,,1,2),NA())</f>
        <v>141</v>
      </c>
      <c r="E545" s="416">
        <f>IF(ISNUMBER(_xlfn.XLOOKUP(A545,抽卷!$A:$A,抽卷!$M:$M,,1,2)),_xlfn.XLOOKUP(A545,抽卷!$A:$A,抽卷!$M:$M,,1,2),NA())</f>
        <v>160</v>
      </c>
      <c r="F545" s="70">
        <f t="shared" si="26"/>
        <v>446.29166666666663</v>
      </c>
    </row>
    <row r="546" spans="1:6" ht="15" customHeight="1" x14ac:dyDescent="0.25">
      <c r="A546" s="95">
        <f t="shared" si="27"/>
        <v>44482</v>
      </c>
      <c r="B546" s="76">
        <f>IF(ISNUMBER(_xlfn.XLOOKUP(A546,鑽量!$A:$A,鑽量!$K:$K,,1,2)),_xlfn.XLOOKUP(A546,鑽量!$A:$A,鑽量!$K:$K,,1,2),NA())</f>
        <v>18760</v>
      </c>
      <c r="C546" s="416">
        <f t="shared" si="25"/>
        <v>156.33333333333334</v>
      </c>
      <c r="D546" s="416">
        <f>IF(ISNUMBER(_xlfn.XLOOKUP(A546,抽卷!$A:$A,抽卷!$K:$K,,1,2)),_xlfn.XLOOKUP(A546,抽卷!$A:$A,抽卷!$K:$K,,1,2),NA())</f>
        <v>159</v>
      </c>
      <c r="E546" s="416">
        <f>IF(ISNUMBER(_xlfn.XLOOKUP(A546,抽卷!$A:$A,抽卷!$M:$M,,1,2)),_xlfn.XLOOKUP(A546,抽卷!$A:$A,抽卷!$M:$M,,1,2),NA())</f>
        <v>170</v>
      </c>
      <c r="F546" s="70">
        <f t="shared" si="26"/>
        <v>485.33333333333337</v>
      </c>
    </row>
    <row r="547" spans="1:6" ht="15" customHeight="1" x14ac:dyDescent="0.25">
      <c r="A547" s="95">
        <f t="shared" si="27"/>
        <v>44483</v>
      </c>
      <c r="B547" s="76">
        <f>IF(ISNUMBER(_xlfn.XLOOKUP(A547,鑽量!$A:$A,鑽量!$K:$K,,1,2)),_xlfn.XLOOKUP(A547,鑽量!$A:$A,鑽量!$K:$K,,1,2),NA())</f>
        <v>19940</v>
      </c>
      <c r="C547" s="416">
        <f t="shared" si="25"/>
        <v>166.16666666666666</v>
      </c>
      <c r="D547" s="416">
        <f>IF(ISNUMBER(_xlfn.XLOOKUP(A547,抽卷!$A:$A,抽卷!$K:$K,,1,2)),_xlfn.XLOOKUP(A547,抽卷!$A:$A,抽卷!$K:$K,,1,2),NA())</f>
        <v>163</v>
      </c>
      <c r="E547" s="416">
        <f>IF(ISNUMBER(_xlfn.XLOOKUP(A547,抽卷!$A:$A,抽卷!$M:$M,,1,2)),_xlfn.XLOOKUP(A547,抽卷!$A:$A,抽卷!$M:$M,,1,2),NA())</f>
        <v>180</v>
      </c>
      <c r="F547" s="70">
        <f t="shared" si="26"/>
        <v>509.16666666666663</v>
      </c>
    </row>
    <row r="548" spans="1:6" ht="15" customHeight="1" x14ac:dyDescent="0.25">
      <c r="A548" s="95">
        <f t="shared" si="27"/>
        <v>44484</v>
      </c>
      <c r="B548" s="76">
        <f>IF(ISNUMBER(_xlfn.XLOOKUP(A548,鑽量!$A:$A,鑽量!$K:$K,,1,2)),_xlfn.XLOOKUP(A548,鑽量!$A:$A,鑽量!$K:$K,,1,2),NA())</f>
        <v>19940</v>
      </c>
      <c r="C548" s="416">
        <f t="shared" si="25"/>
        <v>166.16666666666666</v>
      </c>
      <c r="D548" s="416">
        <f>IF(ISNUMBER(_xlfn.XLOOKUP(A548,抽卷!$A:$A,抽卷!$K:$K,,1,2)),_xlfn.XLOOKUP(A548,抽卷!$A:$A,抽卷!$K:$K,,1,2),NA())</f>
        <v>163</v>
      </c>
      <c r="E548" s="416">
        <f>IF(ISNUMBER(_xlfn.XLOOKUP(A548,抽卷!$A:$A,抽卷!$M:$M,,1,2)),_xlfn.XLOOKUP(A548,抽卷!$A:$A,抽卷!$M:$M,,1,2),NA())</f>
        <v>190</v>
      </c>
      <c r="F548" s="70">
        <f t="shared" si="26"/>
        <v>519.16666666666663</v>
      </c>
    </row>
    <row r="549" spans="1:6" ht="15" customHeight="1" x14ac:dyDescent="0.25">
      <c r="A549" s="95">
        <f t="shared" si="27"/>
        <v>44485</v>
      </c>
      <c r="B549" s="76">
        <f>IF(ISNUMBER(_xlfn.XLOOKUP(A549,鑽量!$A:$A,鑽量!$K:$K,,1,2)),_xlfn.XLOOKUP(A549,鑽量!$A:$A,鑽量!$K:$K,,1,2),NA())</f>
        <v>19925</v>
      </c>
      <c r="C549" s="416">
        <f t="shared" si="25"/>
        <v>166.04166666666666</v>
      </c>
      <c r="D549" s="416">
        <f>IF(ISNUMBER(_xlfn.XLOOKUP(A549,抽卷!$A:$A,抽卷!$K:$K,,1,2)),_xlfn.XLOOKUP(A549,抽卷!$A:$A,抽卷!$K:$K,,1,2),NA())</f>
        <v>162</v>
      </c>
      <c r="E549" s="416">
        <f>IF(ISNUMBER(_xlfn.XLOOKUP(A549,抽卷!$A:$A,抽卷!$M:$M,,1,2)),_xlfn.XLOOKUP(A549,抽卷!$A:$A,抽卷!$M:$M,,1,2),NA())</f>
        <v>210</v>
      </c>
      <c r="F549" s="70">
        <f t="shared" si="26"/>
        <v>538.04166666666663</v>
      </c>
    </row>
    <row r="550" spans="1:6" ht="15" customHeight="1" x14ac:dyDescent="0.25">
      <c r="A550" s="95">
        <f t="shared" si="27"/>
        <v>44486</v>
      </c>
      <c r="B550" s="76">
        <f>IF(ISNUMBER(_xlfn.XLOOKUP(A550,鑽量!$A:$A,鑽量!$K:$K,,1,2)),_xlfn.XLOOKUP(A550,鑽量!$A:$A,鑽量!$K:$K,,1,2),NA())</f>
        <v>20125</v>
      </c>
      <c r="C550" s="416">
        <f t="shared" si="25"/>
        <v>167.70833333333334</v>
      </c>
      <c r="D550" s="416">
        <f>IF(ISNUMBER(_xlfn.XLOOKUP(A550,抽卷!$A:$A,抽卷!$K:$K,,1,2)),_xlfn.XLOOKUP(A550,抽卷!$A:$A,抽卷!$K:$K,,1,2),NA())</f>
        <v>163</v>
      </c>
      <c r="E550" s="416">
        <f>IF(ISNUMBER(_xlfn.XLOOKUP(A550,抽卷!$A:$A,抽卷!$M:$M,,1,2)),_xlfn.XLOOKUP(A550,抽卷!$A:$A,抽卷!$M:$M,,1,2),NA())</f>
        <v>220</v>
      </c>
      <c r="F550" s="70">
        <f t="shared" si="26"/>
        <v>550.70833333333337</v>
      </c>
    </row>
    <row r="551" spans="1:6" ht="15" customHeight="1" x14ac:dyDescent="0.25">
      <c r="A551" s="95">
        <f t="shared" si="27"/>
        <v>44487</v>
      </c>
      <c r="B551" s="76">
        <f>IF(ISNUMBER(_xlfn.XLOOKUP(A551,鑽量!$A:$A,鑽量!$K:$K,,1,2)),_xlfn.XLOOKUP(A551,鑽量!$A:$A,鑽量!$K:$K,,1,2),NA())</f>
        <v>20830</v>
      </c>
      <c r="C551" s="416">
        <f t="shared" si="25"/>
        <v>173.58333333333334</v>
      </c>
      <c r="D551" s="416">
        <f>IF(ISNUMBER(_xlfn.XLOOKUP(A551,抽卷!$A:$A,抽卷!$K:$K,,1,2)),_xlfn.XLOOKUP(A551,抽卷!$A:$A,抽卷!$K:$K,,1,2),NA())</f>
        <v>162</v>
      </c>
      <c r="E551" s="416">
        <f>IF(ISNUMBER(_xlfn.XLOOKUP(A551,抽卷!$A:$A,抽卷!$M:$M,,1,2)),_xlfn.XLOOKUP(A551,抽卷!$A:$A,抽卷!$M:$M,,1,2),NA())</f>
        <v>230</v>
      </c>
      <c r="F551" s="70">
        <f t="shared" si="26"/>
        <v>565.58333333333337</v>
      </c>
    </row>
    <row r="552" spans="1:6" ht="15" customHeight="1" x14ac:dyDescent="0.25">
      <c r="A552" s="95">
        <f t="shared" si="27"/>
        <v>44488</v>
      </c>
      <c r="B552" s="76">
        <f>IF(ISNUMBER(_xlfn.XLOOKUP(A552,鑽量!$A:$A,鑽量!$K:$K,,1,2)),_xlfn.XLOOKUP(A552,鑽量!$A:$A,鑽量!$K:$K,,1,2),NA())</f>
        <v>22480</v>
      </c>
      <c r="C552" s="416">
        <f t="shared" si="25"/>
        <v>187.33333333333334</v>
      </c>
      <c r="D552" s="416">
        <f>IF(ISNUMBER(_xlfn.XLOOKUP(A552,抽卷!$A:$A,抽卷!$K:$K,,1,2)),_xlfn.XLOOKUP(A552,抽卷!$A:$A,抽卷!$K:$K,,1,2),NA())</f>
        <v>168</v>
      </c>
      <c r="E552" s="416">
        <f>IF(ISNUMBER(_xlfn.XLOOKUP(A552,抽卷!$A:$A,抽卷!$M:$M,,1,2)),_xlfn.XLOOKUP(A552,抽卷!$A:$A,抽卷!$M:$M,,1,2),NA())</f>
        <v>240</v>
      </c>
      <c r="F552" s="70">
        <f t="shared" si="26"/>
        <v>595.33333333333337</v>
      </c>
    </row>
    <row r="553" spans="1:6" ht="15" customHeight="1" x14ac:dyDescent="0.25">
      <c r="A553" s="95">
        <f t="shared" si="27"/>
        <v>44489</v>
      </c>
      <c r="B553" s="76">
        <f>IF(ISNUMBER(_xlfn.XLOOKUP(A553,鑽量!$A:$A,鑽量!$K:$K,,1,2)),_xlfn.XLOOKUP(A553,鑽量!$A:$A,鑽量!$K:$K,,1,2),NA())</f>
        <v>21370</v>
      </c>
      <c r="C553" s="416">
        <f t="shared" si="25"/>
        <v>178.08333333333334</v>
      </c>
      <c r="D553" s="416">
        <f>IF(ISNUMBER(_xlfn.XLOOKUP(A553,抽卷!$A:$A,抽卷!$K:$K,,1,2)),_xlfn.XLOOKUP(A553,抽卷!$A:$A,抽卷!$K:$K,,1,2),NA())</f>
        <v>167</v>
      </c>
      <c r="E553" s="416">
        <f>IF(ISNUMBER(_xlfn.XLOOKUP(A553,抽卷!$A:$A,抽卷!$M:$M,,1,2)),_xlfn.XLOOKUP(A553,抽卷!$A:$A,抽卷!$M:$M,,1,2),NA())</f>
        <v>260</v>
      </c>
      <c r="F553" s="70">
        <f t="shared" si="26"/>
        <v>605.08333333333337</v>
      </c>
    </row>
    <row r="554" spans="1:6" ht="15" customHeight="1" x14ac:dyDescent="0.25">
      <c r="A554" s="95">
        <f t="shared" si="27"/>
        <v>44490</v>
      </c>
      <c r="B554" s="76">
        <f>IF(ISNUMBER(_xlfn.XLOOKUP(A554,鑽量!$A:$A,鑽量!$K:$K,,1,2)),_xlfn.XLOOKUP(A554,鑽量!$A:$A,鑽量!$K:$K,,1,2),NA())</f>
        <v>21370</v>
      </c>
      <c r="C554" s="416">
        <f t="shared" si="25"/>
        <v>178.08333333333334</v>
      </c>
      <c r="D554" s="416">
        <f>IF(ISNUMBER(_xlfn.XLOOKUP(A554,抽卷!$A:$A,抽卷!$K:$K,,1,2)),_xlfn.XLOOKUP(A554,抽卷!$A:$A,抽卷!$K:$K,,1,2),NA())</f>
        <v>167</v>
      </c>
      <c r="E554" s="416">
        <f>IF(ISNUMBER(_xlfn.XLOOKUP(A554,抽卷!$A:$A,抽卷!$M:$M,,1,2)),_xlfn.XLOOKUP(A554,抽卷!$A:$A,抽卷!$M:$M,,1,2),NA())</f>
        <v>260</v>
      </c>
      <c r="F554" s="70">
        <f t="shared" si="26"/>
        <v>605.08333333333337</v>
      </c>
    </row>
    <row r="555" spans="1:6" ht="15" customHeight="1" x14ac:dyDescent="0.25">
      <c r="A555" s="95">
        <f t="shared" si="27"/>
        <v>44491</v>
      </c>
      <c r="B555" s="76">
        <f>IF(ISNUMBER(_xlfn.XLOOKUP(A555,鑽量!$A:$A,鑽量!$K:$K,,1,2)),_xlfn.XLOOKUP(A555,鑽量!$A:$A,鑽量!$K:$K,,1,2),NA())</f>
        <v>21125</v>
      </c>
      <c r="C555" s="416">
        <f t="shared" si="25"/>
        <v>176.04166666666666</v>
      </c>
      <c r="D555" s="416">
        <f>IF(ISNUMBER(_xlfn.XLOOKUP(A555,抽卷!$A:$A,抽卷!$K:$K,,1,2)),_xlfn.XLOOKUP(A555,抽卷!$A:$A,抽卷!$K:$K,,1,2),NA())</f>
        <v>164</v>
      </c>
      <c r="E555" s="416">
        <f>IF(ISNUMBER(_xlfn.XLOOKUP(A555,抽卷!$A:$A,抽卷!$M:$M,,1,2)),_xlfn.XLOOKUP(A555,抽卷!$A:$A,抽卷!$M:$M,,1,2),NA())</f>
        <v>270</v>
      </c>
      <c r="F555" s="70">
        <f t="shared" si="26"/>
        <v>610.04166666666663</v>
      </c>
    </row>
    <row r="556" spans="1:6" ht="15" customHeight="1" x14ac:dyDescent="0.25">
      <c r="A556" s="95">
        <f t="shared" si="27"/>
        <v>44492</v>
      </c>
      <c r="B556" s="76">
        <f>IF(ISNUMBER(_xlfn.XLOOKUP(A556,鑽量!$A:$A,鑽量!$K:$K,,1,2)),_xlfn.XLOOKUP(A556,鑽量!$A:$A,鑽量!$K:$K,,1,2),NA())</f>
        <v>21625</v>
      </c>
      <c r="C556" s="416">
        <f t="shared" si="25"/>
        <v>180.20833333333334</v>
      </c>
      <c r="D556" s="416">
        <f>IF(ISNUMBER(_xlfn.XLOOKUP(A556,抽卷!$A:$A,抽卷!$K:$K,,1,2)),_xlfn.XLOOKUP(A556,抽卷!$A:$A,抽卷!$K:$K,,1,2),NA())</f>
        <v>165</v>
      </c>
      <c r="E556" s="416">
        <f>IF(ISNUMBER(_xlfn.XLOOKUP(A556,抽卷!$A:$A,抽卷!$M:$M,,1,2)),_xlfn.XLOOKUP(A556,抽卷!$A:$A,抽卷!$M:$M,,1,2),NA())</f>
        <v>280</v>
      </c>
      <c r="F556" s="70">
        <f t="shared" si="26"/>
        <v>625.20833333333337</v>
      </c>
    </row>
    <row r="557" spans="1:6" ht="15" customHeight="1" x14ac:dyDescent="0.25">
      <c r="A557" s="95">
        <f t="shared" si="27"/>
        <v>44493</v>
      </c>
      <c r="B557" s="76">
        <f>IF(ISNUMBER(_xlfn.XLOOKUP(A557,鑽量!$A:$A,鑽量!$K:$K,,1,2)),_xlfn.XLOOKUP(A557,鑽量!$A:$A,鑽量!$K:$K,,1,2),NA())</f>
        <v>20400</v>
      </c>
      <c r="C557" s="416">
        <f t="shared" si="25"/>
        <v>170</v>
      </c>
      <c r="D557" s="416">
        <f>IF(ISNUMBER(_xlfn.XLOOKUP(A557,抽卷!$A:$A,抽卷!$K:$K,,1,2)),_xlfn.XLOOKUP(A557,抽卷!$A:$A,抽卷!$K:$K,,1,2),NA())</f>
        <v>160</v>
      </c>
      <c r="E557" s="416">
        <f>IF(ISNUMBER(_xlfn.XLOOKUP(A557,抽卷!$A:$A,抽卷!$M:$M,,1,2)),_xlfn.XLOOKUP(A557,抽卷!$A:$A,抽卷!$M:$M,,1,2),NA())</f>
        <v>290</v>
      </c>
      <c r="F557" s="70">
        <f t="shared" si="26"/>
        <v>620</v>
      </c>
    </row>
    <row r="558" spans="1:6" ht="15" customHeight="1" x14ac:dyDescent="0.25">
      <c r="A558" s="95">
        <f t="shared" si="27"/>
        <v>44494</v>
      </c>
      <c r="B558" s="76">
        <f>IF(ISNUMBER(_xlfn.XLOOKUP(A558,鑽量!$A:$A,鑽量!$K:$K,,1,2)),_xlfn.XLOOKUP(A558,鑽量!$A:$A,鑽量!$K:$K,,1,2),NA())</f>
        <v>20575</v>
      </c>
      <c r="C558" s="416">
        <f t="shared" si="25"/>
        <v>171.45833333333334</v>
      </c>
      <c r="D558" s="416">
        <f>IF(ISNUMBER(_xlfn.XLOOKUP(A558,抽卷!$A:$A,抽卷!$K:$K,,1,2)),_xlfn.XLOOKUP(A558,抽卷!$A:$A,抽卷!$K:$K,,1,2),NA())</f>
        <v>171</v>
      </c>
      <c r="E558" s="416">
        <f>IF(ISNUMBER(_xlfn.XLOOKUP(A558,抽卷!$A:$A,抽卷!$M:$M,,1,2)),_xlfn.XLOOKUP(A558,抽卷!$A:$A,抽卷!$M:$M,,1,2),NA())</f>
        <v>310</v>
      </c>
      <c r="F558" s="70">
        <f t="shared" si="26"/>
        <v>652.45833333333337</v>
      </c>
    </row>
    <row r="559" spans="1:6" ht="15" customHeight="1" x14ac:dyDescent="0.25">
      <c r="A559" s="95">
        <f t="shared" si="27"/>
        <v>44495</v>
      </c>
      <c r="B559" s="76">
        <f>IF(ISNUMBER(_xlfn.XLOOKUP(A559,鑽量!$A:$A,鑽量!$K:$K,,1,2)),_xlfn.XLOOKUP(A559,鑽量!$A:$A,鑽量!$K:$K,,1,2),NA())</f>
        <v>20575</v>
      </c>
      <c r="C559" s="416">
        <f t="shared" si="25"/>
        <v>171.45833333333334</v>
      </c>
      <c r="D559" s="416">
        <f>IF(ISNUMBER(_xlfn.XLOOKUP(A559,抽卷!$A:$A,抽卷!$K:$K,,1,2)),_xlfn.XLOOKUP(A559,抽卷!$A:$A,抽卷!$K:$K,,1,2),NA())</f>
        <v>171</v>
      </c>
      <c r="E559" s="416">
        <f>IF(ISNUMBER(_xlfn.XLOOKUP(A559,抽卷!$A:$A,抽卷!$M:$M,,1,2)),_xlfn.XLOOKUP(A559,抽卷!$A:$A,抽卷!$M:$M,,1,2),NA())</f>
        <v>310</v>
      </c>
      <c r="F559" s="70">
        <f t="shared" si="26"/>
        <v>652.45833333333337</v>
      </c>
    </row>
    <row r="560" spans="1:6" ht="15" customHeight="1" x14ac:dyDescent="0.25">
      <c r="A560" s="95">
        <f t="shared" si="27"/>
        <v>44496</v>
      </c>
      <c r="B560" s="76">
        <f>IF(ISNUMBER(_xlfn.XLOOKUP(A560,鑽量!$A:$A,鑽量!$K:$K,,1,2)),_xlfn.XLOOKUP(A560,鑽量!$A:$A,鑽量!$K:$K,,1,2),NA())</f>
        <v>20625</v>
      </c>
      <c r="C560" s="416">
        <f t="shared" si="25"/>
        <v>171.875</v>
      </c>
      <c r="D560" s="416">
        <f>IF(ISNUMBER(_xlfn.XLOOKUP(A560,抽卷!$A:$A,抽卷!$K:$K,,1,2)),_xlfn.XLOOKUP(A560,抽卷!$A:$A,抽卷!$K:$K,,1,2),NA())</f>
        <v>127</v>
      </c>
      <c r="E560" s="416">
        <f>IF(ISNUMBER(_xlfn.XLOOKUP(A560,抽卷!$A:$A,抽卷!$M:$M,,1,2)),_xlfn.XLOOKUP(A560,抽卷!$A:$A,抽卷!$M:$M,,1,2),NA())</f>
        <v>310</v>
      </c>
      <c r="F560" s="70">
        <f t="shared" si="26"/>
        <v>608.875</v>
      </c>
    </row>
    <row r="561" spans="1:6" ht="15" customHeight="1" x14ac:dyDescent="0.25">
      <c r="A561" s="95">
        <f t="shared" si="27"/>
        <v>44497</v>
      </c>
      <c r="B561" s="76">
        <f>IF(ISNUMBER(_xlfn.XLOOKUP(A561,鑽量!$A:$A,鑽量!$K:$K,,1,2)),_xlfn.XLOOKUP(A561,鑽量!$A:$A,鑽量!$K:$K,,1,2),NA())</f>
        <v>20275</v>
      </c>
      <c r="C561" s="416">
        <f t="shared" si="25"/>
        <v>168.95833333333334</v>
      </c>
      <c r="D561" s="416">
        <f>IF(ISNUMBER(_xlfn.XLOOKUP(A561,抽卷!$A:$A,抽卷!$K:$K,,1,2)),_xlfn.XLOOKUP(A561,抽卷!$A:$A,抽卷!$K:$K,,1,2),NA())</f>
        <v>142</v>
      </c>
      <c r="E561" s="416">
        <f>IF(ISNUMBER(_xlfn.XLOOKUP(A561,抽卷!$A:$A,抽卷!$M:$M,,1,2)),_xlfn.XLOOKUP(A561,抽卷!$A:$A,抽卷!$M:$M,,1,2),NA())</f>
        <v>310</v>
      </c>
      <c r="F561" s="70">
        <f t="shared" si="26"/>
        <v>620.95833333333337</v>
      </c>
    </row>
    <row r="562" spans="1:6" ht="15" customHeight="1" x14ac:dyDescent="0.25">
      <c r="A562" s="95">
        <f t="shared" si="27"/>
        <v>44498</v>
      </c>
      <c r="B562" s="76">
        <f>IF(ISNUMBER(_xlfn.XLOOKUP(A562,鑽量!$A:$A,鑽量!$K:$K,,1,2)),_xlfn.XLOOKUP(A562,鑽量!$A:$A,鑽量!$K:$K,,1,2),NA())</f>
        <v>20275</v>
      </c>
      <c r="C562" s="416">
        <f t="shared" si="25"/>
        <v>168.95833333333334</v>
      </c>
      <c r="D562" s="416">
        <f>IF(ISNUMBER(_xlfn.XLOOKUP(A562,抽卷!$A:$A,抽卷!$K:$K,,1,2)),_xlfn.XLOOKUP(A562,抽卷!$A:$A,抽卷!$K:$K,,1,2),NA())</f>
        <v>142</v>
      </c>
      <c r="E562" s="416">
        <f>IF(ISNUMBER(_xlfn.XLOOKUP(A562,抽卷!$A:$A,抽卷!$M:$M,,1,2)),_xlfn.XLOOKUP(A562,抽卷!$A:$A,抽卷!$M:$M,,1,2),NA())</f>
        <v>320</v>
      </c>
      <c r="F562" s="70">
        <f t="shared" si="26"/>
        <v>630.95833333333337</v>
      </c>
    </row>
    <row r="563" spans="1:6" ht="15" customHeight="1" x14ac:dyDescent="0.25">
      <c r="A563" s="95">
        <f t="shared" si="27"/>
        <v>44499</v>
      </c>
      <c r="B563" s="76">
        <f>IF(ISNUMBER(_xlfn.XLOOKUP(A563,鑽量!$A:$A,鑽量!$K:$K,,1,2)),_xlfn.XLOOKUP(A563,鑽量!$A:$A,鑽量!$K:$K,,1,2),NA())</f>
        <v>17750</v>
      </c>
      <c r="C563" s="416">
        <f t="shared" si="25"/>
        <v>147.91666666666666</v>
      </c>
      <c r="D563" s="416">
        <f>IF(ISNUMBER(_xlfn.XLOOKUP(A563,抽卷!$A:$A,抽卷!$K:$K,,1,2)),_xlfn.XLOOKUP(A563,抽卷!$A:$A,抽卷!$K:$K,,1,2),NA())</f>
        <v>143</v>
      </c>
      <c r="E563" s="416">
        <f>IF(ISNUMBER(_xlfn.XLOOKUP(A563,抽卷!$A:$A,抽卷!$M:$M,,1,2)),_xlfn.XLOOKUP(A563,抽卷!$A:$A,抽卷!$M:$M,,1,2),NA())</f>
        <v>310</v>
      </c>
      <c r="F563" s="70">
        <f t="shared" si="26"/>
        <v>600.91666666666663</v>
      </c>
    </row>
    <row r="564" spans="1:6" ht="15" customHeight="1" x14ac:dyDescent="0.25">
      <c r="A564" s="95">
        <f t="shared" si="27"/>
        <v>44500</v>
      </c>
      <c r="B564" s="76">
        <f>IF(ISNUMBER(_xlfn.XLOOKUP(A564,鑽量!$A:$A,鑽量!$K:$K,,1,2)),_xlfn.XLOOKUP(A564,鑽量!$A:$A,鑽量!$K:$K,,1,2),NA())</f>
        <v>16450</v>
      </c>
      <c r="C564" s="416">
        <f t="shared" si="25"/>
        <v>137.08333333333334</v>
      </c>
      <c r="D564" s="416">
        <f>IF(ISNUMBER(_xlfn.XLOOKUP(A564,抽卷!$A:$A,抽卷!$K:$K,,1,2)),_xlfn.XLOOKUP(A564,抽卷!$A:$A,抽卷!$K:$K,,1,2),NA())</f>
        <v>151</v>
      </c>
      <c r="E564" s="416">
        <f>IF(ISNUMBER(_xlfn.XLOOKUP(A564,抽卷!$A:$A,抽卷!$M:$M,,1,2)),_xlfn.XLOOKUP(A564,抽卷!$A:$A,抽卷!$M:$M,,1,2),NA())</f>
        <v>320</v>
      </c>
      <c r="F564" s="70">
        <f t="shared" si="26"/>
        <v>608.08333333333337</v>
      </c>
    </row>
    <row r="565" spans="1:6" ht="15" customHeight="1" x14ac:dyDescent="0.25">
      <c r="A565" s="95">
        <f t="shared" si="27"/>
        <v>44501</v>
      </c>
      <c r="B565" s="76" t="e">
        <f>IF(ISNUMBER(_xlfn.XLOOKUP(A565,鑽量!$A:$A,鑽量!$K:$K,,1,2)),_xlfn.XLOOKUP(A565,鑽量!$A:$A,鑽量!$K:$K,,1,2),NA())</f>
        <v>#N/A</v>
      </c>
      <c r="C565" s="416" t="e">
        <f t="shared" si="25"/>
        <v>#N/A</v>
      </c>
      <c r="D565" s="416" t="e">
        <f>IF(ISNUMBER(_xlfn.XLOOKUP(A565,抽卷!$A:$A,抽卷!$K:$K,,1,2)),_xlfn.XLOOKUP(A565,抽卷!$A:$A,抽卷!$K:$K,,1,2),NA())</f>
        <v>#N/A</v>
      </c>
      <c r="E565" s="416" t="e">
        <f>IF(ISNUMBER(_xlfn.XLOOKUP(A565,抽卷!$A:$A,抽卷!$M:$M,,1,2)),_xlfn.XLOOKUP(A565,抽卷!$A:$A,抽卷!$M:$M,,1,2),NA())</f>
        <v>#N/A</v>
      </c>
      <c r="F565" s="70" t="e">
        <f t="shared" si="26"/>
        <v>#N/A</v>
      </c>
    </row>
    <row r="566" spans="1:6" ht="15" customHeight="1" x14ac:dyDescent="0.25">
      <c r="A566" s="95">
        <f t="shared" si="27"/>
        <v>44502</v>
      </c>
      <c r="B566" s="76" t="e">
        <f>IF(ISNUMBER(_xlfn.XLOOKUP(A566,鑽量!$A:$A,鑽量!$K:$K,,1,2)),_xlfn.XLOOKUP(A566,鑽量!$A:$A,鑽量!$K:$K,,1,2),NA())</f>
        <v>#N/A</v>
      </c>
      <c r="C566" s="416" t="e">
        <f t="shared" si="25"/>
        <v>#N/A</v>
      </c>
      <c r="D566" s="416" t="e">
        <f>IF(ISNUMBER(_xlfn.XLOOKUP(A566,抽卷!$A:$A,抽卷!$K:$K,,1,2)),_xlfn.XLOOKUP(A566,抽卷!$A:$A,抽卷!$K:$K,,1,2),NA())</f>
        <v>#N/A</v>
      </c>
      <c r="E566" s="416" t="e">
        <f>IF(ISNUMBER(_xlfn.XLOOKUP(A566,抽卷!$A:$A,抽卷!$M:$M,,1,2)),_xlfn.XLOOKUP(A566,抽卷!$A:$A,抽卷!$M:$M,,1,2),NA())</f>
        <v>#N/A</v>
      </c>
      <c r="F566" s="70" t="e">
        <f t="shared" si="26"/>
        <v>#N/A</v>
      </c>
    </row>
    <row r="567" spans="1:6" ht="15" customHeight="1" x14ac:dyDescent="0.25">
      <c r="A567" s="95">
        <f t="shared" si="27"/>
        <v>44503</v>
      </c>
      <c r="B567" s="76" t="e">
        <f>IF(ISNUMBER(_xlfn.XLOOKUP(A567,鑽量!$A:$A,鑽量!$K:$K,,1,2)),_xlfn.XLOOKUP(A567,鑽量!$A:$A,鑽量!$K:$K,,1,2),NA())</f>
        <v>#N/A</v>
      </c>
      <c r="C567" s="416" t="e">
        <f t="shared" si="25"/>
        <v>#N/A</v>
      </c>
      <c r="D567" s="416" t="e">
        <f>IF(ISNUMBER(_xlfn.XLOOKUP(A567,抽卷!$A:$A,抽卷!$K:$K,,1,2)),_xlfn.XLOOKUP(A567,抽卷!$A:$A,抽卷!$K:$K,,1,2),NA())</f>
        <v>#N/A</v>
      </c>
      <c r="E567" s="416" t="e">
        <f>IF(ISNUMBER(_xlfn.XLOOKUP(A567,抽卷!$A:$A,抽卷!$M:$M,,1,2)),_xlfn.XLOOKUP(A567,抽卷!$A:$A,抽卷!$M:$M,,1,2),NA())</f>
        <v>#N/A</v>
      </c>
      <c r="F567" s="70" t="e">
        <f t="shared" si="26"/>
        <v>#N/A</v>
      </c>
    </row>
    <row r="568" spans="1:6" ht="15" customHeight="1" x14ac:dyDescent="0.25">
      <c r="A568" s="95">
        <f t="shared" si="27"/>
        <v>44504</v>
      </c>
      <c r="B568" s="76" t="e">
        <f>IF(ISNUMBER(_xlfn.XLOOKUP(A568,鑽量!$A:$A,鑽量!$K:$K,,1,2)),_xlfn.XLOOKUP(A568,鑽量!$A:$A,鑽量!$K:$K,,1,2),NA())</f>
        <v>#N/A</v>
      </c>
      <c r="C568" s="416" t="e">
        <f t="shared" ref="C568:C631" si="28">B568/120</f>
        <v>#N/A</v>
      </c>
      <c r="D568" s="416" t="e">
        <f>IF(ISNUMBER(_xlfn.XLOOKUP(A568,抽卷!$A:$A,抽卷!$K:$K,,1,2)),_xlfn.XLOOKUP(A568,抽卷!$A:$A,抽卷!$K:$K,,1,2),NA())</f>
        <v>#N/A</v>
      </c>
      <c r="E568" s="416" t="e">
        <f>IF(ISNUMBER(_xlfn.XLOOKUP(A568,抽卷!$A:$A,抽卷!$M:$M,,1,2)),_xlfn.XLOOKUP(A568,抽卷!$A:$A,抽卷!$M:$M,,1,2),NA())</f>
        <v>#N/A</v>
      </c>
      <c r="F568" s="70" t="e">
        <f t="shared" ref="F568:F631" si="29">IF(ISNA(E568),IF(ISNA(D568),C568,C568+D568),E568+D568+C568)</f>
        <v>#N/A</v>
      </c>
    </row>
    <row r="569" spans="1:6" ht="15" customHeight="1" x14ac:dyDescent="0.25">
      <c r="A569" s="95">
        <f t="shared" si="27"/>
        <v>44505</v>
      </c>
      <c r="B569" s="76" t="e">
        <f>IF(ISNUMBER(_xlfn.XLOOKUP(A569,鑽量!$A:$A,鑽量!$K:$K,,1,2)),_xlfn.XLOOKUP(A569,鑽量!$A:$A,鑽量!$K:$K,,1,2),NA())</f>
        <v>#N/A</v>
      </c>
      <c r="C569" s="416" t="e">
        <f t="shared" si="28"/>
        <v>#N/A</v>
      </c>
      <c r="D569" s="416" t="e">
        <f>IF(ISNUMBER(_xlfn.XLOOKUP(A569,抽卷!$A:$A,抽卷!$K:$K,,1,2)),_xlfn.XLOOKUP(A569,抽卷!$A:$A,抽卷!$K:$K,,1,2),NA())</f>
        <v>#N/A</v>
      </c>
      <c r="E569" s="416" t="e">
        <f>IF(ISNUMBER(_xlfn.XLOOKUP(A569,抽卷!$A:$A,抽卷!$M:$M,,1,2)),_xlfn.XLOOKUP(A569,抽卷!$A:$A,抽卷!$M:$M,,1,2),NA())</f>
        <v>#N/A</v>
      </c>
      <c r="F569" s="70" t="e">
        <f t="shared" si="29"/>
        <v>#N/A</v>
      </c>
    </row>
    <row r="570" spans="1:6" ht="15" customHeight="1" x14ac:dyDescent="0.25">
      <c r="A570" s="95">
        <f t="shared" si="27"/>
        <v>44506</v>
      </c>
      <c r="B570" s="76" t="e">
        <f>IF(ISNUMBER(_xlfn.XLOOKUP(A570,鑽量!$A:$A,鑽量!$K:$K,,1,2)),_xlfn.XLOOKUP(A570,鑽量!$A:$A,鑽量!$K:$K,,1,2),NA())</f>
        <v>#N/A</v>
      </c>
      <c r="C570" s="416" t="e">
        <f t="shared" si="28"/>
        <v>#N/A</v>
      </c>
      <c r="D570" s="416" t="e">
        <f>IF(ISNUMBER(_xlfn.XLOOKUP(A570,抽卷!$A:$A,抽卷!$K:$K,,1,2)),_xlfn.XLOOKUP(A570,抽卷!$A:$A,抽卷!$K:$K,,1,2),NA())</f>
        <v>#N/A</v>
      </c>
      <c r="E570" s="416" t="e">
        <f>IF(ISNUMBER(_xlfn.XLOOKUP(A570,抽卷!$A:$A,抽卷!$M:$M,,1,2)),_xlfn.XLOOKUP(A570,抽卷!$A:$A,抽卷!$M:$M,,1,2),NA())</f>
        <v>#N/A</v>
      </c>
      <c r="F570" s="70" t="e">
        <f t="shared" si="29"/>
        <v>#N/A</v>
      </c>
    </row>
    <row r="571" spans="1:6" ht="15" customHeight="1" x14ac:dyDescent="0.25">
      <c r="A571" s="95">
        <f t="shared" si="27"/>
        <v>44507</v>
      </c>
      <c r="B571" s="76" t="e">
        <f>IF(ISNUMBER(_xlfn.XLOOKUP(A571,鑽量!$A:$A,鑽量!$K:$K,,1,2)),_xlfn.XLOOKUP(A571,鑽量!$A:$A,鑽量!$K:$K,,1,2),NA())</f>
        <v>#N/A</v>
      </c>
      <c r="C571" s="416" t="e">
        <f t="shared" si="28"/>
        <v>#N/A</v>
      </c>
      <c r="D571" s="416" t="e">
        <f>IF(ISNUMBER(_xlfn.XLOOKUP(A571,抽卷!$A:$A,抽卷!$K:$K,,1,2)),_xlfn.XLOOKUP(A571,抽卷!$A:$A,抽卷!$K:$K,,1,2),NA())</f>
        <v>#N/A</v>
      </c>
      <c r="E571" s="416" t="e">
        <f>IF(ISNUMBER(_xlfn.XLOOKUP(A571,抽卷!$A:$A,抽卷!$M:$M,,1,2)),_xlfn.XLOOKUP(A571,抽卷!$A:$A,抽卷!$M:$M,,1,2),NA())</f>
        <v>#N/A</v>
      </c>
      <c r="F571" s="70" t="e">
        <f t="shared" si="29"/>
        <v>#N/A</v>
      </c>
    </row>
    <row r="572" spans="1:6" ht="15" customHeight="1" x14ac:dyDescent="0.25">
      <c r="A572" s="95">
        <f t="shared" si="27"/>
        <v>44508</v>
      </c>
      <c r="B572" s="76" t="e">
        <f>IF(ISNUMBER(_xlfn.XLOOKUP(A572,鑽量!$A:$A,鑽量!$K:$K,,1,2)),_xlfn.XLOOKUP(A572,鑽量!$A:$A,鑽量!$K:$K,,1,2),NA())</f>
        <v>#N/A</v>
      </c>
      <c r="C572" s="416" t="e">
        <f t="shared" si="28"/>
        <v>#N/A</v>
      </c>
      <c r="D572" s="416" t="e">
        <f>IF(ISNUMBER(_xlfn.XLOOKUP(A572,抽卷!$A:$A,抽卷!$K:$K,,1,2)),_xlfn.XLOOKUP(A572,抽卷!$A:$A,抽卷!$K:$K,,1,2),NA())</f>
        <v>#N/A</v>
      </c>
      <c r="E572" s="416" t="e">
        <f>IF(ISNUMBER(_xlfn.XLOOKUP(A572,抽卷!$A:$A,抽卷!$M:$M,,1,2)),_xlfn.XLOOKUP(A572,抽卷!$A:$A,抽卷!$M:$M,,1,2),NA())</f>
        <v>#N/A</v>
      </c>
      <c r="F572" s="70" t="e">
        <f t="shared" si="29"/>
        <v>#N/A</v>
      </c>
    </row>
    <row r="573" spans="1:6" ht="15" customHeight="1" x14ac:dyDescent="0.25">
      <c r="A573" s="95">
        <f t="shared" si="27"/>
        <v>44509</v>
      </c>
      <c r="B573" s="76" t="e">
        <f>IF(ISNUMBER(_xlfn.XLOOKUP(A573,鑽量!$A:$A,鑽量!$K:$K,,1,2)),_xlfn.XLOOKUP(A573,鑽量!$A:$A,鑽量!$K:$K,,1,2),NA())</f>
        <v>#N/A</v>
      </c>
      <c r="C573" s="416" t="e">
        <f t="shared" si="28"/>
        <v>#N/A</v>
      </c>
      <c r="D573" s="416" t="e">
        <f>IF(ISNUMBER(_xlfn.XLOOKUP(A573,抽卷!$A:$A,抽卷!$K:$K,,1,2)),_xlfn.XLOOKUP(A573,抽卷!$A:$A,抽卷!$K:$K,,1,2),NA())</f>
        <v>#N/A</v>
      </c>
      <c r="E573" s="416" t="e">
        <f>IF(ISNUMBER(_xlfn.XLOOKUP(A573,抽卷!$A:$A,抽卷!$M:$M,,1,2)),_xlfn.XLOOKUP(A573,抽卷!$A:$A,抽卷!$M:$M,,1,2),NA())</f>
        <v>#N/A</v>
      </c>
      <c r="F573" s="70" t="e">
        <f t="shared" si="29"/>
        <v>#N/A</v>
      </c>
    </row>
    <row r="574" spans="1:6" ht="15" customHeight="1" x14ac:dyDescent="0.25">
      <c r="A574" s="95">
        <f t="shared" si="27"/>
        <v>44510</v>
      </c>
      <c r="B574" s="76" t="e">
        <f>IF(ISNUMBER(_xlfn.XLOOKUP(A574,鑽量!$A:$A,鑽量!$K:$K,,1,2)),_xlfn.XLOOKUP(A574,鑽量!$A:$A,鑽量!$K:$K,,1,2),NA())</f>
        <v>#N/A</v>
      </c>
      <c r="C574" s="416" t="e">
        <f t="shared" si="28"/>
        <v>#N/A</v>
      </c>
      <c r="D574" s="416" t="e">
        <f>IF(ISNUMBER(_xlfn.XLOOKUP(A574,抽卷!$A:$A,抽卷!$K:$K,,1,2)),_xlfn.XLOOKUP(A574,抽卷!$A:$A,抽卷!$K:$K,,1,2),NA())</f>
        <v>#N/A</v>
      </c>
      <c r="E574" s="416" t="e">
        <f>IF(ISNUMBER(_xlfn.XLOOKUP(A574,抽卷!$A:$A,抽卷!$M:$M,,1,2)),_xlfn.XLOOKUP(A574,抽卷!$A:$A,抽卷!$M:$M,,1,2),NA())</f>
        <v>#N/A</v>
      </c>
      <c r="F574" s="70" t="e">
        <f t="shared" si="29"/>
        <v>#N/A</v>
      </c>
    </row>
    <row r="575" spans="1:6" ht="15" customHeight="1" x14ac:dyDescent="0.25">
      <c r="A575" s="95">
        <f t="shared" si="27"/>
        <v>44511</v>
      </c>
      <c r="B575" s="76" t="e">
        <f>IF(ISNUMBER(_xlfn.XLOOKUP(A575,鑽量!$A:$A,鑽量!$K:$K,,1,2)),_xlfn.XLOOKUP(A575,鑽量!$A:$A,鑽量!$K:$K,,1,2),NA())</f>
        <v>#N/A</v>
      </c>
      <c r="C575" s="416" t="e">
        <f t="shared" si="28"/>
        <v>#N/A</v>
      </c>
      <c r="D575" s="416" t="e">
        <f>IF(ISNUMBER(_xlfn.XLOOKUP(A575,抽卷!$A:$A,抽卷!$K:$K,,1,2)),_xlfn.XLOOKUP(A575,抽卷!$A:$A,抽卷!$K:$K,,1,2),NA())</f>
        <v>#N/A</v>
      </c>
      <c r="E575" s="416" t="e">
        <f>IF(ISNUMBER(_xlfn.XLOOKUP(A575,抽卷!$A:$A,抽卷!$M:$M,,1,2)),_xlfn.XLOOKUP(A575,抽卷!$A:$A,抽卷!$M:$M,,1,2),NA())</f>
        <v>#N/A</v>
      </c>
      <c r="F575" s="70" t="e">
        <f t="shared" si="29"/>
        <v>#N/A</v>
      </c>
    </row>
    <row r="576" spans="1:6" ht="15" customHeight="1" x14ac:dyDescent="0.25">
      <c r="A576" s="95">
        <f t="shared" si="27"/>
        <v>44512</v>
      </c>
      <c r="B576" s="76" t="e">
        <f>IF(ISNUMBER(_xlfn.XLOOKUP(A576,鑽量!$A:$A,鑽量!$K:$K,,1,2)),_xlfn.XLOOKUP(A576,鑽量!$A:$A,鑽量!$K:$K,,1,2),NA())</f>
        <v>#N/A</v>
      </c>
      <c r="C576" s="416" t="e">
        <f t="shared" si="28"/>
        <v>#N/A</v>
      </c>
      <c r="D576" s="416" t="e">
        <f>IF(ISNUMBER(_xlfn.XLOOKUP(A576,抽卷!$A:$A,抽卷!$K:$K,,1,2)),_xlfn.XLOOKUP(A576,抽卷!$A:$A,抽卷!$K:$K,,1,2),NA())</f>
        <v>#N/A</v>
      </c>
      <c r="E576" s="416" t="e">
        <f>IF(ISNUMBER(_xlfn.XLOOKUP(A576,抽卷!$A:$A,抽卷!$M:$M,,1,2)),_xlfn.XLOOKUP(A576,抽卷!$A:$A,抽卷!$M:$M,,1,2),NA())</f>
        <v>#N/A</v>
      </c>
      <c r="F576" s="70" t="e">
        <f t="shared" si="29"/>
        <v>#N/A</v>
      </c>
    </row>
    <row r="577" spans="1:6" ht="15" customHeight="1" x14ac:dyDescent="0.25">
      <c r="A577" s="95">
        <f t="shared" si="27"/>
        <v>44513</v>
      </c>
      <c r="B577" s="76" t="e">
        <f>IF(ISNUMBER(_xlfn.XLOOKUP(A577,鑽量!$A:$A,鑽量!$K:$K,,1,2)),_xlfn.XLOOKUP(A577,鑽量!$A:$A,鑽量!$K:$K,,1,2),NA())</f>
        <v>#N/A</v>
      </c>
      <c r="C577" s="416" t="e">
        <f t="shared" si="28"/>
        <v>#N/A</v>
      </c>
      <c r="D577" s="416" t="e">
        <f>IF(ISNUMBER(_xlfn.XLOOKUP(A577,抽卷!$A:$A,抽卷!$K:$K,,1,2)),_xlfn.XLOOKUP(A577,抽卷!$A:$A,抽卷!$K:$K,,1,2),NA())</f>
        <v>#N/A</v>
      </c>
      <c r="E577" s="416" t="e">
        <f>IF(ISNUMBER(_xlfn.XLOOKUP(A577,抽卷!$A:$A,抽卷!$M:$M,,1,2)),_xlfn.XLOOKUP(A577,抽卷!$A:$A,抽卷!$M:$M,,1,2),NA())</f>
        <v>#N/A</v>
      </c>
      <c r="F577" s="70" t="e">
        <f t="shared" si="29"/>
        <v>#N/A</v>
      </c>
    </row>
    <row r="578" spans="1:6" ht="15" customHeight="1" x14ac:dyDescent="0.25">
      <c r="A578" s="95">
        <f t="shared" si="27"/>
        <v>44514</v>
      </c>
      <c r="B578" s="76" t="e">
        <f>IF(ISNUMBER(_xlfn.XLOOKUP(A578,鑽量!$A:$A,鑽量!$K:$K,,1,2)),_xlfn.XLOOKUP(A578,鑽量!$A:$A,鑽量!$K:$K,,1,2),NA())</f>
        <v>#N/A</v>
      </c>
      <c r="C578" s="416" t="e">
        <f t="shared" si="28"/>
        <v>#N/A</v>
      </c>
      <c r="D578" s="416" t="e">
        <f>IF(ISNUMBER(_xlfn.XLOOKUP(A578,抽卷!$A:$A,抽卷!$K:$K,,1,2)),_xlfn.XLOOKUP(A578,抽卷!$A:$A,抽卷!$K:$K,,1,2),NA())</f>
        <v>#N/A</v>
      </c>
      <c r="E578" s="416" t="e">
        <f>IF(ISNUMBER(_xlfn.XLOOKUP(A578,抽卷!$A:$A,抽卷!$M:$M,,1,2)),_xlfn.XLOOKUP(A578,抽卷!$A:$A,抽卷!$M:$M,,1,2),NA())</f>
        <v>#N/A</v>
      </c>
      <c r="F578" s="70" t="e">
        <f t="shared" si="29"/>
        <v>#N/A</v>
      </c>
    </row>
    <row r="579" spans="1:6" ht="15" customHeight="1" x14ac:dyDescent="0.25">
      <c r="A579" s="95">
        <f t="shared" si="27"/>
        <v>44515</v>
      </c>
      <c r="B579" s="76" t="e">
        <f>IF(ISNUMBER(_xlfn.XLOOKUP(A579,鑽量!$A:$A,鑽量!$K:$K,,1,2)),_xlfn.XLOOKUP(A579,鑽量!$A:$A,鑽量!$K:$K,,1,2),NA())</f>
        <v>#N/A</v>
      </c>
      <c r="C579" s="416" t="e">
        <f t="shared" si="28"/>
        <v>#N/A</v>
      </c>
      <c r="D579" s="416" t="e">
        <f>IF(ISNUMBER(_xlfn.XLOOKUP(A579,抽卷!$A:$A,抽卷!$K:$K,,1,2)),_xlfn.XLOOKUP(A579,抽卷!$A:$A,抽卷!$K:$K,,1,2),NA())</f>
        <v>#N/A</v>
      </c>
      <c r="E579" s="416" t="e">
        <f>IF(ISNUMBER(_xlfn.XLOOKUP(A579,抽卷!$A:$A,抽卷!$M:$M,,1,2)),_xlfn.XLOOKUP(A579,抽卷!$A:$A,抽卷!$M:$M,,1,2),NA())</f>
        <v>#N/A</v>
      </c>
      <c r="F579" s="70" t="e">
        <f t="shared" si="29"/>
        <v>#N/A</v>
      </c>
    </row>
    <row r="580" spans="1:6" ht="15" customHeight="1" x14ac:dyDescent="0.25">
      <c r="A580" s="95">
        <f t="shared" si="27"/>
        <v>44516</v>
      </c>
      <c r="B580" s="76" t="e">
        <f>IF(ISNUMBER(_xlfn.XLOOKUP(A580,鑽量!$A:$A,鑽量!$K:$K,,1,2)),_xlfn.XLOOKUP(A580,鑽量!$A:$A,鑽量!$K:$K,,1,2),NA())</f>
        <v>#N/A</v>
      </c>
      <c r="C580" s="416" t="e">
        <f t="shared" si="28"/>
        <v>#N/A</v>
      </c>
      <c r="D580" s="416" t="e">
        <f>IF(ISNUMBER(_xlfn.XLOOKUP(A580,抽卷!$A:$A,抽卷!$K:$K,,1,2)),_xlfn.XLOOKUP(A580,抽卷!$A:$A,抽卷!$K:$K,,1,2),NA())</f>
        <v>#N/A</v>
      </c>
      <c r="E580" s="416" t="e">
        <f>IF(ISNUMBER(_xlfn.XLOOKUP(A580,抽卷!$A:$A,抽卷!$M:$M,,1,2)),_xlfn.XLOOKUP(A580,抽卷!$A:$A,抽卷!$M:$M,,1,2),NA())</f>
        <v>#N/A</v>
      </c>
      <c r="F580" s="70" t="e">
        <f t="shared" si="29"/>
        <v>#N/A</v>
      </c>
    </row>
    <row r="581" spans="1:6" ht="15" customHeight="1" x14ac:dyDescent="0.25">
      <c r="A581" s="95">
        <f t="shared" si="27"/>
        <v>44517</v>
      </c>
      <c r="B581" s="76" t="e">
        <f>IF(ISNUMBER(_xlfn.XLOOKUP(A581,鑽量!$A:$A,鑽量!$K:$K,,1,2)),_xlfn.XLOOKUP(A581,鑽量!$A:$A,鑽量!$K:$K,,1,2),NA())</f>
        <v>#N/A</v>
      </c>
      <c r="C581" s="416" t="e">
        <f t="shared" si="28"/>
        <v>#N/A</v>
      </c>
      <c r="D581" s="416" t="e">
        <f>IF(ISNUMBER(_xlfn.XLOOKUP(A581,抽卷!$A:$A,抽卷!$K:$K,,1,2)),_xlfn.XLOOKUP(A581,抽卷!$A:$A,抽卷!$K:$K,,1,2),NA())</f>
        <v>#N/A</v>
      </c>
      <c r="E581" s="416" t="e">
        <f>IF(ISNUMBER(_xlfn.XLOOKUP(A581,抽卷!$A:$A,抽卷!$M:$M,,1,2)),_xlfn.XLOOKUP(A581,抽卷!$A:$A,抽卷!$M:$M,,1,2),NA())</f>
        <v>#N/A</v>
      </c>
      <c r="F581" s="70" t="e">
        <f t="shared" si="29"/>
        <v>#N/A</v>
      </c>
    </row>
    <row r="582" spans="1:6" ht="15" customHeight="1" x14ac:dyDescent="0.25">
      <c r="A582" s="95">
        <f t="shared" ref="A582:A645" si="30">A581+1</f>
        <v>44518</v>
      </c>
      <c r="B582" s="76" t="e">
        <f>IF(ISNUMBER(_xlfn.XLOOKUP(A582,鑽量!$A:$A,鑽量!$K:$K,,1,2)),_xlfn.XLOOKUP(A582,鑽量!$A:$A,鑽量!$K:$K,,1,2),NA())</f>
        <v>#N/A</v>
      </c>
      <c r="C582" s="416" t="e">
        <f t="shared" si="28"/>
        <v>#N/A</v>
      </c>
      <c r="D582" s="416" t="e">
        <f>IF(ISNUMBER(_xlfn.XLOOKUP(A582,抽卷!$A:$A,抽卷!$K:$K,,1,2)),_xlfn.XLOOKUP(A582,抽卷!$A:$A,抽卷!$K:$K,,1,2),NA())</f>
        <v>#N/A</v>
      </c>
      <c r="E582" s="416" t="e">
        <f>IF(ISNUMBER(_xlfn.XLOOKUP(A582,抽卷!$A:$A,抽卷!$M:$M,,1,2)),_xlfn.XLOOKUP(A582,抽卷!$A:$A,抽卷!$M:$M,,1,2),NA())</f>
        <v>#N/A</v>
      </c>
      <c r="F582" s="70" t="e">
        <f t="shared" si="29"/>
        <v>#N/A</v>
      </c>
    </row>
    <row r="583" spans="1:6" ht="15" customHeight="1" x14ac:dyDescent="0.25">
      <c r="A583" s="95">
        <f t="shared" si="30"/>
        <v>44519</v>
      </c>
      <c r="B583" s="76" t="e">
        <f>IF(ISNUMBER(_xlfn.XLOOKUP(A583,鑽量!$A:$A,鑽量!$K:$K,,1,2)),_xlfn.XLOOKUP(A583,鑽量!$A:$A,鑽量!$K:$K,,1,2),NA())</f>
        <v>#N/A</v>
      </c>
      <c r="C583" s="416" t="e">
        <f t="shared" si="28"/>
        <v>#N/A</v>
      </c>
      <c r="D583" s="416" t="e">
        <f>IF(ISNUMBER(_xlfn.XLOOKUP(A583,抽卷!$A:$A,抽卷!$K:$K,,1,2)),_xlfn.XLOOKUP(A583,抽卷!$A:$A,抽卷!$K:$K,,1,2),NA())</f>
        <v>#N/A</v>
      </c>
      <c r="E583" s="416" t="e">
        <f>IF(ISNUMBER(_xlfn.XLOOKUP(A583,抽卷!$A:$A,抽卷!$M:$M,,1,2)),_xlfn.XLOOKUP(A583,抽卷!$A:$A,抽卷!$M:$M,,1,2),NA())</f>
        <v>#N/A</v>
      </c>
      <c r="F583" s="70" t="e">
        <f t="shared" si="29"/>
        <v>#N/A</v>
      </c>
    </row>
    <row r="584" spans="1:6" ht="15" customHeight="1" x14ac:dyDescent="0.25">
      <c r="A584" s="95">
        <f t="shared" si="30"/>
        <v>44520</v>
      </c>
      <c r="B584" s="76" t="e">
        <f>IF(ISNUMBER(_xlfn.XLOOKUP(A584,鑽量!$A:$A,鑽量!$K:$K,,1,2)),_xlfn.XLOOKUP(A584,鑽量!$A:$A,鑽量!$K:$K,,1,2),NA())</f>
        <v>#N/A</v>
      </c>
      <c r="C584" s="416" t="e">
        <f t="shared" si="28"/>
        <v>#N/A</v>
      </c>
      <c r="D584" s="416" t="e">
        <f>IF(ISNUMBER(_xlfn.XLOOKUP(A584,抽卷!$A:$A,抽卷!$K:$K,,1,2)),_xlfn.XLOOKUP(A584,抽卷!$A:$A,抽卷!$K:$K,,1,2),NA())</f>
        <v>#N/A</v>
      </c>
      <c r="E584" s="416" t="e">
        <f>IF(ISNUMBER(_xlfn.XLOOKUP(A584,抽卷!$A:$A,抽卷!$M:$M,,1,2)),_xlfn.XLOOKUP(A584,抽卷!$A:$A,抽卷!$M:$M,,1,2),NA())</f>
        <v>#N/A</v>
      </c>
      <c r="F584" s="70" t="e">
        <f t="shared" si="29"/>
        <v>#N/A</v>
      </c>
    </row>
    <row r="585" spans="1:6" ht="15" customHeight="1" x14ac:dyDescent="0.25">
      <c r="A585" s="95">
        <f t="shared" si="30"/>
        <v>44521</v>
      </c>
      <c r="B585" s="76" t="e">
        <f>IF(ISNUMBER(_xlfn.XLOOKUP(A585,鑽量!$A:$A,鑽量!$K:$K,,1,2)),_xlfn.XLOOKUP(A585,鑽量!$A:$A,鑽量!$K:$K,,1,2),NA())</f>
        <v>#N/A</v>
      </c>
      <c r="C585" s="416" t="e">
        <f t="shared" si="28"/>
        <v>#N/A</v>
      </c>
      <c r="D585" s="416" t="e">
        <f>IF(ISNUMBER(_xlfn.XLOOKUP(A585,抽卷!$A:$A,抽卷!$K:$K,,1,2)),_xlfn.XLOOKUP(A585,抽卷!$A:$A,抽卷!$K:$K,,1,2),NA())</f>
        <v>#N/A</v>
      </c>
      <c r="E585" s="416" t="e">
        <f>IF(ISNUMBER(_xlfn.XLOOKUP(A585,抽卷!$A:$A,抽卷!$M:$M,,1,2)),_xlfn.XLOOKUP(A585,抽卷!$A:$A,抽卷!$M:$M,,1,2),NA())</f>
        <v>#N/A</v>
      </c>
      <c r="F585" s="70" t="e">
        <f t="shared" si="29"/>
        <v>#N/A</v>
      </c>
    </row>
    <row r="586" spans="1:6" ht="15" customHeight="1" x14ac:dyDescent="0.25">
      <c r="A586" s="95">
        <f t="shared" si="30"/>
        <v>44522</v>
      </c>
      <c r="B586" s="76" t="e">
        <f>IF(ISNUMBER(_xlfn.XLOOKUP(A586,鑽量!$A:$A,鑽量!$K:$K,,1,2)),_xlfn.XLOOKUP(A586,鑽量!$A:$A,鑽量!$K:$K,,1,2),NA())</f>
        <v>#N/A</v>
      </c>
      <c r="C586" s="416" t="e">
        <f t="shared" si="28"/>
        <v>#N/A</v>
      </c>
      <c r="D586" s="416" t="e">
        <f>IF(ISNUMBER(_xlfn.XLOOKUP(A586,抽卷!$A:$A,抽卷!$K:$K,,1,2)),_xlfn.XLOOKUP(A586,抽卷!$A:$A,抽卷!$K:$K,,1,2),NA())</f>
        <v>#N/A</v>
      </c>
      <c r="E586" s="416" t="e">
        <f>IF(ISNUMBER(_xlfn.XLOOKUP(A586,抽卷!$A:$A,抽卷!$M:$M,,1,2)),_xlfn.XLOOKUP(A586,抽卷!$A:$A,抽卷!$M:$M,,1,2),NA())</f>
        <v>#N/A</v>
      </c>
      <c r="F586" s="70" t="e">
        <f t="shared" si="29"/>
        <v>#N/A</v>
      </c>
    </row>
    <row r="587" spans="1:6" ht="15" customHeight="1" x14ac:dyDescent="0.25">
      <c r="A587" s="95">
        <f t="shared" si="30"/>
        <v>44523</v>
      </c>
      <c r="B587" s="76" t="e">
        <f>IF(ISNUMBER(_xlfn.XLOOKUP(A587,鑽量!$A:$A,鑽量!$K:$K,,1,2)),_xlfn.XLOOKUP(A587,鑽量!$A:$A,鑽量!$K:$K,,1,2),NA())</f>
        <v>#N/A</v>
      </c>
      <c r="C587" s="416" t="e">
        <f t="shared" si="28"/>
        <v>#N/A</v>
      </c>
      <c r="D587" s="416" t="e">
        <f>IF(ISNUMBER(_xlfn.XLOOKUP(A587,抽卷!$A:$A,抽卷!$K:$K,,1,2)),_xlfn.XLOOKUP(A587,抽卷!$A:$A,抽卷!$K:$K,,1,2),NA())</f>
        <v>#N/A</v>
      </c>
      <c r="E587" s="416" t="e">
        <f>IF(ISNUMBER(_xlfn.XLOOKUP(A587,抽卷!$A:$A,抽卷!$M:$M,,1,2)),_xlfn.XLOOKUP(A587,抽卷!$A:$A,抽卷!$M:$M,,1,2),NA())</f>
        <v>#N/A</v>
      </c>
      <c r="F587" s="70" t="e">
        <f t="shared" si="29"/>
        <v>#N/A</v>
      </c>
    </row>
    <row r="588" spans="1:6" ht="15" customHeight="1" x14ac:dyDescent="0.25">
      <c r="A588" s="95">
        <f t="shared" si="30"/>
        <v>44524</v>
      </c>
      <c r="B588" s="76" t="e">
        <f>IF(ISNUMBER(_xlfn.XLOOKUP(A588,鑽量!$A:$A,鑽量!$K:$K,,1,2)),_xlfn.XLOOKUP(A588,鑽量!$A:$A,鑽量!$K:$K,,1,2),NA())</f>
        <v>#N/A</v>
      </c>
      <c r="C588" s="416" t="e">
        <f t="shared" si="28"/>
        <v>#N/A</v>
      </c>
      <c r="D588" s="416" t="e">
        <f>IF(ISNUMBER(_xlfn.XLOOKUP(A588,抽卷!$A:$A,抽卷!$K:$K,,1,2)),_xlfn.XLOOKUP(A588,抽卷!$A:$A,抽卷!$K:$K,,1,2),NA())</f>
        <v>#N/A</v>
      </c>
      <c r="E588" s="416" t="e">
        <f>IF(ISNUMBER(_xlfn.XLOOKUP(A588,抽卷!$A:$A,抽卷!$M:$M,,1,2)),_xlfn.XLOOKUP(A588,抽卷!$A:$A,抽卷!$M:$M,,1,2),NA())</f>
        <v>#N/A</v>
      </c>
      <c r="F588" s="70" t="e">
        <f t="shared" si="29"/>
        <v>#N/A</v>
      </c>
    </row>
    <row r="589" spans="1:6" ht="15" customHeight="1" x14ac:dyDescent="0.25">
      <c r="A589" s="95">
        <f t="shared" si="30"/>
        <v>44525</v>
      </c>
      <c r="B589" s="76" t="e">
        <f>IF(ISNUMBER(_xlfn.XLOOKUP(A589,鑽量!$A:$A,鑽量!$K:$K,,1,2)),_xlfn.XLOOKUP(A589,鑽量!$A:$A,鑽量!$K:$K,,1,2),NA())</f>
        <v>#N/A</v>
      </c>
      <c r="C589" s="416" t="e">
        <f t="shared" si="28"/>
        <v>#N/A</v>
      </c>
      <c r="D589" s="416" t="e">
        <f>IF(ISNUMBER(_xlfn.XLOOKUP(A589,抽卷!$A:$A,抽卷!$K:$K,,1,2)),_xlfn.XLOOKUP(A589,抽卷!$A:$A,抽卷!$K:$K,,1,2),NA())</f>
        <v>#N/A</v>
      </c>
      <c r="E589" s="416" t="e">
        <f>IF(ISNUMBER(_xlfn.XLOOKUP(A589,抽卷!$A:$A,抽卷!$M:$M,,1,2)),_xlfn.XLOOKUP(A589,抽卷!$A:$A,抽卷!$M:$M,,1,2),NA())</f>
        <v>#N/A</v>
      </c>
      <c r="F589" s="70" t="e">
        <f t="shared" si="29"/>
        <v>#N/A</v>
      </c>
    </row>
    <row r="590" spans="1:6" ht="15" customHeight="1" x14ac:dyDescent="0.25">
      <c r="A590" s="95">
        <f t="shared" si="30"/>
        <v>44526</v>
      </c>
      <c r="B590" s="76" t="e">
        <f>IF(ISNUMBER(_xlfn.XLOOKUP(A590,鑽量!$A:$A,鑽量!$K:$K,,1,2)),_xlfn.XLOOKUP(A590,鑽量!$A:$A,鑽量!$K:$K,,1,2),NA())</f>
        <v>#N/A</v>
      </c>
      <c r="C590" s="416" t="e">
        <f t="shared" si="28"/>
        <v>#N/A</v>
      </c>
      <c r="D590" s="416" t="e">
        <f>IF(ISNUMBER(_xlfn.XLOOKUP(A590,抽卷!$A:$A,抽卷!$K:$K,,1,2)),_xlfn.XLOOKUP(A590,抽卷!$A:$A,抽卷!$K:$K,,1,2),NA())</f>
        <v>#N/A</v>
      </c>
      <c r="E590" s="416" t="e">
        <f>IF(ISNUMBER(_xlfn.XLOOKUP(A590,抽卷!$A:$A,抽卷!$M:$M,,1,2)),_xlfn.XLOOKUP(A590,抽卷!$A:$A,抽卷!$M:$M,,1,2),NA())</f>
        <v>#N/A</v>
      </c>
      <c r="F590" s="70" t="e">
        <f t="shared" si="29"/>
        <v>#N/A</v>
      </c>
    </row>
    <row r="591" spans="1:6" ht="15" customHeight="1" x14ac:dyDescent="0.25">
      <c r="A591" s="95">
        <f t="shared" si="30"/>
        <v>44527</v>
      </c>
      <c r="B591" s="76" t="e">
        <f>IF(ISNUMBER(_xlfn.XLOOKUP(A591,鑽量!$A:$A,鑽量!$K:$K,,1,2)),_xlfn.XLOOKUP(A591,鑽量!$A:$A,鑽量!$K:$K,,1,2),NA())</f>
        <v>#N/A</v>
      </c>
      <c r="C591" s="416" t="e">
        <f t="shared" si="28"/>
        <v>#N/A</v>
      </c>
      <c r="D591" s="416" t="e">
        <f>IF(ISNUMBER(_xlfn.XLOOKUP(A591,抽卷!$A:$A,抽卷!$K:$K,,1,2)),_xlfn.XLOOKUP(A591,抽卷!$A:$A,抽卷!$K:$K,,1,2),NA())</f>
        <v>#N/A</v>
      </c>
      <c r="E591" s="416" t="e">
        <f>IF(ISNUMBER(_xlfn.XLOOKUP(A591,抽卷!$A:$A,抽卷!$M:$M,,1,2)),_xlfn.XLOOKUP(A591,抽卷!$A:$A,抽卷!$M:$M,,1,2),NA())</f>
        <v>#N/A</v>
      </c>
      <c r="F591" s="70" t="e">
        <f t="shared" si="29"/>
        <v>#N/A</v>
      </c>
    </row>
    <row r="592" spans="1:6" ht="15" customHeight="1" x14ac:dyDescent="0.25">
      <c r="A592" s="95">
        <f t="shared" si="30"/>
        <v>44528</v>
      </c>
      <c r="B592" s="76" t="e">
        <f>IF(ISNUMBER(_xlfn.XLOOKUP(A592,鑽量!$A:$A,鑽量!$K:$K,,1,2)),_xlfn.XLOOKUP(A592,鑽量!$A:$A,鑽量!$K:$K,,1,2),NA())</f>
        <v>#N/A</v>
      </c>
      <c r="C592" s="416" t="e">
        <f t="shared" si="28"/>
        <v>#N/A</v>
      </c>
      <c r="D592" s="416" t="e">
        <f>IF(ISNUMBER(_xlfn.XLOOKUP(A592,抽卷!$A:$A,抽卷!$K:$K,,1,2)),_xlfn.XLOOKUP(A592,抽卷!$A:$A,抽卷!$K:$K,,1,2),NA())</f>
        <v>#N/A</v>
      </c>
      <c r="E592" s="416" t="e">
        <f>IF(ISNUMBER(_xlfn.XLOOKUP(A592,抽卷!$A:$A,抽卷!$M:$M,,1,2)),_xlfn.XLOOKUP(A592,抽卷!$A:$A,抽卷!$M:$M,,1,2),NA())</f>
        <v>#N/A</v>
      </c>
      <c r="F592" s="70" t="e">
        <f t="shared" si="29"/>
        <v>#N/A</v>
      </c>
    </row>
    <row r="593" spans="1:6" ht="15" customHeight="1" x14ac:dyDescent="0.25">
      <c r="A593" s="95">
        <f t="shared" si="30"/>
        <v>44529</v>
      </c>
      <c r="B593" s="76" t="e">
        <f>IF(ISNUMBER(_xlfn.XLOOKUP(A593,鑽量!$A:$A,鑽量!$K:$K,,1,2)),_xlfn.XLOOKUP(A593,鑽量!$A:$A,鑽量!$K:$K,,1,2),NA())</f>
        <v>#N/A</v>
      </c>
      <c r="C593" s="416" t="e">
        <f t="shared" si="28"/>
        <v>#N/A</v>
      </c>
      <c r="D593" s="416" t="e">
        <f>IF(ISNUMBER(_xlfn.XLOOKUP(A593,抽卷!$A:$A,抽卷!$K:$K,,1,2)),_xlfn.XLOOKUP(A593,抽卷!$A:$A,抽卷!$K:$K,,1,2),NA())</f>
        <v>#N/A</v>
      </c>
      <c r="E593" s="416" t="e">
        <f>IF(ISNUMBER(_xlfn.XLOOKUP(A593,抽卷!$A:$A,抽卷!$M:$M,,1,2)),_xlfn.XLOOKUP(A593,抽卷!$A:$A,抽卷!$M:$M,,1,2),NA())</f>
        <v>#N/A</v>
      </c>
      <c r="F593" s="70" t="e">
        <f t="shared" si="29"/>
        <v>#N/A</v>
      </c>
    </row>
    <row r="594" spans="1:6" ht="15" customHeight="1" x14ac:dyDescent="0.25">
      <c r="A594" s="95">
        <f t="shared" si="30"/>
        <v>44530</v>
      </c>
      <c r="B594" s="76" t="e">
        <f>IF(ISNUMBER(_xlfn.XLOOKUP(A594,鑽量!$A:$A,鑽量!$K:$K,,1,2)),_xlfn.XLOOKUP(A594,鑽量!$A:$A,鑽量!$K:$K,,1,2),NA())</f>
        <v>#N/A</v>
      </c>
      <c r="C594" s="416" t="e">
        <f t="shared" si="28"/>
        <v>#N/A</v>
      </c>
      <c r="D594" s="416" t="e">
        <f>IF(ISNUMBER(_xlfn.XLOOKUP(A594,抽卷!$A:$A,抽卷!$K:$K,,1,2)),_xlfn.XLOOKUP(A594,抽卷!$A:$A,抽卷!$K:$K,,1,2),NA())</f>
        <v>#N/A</v>
      </c>
      <c r="E594" s="416" t="e">
        <f>IF(ISNUMBER(_xlfn.XLOOKUP(A594,抽卷!$A:$A,抽卷!$M:$M,,1,2)),_xlfn.XLOOKUP(A594,抽卷!$A:$A,抽卷!$M:$M,,1,2),NA())</f>
        <v>#N/A</v>
      </c>
      <c r="F594" s="70" t="e">
        <f t="shared" si="29"/>
        <v>#N/A</v>
      </c>
    </row>
    <row r="595" spans="1:6" ht="15" customHeight="1" x14ac:dyDescent="0.25">
      <c r="A595" s="95">
        <f t="shared" si="30"/>
        <v>44531</v>
      </c>
      <c r="B595" s="76" t="e">
        <f>IF(ISNUMBER(_xlfn.XLOOKUP(A595,鑽量!$A:$A,鑽量!$K:$K,,1,2)),_xlfn.XLOOKUP(A595,鑽量!$A:$A,鑽量!$K:$K,,1,2),NA())</f>
        <v>#N/A</v>
      </c>
      <c r="C595" s="416" t="e">
        <f t="shared" si="28"/>
        <v>#N/A</v>
      </c>
      <c r="D595" s="416" t="e">
        <f>IF(ISNUMBER(_xlfn.XLOOKUP(A595,抽卷!$A:$A,抽卷!$K:$K,,1,2)),_xlfn.XLOOKUP(A595,抽卷!$A:$A,抽卷!$K:$K,,1,2),NA())</f>
        <v>#N/A</v>
      </c>
      <c r="E595" s="416" t="e">
        <f>IF(ISNUMBER(_xlfn.XLOOKUP(A595,抽卷!$A:$A,抽卷!$M:$M,,1,2)),_xlfn.XLOOKUP(A595,抽卷!$A:$A,抽卷!$M:$M,,1,2),NA())</f>
        <v>#N/A</v>
      </c>
      <c r="F595" s="70" t="e">
        <f t="shared" si="29"/>
        <v>#N/A</v>
      </c>
    </row>
    <row r="596" spans="1:6" ht="15" customHeight="1" x14ac:dyDescent="0.25">
      <c r="A596" s="95">
        <f t="shared" si="30"/>
        <v>44532</v>
      </c>
      <c r="B596" s="76" t="e">
        <f>IF(ISNUMBER(_xlfn.XLOOKUP(A596,鑽量!$A:$A,鑽量!$K:$K,,1,2)),_xlfn.XLOOKUP(A596,鑽量!$A:$A,鑽量!$K:$K,,1,2),NA())</f>
        <v>#N/A</v>
      </c>
      <c r="C596" s="416" t="e">
        <f t="shared" si="28"/>
        <v>#N/A</v>
      </c>
      <c r="D596" s="416" t="e">
        <f>IF(ISNUMBER(_xlfn.XLOOKUP(A596,抽卷!$A:$A,抽卷!$K:$K,,1,2)),_xlfn.XLOOKUP(A596,抽卷!$A:$A,抽卷!$K:$K,,1,2),NA())</f>
        <v>#N/A</v>
      </c>
      <c r="E596" s="416" t="e">
        <f>IF(ISNUMBER(_xlfn.XLOOKUP(A596,抽卷!$A:$A,抽卷!$M:$M,,1,2)),_xlfn.XLOOKUP(A596,抽卷!$A:$A,抽卷!$M:$M,,1,2),NA())</f>
        <v>#N/A</v>
      </c>
      <c r="F596" s="70" t="e">
        <f t="shared" si="29"/>
        <v>#N/A</v>
      </c>
    </row>
    <row r="597" spans="1:6" ht="15" customHeight="1" x14ac:dyDescent="0.25">
      <c r="A597" s="95">
        <f t="shared" si="30"/>
        <v>44533</v>
      </c>
      <c r="B597" s="76" t="e">
        <f>IF(ISNUMBER(_xlfn.XLOOKUP(A597,鑽量!$A:$A,鑽量!$K:$K,,1,2)),_xlfn.XLOOKUP(A597,鑽量!$A:$A,鑽量!$K:$K,,1,2),NA())</f>
        <v>#N/A</v>
      </c>
      <c r="C597" s="416" t="e">
        <f t="shared" si="28"/>
        <v>#N/A</v>
      </c>
      <c r="D597" s="416" t="e">
        <f>IF(ISNUMBER(_xlfn.XLOOKUP(A597,抽卷!$A:$A,抽卷!$K:$K,,1,2)),_xlfn.XLOOKUP(A597,抽卷!$A:$A,抽卷!$K:$K,,1,2),NA())</f>
        <v>#N/A</v>
      </c>
      <c r="E597" s="416" t="e">
        <f>IF(ISNUMBER(_xlfn.XLOOKUP(A597,抽卷!$A:$A,抽卷!$M:$M,,1,2)),_xlfn.XLOOKUP(A597,抽卷!$A:$A,抽卷!$M:$M,,1,2),NA())</f>
        <v>#N/A</v>
      </c>
      <c r="F597" s="70" t="e">
        <f t="shared" si="29"/>
        <v>#N/A</v>
      </c>
    </row>
    <row r="598" spans="1:6" ht="15" customHeight="1" x14ac:dyDescent="0.25">
      <c r="A598" s="95">
        <f t="shared" si="30"/>
        <v>44534</v>
      </c>
      <c r="B598" s="76" t="e">
        <f>IF(ISNUMBER(_xlfn.XLOOKUP(A598,鑽量!$A:$A,鑽量!$K:$K,,1,2)),_xlfn.XLOOKUP(A598,鑽量!$A:$A,鑽量!$K:$K,,1,2),NA())</f>
        <v>#N/A</v>
      </c>
      <c r="C598" s="416" t="e">
        <f t="shared" si="28"/>
        <v>#N/A</v>
      </c>
      <c r="D598" s="416" t="e">
        <f>IF(ISNUMBER(_xlfn.XLOOKUP(A598,抽卷!$A:$A,抽卷!$K:$K,,1,2)),_xlfn.XLOOKUP(A598,抽卷!$A:$A,抽卷!$K:$K,,1,2),NA())</f>
        <v>#N/A</v>
      </c>
      <c r="E598" s="416" t="e">
        <f>IF(ISNUMBER(_xlfn.XLOOKUP(A598,抽卷!$A:$A,抽卷!$M:$M,,1,2)),_xlfn.XLOOKUP(A598,抽卷!$A:$A,抽卷!$M:$M,,1,2),NA())</f>
        <v>#N/A</v>
      </c>
      <c r="F598" s="70" t="e">
        <f t="shared" si="29"/>
        <v>#N/A</v>
      </c>
    </row>
    <row r="599" spans="1:6" ht="15" customHeight="1" x14ac:dyDescent="0.25">
      <c r="A599" s="95">
        <f t="shared" si="30"/>
        <v>44535</v>
      </c>
      <c r="B599" s="76" t="e">
        <f>IF(ISNUMBER(_xlfn.XLOOKUP(A599,鑽量!$A:$A,鑽量!$K:$K,,1,2)),_xlfn.XLOOKUP(A599,鑽量!$A:$A,鑽量!$K:$K,,1,2),NA())</f>
        <v>#N/A</v>
      </c>
      <c r="C599" s="416" t="e">
        <f t="shared" si="28"/>
        <v>#N/A</v>
      </c>
      <c r="D599" s="416" t="e">
        <f>IF(ISNUMBER(_xlfn.XLOOKUP(A599,抽卷!$A:$A,抽卷!$K:$K,,1,2)),_xlfn.XLOOKUP(A599,抽卷!$A:$A,抽卷!$K:$K,,1,2),NA())</f>
        <v>#N/A</v>
      </c>
      <c r="E599" s="416" t="e">
        <f>IF(ISNUMBER(_xlfn.XLOOKUP(A599,抽卷!$A:$A,抽卷!$M:$M,,1,2)),_xlfn.XLOOKUP(A599,抽卷!$A:$A,抽卷!$M:$M,,1,2),NA())</f>
        <v>#N/A</v>
      </c>
      <c r="F599" s="70" t="e">
        <f t="shared" si="29"/>
        <v>#N/A</v>
      </c>
    </row>
    <row r="600" spans="1:6" ht="15" customHeight="1" x14ac:dyDescent="0.25">
      <c r="A600" s="95">
        <f t="shared" si="30"/>
        <v>44536</v>
      </c>
      <c r="B600" s="76" t="e">
        <f>IF(ISNUMBER(_xlfn.XLOOKUP(A600,鑽量!$A:$A,鑽量!$K:$K,,1,2)),_xlfn.XLOOKUP(A600,鑽量!$A:$A,鑽量!$K:$K,,1,2),NA())</f>
        <v>#N/A</v>
      </c>
      <c r="C600" s="416" t="e">
        <f t="shared" si="28"/>
        <v>#N/A</v>
      </c>
      <c r="D600" s="416" t="e">
        <f>IF(ISNUMBER(_xlfn.XLOOKUP(A600,抽卷!$A:$A,抽卷!$K:$K,,1,2)),_xlfn.XLOOKUP(A600,抽卷!$A:$A,抽卷!$K:$K,,1,2),NA())</f>
        <v>#N/A</v>
      </c>
      <c r="E600" s="416" t="e">
        <f>IF(ISNUMBER(_xlfn.XLOOKUP(A600,抽卷!$A:$A,抽卷!$M:$M,,1,2)),_xlfn.XLOOKUP(A600,抽卷!$A:$A,抽卷!$M:$M,,1,2),NA())</f>
        <v>#N/A</v>
      </c>
      <c r="F600" s="70" t="e">
        <f t="shared" si="29"/>
        <v>#N/A</v>
      </c>
    </row>
    <row r="601" spans="1:6" ht="15" customHeight="1" x14ac:dyDescent="0.25">
      <c r="A601" s="95">
        <f t="shared" si="30"/>
        <v>44537</v>
      </c>
      <c r="B601" s="76" t="e">
        <f>IF(ISNUMBER(_xlfn.XLOOKUP(A601,鑽量!$A:$A,鑽量!$K:$K,,1,2)),_xlfn.XLOOKUP(A601,鑽量!$A:$A,鑽量!$K:$K,,1,2),NA())</f>
        <v>#N/A</v>
      </c>
      <c r="C601" s="416" t="e">
        <f t="shared" si="28"/>
        <v>#N/A</v>
      </c>
      <c r="D601" s="416" t="e">
        <f>IF(ISNUMBER(_xlfn.XLOOKUP(A601,抽卷!$A:$A,抽卷!$K:$K,,1,2)),_xlfn.XLOOKUP(A601,抽卷!$A:$A,抽卷!$K:$K,,1,2),NA())</f>
        <v>#N/A</v>
      </c>
      <c r="E601" s="416" t="e">
        <f>IF(ISNUMBER(_xlfn.XLOOKUP(A601,抽卷!$A:$A,抽卷!$M:$M,,1,2)),_xlfn.XLOOKUP(A601,抽卷!$A:$A,抽卷!$M:$M,,1,2),NA())</f>
        <v>#N/A</v>
      </c>
      <c r="F601" s="70" t="e">
        <f t="shared" si="29"/>
        <v>#N/A</v>
      </c>
    </row>
    <row r="602" spans="1:6" ht="15" customHeight="1" x14ac:dyDescent="0.25">
      <c r="A602" s="95">
        <f t="shared" si="30"/>
        <v>44538</v>
      </c>
      <c r="B602" s="76" t="e">
        <f>IF(ISNUMBER(_xlfn.XLOOKUP(A602,鑽量!$A:$A,鑽量!$K:$K,,1,2)),_xlfn.XLOOKUP(A602,鑽量!$A:$A,鑽量!$K:$K,,1,2),NA())</f>
        <v>#N/A</v>
      </c>
      <c r="C602" s="416" t="e">
        <f t="shared" si="28"/>
        <v>#N/A</v>
      </c>
      <c r="D602" s="416" t="e">
        <f>IF(ISNUMBER(_xlfn.XLOOKUP(A602,抽卷!$A:$A,抽卷!$K:$K,,1,2)),_xlfn.XLOOKUP(A602,抽卷!$A:$A,抽卷!$K:$K,,1,2),NA())</f>
        <v>#N/A</v>
      </c>
      <c r="E602" s="416" t="e">
        <f>IF(ISNUMBER(_xlfn.XLOOKUP(A602,抽卷!$A:$A,抽卷!$M:$M,,1,2)),_xlfn.XLOOKUP(A602,抽卷!$A:$A,抽卷!$M:$M,,1,2),NA())</f>
        <v>#N/A</v>
      </c>
      <c r="F602" s="70" t="e">
        <f t="shared" si="29"/>
        <v>#N/A</v>
      </c>
    </row>
    <row r="603" spans="1:6" ht="15" customHeight="1" x14ac:dyDescent="0.25">
      <c r="A603" s="95">
        <f t="shared" si="30"/>
        <v>44539</v>
      </c>
      <c r="B603" s="76" t="e">
        <f>IF(ISNUMBER(_xlfn.XLOOKUP(A603,鑽量!$A:$A,鑽量!$K:$K,,1,2)),_xlfn.XLOOKUP(A603,鑽量!$A:$A,鑽量!$K:$K,,1,2),NA())</f>
        <v>#N/A</v>
      </c>
      <c r="C603" s="416" t="e">
        <f t="shared" si="28"/>
        <v>#N/A</v>
      </c>
      <c r="D603" s="416" t="e">
        <f>IF(ISNUMBER(_xlfn.XLOOKUP(A603,抽卷!$A:$A,抽卷!$K:$K,,1,2)),_xlfn.XLOOKUP(A603,抽卷!$A:$A,抽卷!$K:$K,,1,2),NA())</f>
        <v>#N/A</v>
      </c>
      <c r="E603" s="416" t="e">
        <f>IF(ISNUMBER(_xlfn.XLOOKUP(A603,抽卷!$A:$A,抽卷!$M:$M,,1,2)),_xlfn.XLOOKUP(A603,抽卷!$A:$A,抽卷!$M:$M,,1,2),NA())</f>
        <v>#N/A</v>
      </c>
      <c r="F603" s="70" t="e">
        <f t="shared" si="29"/>
        <v>#N/A</v>
      </c>
    </row>
    <row r="604" spans="1:6" ht="15" customHeight="1" x14ac:dyDescent="0.25">
      <c r="A604" s="95">
        <f t="shared" si="30"/>
        <v>44540</v>
      </c>
      <c r="B604" s="76" t="e">
        <f>IF(ISNUMBER(_xlfn.XLOOKUP(A604,鑽量!$A:$A,鑽量!$K:$K,,1,2)),_xlfn.XLOOKUP(A604,鑽量!$A:$A,鑽量!$K:$K,,1,2),NA())</f>
        <v>#N/A</v>
      </c>
      <c r="C604" s="416" t="e">
        <f t="shared" si="28"/>
        <v>#N/A</v>
      </c>
      <c r="D604" s="416" t="e">
        <f>IF(ISNUMBER(_xlfn.XLOOKUP(A604,抽卷!$A:$A,抽卷!$K:$K,,1,2)),_xlfn.XLOOKUP(A604,抽卷!$A:$A,抽卷!$K:$K,,1,2),NA())</f>
        <v>#N/A</v>
      </c>
      <c r="E604" s="416" t="e">
        <f>IF(ISNUMBER(_xlfn.XLOOKUP(A604,抽卷!$A:$A,抽卷!$M:$M,,1,2)),_xlfn.XLOOKUP(A604,抽卷!$A:$A,抽卷!$M:$M,,1,2),NA())</f>
        <v>#N/A</v>
      </c>
      <c r="F604" s="70" t="e">
        <f t="shared" si="29"/>
        <v>#N/A</v>
      </c>
    </row>
    <row r="605" spans="1:6" ht="15" customHeight="1" x14ac:dyDescent="0.25">
      <c r="A605" s="95">
        <f t="shared" si="30"/>
        <v>44541</v>
      </c>
      <c r="B605" s="76" t="e">
        <f>IF(ISNUMBER(_xlfn.XLOOKUP(A605,鑽量!$A:$A,鑽量!$K:$K,,1,2)),_xlfn.XLOOKUP(A605,鑽量!$A:$A,鑽量!$K:$K,,1,2),NA())</f>
        <v>#N/A</v>
      </c>
      <c r="C605" s="416" t="e">
        <f t="shared" si="28"/>
        <v>#N/A</v>
      </c>
      <c r="D605" s="416" t="e">
        <f>IF(ISNUMBER(_xlfn.XLOOKUP(A605,抽卷!$A:$A,抽卷!$K:$K,,1,2)),_xlfn.XLOOKUP(A605,抽卷!$A:$A,抽卷!$K:$K,,1,2),NA())</f>
        <v>#N/A</v>
      </c>
      <c r="E605" s="416" t="e">
        <f>IF(ISNUMBER(_xlfn.XLOOKUP(A605,抽卷!$A:$A,抽卷!$M:$M,,1,2)),_xlfn.XLOOKUP(A605,抽卷!$A:$A,抽卷!$M:$M,,1,2),NA())</f>
        <v>#N/A</v>
      </c>
      <c r="F605" s="70" t="e">
        <f t="shared" si="29"/>
        <v>#N/A</v>
      </c>
    </row>
    <row r="606" spans="1:6" ht="15" customHeight="1" x14ac:dyDescent="0.25">
      <c r="A606" s="95">
        <f t="shared" si="30"/>
        <v>44542</v>
      </c>
      <c r="B606" s="76" t="e">
        <f>IF(ISNUMBER(_xlfn.XLOOKUP(A606,鑽量!$A:$A,鑽量!$K:$K,,1,2)),_xlfn.XLOOKUP(A606,鑽量!$A:$A,鑽量!$K:$K,,1,2),NA())</f>
        <v>#N/A</v>
      </c>
      <c r="C606" s="416" t="e">
        <f t="shared" si="28"/>
        <v>#N/A</v>
      </c>
      <c r="D606" s="416" t="e">
        <f>IF(ISNUMBER(_xlfn.XLOOKUP(A606,抽卷!$A:$A,抽卷!$K:$K,,1,2)),_xlfn.XLOOKUP(A606,抽卷!$A:$A,抽卷!$K:$K,,1,2),NA())</f>
        <v>#N/A</v>
      </c>
      <c r="E606" s="416" t="e">
        <f>IF(ISNUMBER(_xlfn.XLOOKUP(A606,抽卷!$A:$A,抽卷!$M:$M,,1,2)),_xlfn.XLOOKUP(A606,抽卷!$A:$A,抽卷!$M:$M,,1,2),NA())</f>
        <v>#N/A</v>
      </c>
      <c r="F606" s="70" t="e">
        <f t="shared" si="29"/>
        <v>#N/A</v>
      </c>
    </row>
    <row r="607" spans="1:6" ht="15" customHeight="1" x14ac:dyDescent="0.25">
      <c r="A607" s="95">
        <f t="shared" si="30"/>
        <v>44543</v>
      </c>
      <c r="B607" s="76" t="e">
        <f>IF(ISNUMBER(_xlfn.XLOOKUP(A607,鑽量!$A:$A,鑽量!$K:$K,,1,2)),_xlfn.XLOOKUP(A607,鑽量!$A:$A,鑽量!$K:$K,,1,2),NA())</f>
        <v>#N/A</v>
      </c>
      <c r="C607" s="416" t="e">
        <f t="shared" si="28"/>
        <v>#N/A</v>
      </c>
      <c r="D607" s="416" t="e">
        <f>IF(ISNUMBER(_xlfn.XLOOKUP(A607,抽卷!$A:$A,抽卷!$K:$K,,1,2)),_xlfn.XLOOKUP(A607,抽卷!$A:$A,抽卷!$K:$K,,1,2),NA())</f>
        <v>#N/A</v>
      </c>
      <c r="E607" s="416" t="e">
        <f>IF(ISNUMBER(_xlfn.XLOOKUP(A607,抽卷!$A:$A,抽卷!$M:$M,,1,2)),_xlfn.XLOOKUP(A607,抽卷!$A:$A,抽卷!$M:$M,,1,2),NA())</f>
        <v>#N/A</v>
      </c>
      <c r="F607" s="70" t="e">
        <f t="shared" si="29"/>
        <v>#N/A</v>
      </c>
    </row>
    <row r="608" spans="1:6" ht="15" customHeight="1" x14ac:dyDescent="0.25">
      <c r="A608" s="95">
        <f t="shared" si="30"/>
        <v>44544</v>
      </c>
      <c r="B608" s="76" t="e">
        <f>IF(ISNUMBER(_xlfn.XLOOKUP(A608,鑽量!$A:$A,鑽量!$K:$K,,1,2)),_xlfn.XLOOKUP(A608,鑽量!$A:$A,鑽量!$K:$K,,1,2),NA())</f>
        <v>#N/A</v>
      </c>
      <c r="C608" s="416" t="e">
        <f t="shared" si="28"/>
        <v>#N/A</v>
      </c>
      <c r="D608" s="416" t="e">
        <f>IF(ISNUMBER(_xlfn.XLOOKUP(A608,抽卷!$A:$A,抽卷!$K:$K,,1,2)),_xlfn.XLOOKUP(A608,抽卷!$A:$A,抽卷!$K:$K,,1,2),NA())</f>
        <v>#N/A</v>
      </c>
      <c r="E608" s="416" t="e">
        <f>IF(ISNUMBER(_xlfn.XLOOKUP(A608,抽卷!$A:$A,抽卷!$M:$M,,1,2)),_xlfn.XLOOKUP(A608,抽卷!$A:$A,抽卷!$M:$M,,1,2),NA())</f>
        <v>#N/A</v>
      </c>
      <c r="F608" s="70" t="e">
        <f t="shared" si="29"/>
        <v>#N/A</v>
      </c>
    </row>
    <row r="609" spans="1:6" ht="15" customHeight="1" x14ac:dyDescent="0.25">
      <c r="A609" s="95">
        <f t="shared" si="30"/>
        <v>44545</v>
      </c>
      <c r="B609" s="76" t="e">
        <f>IF(ISNUMBER(_xlfn.XLOOKUP(A609,鑽量!$A:$A,鑽量!$K:$K,,1,2)),_xlfn.XLOOKUP(A609,鑽量!$A:$A,鑽量!$K:$K,,1,2),NA())</f>
        <v>#N/A</v>
      </c>
      <c r="C609" s="416" t="e">
        <f t="shared" si="28"/>
        <v>#N/A</v>
      </c>
      <c r="D609" s="416" t="e">
        <f>IF(ISNUMBER(_xlfn.XLOOKUP(A609,抽卷!$A:$A,抽卷!$K:$K,,1,2)),_xlfn.XLOOKUP(A609,抽卷!$A:$A,抽卷!$K:$K,,1,2),NA())</f>
        <v>#N/A</v>
      </c>
      <c r="E609" s="416" t="e">
        <f>IF(ISNUMBER(_xlfn.XLOOKUP(A609,抽卷!$A:$A,抽卷!$M:$M,,1,2)),_xlfn.XLOOKUP(A609,抽卷!$A:$A,抽卷!$M:$M,,1,2),NA())</f>
        <v>#N/A</v>
      </c>
      <c r="F609" s="70" t="e">
        <f t="shared" si="29"/>
        <v>#N/A</v>
      </c>
    </row>
    <row r="610" spans="1:6" ht="15" customHeight="1" x14ac:dyDescent="0.25">
      <c r="A610" s="95">
        <f t="shared" si="30"/>
        <v>44546</v>
      </c>
      <c r="B610" s="76" t="e">
        <f>IF(ISNUMBER(_xlfn.XLOOKUP(A610,鑽量!$A:$A,鑽量!$K:$K,,1,2)),_xlfn.XLOOKUP(A610,鑽量!$A:$A,鑽量!$K:$K,,1,2),NA())</f>
        <v>#N/A</v>
      </c>
      <c r="C610" s="416" t="e">
        <f t="shared" si="28"/>
        <v>#N/A</v>
      </c>
      <c r="D610" s="416" t="e">
        <f>IF(ISNUMBER(_xlfn.XLOOKUP(A610,抽卷!$A:$A,抽卷!$K:$K,,1,2)),_xlfn.XLOOKUP(A610,抽卷!$A:$A,抽卷!$K:$K,,1,2),NA())</f>
        <v>#N/A</v>
      </c>
      <c r="E610" s="416" t="e">
        <f>IF(ISNUMBER(_xlfn.XLOOKUP(A610,抽卷!$A:$A,抽卷!$M:$M,,1,2)),_xlfn.XLOOKUP(A610,抽卷!$A:$A,抽卷!$M:$M,,1,2),NA())</f>
        <v>#N/A</v>
      </c>
      <c r="F610" s="70" t="e">
        <f t="shared" si="29"/>
        <v>#N/A</v>
      </c>
    </row>
    <row r="611" spans="1:6" ht="15" customHeight="1" x14ac:dyDescent="0.25">
      <c r="A611" s="95">
        <f t="shared" si="30"/>
        <v>44547</v>
      </c>
      <c r="B611" s="76" t="e">
        <f>IF(ISNUMBER(_xlfn.XLOOKUP(A611,鑽量!$A:$A,鑽量!$K:$K,,1,2)),_xlfn.XLOOKUP(A611,鑽量!$A:$A,鑽量!$K:$K,,1,2),NA())</f>
        <v>#N/A</v>
      </c>
      <c r="C611" s="416" t="e">
        <f t="shared" si="28"/>
        <v>#N/A</v>
      </c>
      <c r="D611" s="416" t="e">
        <f>IF(ISNUMBER(_xlfn.XLOOKUP(A611,抽卷!$A:$A,抽卷!$K:$K,,1,2)),_xlfn.XLOOKUP(A611,抽卷!$A:$A,抽卷!$K:$K,,1,2),NA())</f>
        <v>#N/A</v>
      </c>
      <c r="E611" s="416" t="e">
        <f>IF(ISNUMBER(_xlfn.XLOOKUP(A611,抽卷!$A:$A,抽卷!$M:$M,,1,2)),_xlfn.XLOOKUP(A611,抽卷!$A:$A,抽卷!$M:$M,,1,2),NA())</f>
        <v>#N/A</v>
      </c>
      <c r="F611" s="70" t="e">
        <f t="shared" si="29"/>
        <v>#N/A</v>
      </c>
    </row>
    <row r="612" spans="1:6" ht="15" customHeight="1" x14ac:dyDescent="0.25">
      <c r="A612" s="95">
        <f t="shared" si="30"/>
        <v>44548</v>
      </c>
      <c r="B612" s="76" t="e">
        <f>IF(ISNUMBER(_xlfn.XLOOKUP(A612,鑽量!$A:$A,鑽量!$K:$K,,1,2)),_xlfn.XLOOKUP(A612,鑽量!$A:$A,鑽量!$K:$K,,1,2),NA())</f>
        <v>#N/A</v>
      </c>
      <c r="C612" s="416" t="e">
        <f t="shared" si="28"/>
        <v>#N/A</v>
      </c>
      <c r="D612" s="416" t="e">
        <f>IF(ISNUMBER(_xlfn.XLOOKUP(A612,抽卷!$A:$A,抽卷!$K:$K,,1,2)),_xlfn.XLOOKUP(A612,抽卷!$A:$A,抽卷!$K:$K,,1,2),NA())</f>
        <v>#N/A</v>
      </c>
      <c r="E612" s="416" t="e">
        <f>IF(ISNUMBER(_xlfn.XLOOKUP(A612,抽卷!$A:$A,抽卷!$M:$M,,1,2)),_xlfn.XLOOKUP(A612,抽卷!$A:$A,抽卷!$M:$M,,1,2),NA())</f>
        <v>#N/A</v>
      </c>
      <c r="F612" s="70" t="e">
        <f t="shared" si="29"/>
        <v>#N/A</v>
      </c>
    </row>
    <row r="613" spans="1:6" ht="15" customHeight="1" x14ac:dyDescent="0.25">
      <c r="A613" s="95">
        <f t="shared" si="30"/>
        <v>44549</v>
      </c>
      <c r="B613" s="76" t="e">
        <f>IF(ISNUMBER(_xlfn.XLOOKUP(A613,鑽量!$A:$A,鑽量!$K:$K,,1,2)),_xlfn.XLOOKUP(A613,鑽量!$A:$A,鑽量!$K:$K,,1,2),NA())</f>
        <v>#N/A</v>
      </c>
      <c r="C613" s="416" t="e">
        <f t="shared" si="28"/>
        <v>#N/A</v>
      </c>
      <c r="D613" s="416" t="e">
        <f>IF(ISNUMBER(_xlfn.XLOOKUP(A613,抽卷!$A:$A,抽卷!$K:$K,,1,2)),_xlfn.XLOOKUP(A613,抽卷!$A:$A,抽卷!$K:$K,,1,2),NA())</f>
        <v>#N/A</v>
      </c>
      <c r="E613" s="416" t="e">
        <f>IF(ISNUMBER(_xlfn.XLOOKUP(A613,抽卷!$A:$A,抽卷!$M:$M,,1,2)),_xlfn.XLOOKUP(A613,抽卷!$A:$A,抽卷!$M:$M,,1,2),NA())</f>
        <v>#N/A</v>
      </c>
      <c r="F613" s="70" t="e">
        <f t="shared" si="29"/>
        <v>#N/A</v>
      </c>
    </row>
    <row r="614" spans="1:6" ht="15" customHeight="1" x14ac:dyDescent="0.25">
      <c r="A614" s="95">
        <f t="shared" si="30"/>
        <v>44550</v>
      </c>
      <c r="B614" s="76" t="e">
        <f>IF(ISNUMBER(_xlfn.XLOOKUP(A614,鑽量!$A:$A,鑽量!$K:$K,,1,2)),_xlfn.XLOOKUP(A614,鑽量!$A:$A,鑽量!$K:$K,,1,2),NA())</f>
        <v>#N/A</v>
      </c>
      <c r="C614" s="416" t="e">
        <f t="shared" si="28"/>
        <v>#N/A</v>
      </c>
      <c r="D614" s="416" t="e">
        <f>IF(ISNUMBER(_xlfn.XLOOKUP(A614,抽卷!$A:$A,抽卷!$K:$K,,1,2)),_xlfn.XLOOKUP(A614,抽卷!$A:$A,抽卷!$K:$K,,1,2),NA())</f>
        <v>#N/A</v>
      </c>
      <c r="E614" s="416" t="e">
        <f>IF(ISNUMBER(_xlfn.XLOOKUP(A614,抽卷!$A:$A,抽卷!$M:$M,,1,2)),_xlfn.XLOOKUP(A614,抽卷!$A:$A,抽卷!$M:$M,,1,2),NA())</f>
        <v>#N/A</v>
      </c>
      <c r="F614" s="70" t="e">
        <f t="shared" si="29"/>
        <v>#N/A</v>
      </c>
    </row>
    <row r="615" spans="1:6" ht="15" customHeight="1" x14ac:dyDescent="0.25">
      <c r="A615" s="95">
        <f t="shared" si="30"/>
        <v>44551</v>
      </c>
      <c r="B615" s="76" t="e">
        <f>IF(ISNUMBER(_xlfn.XLOOKUP(A615,鑽量!$A:$A,鑽量!$K:$K,,1,2)),_xlfn.XLOOKUP(A615,鑽量!$A:$A,鑽量!$K:$K,,1,2),NA())</f>
        <v>#N/A</v>
      </c>
      <c r="C615" s="416" t="e">
        <f t="shared" si="28"/>
        <v>#N/A</v>
      </c>
      <c r="D615" s="416" t="e">
        <f>IF(ISNUMBER(_xlfn.XLOOKUP(A615,抽卷!$A:$A,抽卷!$K:$K,,1,2)),_xlfn.XLOOKUP(A615,抽卷!$A:$A,抽卷!$K:$K,,1,2),NA())</f>
        <v>#N/A</v>
      </c>
      <c r="E615" s="416" t="e">
        <f>IF(ISNUMBER(_xlfn.XLOOKUP(A615,抽卷!$A:$A,抽卷!$M:$M,,1,2)),_xlfn.XLOOKUP(A615,抽卷!$A:$A,抽卷!$M:$M,,1,2),NA())</f>
        <v>#N/A</v>
      </c>
      <c r="F615" s="70" t="e">
        <f t="shared" si="29"/>
        <v>#N/A</v>
      </c>
    </row>
    <row r="616" spans="1:6" ht="15" customHeight="1" x14ac:dyDescent="0.25">
      <c r="A616" s="95">
        <f t="shared" si="30"/>
        <v>44552</v>
      </c>
      <c r="B616" s="76" t="e">
        <f>IF(ISNUMBER(_xlfn.XLOOKUP(A616,鑽量!$A:$A,鑽量!$K:$K,,1,2)),_xlfn.XLOOKUP(A616,鑽量!$A:$A,鑽量!$K:$K,,1,2),NA())</f>
        <v>#N/A</v>
      </c>
      <c r="C616" s="416" t="e">
        <f t="shared" si="28"/>
        <v>#N/A</v>
      </c>
      <c r="D616" s="416" t="e">
        <f>IF(ISNUMBER(_xlfn.XLOOKUP(A616,抽卷!$A:$A,抽卷!$K:$K,,1,2)),_xlfn.XLOOKUP(A616,抽卷!$A:$A,抽卷!$K:$K,,1,2),NA())</f>
        <v>#N/A</v>
      </c>
      <c r="E616" s="416" t="e">
        <f>IF(ISNUMBER(_xlfn.XLOOKUP(A616,抽卷!$A:$A,抽卷!$M:$M,,1,2)),_xlfn.XLOOKUP(A616,抽卷!$A:$A,抽卷!$M:$M,,1,2),NA())</f>
        <v>#N/A</v>
      </c>
      <c r="F616" s="70" t="e">
        <f t="shared" si="29"/>
        <v>#N/A</v>
      </c>
    </row>
    <row r="617" spans="1:6" ht="15" customHeight="1" x14ac:dyDescent="0.25">
      <c r="A617" s="95">
        <f t="shared" si="30"/>
        <v>44553</v>
      </c>
      <c r="B617" s="76" t="e">
        <f>IF(ISNUMBER(_xlfn.XLOOKUP(A617,鑽量!$A:$A,鑽量!$K:$K,,1,2)),_xlfn.XLOOKUP(A617,鑽量!$A:$A,鑽量!$K:$K,,1,2),NA())</f>
        <v>#N/A</v>
      </c>
      <c r="C617" s="416" t="e">
        <f t="shared" si="28"/>
        <v>#N/A</v>
      </c>
      <c r="D617" s="416" t="e">
        <f>IF(ISNUMBER(_xlfn.XLOOKUP(A617,抽卷!$A:$A,抽卷!$K:$K,,1,2)),_xlfn.XLOOKUP(A617,抽卷!$A:$A,抽卷!$K:$K,,1,2),NA())</f>
        <v>#N/A</v>
      </c>
      <c r="E617" s="416" t="e">
        <f>IF(ISNUMBER(_xlfn.XLOOKUP(A617,抽卷!$A:$A,抽卷!$M:$M,,1,2)),_xlfn.XLOOKUP(A617,抽卷!$A:$A,抽卷!$M:$M,,1,2),NA())</f>
        <v>#N/A</v>
      </c>
      <c r="F617" s="70" t="e">
        <f t="shared" si="29"/>
        <v>#N/A</v>
      </c>
    </row>
    <row r="618" spans="1:6" ht="15" customHeight="1" x14ac:dyDescent="0.25">
      <c r="A618" s="95">
        <f t="shared" si="30"/>
        <v>44554</v>
      </c>
      <c r="B618" s="76" t="e">
        <f>IF(ISNUMBER(_xlfn.XLOOKUP(A618,鑽量!$A:$A,鑽量!$K:$K,,1,2)),_xlfn.XLOOKUP(A618,鑽量!$A:$A,鑽量!$K:$K,,1,2),NA())</f>
        <v>#N/A</v>
      </c>
      <c r="C618" s="416" t="e">
        <f t="shared" si="28"/>
        <v>#N/A</v>
      </c>
      <c r="D618" s="416" t="e">
        <f>IF(ISNUMBER(_xlfn.XLOOKUP(A618,抽卷!$A:$A,抽卷!$K:$K,,1,2)),_xlfn.XLOOKUP(A618,抽卷!$A:$A,抽卷!$K:$K,,1,2),NA())</f>
        <v>#N/A</v>
      </c>
      <c r="E618" s="416" t="e">
        <f>IF(ISNUMBER(_xlfn.XLOOKUP(A618,抽卷!$A:$A,抽卷!$M:$M,,1,2)),_xlfn.XLOOKUP(A618,抽卷!$A:$A,抽卷!$M:$M,,1,2),NA())</f>
        <v>#N/A</v>
      </c>
      <c r="F618" s="70" t="e">
        <f t="shared" si="29"/>
        <v>#N/A</v>
      </c>
    </row>
    <row r="619" spans="1:6" ht="15" customHeight="1" x14ac:dyDescent="0.25">
      <c r="A619" s="95">
        <f t="shared" si="30"/>
        <v>44555</v>
      </c>
      <c r="B619" s="76" t="e">
        <f>IF(ISNUMBER(_xlfn.XLOOKUP(A619,鑽量!$A:$A,鑽量!$K:$K,,1,2)),_xlfn.XLOOKUP(A619,鑽量!$A:$A,鑽量!$K:$K,,1,2),NA())</f>
        <v>#N/A</v>
      </c>
      <c r="C619" s="416" t="e">
        <f t="shared" si="28"/>
        <v>#N/A</v>
      </c>
      <c r="D619" s="416" t="e">
        <f>IF(ISNUMBER(_xlfn.XLOOKUP(A619,抽卷!$A:$A,抽卷!$K:$K,,1,2)),_xlfn.XLOOKUP(A619,抽卷!$A:$A,抽卷!$K:$K,,1,2),NA())</f>
        <v>#N/A</v>
      </c>
      <c r="E619" s="416" t="e">
        <f>IF(ISNUMBER(_xlfn.XLOOKUP(A619,抽卷!$A:$A,抽卷!$M:$M,,1,2)),_xlfn.XLOOKUP(A619,抽卷!$A:$A,抽卷!$M:$M,,1,2),NA())</f>
        <v>#N/A</v>
      </c>
      <c r="F619" s="70" t="e">
        <f t="shared" si="29"/>
        <v>#N/A</v>
      </c>
    </row>
    <row r="620" spans="1:6" ht="15" customHeight="1" x14ac:dyDescent="0.25">
      <c r="A620" s="95">
        <f t="shared" si="30"/>
        <v>44556</v>
      </c>
      <c r="B620" s="76" t="e">
        <f>IF(ISNUMBER(_xlfn.XLOOKUP(A620,鑽量!$A:$A,鑽量!$K:$K,,1,2)),_xlfn.XLOOKUP(A620,鑽量!$A:$A,鑽量!$K:$K,,1,2),NA())</f>
        <v>#N/A</v>
      </c>
      <c r="C620" s="416" t="e">
        <f t="shared" si="28"/>
        <v>#N/A</v>
      </c>
      <c r="D620" s="416" t="e">
        <f>IF(ISNUMBER(_xlfn.XLOOKUP(A620,抽卷!$A:$A,抽卷!$K:$K,,1,2)),_xlfn.XLOOKUP(A620,抽卷!$A:$A,抽卷!$K:$K,,1,2),NA())</f>
        <v>#N/A</v>
      </c>
      <c r="E620" s="416" t="e">
        <f>IF(ISNUMBER(_xlfn.XLOOKUP(A620,抽卷!$A:$A,抽卷!$M:$M,,1,2)),_xlfn.XLOOKUP(A620,抽卷!$A:$A,抽卷!$M:$M,,1,2),NA())</f>
        <v>#N/A</v>
      </c>
      <c r="F620" s="70" t="e">
        <f t="shared" si="29"/>
        <v>#N/A</v>
      </c>
    </row>
    <row r="621" spans="1:6" ht="15" customHeight="1" x14ac:dyDescent="0.25">
      <c r="A621" s="95">
        <f t="shared" si="30"/>
        <v>44557</v>
      </c>
      <c r="B621" s="76" t="e">
        <f>IF(ISNUMBER(_xlfn.XLOOKUP(A621,鑽量!$A:$A,鑽量!$K:$K,,1,2)),_xlfn.XLOOKUP(A621,鑽量!$A:$A,鑽量!$K:$K,,1,2),NA())</f>
        <v>#N/A</v>
      </c>
      <c r="C621" s="416" t="e">
        <f t="shared" si="28"/>
        <v>#N/A</v>
      </c>
      <c r="D621" s="416" t="e">
        <f>IF(ISNUMBER(_xlfn.XLOOKUP(A621,抽卷!$A:$A,抽卷!$K:$K,,1,2)),_xlfn.XLOOKUP(A621,抽卷!$A:$A,抽卷!$K:$K,,1,2),NA())</f>
        <v>#N/A</v>
      </c>
      <c r="E621" s="416" t="e">
        <f>IF(ISNUMBER(_xlfn.XLOOKUP(A621,抽卷!$A:$A,抽卷!$M:$M,,1,2)),_xlfn.XLOOKUP(A621,抽卷!$A:$A,抽卷!$M:$M,,1,2),NA())</f>
        <v>#N/A</v>
      </c>
      <c r="F621" s="70" t="e">
        <f t="shared" si="29"/>
        <v>#N/A</v>
      </c>
    </row>
    <row r="622" spans="1:6" ht="15" customHeight="1" x14ac:dyDescent="0.25">
      <c r="A622" s="95">
        <f t="shared" si="30"/>
        <v>44558</v>
      </c>
      <c r="B622" s="76" t="e">
        <f>IF(ISNUMBER(_xlfn.XLOOKUP(A622,鑽量!$A:$A,鑽量!$K:$K,,1,2)),_xlfn.XLOOKUP(A622,鑽量!$A:$A,鑽量!$K:$K,,1,2),NA())</f>
        <v>#N/A</v>
      </c>
      <c r="C622" s="416" t="e">
        <f t="shared" si="28"/>
        <v>#N/A</v>
      </c>
      <c r="D622" s="416" t="e">
        <f>IF(ISNUMBER(_xlfn.XLOOKUP(A622,抽卷!$A:$A,抽卷!$K:$K,,1,2)),_xlfn.XLOOKUP(A622,抽卷!$A:$A,抽卷!$K:$K,,1,2),NA())</f>
        <v>#N/A</v>
      </c>
      <c r="E622" s="416" t="e">
        <f>IF(ISNUMBER(_xlfn.XLOOKUP(A622,抽卷!$A:$A,抽卷!$M:$M,,1,2)),_xlfn.XLOOKUP(A622,抽卷!$A:$A,抽卷!$M:$M,,1,2),NA())</f>
        <v>#N/A</v>
      </c>
      <c r="F622" s="70" t="e">
        <f t="shared" si="29"/>
        <v>#N/A</v>
      </c>
    </row>
    <row r="623" spans="1:6" ht="15" customHeight="1" x14ac:dyDescent="0.25">
      <c r="A623" s="95">
        <f t="shared" si="30"/>
        <v>44559</v>
      </c>
      <c r="B623" s="76" t="e">
        <f>IF(ISNUMBER(_xlfn.XLOOKUP(A623,鑽量!$A:$A,鑽量!$K:$K,,1,2)),_xlfn.XLOOKUP(A623,鑽量!$A:$A,鑽量!$K:$K,,1,2),NA())</f>
        <v>#N/A</v>
      </c>
      <c r="C623" s="416" t="e">
        <f t="shared" si="28"/>
        <v>#N/A</v>
      </c>
      <c r="D623" s="416" t="e">
        <f>IF(ISNUMBER(_xlfn.XLOOKUP(A623,抽卷!$A:$A,抽卷!$K:$K,,1,2)),_xlfn.XLOOKUP(A623,抽卷!$A:$A,抽卷!$K:$K,,1,2),NA())</f>
        <v>#N/A</v>
      </c>
      <c r="E623" s="416" t="e">
        <f>IF(ISNUMBER(_xlfn.XLOOKUP(A623,抽卷!$A:$A,抽卷!$M:$M,,1,2)),_xlfn.XLOOKUP(A623,抽卷!$A:$A,抽卷!$M:$M,,1,2),NA())</f>
        <v>#N/A</v>
      </c>
      <c r="F623" s="70" t="e">
        <f t="shared" si="29"/>
        <v>#N/A</v>
      </c>
    </row>
    <row r="624" spans="1:6" ht="15" customHeight="1" x14ac:dyDescent="0.25">
      <c r="A624" s="95">
        <f t="shared" si="30"/>
        <v>44560</v>
      </c>
      <c r="B624" s="76" t="e">
        <f>IF(ISNUMBER(_xlfn.XLOOKUP(A624,鑽量!$A:$A,鑽量!$K:$K,,1,2)),_xlfn.XLOOKUP(A624,鑽量!$A:$A,鑽量!$K:$K,,1,2),NA())</f>
        <v>#N/A</v>
      </c>
      <c r="C624" s="416" t="e">
        <f t="shared" si="28"/>
        <v>#N/A</v>
      </c>
      <c r="D624" s="416" t="e">
        <f>IF(ISNUMBER(_xlfn.XLOOKUP(A624,抽卷!$A:$A,抽卷!$K:$K,,1,2)),_xlfn.XLOOKUP(A624,抽卷!$A:$A,抽卷!$K:$K,,1,2),NA())</f>
        <v>#N/A</v>
      </c>
      <c r="E624" s="416" t="e">
        <f>IF(ISNUMBER(_xlfn.XLOOKUP(A624,抽卷!$A:$A,抽卷!$M:$M,,1,2)),_xlfn.XLOOKUP(A624,抽卷!$A:$A,抽卷!$M:$M,,1,2),NA())</f>
        <v>#N/A</v>
      </c>
      <c r="F624" s="70" t="e">
        <f t="shared" si="29"/>
        <v>#N/A</v>
      </c>
    </row>
    <row r="625" spans="1:6" ht="15" customHeight="1" x14ac:dyDescent="0.25">
      <c r="A625" s="95">
        <f t="shared" si="30"/>
        <v>44561</v>
      </c>
      <c r="B625" s="76" t="e">
        <f>IF(ISNUMBER(_xlfn.XLOOKUP(A625,鑽量!$A:$A,鑽量!$K:$K,,1,2)),_xlfn.XLOOKUP(A625,鑽量!$A:$A,鑽量!$K:$K,,1,2),NA())</f>
        <v>#N/A</v>
      </c>
      <c r="C625" s="416" t="e">
        <f t="shared" si="28"/>
        <v>#N/A</v>
      </c>
      <c r="D625" s="416" t="e">
        <f>IF(ISNUMBER(_xlfn.XLOOKUP(A625,抽卷!$A:$A,抽卷!$K:$K,,1,2)),_xlfn.XLOOKUP(A625,抽卷!$A:$A,抽卷!$K:$K,,1,2),NA())</f>
        <v>#N/A</v>
      </c>
      <c r="E625" s="416" t="e">
        <f>IF(ISNUMBER(_xlfn.XLOOKUP(A625,抽卷!$A:$A,抽卷!$M:$M,,1,2)),_xlfn.XLOOKUP(A625,抽卷!$A:$A,抽卷!$M:$M,,1,2),NA())</f>
        <v>#N/A</v>
      </c>
      <c r="F625" s="70" t="e">
        <f t="shared" si="29"/>
        <v>#N/A</v>
      </c>
    </row>
    <row r="626" spans="1:6" ht="15" customHeight="1" x14ac:dyDescent="0.25">
      <c r="A626" s="95">
        <f t="shared" si="30"/>
        <v>44562</v>
      </c>
      <c r="B626" s="76" t="e">
        <f>IF(ISNUMBER(_xlfn.XLOOKUP(A626,鑽量!$A:$A,鑽量!$K:$K,,1,2)),_xlfn.XLOOKUP(A626,鑽量!$A:$A,鑽量!$K:$K,,1,2),NA())</f>
        <v>#N/A</v>
      </c>
      <c r="C626" s="416" t="e">
        <f t="shared" si="28"/>
        <v>#N/A</v>
      </c>
      <c r="D626" s="416" t="e">
        <f>IF(ISNUMBER(_xlfn.XLOOKUP(A626,抽卷!$A:$A,抽卷!$K:$K,,1,2)),_xlfn.XLOOKUP(A626,抽卷!$A:$A,抽卷!$K:$K,,1,2),NA())</f>
        <v>#N/A</v>
      </c>
      <c r="E626" s="416" t="e">
        <f>IF(ISNUMBER(_xlfn.XLOOKUP(A626,抽卷!$A:$A,抽卷!$M:$M,,1,2)),_xlfn.XLOOKUP(A626,抽卷!$A:$A,抽卷!$M:$M,,1,2),NA())</f>
        <v>#N/A</v>
      </c>
      <c r="F626" s="70" t="e">
        <f t="shared" si="29"/>
        <v>#N/A</v>
      </c>
    </row>
    <row r="627" spans="1:6" ht="15" customHeight="1" x14ac:dyDescent="0.25">
      <c r="A627" s="95">
        <f t="shared" si="30"/>
        <v>44563</v>
      </c>
      <c r="B627" s="76" t="e">
        <f>IF(ISNUMBER(_xlfn.XLOOKUP(A627,鑽量!$A:$A,鑽量!$K:$K,,1,2)),_xlfn.XLOOKUP(A627,鑽量!$A:$A,鑽量!$K:$K,,1,2),NA())</f>
        <v>#N/A</v>
      </c>
      <c r="C627" s="416" t="e">
        <f t="shared" si="28"/>
        <v>#N/A</v>
      </c>
      <c r="D627" s="416" t="e">
        <f>IF(ISNUMBER(_xlfn.XLOOKUP(A627,抽卷!$A:$A,抽卷!$K:$K,,1,2)),_xlfn.XLOOKUP(A627,抽卷!$A:$A,抽卷!$K:$K,,1,2),NA())</f>
        <v>#N/A</v>
      </c>
      <c r="E627" s="416" t="e">
        <f>IF(ISNUMBER(_xlfn.XLOOKUP(A627,抽卷!$A:$A,抽卷!$M:$M,,1,2)),_xlfn.XLOOKUP(A627,抽卷!$A:$A,抽卷!$M:$M,,1,2),NA())</f>
        <v>#N/A</v>
      </c>
      <c r="F627" s="70" t="e">
        <f t="shared" si="29"/>
        <v>#N/A</v>
      </c>
    </row>
    <row r="628" spans="1:6" ht="15" customHeight="1" x14ac:dyDescent="0.25">
      <c r="A628" s="95">
        <f t="shared" si="30"/>
        <v>44564</v>
      </c>
      <c r="B628" s="76" t="e">
        <f>IF(ISNUMBER(_xlfn.XLOOKUP(A628,鑽量!$A:$A,鑽量!$K:$K,,1,2)),_xlfn.XLOOKUP(A628,鑽量!$A:$A,鑽量!$K:$K,,1,2),NA())</f>
        <v>#N/A</v>
      </c>
      <c r="C628" s="416" t="e">
        <f t="shared" si="28"/>
        <v>#N/A</v>
      </c>
      <c r="D628" s="416" t="e">
        <f>IF(ISNUMBER(_xlfn.XLOOKUP(A628,抽卷!$A:$A,抽卷!$K:$K,,1,2)),_xlfn.XLOOKUP(A628,抽卷!$A:$A,抽卷!$K:$K,,1,2),NA())</f>
        <v>#N/A</v>
      </c>
      <c r="E628" s="416" t="e">
        <f>IF(ISNUMBER(_xlfn.XLOOKUP(A628,抽卷!$A:$A,抽卷!$M:$M,,1,2)),_xlfn.XLOOKUP(A628,抽卷!$A:$A,抽卷!$M:$M,,1,2),NA())</f>
        <v>#N/A</v>
      </c>
      <c r="F628" s="70" t="e">
        <f t="shared" si="29"/>
        <v>#N/A</v>
      </c>
    </row>
    <row r="629" spans="1:6" ht="15" customHeight="1" x14ac:dyDescent="0.25">
      <c r="A629" s="95">
        <f t="shared" si="30"/>
        <v>44565</v>
      </c>
      <c r="B629" s="76" t="e">
        <f>IF(ISNUMBER(_xlfn.XLOOKUP(A629,鑽量!$A:$A,鑽量!$K:$K,,1,2)),_xlfn.XLOOKUP(A629,鑽量!$A:$A,鑽量!$K:$K,,1,2),NA())</f>
        <v>#N/A</v>
      </c>
      <c r="C629" s="416" t="e">
        <f t="shared" si="28"/>
        <v>#N/A</v>
      </c>
      <c r="D629" s="416" t="e">
        <f>IF(ISNUMBER(_xlfn.XLOOKUP(A629,抽卷!$A:$A,抽卷!$K:$K,,1,2)),_xlfn.XLOOKUP(A629,抽卷!$A:$A,抽卷!$K:$K,,1,2),NA())</f>
        <v>#N/A</v>
      </c>
      <c r="E629" s="416" t="e">
        <f>IF(ISNUMBER(_xlfn.XLOOKUP(A629,抽卷!$A:$A,抽卷!$M:$M,,1,2)),_xlfn.XLOOKUP(A629,抽卷!$A:$A,抽卷!$M:$M,,1,2),NA())</f>
        <v>#N/A</v>
      </c>
      <c r="F629" s="70" t="e">
        <f t="shared" si="29"/>
        <v>#N/A</v>
      </c>
    </row>
    <row r="630" spans="1:6" ht="15" customHeight="1" x14ac:dyDescent="0.25">
      <c r="A630" s="95">
        <f t="shared" si="30"/>
        <v>44566</v>
      </c>
      <c r="B630" s="76" t="e">
        <f>IF(ISNUMBER(_xlfn.XLOOKUP(A630,鑽量!$A:$A,鑽量!$K:$K,,1,2)),_xlfn.XLOOKUP(A630,鑽量!$A:$A,鑽量!$K:$K,,1,2),NA())</f>
        <v>#N/A</v>
      </c>
      <c r="C630" s="416" t="e">
        <f t="shared" si="28"/>
        <v>#N/A</v>
      </c>
      <c r="D630" s="416" t="e">
        <f>IF(ISNUMBER(_xlfn.XLOOKUP(A630,抽卷!$A:$A,抽卷!$K:$K,,1,2)),_xlfn.XLOOKUP(A630,抽卷!$A:$A,抽卷!$K:$K,,1,2),NA())</f>
        <v>#N/A</v>
      </c>
      <c r="E630" s="416" t="e">
        <f>IF(ISNUMBER(_xlfn.XLOOKUP(A630,抽卷!$A:$A,抽卷!$M:$M,,1,2)),_xlfn.XLOOKUP(A630,抽卷!$A:$A,抽卷!$M:$M,,1,2),NA())</f>
        <v>#N/A</v>
      </c>
      <c r="F630" s="70" t="e">
        <f t="shared" si="29"/>
        <v>#N/A</v>
      </c>
    </row>
    <row r="631" spans="1:6" ht="15" customHeight="1" x14ac:dyDescent="0.25">
      <c r="A631" s="95">
        <f t="shared" si="30"/>
        <v>44567</v>
      </c>
      <c r="B631" s="76" t="e">
        <f>IF(ISNUMBER(_xlfn.XLOOKUP(A631,鑽量!$A:$A,鑽量!$K:$K,,1,2)),_xlfn.XLOOKUP(A631,鑽量!$A:$A,鑽量!$K:$K,,1,2),NA())</f>
        <v>#N/A</v>
      </c>
      <c r="C631" s="416" t="e">
        <f t="shared" si="28"/>
        <v>#N/A</v>
      </c>
      <c r="D631" s="416" t="e">
        <f>IF(ISNUMBER(_xlfn.XLOOKUP(A631,抽卷!$A:$A,抽卷!$K:$K,,1,2)),_xlfn.XLOOKUP(A631,抽卷!$A:$A,抽卷!$K:$K,,1,2),NA())</f>
        <v>#N/A</v>
      </c>
      <c r="E631" s="416" t="e">
        <f>IF(ISNUMBER(_xlfn.XLOOKUP(A631,抽卷!$A:$A,抽卷!$M:$M,,1,2)),_xlfn.XLOOKUP(A631,抽卷!$A:$A,抽卷!$M:$M,,1,2),NA())</f>
        <v>#N/A</v>
      </c>
      <c r="F631" s="70" t="e">
        <f t="shared" si="29"/>
        <v>#N/A</v>
      </c>
    </row>
    <row r="632" spans="1:6" ht="15" customHeight="1" x14ac:dyDescent="0.25">
      <c r="A632" s="95">
        <f t="shared" si="30"/>
        <v>44568</v>
      </c>
      <c r="B632" s="76" t="e">
        <f>IF(ISNUMBER(_xlfn.XLOOKUP(A632,鑽量!$A:$A,鑽量!$K:$K,,1,2)),_xlfn.XLOOKUP(A632,鑽量!$A:$A,鑽量!$K:$K,,1,2),NA())</f>
        <v>#N/A</v>
      </c>
      <c r="C632" s="416" t="e">
        <f t="shared" ref="C632:C678" si="31">B632/120</f>
        <v>#N/A</v>
      </c>
      <c r="D632" s="416" t="e">
        <f>IF(ISNUMBER(_xlfn.XLOOKUP(A632,抽卷!$A:$A,抽卷!$K:$K,,1,2)),_xlfn.XLOOKUP(A632,抽卷!$A:$A,抽卷!$K:$K,,1,2),NA())</f>
        <v>#N/A</v>
      </c>
      <c r="E632" s="416" t="e">
        <f>IF(ISNUMBER(_xlfn.XLOOKUP(A632,抽卷!$A:$A,抽卷!$M:$M,,1,2)),_xlfn.XLOOKUP(A632,抽卷!$A:$A,抽卷!$M:$M,,1,2),NA())</f>
        <v>#N/A</v>
      </c>
      <c r="F632" s="70" t="e">
        <f t="shared" ref="F632:F678" si="32">IF(ISNA(E632),IF(ISNA(D632),C632,C632+D632),E632+D632+C632)</f>
        <v>#N/A</v>
      </c>
    </row>
    <row r="633" spans="1:6" ht="15" customHeight="1" x14ac:dyDescent="0.25">
      <c r="A633" s="95">
        <f t="shared" si="30"/>
        <v>44569</v>
      </c>
      <c r="B633" s="76" t="e">
        <f>IF(ISNUMBER(_xlfn.XLOOKUP(A633,鑽量!$A:$A,鑽量!$K:$K,,1,2)),_xlfn.XLOOKUP(A633,鑽量!$A:$A,鑽量!$K:$K,,1,2),NA())</f>
        <v>#N/A</v>
      </c>
      <c r="C633" s="416" t="e">
        <f t="shared" si="31"/>
        <v>#N/A</v>
      </c>
      <c r="D633" s="416" t="e">
        <f>IF(ISNUMBER(_xlfn.XLOOKUP(A633,抽卷!$A:$A,抽卷!$K:$K,,1,2)),_xlfn.XLOOKUP(A633,抽卷!$A:$A,抽卷!$K:$K,,1,2),NA())</f>
        <v>#N/A</v>
      </c>
      <c r="E633" s="416" t="e">
        <f>IF(ISNUMBER(_xlfn.XLOOKUP(A633,抽卷!$A:$A,抽卷!$M:$M,,1,2)),_xlfn.XLOOKUP(A633,抽卷!$A:$A,抽卷!$M:$M,,1,2),NA())</f>
        <v>#N/A</v>
      </c>
      <c r="F633" s="70" t="e">
        <f t="shared" si="32"/>
        <v>#N/A</v>
      </c>
    </row>
    <row r="634" spans="1:6" ht="15" customHeight="1" x14ac:dyDescent="0.25">
      <c r="A634" s="95">
        <f t="shared" si="30"/>
        <v>44570</v>
      </c>
      <c r="B634" s="76" t="e">
        <f>IF(ISNUMBER(_xlfn.XLOOKUP(A634,鑽量!$A:$A,鑽量!$K:$K,,1,2)),_xlfn.XLOOKUP(A634,鑽量!$A:$A,鑽量!$K:$K,,1,2),NA())</f>
        <v>#N/A</v>
      </c>
      <c r="C634" s="416" t="e">
        <f t="shared" si="31"/>
        <v>#N/A</v>
      </c>
      <c r="D634" s="416" t="e">
        <f>IF(ISNUMBER(_xlfn.XLOOKUP(A634,抽卷!$A:$A,抽卷!$K:$K,,1,2)),_xlfn.XLOOKUP(A634,抽卷!$A:$A,抽卷!$K:$K,,1,2),NA())</f>
        <v>#N/A</v>
      </c>
      <c r="E634" s="416" t="e">
        <f>IF(ISNUMBER(_xlfn.XLOOKUP(A634,抽卷!$A:$A,抽卷!$M:$M,,1,2)),_xlfn.XLOOKUP(A634,抽卷!$A:$A,抽卷!$M:$M,,1,2),NA())</f>
        <v>#N/A</v>
      </c>
      <c r="F634" s="70" t="e">
        <f t="shared" si="32"/>
        <v>#N/A</v>
      </c>
    </row>
    <row r="635" spans="1:6" ht="15" customHeight="1" x14ac:dyDescent="0.25">
      <c r="A635" s="95">
        <f t="shared" si="30"/>
        <v>44571</v>
      </c>
      <c r="B635" s="76" t="e">
        <f>IF(ISNUMBER(_xlfn.XLOOKUP(A635,鑽量!$A:$A,鑽量!$K:$K,,1,2)),_xlfn.XLOOKUP(A635,鑽量!$A:$A,鑽量!$K:$K,,1,2),NA())</f>
        <v>#N/A</v>
      </c>
      <c r="C635" s="416" t="e">
        <f t="shared" si="31"/>
        <v>#N/A</v>
      </c>
      <c r="D635" s="416" t="e">
        <f>IF(ISNUMBER(_xlfn.XLOOKUP(A635,抽卷!$A:$A,抽卷!$K:$K,,1,2)),_xlfn.XLOOKUP(A635,抽卷!$A:$A,抽卷!$K:$K,,1,2),NA())</f>
        <v>#N/A</v>
      </c>
      <c r="E635" s="416" t="e">
        <f>IF(ISNUMBER(_xlfn.XLOOKUP(A635,抽卷!$A:$A,抽卷!$M:$M,,1,2)),_xlfn.XLOOKUP(A635,抽卷!$A:$A,抽卷!$M:$M,,1,2),NA())</f>
        <v>#N/A</v>
      </c>
      <c r="F635" s="70" t="e">
        <f t="shared" si="32"/>
        <v>#N/A</v>
      </c>
    </row>
    <row r="636" spans="1:6" ht="15" customHeight="1" x14ac:dyDescent="0.25">
      <c r="A636" s="95">
        <f t="shared" si="30"/>
        <v>44572</v>
      </c>
      <c r="B636" s="76" t="e">
        <f>IF(ISNUMBER(_xlfn.XLOOKUP(A636,鑽量!$A:$A,鑽量!$K:$K,,1,2)),_xlfn.XLOOKUP(A636,鑽量!$A:$A,鑽量!$K:$K,,1,2),NA())</f>
        <v>#N/A</v>
      </c>
      <c r="C636" s="416" t="e">
        <f t="shared" si="31"/>
        <v>#N/A</v>
      </c>
      <c r="D636" s="416" t="e">
        <f>IF(ISNUMBER(_xlfn.XLOOKUP(A636,抽卷!$A:$A,抽卷!$K:$K,,1,2)),_xlfn.XLOOKUP(A636,抽卷!$A:$A,抽卷!$K:$K,,1,2),NA())</f>
        <v>#N/A</v>
      </c>
      <c r="E636" s="416" t="e">
        <f>IF(ISNUMBER(_xlfn.XLOOKUP(A636,抽卷!$A:$A,抽卷!$M:$M,,1,2)),_xlfn.XLOOKUP(A636,抽卷!$A:$A,抽卷!$M:$M,,1,2),NA())</f>
        <v>#N/A</v>
      </c>
      <c r="F636" s="70" t="e">
        <f t="shared" si="32"/>
        <v>#N/A</v>
      </c>
    </row>
    <row r="637" spans="1:6" ht="15" customHeight="1" x14ac:dyDescent="0.25">
      <c r="A637" s="95">
        <f t="shared" si="30"/>
        <v>44573</v>
      </c>
      <c r="B637" s="76" t="e">
        <f>IF(ISNUMBER(_xlfn.XLOOKUP(A637,鑽量!$A:$A,鑽量!$K:$K,,1,2)),_xlfn.XLOOKUP(A637,鑽量!$A:$A,鑽量!$K:$K,,1,2),NA())</f>
        <v>#N/A</v>
      </c>
      <c r="C637" s="416" t="e">
        <f t="shared" si="31"/>
        <v>#N/A</v>
      </c>
      <c r="D637" s="416" t="e">
        <f>IF(ISNUMBER(_xlfn.XLOOKUP(A637,抽卷!$A:$A,抽卷!$K:$K,,1,2)),_xlfn.XLOOKUP(A637,抽卷!$A:$A,抽卷!$K:$K,,1,2),NA())</f>
        <v>#N/A</v>
      </c>
      <c r="E637" s="416" t="e">
        <f>IF(ISNUMBER(_xlfn.XLOOKUP(A637,抽卷!$A:$A,抽卷!$M:$M,,1,2)),_xlfn.XLOOKUP(A637,抽卷!$A:$A,抽卷!$M:$M,,1,2),NA())</f>
        <v>#N/A</v>
      </c>
      <c r="F637" s="70" t="e">
        <f t="shared" si="32"/>
        <v>#N/A</v>
      </c>
    </row>
    <row r="638" spans="1:6" ht="15" customHeight="1" x14ac:dyDescent="0.25">
      <c r="A638" s="95">
        <f t="shared" si="30"/>
        <v>44574</v>
      </c>
      <c r="B638" s="76" t="e">
        <f>IF(ISNUMBER(_xlfn.XLOOKUP(A638,鑽量!$A:$A,鑽量!$K:$K,,1,2)),_xlfn.XLOOKUP(A638,鑽量!$A:$A,鑽量!$K:$K,,1,2),NA())</f>
        <v>#N/A</v>
      </c>
      <c r="C638" s="416" t="e">
        <f t="shared" si="31"/>
        <v>#N/A</v>
      </c>
      <c r="D638" s="416" t="e">
        <f>IF(ISNUMBER(_xlfn.XLOOKUP(A638,抽卷!$A:$A,抽卷!$K:$K,,1,2)),_xlfn.XLOOKUP(A638,抽卷!$A:$A,抽卷!$K:$K,,1,2),NA())</f>
        <v>#N/A</v>
      </c>
      <c r="E638" s="416" t="e">
        <f>IF(ISNUMBER(_xlfn.XLOOKUP(A638,抽卷!$A:$A,抽卷!$M:$M,,1,2)),_xlfn.XLOOKUP(A638,抽卷!$A:$A,抽卷!$M:$M,,1,2),NA())</f>
        <v>#N/A</v>
      </c>
      <c r="F638" s="70" t="e">
        <f t="shared" si="32"/>
        <v>#N/A</v>
      </c>
    </row>
    <row r="639" spans="1:6" ht="15" customHeight="1" x14ac:dyDescent="0.25">
      <c r="A639" s="95">
        <f t="shared" si="30"/>
        <v>44575</v>
      </c>
      <c r="B639" s="76" t="e">
        <f>IF(ISNUMBER(_xlfn.XLOOKUP(A639,鑽量!$A:$A,鑽量!$K:$K,,1,2)),_xlfn.XLOOKUP(A639,鑽量!$A:$A,鑽量!$K:$K,,1,2),NA())</f>
        <v>#N/A</v>
      </c>
      <c r="C639" s="416" t="e">
        <f t="shared" si="31"/>
        <v>#N/A</v>
      </c>
      <c r="D639" s="416" t="e">
        <f>IF(ISNUMBER(_xlfn.XLOOKUP(A639,抽卷!$A:$A,抽卷!$K:$K,,1,2)),_xlfn.XLOOKUP(A639,抽卷!$A:$A,抽卷!$K:$K,,1,2),NA())</f>
        <v>#N/A</v>
      </c>
      <c r="E639" s="416" t="e">
        <f>IF(ISNUMBER(_xlfn.XLOOKUP(A639,抽卷!$A:$A,抽卷!$M:$M,,1,2)),_xlfn.XLOOKUP(A639,抽卷!$A:$A,抽卷!$M:$M,,1,2),NA())</f>
        <v>#N/A</v>
      </c>
      <c r="F639" s="70" t="e">
        <f t="shared" si="32"/>
        <v>#N/A</v>
      </c>
    </row>
    <row r="640" spans="1:6" ht="15" customHeight="1" x14ac:dyDescent="0.25">
      <c r="A640" s="95">
        <f t="shared" si="30"/>
        <v>44576</v>
      </c>
      <c r="B640" s="76" t="e">
        <f>IF(ISNUMBER(_xlfn.XLOOKUP(A640,鑽量!$A:$A,鑽量!$K:$K,,1,2)),_xlfn.XLOOKUP(A640,鑽量!$A:$A,鑽量!$K:$K,,1,2),NA())</f>
        <v>#N/A</v>
      </c>
      <c r="C640" s="416" t="e">
        <f t="shared" si="31"/>
        <v>#N/A</v>
      </c>
      <c r="D640" s="416" t="e">
        <f>IF(ISNUMBER(_xlfn.XLOOKUP(A640,抽卷!$A:$A,抽卷!$K:$K,,1,2)),_xlfn.XLOOKUP(A640,抽卷!$A:$A,抽卷!$K:$K,,1,2),NA())</f>
        <v>#N/A</v>
      </c>
      <c r="E640" s="416" t="e">
        <f>IF(ISNUMBER(_xlfn.XLOOKUP(A640,抽卷!$A:$A,抽卷!$M:$M,,1,2)),_xlfn.XLOOKUP(A640,抽卷!$A:$A,抽卷!$M:$M,,1,2),NA())</f>
        <v>#N/A</v>
      </c>
      <c r="F640" s="70" t="e">
        <f t="shared" si="32"/>
        <v>#N/A</v>
      </c>
    </row>
    <row r="641" spans="1:6" ht="15" customHeight="1" x14ac:dyDescent="0.25">
      <c r="A641" s="95">
        <f t="shared" si="30"/>
        <v>44577</v>
      </c>
      <c r="B641" s="76" t="e">
        <f>IF(ISNUMBER(_xlfn.XLOOKUP(A641,鑽量!$A:$A,鑽量!$K:$K,,1,2)),_xlfn.XLOOKUP(A641,鑽量!$A:$A,鑽量!$K:$K,,1,2),NA())</f>
        <v>#N/A</v>
      </c>
      <c r="C641" s="416" t="e">
        <f t="shared" si="31"/>
        <v>#N/A</v>
      </c>
      <c r="D641" s="416" t="e">
        <f>IF(ISNUMBER(_xlfn.XLOOKUP(A641,抽卷!$A:$A,抽卷!$K:$K,,1,2)),_xlfn.XLOOKUP(A641,抽卷!$A:$A,抽卷!$K:$K,,1,2),NA())</f>
        <v>#N/A</v>
      </c>
      <c r="E641" s="416" t="e">
        <f>IF(ISNUMBER(_xlfn.XLOOKUP(A641,抽卷!$A:$A,抽卷!$M:$M,,1,2)),_xlfn.XLOOKUP(A641,抽卷!$A:$A,抽卷!$M:$M,,1,2),NA())</f>
        <v>#N/A</v>
      </c>
      <c r="F641" s="70" t="e">
        <f t="shared" si="32"/>
        <v>#N/A</v>
      </c>
    </row>
    <row r="642" spans="1:6" ht="15" customHeight="1" x14ac:dyDescent="0.25">
      <c r="A642" s="95">
        <f t="shared" si="30"/>
        <v>44578</v>
      </c>
      <c r="B642" s="76" t="e">
        <f>IF(ISNUMBER(_xlfn.XLOOKUP(A642,鑽量!$A:$A,鑽量!$K:$K,,1,2)),_xlfn.XLOOKUP(A642,鑽量!$A:$A,鑽量!$K:$K,,1,2),NA())</f>
        <v>#N/A</v>
      </c>
      <c r="C642" s="416" t="e">
        <f t="shared" si="31"/>
        <v>#N/A</v>
      </c>
      <c r="D642" s="416" t="e">
        <f>IF(ISNUMBER(_xlfn.XLOOKUP(A642,抽卷!$A:$A,抽卷!$K:$K,,1,2)),_xlfn.XLOOKUP(A642,抽卷!$A:$A,抽卷!$K:$K,,1,2),NA())</f>
        <v>#N/A</v>
      </c>
      <c r="E642" s="416" t="e">
        <f>IF(ISNUMBER(_xlfn.XLOOKUP(A642,抽卷!$A:$A,抽卷!$M:$M,,1,2)),_xlfn.XLOOKUP(A642,抽卷!$A:$A,抽卷!$M:$M,,1,2),NA())</f>
        <v>#N/A</v>
      </c>
      <c r="F642" s="70" t="e">
        <f t="shared" si="32"/>
        <v>#N/A</v>
      </c>
    </row>
    <row r="643" spans="1:6" ht="15" customHeight="1" x14ac:dyDescent="0.25">
      <c r="A643" s="95">
        <f t="shared" si="30"/>
        <v>44579</v>
      </c>
      <c r="B643" s="76" t="e">
        <f>IF(ISNUMBER(_xlfn.XLOOKUP(A643,鑽量!$A:$A,鑽量!$K:$K,,1,2)),_xlfn.XLOOKUP(A643,鑽量!$A:$A,鑽量!$K:$K,,1,2),NA())</f>
        <v>#N/A</v>
      </c>
      <c r="C643" s="416" t="e">
        <f t="shared" si="31"/>
        <v>#N/A</v>
      </c>
      <c r="D643" s="416" t="e">
        <f>IF(ISNUMBER(_xlfn.XLOOKUP(A643,抽卷!$A:$A,抽卷!$K:$K,,1,2)),_xlfn.XLOOKUP(A643,抽卷!$A:$A,抽卷!$K:$K,,1,2),NA())</f>
        <v>#N/A</v>
      </c>
      <c r="E643" s="416" t="e">
        <f>IF(ISNUMBER(_xlfn.XLOOKUP(A643,抽卷!$A:$A,抽卷!$M:$M,,1,2)),_xlfn.XLOOKUP(A643,抽卷!$A:$A,抽卷!$M:$M,,1,2),NA())</f>
        <v>#N/A</v>
      </c>
      <c r="F643" s="70" t="e">
        <f t="shared" si="32"/>
        <v>#N/A</v>
      </c>
    </row>
    <row r="644" spans="1:6" ht="15" customHeight="1" x14ac:dyDescent="0.25">
      <c r="A644" s="95">
        <f t="shared" si="30"/>
        <v>44580</v>
      </c>
      <c r="B644" s="76" t="e">
        <f>IF(ISNUMBER(_xlfn.XLOOKUP(A644,鑽量!$A:$A,鑽量!$K:$K,,1,2)),_xlfn.XLOOKUP(A644,鑽量!$A:$A,鑽量!$K:$K,,1,2),NA())</f>
        <v>#N/A</v>
      </c>
      <c r="C644" s="416" t="e">
        <f t="shared" si="31"/>
        <v>#N/A</v>
      </c>
      <c r="D644" s="416" t="e">
        <f>IF(ISNUMBER(_xlfn.XLOOKUP(A644,抽卷!$A:$A,抽卷!$K:$K,,1,2)),_xlfn.XLOOKUP(A644,抽卷!$A:$A,抽卷!$K:$K,,1,2),NA())</f>
        <v>#N/A</v>
      </c>
      <c r="E644" s="416" t="e">
        <f>IF(ISNUMBER(_xlfn.XLOOKUP(A644,抽卷!$A:$A,抽卷!$M:$M,,1,2)),_xlfn.XLOOKUP(A644,抽卷!$A:$A,抽卷!$M:$M,,1,2),NA())</f>
        <v>#N/A</v>
      </c>
      <c r="F644" s="70" t="e">
        <f t="shared" si="32"/>
        <v>#N/A</v>
      </c>
    </row>
    <row r="645" spans="1:6" ht="15" customHeight="1" x14ac:dyDescent="0.25">
      <c r="A645" s="95">
        <f t="shared" si="30"/>
        <v>44581</v>
      </c>
      <c r="B645" s="76" t="e">
        <f>IF(ISNUMBER(_xlfn.XLOOKUP(A645,鑽量!$A:$A,鑽量!$K:$K,,1,2)),_xlfn.XLOOKUP(A645,鑽量!$A:$A,鑽量!$K:$K,,1,2),NA())</f>
        <v>#N/A</v>
      </c>
      <c r="C645" s="416" t="e">
        <f t="shared" si="31"/>
        <v>#N/A</v>
      </c>
      <c r="D645" s="416" t="e">
        <f>IF(ISNUMBER(_xlfn.XLOOKUP(A645,抽卷!$A:$A,抽卷!$K:$K,,1,2)),_xlfn.XLOOKUP(A645,抽卷!$A:$A,抽卷!$K:$K,,1,2),NA())</f>
        <v>#N/A</v>
      </c>
      <c r="E645" s="416" t="e">
        <f>IF(ISNUMBER(_xlfn.XLOOKUP(A645,抽卷!$A:$A,抽卷!$M:$M,,1,2)),_xlfn.XLOOKUP(A645,抽卷!$A:$A,抽卷!$M:$M,,1,2),NA())</f>
        <v>#N/A</v>
      </c>
      <c r="F645" s="70" t="e">
        <f t="shared" si="32"/>
        <v>#N/A</v>
      </c>
    </row>
    <row r="646" spans="1:6" ht="15" customHeight="1" x14ac:dyDescent="0.25">
      <c r="A646" s="95">
        <f t="shared" ref="A646:A678" si="33">A645+1</f>
        <v>44582</v>
      </c>
      <c r="B646" s="76" t="e">
        <f>IF(ISNUMBER(_xlfn.XLOOKUP(A646,鑽量!$A:$A,鑽量!$K:$K,,1,2)),_xlfn.XLOOKUP(A646,鑽量!$A:$A,鑽量!$K:$K,,1,2),NA())</f>
        <v>#N/A</v>
      </c>
      <c r="C646" s="416" t="e">
        <f t="shared" si="31"/>
        <v>#N/A</v>
      </c>
      <c r="D646" s="416" t="e">
        <f>IF(ISNUMBER(_xlfn.XLOOKUP(A646,抽卷!$A:$A,抽卷!$K:$K,,1,2)),_xlfn.XLOOKUP(A646,抽卷!$A:$A,抽卷!$K:$K,,1,2),NA())</f>
        <v>#N/A</v>
      </c>
      <c r="E646" s="416" t="e">
        <f>IF(ISNUMBER(_xlfn.XLOOKUP(A646,抽卷!$A:$A,抽卷!$M:$M,,1,2)),_xlfn.XLOOKUP(A646,抽卷!$A:$A,抽卷!$M:$M,,1,2),NA())</f>
        <v>#N/A</v>
      </c>
      <c r="F646" s="70" t="e">
        <f t="shared" si="32"/>
        <v>#N/A</v>
      </c>
    </row>
    <row r="647" spans="1:6" ht="15" customHeight="1" x14ac:dyDescent="0.25">
      <c r="A647" s="95">
        <f t="shared" si="33"/>
        <v>44583</v>
      </c>
      <c r="B647" s="76" t="e">
        <f>IF(ISNUMBER(_xlfn.XLOOKUP(A647,鑽量!$A:$A,鑽量!$K:$K,,1,2)),_xlfn.XLOOKUP(A647,鑽量!$A:$A,鑽量!$K:$K,,1,2),NA())</f>
        <v>#N/A</v>
      </c>
      <c r="C647" s="416" t="e">
        <f t="shared" si="31"/>
        <v>#N/A</v>
      </c>
      <c r="D647" s="416" t="e">
        <f>IF(ISNUMBER(_xlfn.XLOOKUP(A647,抽卷!$A:$A,抽卷!$K:$K,,1,2)),_xlfn.XLOOKUP(A647,抽卷!$A:$A,抽卷!$K:$K,,1,2),NA())</f>
        <v>#N/A</v>
      </c>
      <c r="E647" s="416" t="e">
        <f>IF(ISNUMBER(_xlfn.XLOOKUP(A647,抽卷!$A:$A,抽卷!$M:$M,,1,2)),_xlfn.XLOOKUP(A647,抽卷!$A:$A,抽卷!$M:$M,,1,2),NA())</f>
        <v>#N/A</v>
      </c>
      <c r="F647" s="70" t="e">
        <f t="shared" si="32"/>
        <v>#N/A</v>
      </c>
    </row>
    <row r="648" spans="1:6" ht="15" customHeight="1" x14ac:dyDescent="0.25">
      <c r="A648" s="95">
        <f t="shared" si="33"/>
        <v>44584</v>
      </c>
      <c r="B648" s="76" t="e">
        <f>IF(ISNUMBER(_xlfn.XLOOKUP(A648,鑽量!$A:$A,鑽量!$K:$K,,1,2)),_xlfn.XLOOKUP(A648,鑽量!$A:$A,鑽量!$K:$K,,1,2),NA())</f>
        <v>#N/A</v>
      </c>
      <c r="C648" s="416" t="e">
        <f t="shared" si="31"/>
        <v>#N/A</v>
      </c>
      <c r="D648" s="416" t="e">
        <f>IF(ISNUMBER(_xlfn.XLOOKUP(A648,抽卷!$A:$A,抽卷!$K:$K,,1,2)),_xlfn.XLOOKUP(A648,抽卷!$A:$A,抽卷!$K:$K,,1,2),NA())</f>
        <v>#N/A</v>
      </c>
      <c r="E648" s="416" t="e">
        <f>IF(ISNUMBER(_xlfn.XLOOKUP(A648,抽卷!$A:$A,抽卷!$M:$M,,1,2)),_xlfn.XLOOKUP(A648,抽卷!$A:$A,抽卷!$M:$M,,1,2),NA())</f>
        <v>#N/A</v>
      </c>
      <c r="F648" s="70" t="e">
        <f t="shared" si="32"/>
        <v>#N/A</v>
      </c>
    </row>
    <row r="649" spans="1:6" ht="15" customHeight="1" x14ac:dyDescent="0.25">
      <c r="A649" s="95">
        <f t="shared" si="33"/>
        <v>44585</v>
      </c>
      <c r="B649" s="76" t="e">
        <f>IF(ISNUMBER(_xlfn.XLOOKUP(A649,鑽量!$A:$A,鑽量!$K:$K,,1,2)),_xlfn.XLOOKUP(A649,鑽量!$A:$A,鑽量!$K:$K,,1,2),NA())</f>
        <v>#N/A</v>
      </c>
      <c r="C649" s="416" t="e">
        <f t="shared" si="31"/>
        <v>#N/A</v>
      </c>
      <c r="D649" s="416" t="e">
        <f>IF(ISNUMBER(_xlfn.XLOOKUP(A649,抽卷!$A:$A,抽卷!$K:$K,,1,2)),_xlfn.XLOOKUP(A649,抽卷!$A:$A,抽卷!$K:$K,,1,2),NA())</f>
        <v>#N/A</v>
      </c>
      <c r="E649" s="416" t="e">
        <f>IF(ISNUMBER(_xlfn.XLOOKUP(A649,抽卷!$A:$A,抽卷!$M:$M,,1,2)),_xlfn.XLOOKUP(A649,抽卷!$A:$A,抽卷!$M:$M,,1,2),NA())</f>
        <v>#N/A</v>
      </c>
      <c r="F649" s="70" t="e">
        <f t="shared" si="32"/>
        <v>#N/A</v>
      </c>
    </row>
    <row r="650" spans="1:6" ht="15" customHeight="1" x14ac:dyDescent="0.25">
      <c r="A650" s="95">
        <f t="shared" si="33"/>
        <v>44586</v>
      </c>
      <c r="B650" s="76" t="e">
        <f>IF(ISNUMBER(_xlfn.XLOOKUP(A650,鑽量!$A:$A,鑽量!$K:$K,,1,2)),_xlfn.XLOOKUP(A650,鑽量!$A:$A,鑽量!$K:$K,,1,2),NA())</f>
        <v>#N/A</v>
      </c>
      <c r="C650" s="416" t="e">
        <f t="shared" si="31"/>
        <v>#N/A</v>
      </c>
      <c r="D650" s="416" t="e">
        <f>IF(ISNUMBER(_xlfn.XLOOKUP(A650,抽卷!$A:$A,抽卷!$K:$K,,1,2)),_xlfn.XLOOKUP(A650,抽卷!$A:$A,抽卷!$K:$K,,1,2),NA())</f>
        <v>#N/A</v>
      </c>
      <c r="E650" s="416" t="e">
        <f>IF(ISNUMBER(_xlfn.XLOOKUP(A650,抽卷!$A:$A,抽卷!$M:$M,,1,2)),_xlfn.XLOOKUP(A650,抽卷!$A:$A,抽卷!$M:$M,,1,2),NA())</f>
        <v>#N/A</v>
      </c>
      <c r="F650" s="70" t="e">
        <f t="shared" si="32"/>
        <v>#N/A</v>
      </c>
    </row>
    <row r="651" spans="1:6" ht="15" customHeight="1" x14ac:dyDescent="0.25">
      <c r="A651" s="95">
        <f t="shared" si="33"/>
        <v>44587</v>
      </c>
      <c r="B651" s="76" t="e">
        <f>IF(ISNUMBER(_xlfn.XLOOKUP(A651,鑽量!$A:$A,鑽量!$K:$K,,1,2)),_xlfn.XLOOKUP(A651,鑽量!$A:$A,鑽量!$K:$K,,1,2),NA())</f>
        <v>#N/A</v>
      </c>
      <c r="C651" s="416" t="e">
        <f t="shared" si="31"/>
        <v>#N/A</v>
      </c>
      <c r="D651" s="416" t="e">
        <f>IF(ISNUMBER(_xlfn.XLOOKUP(A651,抽卷!$A:$A,抽卷!$K:$K,,1,2)),_xlfn.XLOOKUP(A651,抽卷!$A:$A,抽卷!$K:$K,,1,2),NA())</f>
        <v>#N/A</v>
      </c>
      <c r="E651" s="416" t="e">
        <f>IF(ISNUMBER(_xlfn.XLOOKUP(A651,抽卷!$A:$A,抽卷!$M:$M,,1,2)),_xlfn.XLOOKUP(A651,抽卷!$A:$A,抽卷!$M:$M,,1,2),NA())</f>
        <v>#N/A</v>
      </c>
      <c r="F651" s="70" t="e">
        <f t="shared" si="32"/>
        <v>#N/A</v>
      </c>
    </row>
    <row r="652" spans="1:6" ht="15" customHeight="1" x14ac:dyDescent="0.25">
      <c r="A652" s="95">
        <f t="shared" si="33"/>
        <v>44588</v>
      </c>
      <c r="B652" s="76" t="e">
        <f>IF(ISNUMBER(_xlfn.XLOOKUP(A652,鑽量!$A:$A,鑽量!$K:$K,,1,2)),_xlfn.XLOOKUP(A652,鑽量!$A:$A,鑽量!$K:$K,,1,2),NA())</f>
        <v>#N/A</v>
      </c>
      <c r="C652" s="416" t="e">
        <f t="shared" si="31"/>
        <v>#N/A</v>
      </c>
      <c r="D652" s="416" t="e">
        <f>IF(ISNUMBER(_xlfn.XLOOKUP(A652,抽卷!$A:$A,抽卷!$K:$K,,1,2)),_xlfn.XLOOKUP(A652,抽卷!$A:$A,抽卷!$K:$K,,1,2),NA())</f>
        <v>#N/A</v>
      </c>
      <c r="E652" s="416" t="e">
        <f>IF(ISNUMBER(_xlfn.XLOOKUP(A652,抽卷!$A:$A,抽卷!$M:$M,,1,2)),_xlfn.XLOOKUP(A652,抽卷!$A:$A,抽卷!$M:$M,,1,2),NA())</f>
        <v>#N/A</v>
      </c>
      <c r="F652" s="70" t="e">
        <f t="shared" si="32"/>
        <v>#N/A</v>
      </c>
    </row>
    <row r="653" spans="1:6" ht="15" customHeight="1" x14ac:dyDescent="0.25">
      <c r="A653" s="95">
        <f t="shared" si="33"/>
        <v>44589</v>
      </c>
      <c r="B653" s="76" t="e">
        <f>IF(ISNUMBER(_xlfn.XLOOKUP(A653,鑽量!$A:$A,鑽量!$K:$K,,1,2)),_xlfn.XLOOKUP(A653,鑽量!$A:$A,鑽量!$K:$K,,1,2),NA())</f>
        <v>#N/A</v>
      </c>
      <c r="C653" s="416" t="e">
        <f t="shared" si="31"/>
        <v>#N/A</v>
      </c>
      <c r="D653" s="416" t="e">
        <f>IF(ISNUMBER(_xlfn.XLOOKUP(A653,抽卷!$A:$A,抽卷!$K:$K,,1,2)),_xlfn.XLOOKUP(A653,抽卷!$A:$A,抽卷!$K:$K,,1,2),NA())</f>
        <v>#N/A</v>
      </c>
      <c r="E653" s="416" t="e">
        <f>IF(ISNUMBER(_xlfn.XLOOKUP(A653,抽卷!$A:$A,抽卷!$M:$M,,1,2)),_xlfn.XLOOKUP(A653,抽卷!$A:$A,抽卷!$M:$M,,1,2),NA())</f>
        <v>#N/A</v>
      </c>
      <c r="F653" s="70" t="e">
        <f t="shared" si="32"/>
        <v>#N/A</v>
      </c>
    </row>
    <row r="654" spans="1:6" ht="15" customHeight="1" x14ac:dyDescent="0.25">
      <c r="A654" s="95">
        <f t="shared" si="33"/>
        <v>44590</v>
      </c>
      <c r="B654" s="76" t="e">
        <f>IF(ISNUMBER(_xlfn.XLOOKUP(A654,鑽量!$A:$A,鑽量!$K:$K,,1,2)),_xlfn.XLOOKUP(A654,鑽量!$A:$A,鑽量!$K:$K,,1,2),NA())</f>
        <v>#N/A</v>
      </c>
      <c r="C654" s="416" t="e">
        <f t="shared" si="31"/>
        <v>#N/A</v>
      </c>
      <c r="D654" s="416" t="e">
        <f>IF(ISNUMBER(_xlfn.XLOOKUP(A654,抽卷!$A:$A,抽卷!$K:$K,,1,2)),_xlfn.XLOOKUP(A654,抽卷!$A:$A,抽卷!$K:$K,,1,2),NA())</f>
        <v>#N/A</v>
      </c>
      <c r="E654" s="416" t="e">
        <f>IF(ISNUMBER(_xlfn.XLOOKUP(A654,抽卷!$A:$A,抽卷!$M:$M,,1,2)),_xlfn.XLOOKUP(A654,抽卷!$A:$A,抽卷!$M:$M,,1,2),NA())</f>
        <v>#N/A</v>
      </c>
      <c r="F654" s="70" t="e">
        <f t="shared" si="32"/>
        <v>#N/A</v>
      </c>
    </row>
    <row r="655" spans="1:6" ht="15" customHeight="1" x14ac:dyDescent="0.25">
      <c r="A655" s="95">
        <f t="shared" si="33"/>
        <v>44591</v>
      </c>
      <c r="B655" s="76" t="e">
        <f>IF(ISNUMBER(_xlfn.XLOOKUP(A655,鑽量!$A:$A,鑽量!$K:$K,,1,2)),_xlfn.XLOOKUP(A655,鑽量!$A:$A,鑽量!$K:$K,,1,2),NA())</f>
        <v>#N/A</v>
      </c>
      <c r="C655" s="416" t="e">
        <f t="shared" si="31"/>
        <v>#N/A</v>
      </c>
      <c r="D655" s="416" t="e">
        <f>IF(ISNUMBER(_xlfn.XLOOKUP(A655,抽卷!$A:$A,抽卷!$K:$K,,1,2)),_xlfn.XLOOKUP(A655,抽卷!$A:$A,抽卷!$K:$K,,1,2),NA())</f>
        <v>#N/A</v>
      </c>
      <c r="E655" s="416" t="e">
        <f>IF(ISNUMBER(_xlfn.XLOOKUP(A655,抽卷!$A:$A,抽卷!$M:$M,,1,2)),_xlfn.XLOOKUP(A655,抽卷!$A:$A,抽卷!$M:$M,,1,2),NA())</f>
        <v>#N/A</v>
      </c>
      <c r="F655" s="70" t="e">
        <f t="shared" si="32"/>
        <v>#N/A</v>
      </c>
    </row>
    <row r="656" spans="1:6" ht="15" customHeight="1" x14ac:dyDescent="0.25">
      <c r="A656" s="95">
        <f t="shared" si="33"/>
        <v>44592</v>
      </c>
      <c r="B656" s="76" t="e">
        <f>IF(ISNUMBER(_xlfn.XLOOKUP(A656,鑽量!$A:$A,鑽量!$K:$K,,1,2)),_xlfn.XLOOKUP(A656,鑽量!$A:$A,鑽量!$K:$K,,1,2),NA())</f>
        <v>#N/A</v>
      </c>
      <c r="C656" s="416" t="e">
        <f t="shared" si="31"/>
        <v>#N/A</v>
      </c>
      <c r="D656" s="416" t="e">
        <f>IF(ISNUMBER(_xlfn.XLOOKUP(A656,抽卷!$A:$A,抽卷!$K:$K,,1,2)),_xlfn.XLOOKUP(A656,抽卷!$A:$A,抽卷!$K:$K,,1,2),NA())</f>
        <v>#N/A</v>
      </c>
      <c r="E656" s="416" t="e">
        <f>IF(ISNUMBER(_xlfn.XLOOKUP(A656,抽卷!$A:$A,抽卷!$M:$M,,1,2)),_xlfn.XLOOKUP(A656,抽卷!$A:$A,抽卷!$M:$M,,1,2),NA())</f>
        <v>#N/A</v>
      </c>
      <c r="F656" s="70" t="e">
        <f t="shared" si="32"/>
        <v>#N/A</v>
      </c>
    </row>
    <row r="657" spans="1:6" ht="15" customHeight="1" x14ac:dyDescent="0.25">
      <c r="A657" s="95">
        <f t="shared" si="33"/>
        <v>44593</v>
      </c>
      <c r="B657" s="76" t="e">
        <f>IF(ISNUMBER(_xlfn.XLOOKUP(A657,鑽量!$A:$A,鑽量!$K:$K,,1,2)),_xlfn.XLOOKUP(A657,鑽量!$A:$A,鑽量!$K:$K,,1,2),NA())</f>
        <v>#N/A</v>
      </c>
      <c r="C657" s="416" t="e">
        <f t="shared" si="31"/>
        <v>#N/A</v>
      </c>
      <c r="D657" s="416" t="e">
        <f>IF(ISNUMBER(_xlfn.XLOOKUP(A657,抽卷!$A:$A,抽卷!$K:$K,,1,2)),_xlfn.XLOOKUP(A657,抽卷!$A:$A,抽卷!$K:$K,,1,2),NA())</f>
        <v>#N/A</v>
      </c>
      <c r="E657" s="416" t="e">
        <f>IF(ISNUMBER(_xlfn.XLOOKUP(A657,抽卷!$A:$A,抽卷!$M:$M,,1,2)),_xlfn.XLOOKUP(A657,抽卷!$A:$A,抽卷!$M:$M,,1,2),NA())</f>
        <v>#N/A</v>
      </c>
      <c r="F657" s="70" t="e">
        <f t="shared" si="32"/>
        <v>#N/A</v>
      </c>
    </row>
    <row r="658" spans="1:6" ht="15" customHeight="1" x14ac:dyDescent="0.25">
      <c r="A658" s="95">
        <f t="shared" si="33"/>
        <v>44594</v>
      </c>
      <c r="B658" s="76" t="e">
        <f>IF(ISNUMBER(_xlfn.XLOOKUP(A658,鑽量!$A:$A,鑽量!$K:$K,,1,2)),_xlfn.XLOOKUP(A658,鑽量!$A:$A,鑽量!$K:$K,,1,2),NA())</f>
        <v>#N/A</v>
      </c>
      <c r="C658" s="416" t="e">
        <f t="shared" si="31"/>
        <v>#N/A</v>
      </c>
      <c r="D658" s="416" t="e">
        <f>IF(ISNUMBER(_xlfn.XLOOKUP(A658,抽卷!$A:$A,抽卷!$K:$K,,1,2)),_xlfn.XLOOKUP(A658,抽卷!$A:$A,抽卷!$K:$K,,1,2),NA())</f>
        <v>#N/A</v>
      </c>
      <c r="E658" s="416" t="e">
        <f>IF(ISNUMBER(_xlfn.XLOOKUP(A658,抽卷!$A:$A,抽卷!$M:$M,,1,2)),_xlfn.XLOOKUP(A658,抽卷!$A:$A,抽卷!$M:$M,,1,2),NA())</f>
        <v>#N/A</v>
      </c>
      <c r="F658" s="70" t="e">
        <f t="shared" si="32"/>
        <v>#N/A</v>
      </c>
    </row>
    <row r="659" spans="1:6" ht="15" customHeight="1" x14ac:dyDescent="0.25">
      <c r="A659" s="95">
        <f t="shared" si="33"/>
        <v>44595</v>
      </c>
      <c r="B659" s="76" t="e">
        <f>IF(ISNUMBER(_xlfn.XLOOKUP(A659,鑽量!$A:$A,鑽量!$K:$K,,1,2)),_xlfn.XLOOKUP(A659,鑽量!$A:$A,鑽量!$K:$K,,1,2),NA())</f>
        <v>#N/A</v>
      </c>
      <c r="C659" s="416" t="e">
        <f t="shared" si="31"/>
        <v>#N/A</v>
      </c>
      <c r="D659" s="416" t="e">
        <f>IF(ISNUMBER(_xlfn.XLOOKUP(A659,抽卷!$A:$A,抽卷!$K:$K,,1,2)),_xlfn.XLOOKUP(A659,抽卷!$A:$A,抽卷!$K:$K,,1,2),NA())</f>
        <v>#N/A</v>
      </c>
      <c r="E659" s="416" t="e">
        <f>IF(ISNUMBER(_xlfn.XLOOKUP(A659,抽卷!$A:$A,抽卷!$M:$M,,1,2)),_xlfn.XLOOKUP(A659,抽卷!$A:$A,抽卷!$M:$M,,1,2),NA())</f>
        <v>#N/A</v>
      </c>
      <c r="F659" s="70" t="e">
        <f t="shared" si="32"/>
        <v>#N/A</v>
      </c>
    </row>
    <row r="660" spans="1:6" ht="15" customHeight="1" x14ac:dyDescent="0.25">
      <c r="A660" s="95">
        <f t="shared" si="33"/>
        <v>44596</v>
      </c>
      <c r="B660" s="76" t="e">
        <f>IF(ISNUMBER(_xlfn.XLOOKUP(A660,鑽量!$A:$A,鑽量!$K:$K,,1,2)),_xlfn.XLOOKUP(A660,鑽量!$A:$A,鑽量!$K:$K,,1,2),NA())</f>
        <v>#N/A</v>
      </c>
      <c r="C660" s="416" t="e">
        <f t="shared" si="31"/>
        <v>#N/A</v>
      </c>
      <c r="D660" s="416" t="e">
        <f>IF(ISNUMBER(_xlfn.XLOOKUP(A660,抽卷!$A:$A,抽卷!$K:$K,,1,2)),_xlfn.XLOOKUP(A660,抽卷!$A:$A,抽卷!$K:$K,,1,2),NA())</f>
        <v>#N/A</v>
      </c>
      <c r="E660" s="416" t="e">
        <f>IF(ISNUMBER(_xlfn.XLOOKUP(A660,抽卷!$A:$A,抽卷!$M:$M,,1,2)),_xlfn.XLOOKUP(A660,抽卷!$A:$A,抽卷!$M:$M,,1,2),NA())</f>
        <v>#N/A</v>
      </c>
      <c r="F660" s="70" t="e">
        <f t="shared" si="32"/>
        <v>#N/A</v>
      </c>
    </row>
    <row r="661" spans="1:6" ht="15" customHeight="1" x14ac:dyDescent="0.25">
      <c r="A661" s="95">
        <f t="shared" si="33"/>
        <v>44597</v>
      </c>
      <c r="B661" s="76" t="e">
        <f>IF(ISNUMBER(_xlfn.XLOOKUP(A661,鑽量!$A:$A,鑽量!$K:$K,,1,2)),_xlfn.XLOOKUP(A661,鑽量!$A:$A,鑽量!$K:$K,,1,2),NA())</f>
        <v>#N/A</v>
      </c>
      <c r="C661" s="416" t="e">
        <f t="shared" si="31"/>
        <v>#N/A</v>
      </c>
      <c r="D661" s="416" t="e">
        <f>IF(ISNUMBER(_xlfn.XLOOKUP(A661,抽卷!$A:$A,抽卷!$K:$K,,1,2)),_xlfn.XLOOKUP(A661,抽卷!$A:$A,抽卷!$K:$K,,1,2),NA())</f>
        <v>#N/A</v>
      </c>
      <c r="E661" s="416" t="e">
        <f>IF(ISNUMBER(_xlfn.XLOOKUP(A661,抽卷!$A:$A,抽卷!$M:$M,,1,2)),_xlfn.XLOOKUP(A661,抽卷!$A:$A,抽卷!$M:$M,,1,2),NA())</f>
        <v>#N/A</v>
      </c>
      <c r="F661" s="70" t="e">
        <f t="shared" si="32"/>
        <v>#N/A</v>
      </c>
    </row>
    <row r="662" spans="1:6" ht="15" customHeight="1" x14ac:dyDescent="0.25">
      <c r="A662" s="95">
        <f t="shared" si="33"/>
        <v>44598</v>
      </c>
      <c r="B662" s="76" t="e">
        <f>IF(ISNUMBER(_xlfn.XLOOKUP(A662,鑽量!$A:$A,鑽量!$K:$K,,1,2)),_xlfn.XLOOKUP(A662,鑽量!$A:$A,鑽量!$K:$K,,1,2),NA())</f>
        <v>#N/A</v>
      </c>
      <c r="C662" s="416" t="e">
        <f t="shared" si="31"/>
        <v>#N/A</v>
      </c>
      <c r="D662" s="416" t="e">
        <f>IF(ISNUMBER(_xlfn.XLOOKUP(A662,抽卷!$A:$A,抽卷!$K:$K,,1,2)),_xlfn.XLOOKUP(A662,抽卷!$A:$A,抽卷!$K:$K,,1,2),NA())</f>
        <v>#N/A</v>
      </c>
      <c r="E662" s="416" t="e">
        <f>IF(ISNUMBER(_xlfn.XLOOKUP(A662,抽卷!$A:$A,抽卷!$M:$M,,1,2)),_xlfn.XLOOKUP(A662,抽卷!$A:$A,抽卷!$M:$M,,1,2),NA())</f>
        <v>#N/A</v>
      </c>
      <c r="F662" s="70" t="e">
        <f t="shared" si="32"/>
        <v>#N/A</v>
      </c>
    </row>
    <row r="663" spans="1:6" ht="15" customHeight="1" x14ac:dyDescent="0.25">
      <c r="A663" s="95">
        <f t="shared" si="33"/>
        <v>44599</v>
      </c>
      <c r="B663" s="76" t="e">
        <f>IF(ISNUMBER(_xlfn.XLOOKUP(A663,鑽量!$A:$A,鑽量!$K:$K,,1,2)),_xlfn.XLOOKUP(A663,鑽量!$A:$A,鑽量!$K:$K,,1,2),NA())</f>
        <v>#N/A</v>
      </c>
      <c r="C663" s="416" t="e">
        <f t="shared" si="31"/>
        <v>#N/A</v>
      </c>
      <c r="D663" s="416" t="e">
        <f>IF(ISNUMBER(_xlfn.XLOOKUP(A663,抽卷!$A:$A,抽卷!$K:$K,,1,2)),_xlfn.XLOOKUP(A663,抽卷!$A:$A,抽卷!$K:$K,,1,2),NA())</f>
        <v>#N/A</v>
      </c>
      <c r="E663" s="416" t="e">
        <f>IF(ISNUMBER(_xlfn.XLOOKUP(A663,抽卷!$A:$A,抽卷!$M:$M,,1,2)),_xlfn.XLOOKUP(A663,抽卷!$A:$A,抽卷!$M:$M,,1,2),NA())</f>
        <v>#N/A</v>
      </c>
      <c r="F663" s="70" t="e">
        <f t="shared" si="32"/>
        <v>#N/A</v>
      </c>
    </row>
    <row r="664" spans="1:6" ht="15" customHeight="1" x14ac:dyDescent="0.25">
      <c r="A664" s="95">
        <f t="shared" si="33"/>
        <v>44600</v>
      </c>
      <c r="B664" s="76" t="e">
        <f>IF(ISNUMBER(_xlfn.XLOOKUP(A664,鑽量!$A:$A,鑽量!$K:$K,,1,2)),_xlfn.XLOOKUP(A664,鑽量!$A:$A,鑽量!$K:$K,,1,2),NA())</f>
        <v>#N/A</v>
      </c>
      <c r="C664" s="416" t="e">
        <f t="shared" si="31"/>
        <v>#N/A</v>
      </c>
      <c r="D664" s="416" t="e">
        <f>IF(ISNUMBER(_xlfn.XLOOKUP(A664,抽卷!$A:$A,抽卷!$K:$K,,1,2)),_xlfn.XLOOKUP(A664,抽卷!$A:$A,抽卷!$K:$K,,1,2),NA())</f>
        <v>#N/A</v>
      </c>
      <c r="E664" s="416" t="e">
        <f>IF(ISNUMBER(_xlfn.XLOOKUP(A664,抽卷!$A:$A,抽卷!$M:$M,,1,2)),_xlfn.XLOOKUP(A664,抽卷!$A:$A,抽卷!$M:$M,,1,2),NA())</f>
        <v>#N/A</v>
      </c>
      <c r="F664" s="70" t="e">
        <f t="shared" si="32"/>
        <v>#N/A</v>
      </c>
    </row>
    <row r="665" spans="1:6" ht="15" customHeight="1" x14ac:dyDescent="0.25">
      <c r="A665" s="95">
        <f t="shared" si="33"/>
        <v>44601</v>
      </c>
      <c r="B665" s="76" t="e">
        <f>IF(ISNUMBER(_xlfn.XLOOKUP(A665,鑽量!$A:$A,鑽量!$K:$K,,1,2)),_xlfn.XLOOKUP(A665,鑽量!$A:$A,鑽量!$K:$K,,1,2),NA())</f>
        <v>#N/A</v>
      </c>
      <c r="C665" s="416" t="e">
        <f t="shared" si="31"/>
        <v>#N/A</v>
      </c>
      <c r="D665" s="416" t="e">
        <f>IF(ISNUMBER(_xlfn.XLOOKUP(A665,抽卷!$A:$A,抽卷!$K:$K,,1,2)),_xlfn.XLOOKUP(A665,抽卷!$A:$A,抽卷!$K:$K,,1,2),NA())</f>
        <v>#N/A</v>
      </c>
      <c r="E665" s="416" t="e">
        <f>IF(ISNUMBER(_xlfn.XLOOKUP(A665,抽卷!$A:$A,抽卷!$M:$M,,1,2)),_xlfn.XLOOKUP(A665,抽卷!$A:$A,抽卷!$M:$M,,1,2),NA())</f>
        <v>#N/A</v>
      </c>
      <c r="F665" s="70" t="e">
        <f t="shared" si="32"/>
        <v>#N/A</v>
      </c>
    </row>
    <row r="666" spans="1:6" ht="15" customHeight="1" x14ac:dyDescent="0.25">
      <c r="A666" s="95">
        <f t="shared" si="33"/>
        <v>44602</v>
      </c>
      <c r="B666" s="76" t="e">
        <f>IF(ISNUMBER(_xlfn.XLOOKUP(A666,鑽量!$A:$A,鑽量!$K:$K,,1,2)),_xlfn.XLOOKUP(A666,鑽量!$A:$A,鑽量!$K:$K,,1,2),NA())</f>
        <v>#N/A</v>
      </c>
      <c r="C666" s="416" t="e">
        <f t="shared" si="31"/>
        <v>#N/A</v>
      </c>
      <c r="D666" s="416" t="e">
        <f>IF(ISNUMBER(_xlfn.XLOOKUP(A666,抽卷!$A:$A,抽卷!$K:$K,,1,2)),_xlfn.XLOOKUP(A666,抽卷!$A:$A,抽卷!$K:$K,,1,2),NA())</f>
        <v>#N/A</v>
      </c>
      <c r="E666" s="416" t="e">
        <f>IF(ISNUMBER(_xlfn.XLOOKUP(A666,抽卷!$A:$A,抽卷!$M:$M,,1,2)),_xlfn.XLOOKUP(A666,抽卷!$A:$A,抽卷!$M:$M,,1,2),NA())</f>
        <v>#N/A</v>
      </c>
      <c r="F666" s="70" t="e">
        <f t="shared" si="32"/>
        <v>#N/A</v>
      </c>
    </row>
    <row r="667" spans="1:6" ht="15" customHeight="1" x14ac:dyDescent="0.25">
      <c r="A667" s="95">
        <f t="shared" si="33"/>
        <v>44603</v>
      </c>
      <c r="B667" s="76" t="e">
        <f>IF(ISNUMBER(_xlfn.XLOOKUP(A667,鑽量!$A:$A,鑽量!$K:$K,,1,2)),_xlfn.XLOOKUP(A667,鑽量!$A:$A,鑽量!$K:$K,,1,2),NA())</f>
        <v>#N/A</v>
      </c>
      <c r="C667" s="416" t="e">
        <f t="shared" si="31"/>
        <v>#N/A</v>
      </c>
      <c r="D667" s="416" t="e">
        <f>IF(ISNUMBER(_xlfn.XLOOKUP(A667,抽卷!$A:$A,抽卷!$K:$K,,1,2)),_xlfn.XLOOKUP(A667,抽卷!$A:$A,抽卷!$K:$K,,1,2),NA())</f>
        <v>#N/A</v>
      </c>
      <c r="E667" s="416" t="e">
        <f>IF(ISNUMBER(_xlfn.XLOOKUP(A667,抽卷!$A:$A,抽卷!$M:$M,,1,2)),_xlfn.XLOOKUP(A667,抽卷!$A:$A,抽卷!$M:$M,,1,2),NA())</f>
        <v>#N/A</v>
      </c>
      <c r="F667" s="70" t="e">
        <f t="shared" si="32"/>
        <v>#N/A</v>
      </c>
    </row>
    <row r="668" spans="1:6" ht="15" customHeight="1" x14ac:dyDescent="0.25">
      <c r="A668" s="95">
        <f t="shared" si="33"/>
        <v>44604</v>
      </c>
      <c r="B668" s="76" t="e">
        <f>IF(ISNUMBER(_xlfn.XLOOKUP(A668,鑽量!$A:$A,鑽量!$K:$K,,1,2)),_xlfn.XLOOKUP(A668,鑽量!$A:$A,鑽量!$K:$K,,1,2),NA())</f>
        <v>#N/A</v>
      </c>
      <c r="C668" s="416" t="e">
        <f t="shared" si="31"/>
        <v>#N/A</v>
      </c>
      <c r="D668" s="416" t="e">
        <f>IF(ISNUMBER(_xlfn.XLOOKUP(A668,抽卷!$A:$A,抽卷!$K:$K,,1,2)),_xlfn.XLOOKUP(A668,抽卷!$A:$A,抽卷!$K:$K,,1,2),NA())</f>
        <v>#N/A</v>
      </c>
      <c r="E668" s="416" t="e">
        <f>IF(ISNUMBER(_xlfn.XLOOKUP(A668,抽卷!$A:$A,抽卷!$M:$M,,1,2)),_xlfn.XLOOKUP(A668,抽卷!$A:$A,抽卷!$M:$M,,1,2),NA())</f>
        <v>#N/A</v>
      </c>
      <c r="F668" s="70" t="e">
        <f t="shared" si="32"/>
        <v>#N/A</v>
      </c>
    </row>
    <row r="669" spans="1:6" ht="15" customHeight="1" x14ac:dyDescent="0.25">
      <c r="A669" s="95">
        <f t="shared" si="33"/>
        <v>44605</v>
      </c>
      <c r="B669" s="76" t="e">
        <f>IF(ISNUMBER(_xlfn.XLOOKUP(A669,鑽量!$A:$A,鑽量!$K:$K,,1,2)),_xlfn.XLOOKUP(A669,鑽量!$A:$A,鑽量!$K:$K,,1,2),NA())</f>
        <v>#N/A</v>
      </c>
      <c r="C669" s="416" t="e">
        <f t="shared" si="31"/>
        <v>#N/A</v>
      </c>
      <c r="D669" s="416" t="e">
        <f>IF(ISNUMBER(_xlfn.XLOOKUP(A669,抽卷!$A:$A,抽卷!$K:$K,,1,2)),_xlfn.XLOOKUP(A669,抽卷!$A:$A,抽卷!$K:$K,,1,2),NA())</f>
        <v>#N/A</v>
      </c>
      <c r="E669" s="416" t="e">
        <f>IF(ISNUMBER(_xlfn.XLOOKUP(A669,抽卷!$A:$A,抽卷!$M:$M,,1,2)),_xlfn.XLOOKUP(A669,抽卷!$A:$A,抽卷!$M:$M,,1,2),NA())</f>
        <v>#N/A</v>
      </c>
      <c r="F669" s="70" t="e">
        <f t="shared" si="32"/>
        <v>#N/A</v>
      </c>
    </row>
    <row r="670" spans="1:6" ht="15" customHeight="1" x14ac:dyDescent="0.25">
      <c r="A670" s="95">
        <f t="shared" si="33"/>
        <v>44606</v>
      </c>
      <c r="B670" s="76" t="e">
        <f>IF(ISNUMBER(_xlfn.XLOOKUP(A670,鑽量!$A:$A,鑽量!$K:$K,,1,2)),_xlfn.XLOOKUP(A670,鑽量!$A:$A,鑽量!$K:$K,,1,2),NA())</f>
        <v>#N/A</v>
      </c>
      <c r="C670" s="416" t="e">
        <f t="shared" si="31"/>
        <v>#N/A</v>
      </c>
      <c r="D670" s="416" t="e">
        <f>IF(ISNUMBER(_xlfn.XLOOKUP(A670,抽卷!$A:$A,抽卷!$K:$K,,1,2)),_xlfn.XLOOKUP(A670,抽卷!$A:$A,抽卷!$K:$K,,1,2),NA())</f>
        <v>#N/A</v>
      </c>
      <c r="E670" s="416" t="e">
        <f>IF(ISNUMBER(_xlfn.XLOOKUP(A670,抽卷!$A:$A,抽卷!$M:$M,,1,2)),_xlfn.XLOOKUP(A670,抽卷!$A:$A,抽卷!$M:$M,,1,2),NA())</f>
        <v>#N/A</v>
      </c>
      <c r="F670" s="70" t="e">
        <f t="shared" si="32"/>
        <v>#N/A</v>
      </c>
    </row>
    <row r="671" spans="1:6" ht="15" customHeight="1" x14ac:dyDescent="0.25">
      <c r="A671" s="95">
        <f t="shared" si="33"/>
        <v>44607</v>
      </c>
      <c r="B671" s="76" t="e">
        <f>IF(ISNUMBER(_xlfn.XLOOKUP(A671,鑽量!$A:$A,鑽量!$K:$K,,1,2)),_xlfn.XLOOKUP(A671,鑽量!$A:$A,鑽量!$K:$K,,1,2),NA())</f>
        <v>#N/A</v>
      </c>
      <c r="C671" s="416" t="e">
        <f t="shared" si="31"/>
        <v>#N/A</v>
      </c>
      <c r="D671" s="416" t="e">
        <f>IF(ISNUMBER(_xlfn.XLOOKUP(A671,抽卷!$A:$A,抽卷!$K:$K,,1,2)),_xlfn.XLOOKUP(A671,抽卷!$A:$A,抽卷!$K:$K,,1,2),NA())</f>
        <v>#N/A</v>
      </c>
      <c r="E671" s="416" t="e">
        <f>IF(ISNUMBER(_xlfn.XLOOKUP(A671,抽卷!$A:$A,抽卷!$M:$M,,1,2)),_xlfn.XLOOKUP(A671,抽卷!$A:$A,抽卷!$M:$M,,1,2),NA())</f>
        <v>#N/A</v>
      </c>
      <c r="F671" s="70" t="e">
        <f t="shared" si="32"/>
        <v>#N/A</v>
      </c>
    </row>
    <row r="672" spans="1:6" ht="15" customHeight="1" x14ac:dyDescent="0.25">
      <c r="A672" s="95">
        <f t="shared" si="33"/>
        <v>44608</v>
      </c>
      <c r="B672" s="76" t="e">
        <f>IF(ISNUMBER(_xlfn.XLOOKUP(A672,鑽量!$A:$A,鑽量!$K:$K,,1,2)),_xlfn.XLOOKUP(A672,鑽量!$A:$A,鑽量!$K:$K,,1,2),NA())</f>
        <v>#N/A</v>
      </c>
      <c r="C672" s="416" t="e">
        <f t="shared" si="31"/>
        <v>#N/A</v>
      </c>
      <c r="D672" s="416" t="e">
        <f>IF(ISNUMBER(_xlfn.XLOOKUP(A672,抽卷!$A:$A,抽卷!$K:$K,,1,2)),_xlfn.XLOOKUP(A672,抽卷!$A:$A,抽卷!$K:$K,,1,2),NA())</f>
        <v>#N/A</v>
      </c>
      <c r="E672" s="416" t="e">
        <f>IF(ISNUMBER(_xlfn.XLOOKUP(A672,抽卷!$A:$A,抽卷!$M:$M,,1,2)),_xlfn.XLOOKUP(A672,抽卷!$A:$A,抽卷!$M:$M,,1,2),NA())</f>
        <v>#N/A</v>
      </c>
      <c r="F672" s="70" t="e">
        <f t="shared" si="32"/>
        <v>#N/A</v>
      </c>
    </row>
    <row r="673" spans="1:6" ht="15" customHeight="1" x14ac:dyDescent="0.25">
      <c r="A673" s="95">
        <f t="shared" si="33"/>
        <v>44609</v>
      </c>
      <c r="B673" s="76" t="e">
        <f>IF(ISNUMBER(_xlfn.XLOOKUP(A673,鑽量!$A:$A,鑽量!$K:$K,,1,2)),_xlfn.XLOOKUP(A673,鑽量!$A:$A,鑽量!$K:$K,,1,2),NA())</f>
        <v>#N/A</v>
      </c>
      <c r="C673" s="416" t="e">
        <f t="shared" si="31"/>
        <v>#N/A</v>
      </c>
      <c r="D673" s="416" t="e">
        <f>IF(ISNUMBER(_xlfn.XLOOKUP(A673,抽卷!$A:$A,抽卷!$K:$K,,1,2)),_xlfn.XLOOKUP(A673,抽卷!$A:$A,抽卷!$K:$K,,1,2),NA())</f>
        <v>#N/A</v>
      </c>
      <c r="E673" s="416" t="e">
        <f>IF(ISNUMBER(_xlfn.XLOOKUP(A673,抽卷!$A:$A,抽卷!$M:$M,,1,2)),_xlfn.XLOOKUP(A673,抽卷!$A:$A,抽卷!$M:$M,,1,2),NA())</f>
        <v>#N/A</v>
      </c>
      <c r="F673" s="70" t="e">
        <f t="shared" si="32"/>
        <v>#N/A</v>
      </c>
    </row>
    <row r="674" spans="1:6" ht="15" customHeight="1" x14ac:dyDescent="0.25">
      <c r="A674" s="95">
        <f t="shared" si="33"/>
        <v>44610</v>
      </c>
      <c r="B674" s="76" t="e">
        <f>IF(ISNUMBER(_xlfn.XLOOKUP(A674,鑽量!$A:$A,鑽量!$K:$K,,1,2)),_xlfn.XLOOKUP(A674,鑽量!$A:$A,鑽量!$K:$K,,1,2),NA())</f>
        <v>#N/A</v>
      </c>
      <c r="C674" s="416" t="e">
        <f t="shared" si="31"/>
        <v>#N/A</v>
      </c>
      <c r="D674" s="416" t="e">
        <f>IF(ISNUMBER(_xlfn.XLOOKUP(A674,抽卷!$A:$A,抽卷!$K:$K,,1,2)),_xlfn.XLOOKUP(A674,抽卷!$A:$A,抽卷!$K:$K,,1,2),NA())</f>
        <v>#N/A</v>
      </c>
      <c r="E674" s="416" t="e">
        <f>IF(ISNUMBER(_xlfn.XLOOKUP(A674,抽卷!$A:$A,抽卷!$M:$M,,1,2)),_xlfn.XLOOKUP(A674,抽卷!$A:$A,抽卷!$M:$M,,1,2),NA())</f>
        <v>#N/A</v>
      </c>
      <c r="F674" s="70" t="e">
        <f t="shared" si="32"/>
        <v>#N/A</v>
      </c>
    </row>
    <row r="675" spans="1:6" ht="15" customHeight="1" x14ac:dyDescent="0.25">
      <c r="A675" s="95">
        <f t="shared" si="33"/>
        <v>44611</v>
      </c>
      <c r="B675" s="76" t="e">
        <f>IF(ISNUMBER(_xlfn.XLOOKUP(A675,鑽量!$A:$A,鑽量!$K:$K,,1,2)),_xlfn.XLOOKUP(A675,鑽量!$A:$A,鑽量!$K:$K,,1,2),NA())</f>
        <v>#N/A</v>
      </c>
      <c r="C675" s="416" t="e">
        <f t="shared" si="31"/>
        <v>#N/A</v>
      </c>
      <c r="D675" s="416" t="e">
        <f>IF(ISNUMBER(_xlfn.XLOOKUP(A675,抽卷!$A:$A,抽卷!$K:$K,,1,2)),_xlfn.XLOOKUP(A675,抽卷!$A:$A,抽卷!$K:$K,,1,2),NA())</f>
        <v>#N/A</v>
      </c>
      <c r="E675" s="416" t="e">
        <f>IF(ISNUMBER(_xlfn.XLOOKUP(A675,抽卷!$A:$A,抽卷!$M:$M,,1,2)),_xlfn.XLOOKUP(A675,抽卷!$A:$A,抽卷!$M:$M,,1,2),NA())</f>
        <v>#N/A</v>
      </c>
      <c r="F675" s="70" t="e">
        <f t="shared" si="32"/>
        <v>#N/A</v>
      </c>
    </row>
    <row r="676" spans="1:6" ht="15" customHeight="1" x14ac:dyDescent="0.25">
      <c r="A676" s="95">
        <f t="shared" si="33"/>
        <v>44612</v>
      </c>
      <c r="B676" s="76" t="e">
        <f>IF(ISNUMBER(_xlfn.XLOOKUP(A676,鑽量!$A:$A,鑽量!$K:$K,,1,2)),_xlfn.XLOOKUP(A676,鑽量!$A:$A,鑽量!$K:$K,,1,2),NA())</f>
        <v>#N/A</v>
      </c>
      <c r="C676" s="416" t="e">
        <f t="shared" si="31"/>
        <v>#N/A</v>
      </c>
      <c r="D676" s="416" t="e">
        <f>IF(ISNUMBER(_xlfn.XLOOKUP(A676,抽卷!$A:$A,抽卷!$K:$K,,1,2)),_xlfn.XLOOKUP(A676,抽卷!$A:$A,抽卷!$K:$K,,1,2),NA())</f>
        <v>#N/A</v>
      </c>
      <c r="E676" s="416" t="e">
        <f>IF(ISNUMBER(_xlfn.XLOOKUP(A676,抽卷!$A:$A,抽卷!$M:$M,,1,2)),_xlfn.XLOOKUP(A676,抽卷!$A:$A,抽卷!$M:$M,,1,2),NA())</f>
        <v>#N/A</v>
      </c>
      <c r="F676" s="70" t="e">
        <f t="shared" si="32"/>
        <v>#N/A</v>
      </c>
    </row>
    <row r="677" spans="1:6" ht="15" customHeight="1" x14ac:dyDescent="0.25">
      <c r="A677" s="95">
        <f t="shared" si="33"/>
        <v>44613</v>
      </c>
      <c r="B677" s="76" t="e">
        <f>IF(ISNUMBER(_xlfn.XLOOKUP(A677,鑽量!$A:$A,鑽量!$K:$K,,1,2)),_xlfn.XLOOKUP(A677,鑽量!$A:$A,鑽量!$K:$K,,1,2),NA())</f>
        <v>#N/A</v>
      </c>
      <c r="C677" s="416" t="e">
        <f t="shared" si="31"/>
        <v>#N/A</v>
      </c>
      <c r="D677" s="416" t="e">
        <f>IF(ISNUMBER(_xlfn.XLOOKUP(A677,抽卷!$A:$A,抽卷!$K:$K,,1,2)),_xlfn.XLOOKUP(A677,抽卷!$A:$A,抽卷!$K:$K,,1,2),NA())</f>
        <v>#N/A</v>
      </c>
      <c r="E677" s="416" t="e">
        <f>IF(ISNUMBER(_xlfn.XLOOKUP(A677,抽卷!$A:$A,抽卷!$M:$M,,1,2)),_xlfn.XLOOKUP(A677,抽卷!$A:$A,抽卷!$M:$M,,1,2),NA())</f>
        <v>#N/A</v>
      </c>
      <c r="F677" s="70" t="e">
        <f t="shared" si="32"/>
        <v>#N/A</v>
      </c>
    </row>
    <row r="678" spans="1:6" ht="15" customHeight="1" x14ac:dyDescent="0.25">
      <c r="A678" s="95">
        <f t="shared" si="33"/>
        <v>44614</v>
      </c>
      <c r="B678" s="76" t="e">
        <f>IF(ISNUMBER(_xlfn.XLOOKUP(A678,鑽量!$A:$A,鑽量!$K:$K,,1,2)),_xlfn.XLOOKUP(A678,鑽量!$A:$A,鑽量!$K:$K,,1,2),NA())</f>
        <v>#N/A</v>
      </c>
      <c r="C678" s="416" t="e">
        <f t="shared" si="31"/>
        <v>#N/A</v>
      </c>
      <c r="D678" s="416" t="e">
        <f>IF(ISNUMBER(_xlfn.XLOOKUP(A678,抽卷!$A:$A,抽卷!$K:$K,,1,2)),_xlfn.XLOOKUP(A678,抽卷!$A:$A,抽卷!$K:$K,,1,2),NA())</f>
        <v>#N/A</v>
      </c>
      <c r="E678" s="416" t="e">
        <f>IF(ISNUMBER(_xlfn.XLOOKUP(A678,抽卷!$A:$A,抽卷!$M:$M,,1,2)),_xlfn.XLOOKUP(A678,抽卷!$A:$A,抽卷!$M:$M,,1,2),NA())</f>
        <v>#N/A</v>
      </c>
      <c r="F678" s="70" t="e">
        <f t="shared" si="32"/>
        <v>#N/A</v>
      </c>
    </row>
  </sheetData>
  <conditionalFormatting sqref="F1:F1048576">
    <cfRule type="colorScale" priority="1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E1048576">
    <cfRule type="cellIs" dxfId="6" priority="8" operator="equal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43" t="s">
        <v>141</v>
      </c>
      <c r="H1" s="643"/>
      <c r="K1" s="419" t="s">
        <v>171</v>
      </c>
      <c r="L1" s="419" t="s">
        <v>172</v>
      </c>
    </row>
    <row r="2" spans="1:18" x14ac:dyDescent="0.25">
      <c r="A2" s="645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45">
        <v>1980</v>
      </c>
      <c r="H2" s="645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45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45"/>
      <c r="H3" s="645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43" t="str">
        <f>"Predicted left to " &amp; A2</f>
        <v>Predicted left to 1980</v>
      </c>
      <c r="H4" s="643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44" t="str">
        <f>IF(G2&gt;=A2,"",_xlfn.FORECAST.LINEAR(A2-G2, E:E, F:F))</f>
        <v/>
      </c>
      <c r="H5" s="643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44"/>
      <c r="H6" s="643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46" t="e">
        <f ca="1">NOW() + G5/1440</f>
        <v>#VALUE!</v>
      </c>
      <c r="H7" s="646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43" t="str">
        <f>"Predicted total to " &amp; A2</f>
        <v>Predicted total to 1980</v>
      </c>
      <c r="H8" s="643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44">
        <f>_xlfn.FORECAST.LINEAR(A2, E:E, F:F)</f>
        <v>671.7693669332881</v>
      </c>
      <c r="H9" s="643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44"/>
      <c r="H10" s="643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47" t="str">
        <f>B1&amp; "日"</f>
        <v>1日</v>
      </c>
      <c r="G1" s="648"/>
      <c r="H1" s="648"/>
      <c r="I1" s="647" t="str">
        <f>C1 &amp; "日"</f>
        <v>7日</v>
      </c>
      <c r="J1" s="648"/>
      <c r="K1" s="648"/>
      <c r="L1" s="647" t="s">
        <v>58</v>
      </c>
      <c r="M1" s="648"/>
      <c r="N1" s="648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-545 D 21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-555 D 00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-585 D 12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-604 D 21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-558 D 13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170 D 13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-176 D 07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-363 D 03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-421 D 04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-490 D 13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-533 D 10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-622 D 21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-546 D 22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-567 D 06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-582 D 18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-607 D 14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-614 D 12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-596 D 00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-502 D 03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-461 D 23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-522 D 03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-518 D 15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-557 D 16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-526 D 16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-541 D 11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-543 D 17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-526 D 11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-531 D 09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-574 D 20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-528 D 11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-533 D 08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-572 D 08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-536 D 18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-533 D 22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-570 D 17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-537 D 03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-534 D 22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-496 D 23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-537 D 22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-536 D 23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-493 D 04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-541 D 17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-527 D 14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-518 D 09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-542 D 05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-536 D 11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-545 D 10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-543 D 04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-539 D 08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-570 D 08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-544 D 03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-540 D 16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-589 D 01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-545 D 16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-544 D 06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-555 D 03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-542 D 12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-534 D 03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-557 D 13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-538 D 00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-536 D 15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-502 D 10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-536 D 16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-541 D 01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-499 D 17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-534 D 20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-531 D 13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-488 D 09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-530 D 20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-532 D 06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-443 D 14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-530 D 10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-533 D 02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-456 D 14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-528 D 20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-533 D 20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-479 D 02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-529 D 07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-535 D 18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-502 D 19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-529 D 13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-537 D 15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-473 D 18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-535 D 15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-531 D 03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-537 D 17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-535 D 10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-534 D 07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-537 D 19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-535 D 15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-535 D 14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-478 D 02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-533 D 18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-530 D 23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-510 D 17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-535 D 07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-535 D 03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-579 D 01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-539 D 00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-542 D 13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-577 D 05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-540 D 05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-539 D 11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-593 D 08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-542 D 23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-542 D 11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-613 D 04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-544 D 22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-547 D 16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-623 D 17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-549 D 21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-550 D 21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-628 D 23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-553 D 18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-551 D 13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-658 D 07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-559 D 12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-553 D 09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-658 D 19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-563 D 10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-555 D 04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-659 D 18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-567 D 08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-556 D 03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-662 D 23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-570 D 08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-558 D 01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-664 D 12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-574 D 08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-559 D 02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-658 D 21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-576 D 14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-559 D 06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-659 D 08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-580 D 08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-560 D 09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-660 D 04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-582 D 07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-561 D 03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-640 D 01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-583 D 04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-558 D 15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-630 D 03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-584 D 07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-559 D 12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-627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-585 D 11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-560 D 14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-604 D 00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-588 D 21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-562 D 14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-615 D 10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-590 D 09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-564 D 11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-623 D 19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-592 D 18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-566 D 13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-636 D 02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-596 D 02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-568 D 04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-661 D 21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-602 D 19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-570 D 02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-676 D 15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-609 D 03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-574 D 14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-675 D 01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-613 D 14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-576 D 01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-669 D 10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-615 D 16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-576 D 21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-668 D 20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-617 D 14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-577 D 20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-668 D 10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-621 D 20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-578 D 05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-668 D 12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-623 D 07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-578 D 18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-654 D 18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-624 D 10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-579 D 04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-627 D 01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-633 D 00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-580 D 16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-626 D 01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-636 D 03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-581 D 08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-624 D 06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-636 D 18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-581 D 11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-625 D 23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-640 D 00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-582 D 03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-616 D 16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-647 D 00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-582 D 04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-616 D 18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-646 D 17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-584 D 08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-623 D 10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-646 D 04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-585 D 07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-628 D 07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-648 D 01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-586 D 14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-649 D 05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-648 D 02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-588 D 21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-650 D 00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-647 D 19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-589 D 06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-607 D 06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-646 D 15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-586 D 05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-597 D 18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-645 D 09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-586 D 20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-589 D 17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-644 D 18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-589 D 05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-643 D 23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-643 D 22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-592 D 23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-655 D 04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-643 D 19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-593 D 12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-671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-643 D 03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-595 D 12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-668 D 08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-643 D 04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-596 D 02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-667 D 08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-643 D 12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-596 D 11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-668 D 01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-643 D 21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-597 D 10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-668 D 15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-644 D 06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-597 D 17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-606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-641 D 08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-593 D 17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-494 D 16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-637 D 23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-594 D 01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-510 D 22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-636 D 18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-595 D 02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-534 D 04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-636 D 06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-595 D 12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-577 D 14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-635 D 04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-596 D 02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-645 D 18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-634 D 08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-596 D 23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-648 D 09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-634 D 06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-597 D 10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-650 D 02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-634 D 02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-597 D 17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-656 D 19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-634 D 08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-598 D 21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-659 D 11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-635 D 03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-599 D 13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-640 D 22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-634 D 09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-597 D 17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-608 D 17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-634 D 02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-597 D 21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-592 D 15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-633 D 12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-597 D 19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-592 D 21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-633 D 02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-598 D 00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-410 D 23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-628 D 21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-593 D 07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-516 D 21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-627 D 00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-596 D 10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-679 D 22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-625 D 03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-602 D 01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-321 D 23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-603 D 20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-595 D 01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-367 D 15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-594 D 18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-593 D 10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-396 D 06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-590 D 20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-593 D 16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-572 D 04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-588 D 07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-593 D 17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-625 D 04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-583 D 20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-595 D 14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-600 D 18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-578 D 12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-594 D 06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-589 D 12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-581 D 16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-595 D 16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-603 D 14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-585 D 03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-596 D 00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-619 D 03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-587 D 21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-595 D 10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-615 D 23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-593 D 07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-596 D 19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-619 D 07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-590 D 06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-596 D 06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-623 D 18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-593 D 11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-597 D 06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-600 D 22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-595 D 14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-596 D 17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-617 D 02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-598 D 03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-597 D 14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-624 D 01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-616 D 03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-599 D 11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-621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-616 D 15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-599 D 10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-616 D 08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-616 D 10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-599 D 04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-607 D 01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-614 D 23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-599 D 17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-601 D 15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-611 D 04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-599 D 05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-602 D 08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-610 D 12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-599 D 14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-607 D 06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-609 D 12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-600 D 01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-612 D 23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-609 D 16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-600 D 04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-565 D 00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-607 D 07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-598 D 19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-563 D 11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-603 D 15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-599 D 00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-563 D 20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-602 D 04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-598 D 19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-574 D 23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-601 D 13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-599 D 00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-603 D 21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-601 D 09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-599 D 06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-607 D 14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-601 D 12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-599 D 12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-613 D 05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-601 D 17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-599 D 16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-595 D 07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-600 D 16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-598 D 14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-636 D 01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-598 D 22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-600 D 01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-631 D 18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-599 D 23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-599 D 20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-615 D 21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-599 D 17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-599 D 08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-613 D 09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-600 D 02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-599 D 15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-599 D 21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-601 D 13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-600 D 09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-628 D 03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-603 D 05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-600 D 22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-634 D 18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-604 D 11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-601 D 00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-626 D 05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-604 D 20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-600 D 13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-632 D 04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-605 D 09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-600 D 17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-620 D 07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-605 D 23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-600 D 21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-611 D 03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-606 D 17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-601 D 06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-615 D 23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-608 D 18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-601 D 17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-633 D 11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-610 D 12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-601 D 17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-604 D 11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-611 D 03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-601 D 10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-605 D 14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-611 D 14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-601 D 15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-611 D 22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-613 D 11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-602 D 09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-615 D 12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-615 D 07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-602 D 05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-627 D 15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-615 D 20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-602 D 11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-621 D 13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-618 D 04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-602 D 12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-613 D 10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-618 D 14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-602 D 17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-598 D 15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-620 D 13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-602 D 14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-602 D 22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-620 D 04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-602 D 20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-605 D 11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-621 D 08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-602 D 23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-605 D 21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-620 D 22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-602 D 20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-609 D 03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-620 D 22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-603 D 05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-611 D 03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-620 D 22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-603 D 05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-611 D 21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-620 D 18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-603 D 03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-598 D 10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-620 D 00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-602 D 21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-611 D 15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-619 D 21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-603 D 15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-631 D 05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-620 D 11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-604 D 04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-628 D 22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-620 D 10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-603 D 23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-629 D 16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-620 D 14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-604 D 03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-643 D 05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-620 D 13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-604 D 15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-645 D 10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-620 D 14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-604 D 19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-645 D 10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-621 D 12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-605 D 10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-652 D 04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-622 D 14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-605 D 15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-611 D 19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-622 D 03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-604 D 08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-563 D 03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-621 D 17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-604 D 12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-558 D 21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-621 D 15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-604 D 20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-570 D 02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-621 D 15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-604 D 21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-579 D 23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-621 D 16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-604 D 23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-569 D 09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-621 D 01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-604 D 02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-591 D 00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-620 D 10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-604 D 07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-548 D 19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-618 D 23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-603 D 22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-560 D 08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-618 D 06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-604 D 03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-571 D 21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-617 D 09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-604 D 07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-581 D 22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-617 D 02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-604 D 11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-588 D 19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-616 D 20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-604 D 12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-600 D 11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-616 D 20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-604 D 20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-632 D 02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-617 D 00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-604 D 22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-613 D 11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-615 D 19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-604 D 00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-607 D 08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-615 D 06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-604 D 05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-618 D 09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-615 D 12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-605 D 10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-629 D 04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-615 D 12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-605 D 05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-632 D 02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-615 D 20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-605 D 11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-649 D 23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-616 D 08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-605 D 17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-649 D 14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-616 D 22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-606 D 00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-652 D 16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-617 D 13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-606 D 06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-657 D 11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-618 D 11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-606 D 18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-661 D 09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-619 D 11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-607 D 03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-672 D 05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-621 D 01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-607 D 18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-673 D 22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-622 D 01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-608 D 01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-674 D 19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-623 D 07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-608 D 04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-684 D 01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-625 D 12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-609 D 05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-682 D 23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-627 D 13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-609 D 08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-698 D 18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-631 D 14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-612 D 06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-703 D 08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-634 D 20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-612 D 21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-705 D 09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-638 D 14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-613 D 06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-705 D 21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-641 D 06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-613 D 17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-706 D 09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-644 D 13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-614 D 13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-706 D 11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-646 D 18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-614 D 16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-689 D 05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-652 D 15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-615 D 21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  <pageSetUpPr autoPageBreaks="0"/>
  </sheetPr>
  <dimension ref="A1:P67"/>
  <sheetViews>
    <sheetView zoomScaleNormal="100" workbookViewId="0">
      <pane xSplit="3" ySplit="3" topLeftCell="D64" activePane="bottomRight" state="frozen"/>
      <selection pane="topRight" activeCell="D1" sqref="D1"/>
      <selection pane="bottomLeft" activeCell="A4" sqref="A4"/>
      <selection pane="bottomRight" activeCell="F67" sqref="F67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14259</v>
      </c>
      <c r="I2" s="35">
        <f ca="1">H2/(NOW()-$D$4)</f>
        <v>22.030059377724044</v>
      </c>
      <c r="J2" s="35"/>
      <c r="K2" s="35">
        <f>AVERAGE(K4:K1048576)</f>
        <v>24.150070188628984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26</v>
      </c>
      <c r="C5" s="93">
        <v>12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1</v>
      </c>
      <c r="C6" s="93">
        <v>1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6705</v>
      </c>
      <c r="C7" s="487">
        <v>6705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f>4325+525+4200*7-30</f>
        <v>34220</v>
      </c>
      <c r="C8" s="487">
        <v>1820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661</v>
      </c>
      <c r="C9" s="486">
        <f>C5+C6*10+_xlfn.FLOOR.MATH(C7/120)+_xlfn.FLOOR.MATH(C8/120)*2</f>
        <v>107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41" t="s">
        <v>372</v>
      </c>
      <c r="B11" s="541"/>
      <c r="C11" s="93">
        <v>21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41" t="s">
        <v>37</v>
      </c>
      <c r="B12" s="541"/>
      <c r="C12" s="93">
        <v>21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41" t="s">
        <v>373</v>
      </c>
      <c r="B13" s="541"/>
      <c r="C13" s="426">
        <f>(B5 - C5) + (B6 - C6) * 10 + (B7 - C7) / 120 + (B8 - C8) / 120 + C11</f>
        <v>305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41" t="s">
        <v>146</v>
      </c>
      <c r="B14" s="541"/>
      <c r="C14" s="107">
        <f>C12/C13%</f>
        <v>6.8852459016393448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67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67" si="10">H39/(E39-D39)</f>
        <v>36.666666666666664</v>
      </c>
      <c r="J39" s="70">
        <f t="shared" ref="J39:J67" si="11">H39/G39</f>
        <v>110</v>
      </c>
      <c r="K39" s="70">
        <f t="shared" ref="K39:K67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67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  <row r="60" spans="4:16" ht="17.100000000000001" customHeight="1" x14ac:dyDescent="0.25">
      <c r="D60" s="95">
        <v>44421</v>
      </c>
      <c r="E60" s="95">
        <v>44425</v>
      </c>
      <c r="F60" s="93" t="s">
        <v>486</v>
      </c>
      <c r="G60" s="108">
        <v>2</v>
      </c>
      <c r="H60" s="110">
        <v>103</v>
      </c>
      <c r="I60" s="70">
        <f t="shared" si="10"/>
        <v>25.75</v>
      </c>
      <c r="J60" s="70">
        <f t="shared" si="11"/>
        <v>51.5</v>
      </c>
      <c r="K60" s="70">
        <f t="shared" si="12"/>
        <v>12.875</v>
      </c>
      <c r="L60" s="19">
        <v>0</v>
      </c>
      <c r="M60" s="435">
        <f t="shared" si="7"/>
        <v>0</v>
      </c>
      <c r="N60" s="19">
        <v>6</v>
      </c>
      <c r="O60" s="405">
        <v>0.06</v>
      </c>
      <c r="P60" s="409">
        <f t="shared" si="13"/>
        <v>-1.7475728155339765E-3</v>
      </c>
    </row>
    <row r="61" spans="4:16" ht="17.100000000000001" customHeight="1" x14ac:dyDescent="0.25">
      <c r="D61" s="95">
        <v>44438</v>
      </c>
      <c r="E61" s="95">
        <v>44442</v>
      </c>
      <c r="F61" s="93" t="s">
        <v>487</v>
      </c>
      <c r="G61" s="108">
        <v>1</v>
      </c>
      <c r="H61" s="110">
        <v>86</v>
      </c>
      <c r="I61" s="70">
        <f t="shared" si="10"/>
        <v>21.5</v>
      </c>
      <c r="J61" s="70">
        <f t="shared" si="11"/>
        <v>86</v>
      </c>
      <c r="K61" s="70">
        <f t="shared" si="12"/>
        <v>21.5</v>
      </c>
      <c r="L61" s="19">
        <v>0</v>
      </c>
      <c r="M61" s="435">
        <f t="shared" si="7"/>
        <v>0</v>
      </c>
      <c r="N61" s="19">
        <v>4</v>
      </c>
      <c r="O61" s="405">
        <v>0.06</v>
      </c>
      <c r="P61" s="409">
        <f t="shared" si="13"/>
        <v>-1.3488372093023254E-2</v>
      </c>
    </row>
    <row r="62" spans="4:16" ht="17.100000000000001" customHeight="1" x14ac:dyDescent="0.25">
      <c r="D62" s="95">
        <v>44442</v>
      </c>
      <c r="E62" s="95">
        <v>44452</v>
      </c>
      <c r="F62" s="93" t="s">
        <v>488</v>
      </c>
      <c r="G62" s="108">
        <v>2</v>
      </c>
      <c r="H62" s="110">
        <v>162</v>
      </c>
      <c r="I62" s="70">
        <f t="shared" si="10"/>
        <v>16.2</v>
      </c>
      <c r="J62" s="70">
        <f t="shared" si="11"/>
        <v>81</v>
      </c>
      <c r="K62" s="70">
        <f t="shared" si="12"/>
        <v>8.1</v>
      </c>
      <c r="L62" s="19">
        <v>0</v>
      </c>
      <c r="M62" s="435">
        <f t="shared" si="7"/>
        <v>0</v>
      </c>
      <c r="N62" s="19">
        <v>7</v>
      </c>
      <c r="O62" s="405">
        <v>0.04</v>
      </c>
      <c r="P62" s="409">
        <f t="shared" si="13"/>
        <v>3.2098765432098733E-3</v>
      </c>
    </row>
    <row r="63" spans="4:16" ht="17.100000000000001" customHeight="1" x14ac:dyDescent="0.25">
      <c r="D63" s="95">
        <v>44452</v>
      </c>
      <c r="E63" s="95">
        <v>44456</v>
      </c>
      <c r="F63" s="93" t="s">
        <v>489</v>
      </c>
      <c r="G63" s="108">
        <v>2</v>
      </c>
      <c r="H63" s="110">
        <v>95</v>
      </c>
      <c r="I63" s="70">
        <f t="shared" si="10"/>
        <v>23.75</v>
      </c>
      <c r="J63" s="70">
        <f t="shared" si="11"/>
        <v>47.5</v>
      </c>
      <c r="K63" s="70">
        <f t="shared" si="12"/>
        <v>11.875</v>
      </c>
      <c r="L63" s="19">
        <v>0</v>
      </c>
      <c r="M63" s="435">
        <f t="shared" si="7"/>
        <v>0</v>
      </c>
      <c r="N63" s="19">
        <v>6</v>
      </c>
      <c r="O63" s="405">
        <v>0.06</v>
      </c>
      <c r="P63" s="409">
        <f t="shared" si="13"/>
        <v>3.1578947368421095E-3</v>
      </c>
    </row>
    <row r="64" spans="4:16" ht="17.100000000000001" customHeight="1" x14ac:dyDescent="0.25">
      <c r="D64" s="95">
        <v>44469</v>
      </c>
      <c r="E64" s="95">
        <v>44474</v>
      </c>
      <c r="F64" s="93" t="s">
        <v>490</v>
      </c>
      <c r="G64" s="108">
        <v>2</v>
      </c>
      <c r="H64" s="110">
        <v>248</v>
      </c>
      <c r="I64" s="70">
        <f t="shared" si="10"/>
        <v>49.6</v>
      </c>
      <c r="J64" s="70">
        <f t="shared" si="11"/>
        <v>124</v>
      </c>
      <c r="K64" s="70">
        <f t="shared" si="12"/>
        <v>24.8</v>
      </c>
      <c r="L64" s="19">
        <v>0</v>
      </c>
      <c r="M64" s="435">
        <f t="shared" si="7"/>
        <v>0</v>
      </c>
      <c r="N64" s="19">
        <v>15</v>
      </c>
      <c r="O64" s="405">
        <v>0.06</v>
      </c>
      <c r="P64" s="409">
        <f t="shared" si="13"/>
        <v>4.8387096774193949E-4</v>
      </c>
    </row>
    <row r="65" spans="4:16" ht="17.100000000000001" customHeight="1" x14ac:dyDescent="0.25">
      <c r="D65" s="95">
        <v>44474</v>
      </c>
      <c r="E65" s="95">
        <v>44484</v>
      </c>
      <c r="F65" s="93" t="s">
        <v>491</v>
      </c>
      <c r="G65" s="108">
        <v>1</v>
      </c>
      <c r="H65" s="110">
        <v>158</v>
      </c>
      <c r="I65" s="70">
        <f t="shared" si="10"/>
        <v>15.8</v>
      </c>
      <c r="J65" s="70">
        <f t="shared" si="11"/>
        <v>158</v>
      </c>
      <c r="K65" s="70">
        <f t="shared" si="12"/>
        <v>15.8</v>
      </c>
      <c r="L65" s="19">
        <v>0</v>
      </c>
      <c r="M65" s="435">
        <f t="shared" si="7"/>
        <v>0</v>
      </c>
      <c r="N65" s="19">
        <v>7</v>
      </c>
      <c r="O65" s="405">
        <v>0.04</v>
      </c>
      <c r="P65" s="409">
        <f t="shared" si="13"/>
        <v>4.3037974683544297E-3</v>
      </c>
    </row>
    <row r="66" spans="4:16" ht="17.100000000000001" customHeight="1" x14ac:dyDescent="0.25">
      <c r="D66" s="95">
        <v>44484</v>
      </c>
      <c r="E66" s="95">
        <v>44487</v>
      </c>
      <c r="F66" s="93" t="s">
        <v>501</v>
      </c>
      <c r="G66" s="108">
        <v>2</v>
      </c>
      <c r="H66" s="110">
        <v>271</v>
      </c>
      <c r="I66" s="70">
        <f t="shared" si="10"/>
        <v>90.333333333333329</v>
      </c>
      <c r="J66" s="70">
        <f t="shared" si="11"/>
        <v>135.5</v>
      </c>
      <c r="K66" s="70">
        <f t="shared" si="12"/>
        <v>45.166666666666664</v>
      </c>
      <c r="L66" s="19">
        <v>1</v>
      </c>
      <c r="M66" s="435">
        <f t="shared" si="7"/>
        <v>0.5</v>
      </c>
      <c r="N66" s="19">
        <v>14</v>
      </c>
      <c r="O66" s="405">
        <v>0.06</v>
      </c>
      <c r="P66" s="409">
        <f t="shared" si="13"/>
        <v>-8.339483394833945E-3</v>
      </c>
    </row>
    <row r="67" spans="4:16" ht="17.100000000000001" customHeight="1" x14ac:dyDescent="0.25">
      <c r="D67" s="95">
        <v>44498</v>
      </c>
      <c r="E67" s="95">
        <v>44504</v>
      </c>
      <c r="F67" s="508" t="s">
        <v>502</v>
      </c>
      <c r="G67" s="108">
        <v>3</v>
      </c>
      <c r="H67" s="110">
        <v>305</v>
      </c>
      <c r="I67" s="70">
        <f t="shared" si="10"/>
        <v>50.833333333333336</v>
      </c>
      <c r="J67" s="70">
        <f t="shared" si="11"/>
        <v>101.66666666666667</v>
      </c>
      <c r="K67" s="70">
        <f t="shared" si="12"/>
        <v>16.944444444444446</v>
      </c>
      <c r="L67" s="19">
        <v>1</v>
      </c>
      <c r="M67" s="435">
        <f t="shared" si="7"/>
        <v>0.33333333333333331</v>
      </c>
      <c r="N67" s="19">
        <v>21</v>
      </c>
      <c r="O67" s="405">
        <v>0.06</v>
      </c>
      <c r="P67" s="409">
        <f t="shared" si="13"/>
        <v>8.8524590163934491E-3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5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2F-BA67-40FB-94EA-BBDC0680F70C}">
  <sheetPr>
    <tabColor rgb="FF7030A0"/>
  </sheetPr>
  <dimension ref="A1:K45"/>
  <sheetViews>
    <sheetView workbookViewId="0">
      <pane ySplit="1" topLeftCell="A35" activePane="bottomLeft" state="frozen"/>
      <selection pane="bottomLeft" activeCell="K2" sqref="K2"/>
    </sheetView>
  </sheetViews>
  <sheetFormatPr defaultRowHeight="17.25" customHeight="1" x14ac:dyDescent="0.25"/>
  <cols>
    <col min="1" max="1" width="16" style="491" customWidth="1"/>
    <col min="2" max="3" width="19.7109375" style="493" customWidth="1"/>
    <col min="4" max="4" width="8.140625" style="493" customWidth="1"/>
    <col min="5" max="5" width="20.85546875" style="493" customWidth="1"/>
    <col min="6" max="6" width="18.140625" style="500" customWidth="1"/>
    <col min="7" max="7" width="19.7109375" style="500" bestFit="1" customWidth="1"/>
    <col min="8" max="8" width="11.140625" style="497" customWidth="1"/>
    <col min="9" max="9" width="12.85546875" style="498" customWidth="1"/>
    <col min="10" max="10" width="9.140625" style="491"/>
    <col min="11" max="11" width="20.42578125" style="491" customWidth="1"/>
    <col min="12" max="12" width="19.85546875" style="491" customWidth="1"/>
    <col min="13" max="14" width="12" style="491" bestFit="1" customWidth="1"/>
    <col min="15" max="16384" width="9.140625" style="491"/>
  </cols>
  <sheetData>
    <row r="1" spans="1:11" ht="17.25" customHeight="1" x14ac:dyDescent="0.25">
      <c r="A1" s="501" t="s">
        <v>492</v>
      </c>
      <c r="B1" s="502" t="s">
        <v>493</v>
      </c>
      <c r="C1" s="502" t="s">
        <v>498</v>
      </c>
      <c r="D1" s="502" t="s">
        <v>500</v>
      </c>
      <c r="E1" s="502" t="s">
        <v>494</v>
      </c>
      <c r="F1" s="503" t="s">
        <v>495</v>
      </c>
      <c r="G1" s="503" t="s">
        <v>136</v>
      </c>
      <c r="H1" s="504" t="s">
        <v>496</v>
      </c>
      <c r="I1" s="505" t="s">
        <v>497</v>
      </c>
      <c r="K1" s="491" t="s">
        <v>136</v>
      </c>
    </row>
    <row r="2" spans="1:11" ht="17.25" customHeight="1" x14ac:dyDescent="0.25">
      <c r="A2" s="492">
        <v>44482.354166666664</v>
      </c>
      <c r="B2" s="488">
        <v>184401500517</v>
      </c>
      <c r="C2" s="488" t="str">
        <f t="shared" ref="C2:C22" ca="1" si="0">IFERROR(IF($B2 &gt; OFFSET($B2, -4, 0), ($B1 - OFFSET($B1, -4, 0)) / ($A1 - OFFSET($A1, -4, 0)) / 24, ""), "")</f>
        <v/>
      </c>
      <c r="D2" s="488" t="str">
        <f t="shared" ref="D2:D6" ca="1" si="1">IFERROR(C2 / $K$4, "")</f>
        <v/>
      </c>
      <c r="E2" s="488" t="str">
        <f t="shared" ref="E2:E29" ca="1" si="2">IFERROR(_xlfn.FORECAST.LINEAR(INT($A2) + IF(HOUR($A2) &gt; 1, 25/24, 0), OFFSET($B2, -4, 0, 5), OFFSET($A2, -4, 0, 5)), "")</f>
        <v/>
      </c>
      <c r="F2" s="489" t="str">
        <f ca="1">IFERROR($E2-OFFSET($E2, -1, 0), "")</f>
        <v/>
      </c>
      <c r="G2" s="489" t="str">
        <f ca="1">IFERROR($E2-$K$2, "")</f>
        <v/>
      </c>
      <c r="H2" s="506" t="str">
        <f ca="1">IFERROR($G2 / $K$2, "")</f>
        <v/>
      </c>
      <c r="I2" s="490" t="str">
        <f ca="1">IFERROR(1 / (1 + $H2), "")</f>
        <v/>
      </c>
      <c r="K2" s="493">
        <v>275000000000</v>
      </c>
    </row>
    <row r="3" spans="1:11" ht="17.25" customHeight="1" x14ac:dyDescent="0.25">
      <c r="A3" s="492">
        <v>44482.368055555555</v>
      </c>
      <c r="B3" s="488">
        <v>198122455747</v>
      </c>
      <c r="C3" s="488" t="str">
        <f t="shared" ca="1" si="0"/>
        <v/>
      </c>
      <c r="D3" s="488" t="str">
        <f t="shared" ca="1" si="1"/>
        <v/>
      </c>
      <c r="E3" s="488" t="str">
        <f t="shared" ca="1" si="2"/>
        <v/>
      </c>
      <c r="F3" s="489" t="str">
        <f t="shared" ref="F3:F45" ca="1" si="3">IFERROR($E3-OFFSET($E3, -1, 0), "")</f>
        <v/>
      </c>
      <c r="G3" s="489" t="str">
        <f t="shared" ref="G3:G45" ca="1" si="4">IFERROR($E3-$K$2, "")</f>
        <v/>
      </c>
      <c r="H3" s="506" t="str">
        <f t="shared" ref="H3:H45" ca="1" si="5">IFERROR($G3 / $K$2, "")</f>
        <v/>
      </c>
      <c r="I3" s="490" t="str">
        <f t="shared" ref="I3:I45" ca="1" si="6">IFERROR(1 / (1 + $H3), "")</f>
        <v/>
      </c>
      <c r="K3" s="491" t="s">
        <v>499</v>
      </c>
    </row>
    <row r="4" spans="1:11" ht="17.25" customHeight="1" x14ac:dyDescent="0.25">
      <c r="A4" s="492">
        <v>44482.375</v>
      </c>
      <c r="B4" s="488">
        <v>204531780765</v>
      </c>
      <c r="C4" s="488" t="str">
        <f t="shared" ca="1" si="0"/>
        <v/>
      </c>
      <c r="D4" s="488" t="str">
        <f t="shared" ca="1" si="1"/>
        <v/>
      </c>
      <c r="E4" s="488" t="str">
        <f t="shared" ca="1" si="2"/>
        <v/>
      </c>
      <c r="F4" s="489" t="str">
        <f t="shared" ca="1" si="3"/>
        <v/>
      </c>
      <c r="G4" s="489" t="str">
        <f t="shared" ca="1" si="4"/>
        <v/>
      </c>
      <c r="H4" s="506" t="str">
        <f t="shared" ca="1" si="5"/>
        <v/>
      </c>
      <c r="I4" s="490" t="str">
        <f t="shared" ca="1" si="6"/>
        <v/>
      </c>
      <c r="K4" s="493">
        <v>20000000</v>
      </c>
    </row>
    <row r="5" spans="1:11" ht="17.25" customHeight="1" x14ac:dyDescent="0.25">
      <c r="A5" s="492">
        <v>44482.381944444445</v>
      </c>
      <c r="B5" s="488">
        <v>211389924754</v>
      </c>
      <c r="C5" s="488" t="str">
        <f t="shared" ca="1" si="0"/>
        <v/>
      </c>
      <c r="D5" s="488" t="str">
        <f t="shared" ca="1" si="1"/>
        <v/>
      </c>
      <c r="E5" s="488">
        <f ca="1">IFERROR(_xlfn.FORECAST.LINEAR(INT($A5) + IF(HOUR($A5) &gt; 1, 25/24, 0), OFFSET($B5, -4, 0, 5), OFFSET($A5, -4, 0, 5)), "")</f>
        <v>850846322168</v>
      </c>
      <c r="F5" s="489" t="str">
        <f t="shared" ca="1" si="3"/>
        <v/>
      </c>
      <c r="G5" s="489">
        <f t="shared" ca="1" si="4"/>
        <v>575846322168</v>
      </c>
      <c r="H5" s="506">
        <f t="shared" ca="1" si="5"/>
        <v>2.0939866260654547</v>
      </c>
      <c r="I5" s="490">
        <f t="shared" ca="1" si="6"/>
        <v>0.32320760263649717</v>
      </c>
    </row>
    <row r="6" spans="1:11" ht="17.25" customHeight="1" x14ac:dyDescent="0.25">
      <c r="A6" s="492">
        <v>44482.402777777781</v>
      </c>
      <c r="B6" s="488">
        <v>232219220053</v>
      </c>
      <c r="C6" s="488" t="str">
        <f t="shared" ca="1" si="0"/>
        <v/>
      </c>
      <c r="D6" s="488" t="str">
        <f t="shared" ca="1" si="1"/>
        <v/>
      </c>
      <c r="E6" s="488">
        <f t="shared" ca="1" si="2"/>
        <v>859599329680</v>
      </c>
      <c r="F6" s="489">
        <f t="shared" ca="1" si="3"/>
        <v>8753007512</v>
      </c>
      <c r="G6" s="489">
        <f t="shared" ca="1" si="4"/>
        <v>584599329680</v>
      </c>
      <c r="H6" s="506">
        <f t="shared" ca="1" si="5"/>
        <v>2.1258157442909091</v>
      </c>
      <c r="I6" s="490">
        <f t="shared" ca="1" si="6"/>
        <v>0.31991648958401731</v>
      </c>
    </row>
    <row r="7" spans="1:11" ht="17.25" customHeight="1" x14ac:dyDescent="0.25">
      <c r="A7" s="492">
        <v>44482.416666666664</v>
      </c>
      <c r="B7" s="488">
        <v>246146790483</v>
      </c>
      <c r="C7" s="488">
        <f t="shared" ca="1" si="0"/>
        <v>40986616740.371391</v>
      </c>
      <c r="D7" s="488">
        <f ca="1">IFERROR(C7 / $K$4, "")</f>
        <v>2049.3308370185696</v>
      </c>
      <c r="E7" s="488">
        <f t="shared" ca="1" si="2"/>
        <v>865989280248</v>
      </c>
      <c r="F7" s="489">
        <f t="shared" ca="1" si="3"/>
        <v>6389950568</v>
      </c>
      <c r="G7" s="489">
        <f t="shared" ca="1" si="4"/>
        <v>590989280248</v>
      </c>
      <c r="H7" s="506">
        <f t="shared" ca="1" si="5"/>
        <v>2.1490519281745453</v>
      </c>
      <c r="I7" s="490">
        <f t="shared" ca="1" si="6"/>
        <v>0.31755589390349748</v>
      </c>
    </row>
    <row r="8" spans="1:11" ht="17.25" customHeight="1" x14ac:dyDescent="0.25">
      <c r="A8" s="492">
        <v>44482.451388888891</v>
      </c>
      <c r="B8" s="488">
        <v>282009249110</v>
      </c>
      <c r="C8" s="488">
        <f t="shared" ca="1" si="0"/>
        <v>41163715489.369164</v>
      </c>
      <c r="D8" s="488">
        <f t="shared" ref="D8:D32" ca="1" si="7">IFERROR(C8 / $K$4, "")</f>
        <v>2058.185774468458</v>
      </c>
      <c r="E8" s="488">
        <f t="shared" ca="1" si="2"/>
        <v>880188226544</v>
      </c>
      <c r="F8" s="489">
        <f t="shared" ca="1" si="3"/>
        <v>14198946296</v>
      </c>
      <c r="G8" s="489">
        <f t="shared" ca="1" si="4"/>
        <v>605188226544</v>
      </c>
      <c r="H8" s="506">
        <f t="shared" ca="1" si="5"/>
        <v>2.2006844601600002</v>
      </c>
      <c r="I8" s="490">
        <f t="shared" ca="1" si="6"/>
        <v>0.31243317248149188</v>
      </c>
    </row>
    <row r="9" spans="1:11" ht="17.25" customHeight="1" x14ac:dyDescent="0.25">
      <c r="A9" s="492">
        <v>44482.479166666664</v>
      </c>
      <c r="B9" s="488">
        <v>308458672734</v>
      </c>
      <c r="C9" s="488">
        <f t="shared" ca="1" si="0"/>
        <v>42260437278.196404</v>
      </c>
      <c r="D9" s="488">
        <f t="shared" ca="1" si="7"/>
        <v>2113.0218639098202</v>
      </c>
      <c r="E9" s="488">
        <f t="shared" ca="1" si="2"/>
        <v>873465644416</v>
      </c>
      <c r="F9" s="489">
        <f t="shared" ca="1" si="3"/>
        <v>-6722582128</v>
      </c>
      <c r="G9" s="489">
        <f t="shared" ca="1" si="4"/>
        <v>598465644416</v>
      </c>
      <c r="H9" s="506">
        <f t="shared" ca="1" si="5"/>
        <v>2.1762387069672728</v>
      </c>
      <c r="I9" s="490">
        <f t="shared" ca="1" si="6"/>
        <v>0.3148377978665266</v>
      </c>
    </row>
    <row r="10" spans="1:11" ht="17.25" customHeight="1" x14ac:dyDescent="0.25">
      <c r="A10" s="492">
        <v>44482.513888888891</v>
      </c>
      <c r="B10" s="488">
        <v>340142470816</v>
      </c>
      <c r="C10" s="488">
        <f t="shared" ca="1" si="0"/>
        <v>41600891992.812279</v>
      </c>
      <c r="D10" s="488">
        <f t="shared" ca="1" si="7"/>
        <v>2080.0445996406138</v>
      </c>
      <c r="E10" s="488">
        <f t="shared" ca="1" si="2"/>
        <v>856257268528</v>
      </c>
      <c r="F10" s="489">
        <f t="shared" ca="1" si="3"/>
        <v>-17208375888</v>
      </c>
      <c r="G10" s="489">
        <f t="shared" ca="1" si="4"/>
        <v>581257268528</v>
      </c>
      <c r="H10" s="506">
        <f t="shared" ca="1" si="5"/>
        <v>2.1136627946472726</v>
      </c>
      <c r="I10" s="490">
        <f t="shared" ca="1" si="6"/>
        <v>0.32116515690752045</v>
      </c>
    </row>
    <row r="11" spans="1:11" ht="17.25" customHeight="1" x14ac:dyDescent="0.25">
      <c r="A11" s="492">
        <v>44482.520833333336</v>
      </c>
      <c r="B11" s="488">
        <v>347043540249</v>
      </c>
      <c r="C11" s="488">
        <f t="shared" ca="1" si="0"/>
        <v>40471219036.713936</v>
      </c>
      <c r="D11" s="488">
        <f t="shared" ca="1" si="7"/>
        <v>2023.5609518356969</v>
      </c>
      <c r="E11" s="488">
        <f t="shared" ca="1" si="2"/>
        <v>848014928472</v>
      </c>
      <c r="F11" s="489">
        <f t="shared" ca="1" si="3"/>
        <v>-8242340056</v>
      </c>
      <c r="G11" s="489">
        <f t="shared" ca="1" si="4"/>
        <v>573014928472</v>
      </c>
      <c r="H11" s="506">
        <f t="shared" ca="1" si="5"/>
        <v>2.0836906489890907</v>
      </c>
      <c r="I11" s="490">
        <f t="shared" ca="1" si="6"/>
        <v>0.32428674397927187</v>
      </c>
    </row>
    <row r="12" spans="1:11" ht="17.25" customHeight="1" x14ac:dyDescent="0.25">
      <c r="A12" s="492">
        <v>44482.527777777781</v>
      </c>
      <c r="B12" s="488">
        <v>352872917609</v>
      </c>
      <c r="C12" s="488">
        <f t="shared" ca="1" si="0"/>
        <v>40358699904.520653</v>
      </c>
      <c r="D12" s="488">
        <f t="shared" ca="1" si="7"/>
        <v>2017.9349952260327</v>
      </c>
      <c r="E12" s="488">
        <f t="shared" ca="1" si="2"/>
        <v>830235761352</v>
      </c>
      <c r="F12" s="489">
        <f t="shared" ca="1" si="3"/>
        <v>-17779167120</v>
      </c>
      <c r="G12" s="489">
        <f t="shared" ca="1" si="4"/>
        <v>555235761352</v>
      </c>
      <c r="H12" s="506">
        <f t="shared" ca="1" si="5"/>
        <v>2.019039132189091</v>
      </c>
      <c r="I12" s="490">
        <f t="shared" ca="1" si="6"/>
        <v>0.33123121503725084</v>
      </c>
    </row>
    <row r="13" spans="1:11" ht="17.25" customHeight="1" x14ac:dyDescent="0.25">
      <c r="A13" s="492">
        <v>44482.541666666664</v>
      </c>
      <c r="B13" s="488">
        <v>364406651256</v>
      </c>
      <c r="C13" s="488">
        <f t="shared" ca="1" si="0"/>
        <v>38652910089.545494</v>
      </c>
      <c r="D13" s="488">
        <f t="shared" ca="1" si="7"/>
        <v>1932.6455044772747</v>
      </c>
      <c r="E13" s="488">
        <f t="shared" ca="1" si="2"/>
        <v>815842382184</v>
      </c>
      <c r="F13" s="489">
        <f t="shared" ca="1" si="3"/>
        <v>-14393379168</v>
      </c>
      <c r="G13" s="489">
        <f t="shared" ca="1" si="4"/>
        <v>540842382184</v>
      </c>
      <c r="H13" s="506">
        <f t="shared" ca="1" si="5"/>
        <v>1.9666995715781819</v>
      </c>
      <c r="I13" s="490">
        <f t="shared" ca="1" si="6"/>
        <v>0.33707491300443154</v>
      </c>
    </row>
    <row r="14" spans="1:11" ht="17.25" customHeight="1" x14ac:dyDescent="0.25">
      <c r="A14" s="492">
        <v>44482.5625</v>
      </c>
      <c r="B14" s="488">
        <v>380776435950</v>
      </c>
      <c r="C14" s="488">
        <f t="shared" ca="1" si="0"/>
        <v>37298652348</v>
      </c>
      <c r="D14" s="488">
        <f t="shared" ca="1" si="7"/>
        <v>1864.9326174</v>
      </c>
      <c r="E14" s="488">
        <f t="shared" ca="1" si="2"/>
        <v>778122818072</v>
      </c>
      <c r="F14" s="489">
        <f t="shared" ca="1" si="3"/>
        <v>-37719564112</v>
      </c>
      <c r="G14" s="489">
        <f t="shared" ca="1" si="4"/>
        <v>503122818072</v>
      </c>
      <c r="H14" s="506">
        <f t="shared" ca="1" si="5"/>
        <v>1.8295375202618183</v>
      </c>
      <c r="I14" s="490">
        <f t="shared" ca="1" si="6"/>
        <v>0.35341464562288949</v>
      </c>
    </row>
    <row r="15" spans="1:11" ht="17.25" customHeight="1" x14ac:dyDescent="0.25">
      <c r="A15" s="492">
        <v>44482.576388888891</v>
      </c>
      <c r="B15" s="488">
        <v>391749001374</v>
      </c>
      <c r="C15" s="488">
        <f t="shared" ca="1" si="0"/>
        <v>34829112973.15847</v>
      </c>
      <c r="D15" s="488">
        <f t="shared" ca="1" si="7"/>
        <v>1741.4556486579236</v>
      </c>
      <c r="E15" s="488">
        <f t="shared" ca="1" si="2"/>
        <v>765580669156</v>
      </c>
      <c r="F15" s="489">
        <f t="shared" ca="1" si="3"/>
        <v>-12542148916</v>
      </c>
      <c r="G15" s="489">
        <f t="shared" ca="1" si="4"/>
        <v>490580669156</v>
      </c>
      <c r="H15" s="506">
        <f t="shared" ca="1" si="5"/>
        <v>1.7839297060218182</v>
      </c>
      <c r="I15" s="490">
        <f t="shared" ca="1" si="6"/>
        <v>0.35920447195090305</v>
      </c>
    </row>
    <row r="16" spans="1:11" ht="17.25" customHeight="1" x14ac:dyDescent="0.25">
      <c r="A16" s="492">
        <v>44482.590277777781</v>
      </c>
      <c r="B16" s="488">
        <v>402002422265</v>
      </c>
      <c r="C16" s="488">
        <f t="shared" ca="1" si="0"/>
        <v>33529095844.237915</v>
      </c>
      <c r="D16" s="488">
        <f t="shared" ca="1" si="7"/>
        <v>1676.4547922118957</v>
      </c>
      <c r="E16" s="488">
        <f t="shared" ca="1" si="2"/>
        <v>757512628980</v>
      </c>
      <c r="F16" s="489">
        <f t="shared" ca="1" si="3"/>
        <v>-8068040176</v>
      </c>
      <c r="G16" s="489">
        <f t="shared" ca="1" si="4"/>
        <v>482512628980</v>
      </c>
      <c r="H16" s="506">
        <f t="shared" ca="1" si="5"/>
        <v>1.7545913781090909</v>
      </c>
      <c r="I16" s="490">
        <f t="shared" ca="1" si="6"/>
        <v>0.36303025121876953</v>
      </c>
    </row>
    <row r="17" spans="1:9" ht="17.25" customHeight="1" x14ac:dyDescent="0.25">
      <c r="A17" s="492">
        <v>44482.618055555555</v>
      </c>
      <c r="B17" s="488">
        <v>419936002846</v>
      </c>
      <c r="C17" s="488">
        <f t="shared" ca="1" si="0"/>
        <v>32753003104</v>
      </c>
      <c r="D17" s="488">
        <f t="shared" ca="1" si="7"/>
        <v>1637.6501552</v>
      </c>
      <c r="E17" s="488">
        <f t="shared" ca="1" si="2"/>
        <v>729910877868</v>
      </c>
      <c r="F17" s="489">
        <f t="shared" ca="1" si="3"/>
        <v>-27601751112</v>
      </c>
      <c r="G17" s="489">
        <f t="shared" ca="1" si="4"/>
        <v>454910877868</v>
      </c>
      <c r="H17" s="506">
        <f t="shared" ca="1" si="5"/>
        <v>1.6542213740654546</v>
      </c>
      <c r="I17" s="490">
        <f t="shared" ca="1" si="6"/>
        <v>0.37675832534959436</v>
      </c>
    </row>
    <row r="18" spans="1:9" ht="17.25" customHeight="1" x14ac:dyDescent="0.25">
      <c r="A18" s="492">
        <v>44482.631944444445</v>
      </c>
      <c r="B18" s="488">
        <v>428858142114</v>
      </c>
      <c r="C18" s="488">
        <f t="shared" ca="1" si="0"/>
        <v>30288737230.267986</v>
      </c>
      <c r="D18" s="488">
        <f t="shared" ca="1" si="7"/>
        <v>1514.4368615133992</v>
      </c>
      <c r="E18" s="488">
        <f t="shared" ca="1" si="2"/>
        <v>710390319384</v>
      </c>
      <c r="F18" s="489">
        <f t="shared" ca="1" si="3"/>
        <v>-19520558484</v>
      </c>
      <c r="G18" s="489">
        <f t="shared" ca="1" si="4"/>
        <v>435390319384</v>
      </c>
      <c r="H18" s="506">
        <f t="shared" ca="1" si="5"/>
        <v>1.5832375250327273</v>
      </c>
      <c r="I18" s="490">
        <f t="shared" ca="1" si="6"/>
        <v>0.38711113101662264</v>
      </c>
    </row>
    <row r="19" spans="1:9" ht="17.25" customHeight="1" x14ac:dyDescent="0.25">
      <c r="A19" s="492">
        <v>44482.645833333336</v>
      </c>
      <c r="B19" s="488">
        <v>436721110028</v>
      </c>
      <c r="C19" s="488">
        <f t="shared" ca="1" si="0"/>
        <v>28849023698.064152</v>
      </c>
      <c r="D19" s="488">
        <f t="shared" ca="1" si="7"/>
        <v>1442.4511849032076</v>
      </c>
      <c r="E19" s="488">
        <f t="shared" ca="1" si="2"/>
        <v>693872825000</v>
      </c>
      <c r="F19" s="489">
        <f t="shared" ca="1" si="3"/>
        <v>-16517494384</v>
      </c>
      <c r="G19" s="489">
        <f t="shared" ca="1" si="4"/>
        <v>418872825000</v>
      </c>
      <c r="H19" s="506">
        <f t="shared" ca="1" si="5"/>
        <v>1.5231739090909091</v>
      </c>
      <c r="I19" s="490">
        <f t="shared" ca="1" si="6"/>
        <v>0.3963262288013657</v>
      </c>
    </row>
    <row r="20" spans="1:9" ht="17.25" customHeight="1" x14ac:dyDescent="0.25">
      <c r="A20" s="494">
        <v>44482.659722222219</v>
      </c>
      <c r="B20" s="495">
        <v>444645461355</v>
      </c>
      <c r="C20" s="495">
        <f t="shared" ca="1" si="0"/>
        <v>26983265192.085873</v>
      </c>
      <c r="D20" s="488">
        <f t="shared" ca="1" si="7"/>
        <v>1349.1632596042937</v>
      </c>
      <c r="E20" s="488">
        <f ca="1">IFERROR(_xlfn.FORECAST.LINEAR(INT($A20) + IF(HOUR($A20) &gt; 1, 25/24, 0), OFFSET($B20, -4, 0, 5), OFFSET($A20, -4, 0, 5)), "")</f>
        <v>680290148500</v>
      </c>
      <c r="F20" s="496">
        <f t="shared" ca="1" si="3"/>
        <v>-13582676500</v>
      </c>
      <c r="G20" s="496">
        <f t="shared" ca="1" si="4"/>
        <v>405290148500</v>
      </c>
      <c r="H20" s="507">
        <f t="shared" ca="1" si="5"/>
        <v>1.4737823581818181</v>
      </c>
      <c r="I20" s="498">
        <f t="shared" ca="1" si="6"/>
        <v>0.40423928026351535</v>
      </c>
    </row>
    <row r="21" spans="1:9" ht="17.25" customHeight="1" x14ac:dyDescent="0.25">
      <c r="A21" s="499">
        <v>44482.673611111109</v>
      </c>
      <c r="B21" s="493">
        <v>451996868776</v>
      </c>
      <c r="C21" s="493">
        <f t="shared" ca="1" si="0"/>
        <v>25585823456.382862</v>
      </c>
      <c r="D21" s="488">
        <f t="shared" ca="1" si="7"/>
        <v>1279.2911728191432</v>
      </c>
      <c r="E21" s="493">
        <f t="shared" ca="1" si="2"/>
        <v>664172312668</v>
      </c>
      <c r="F21" s="500">
        <f t="shared" ca="1" si="3"/>
        <v>-16117835832</v>
      </c>
      <c r="G21" s="500">
        <f t="shared" ca="1" si="4"/>
        <v>389172312668</v>
      </c>
      <c r="H21" s="497">
        <f t="shared" ca="1" si="5"/>
        <v>1.4151720460654544</v>
      </c>
      <c r="I21" s="498">
        <f t="shared" ca="1" si="6"/>
        <v>0.41404917783356066</v>
      </c>
    </row>
    <row r="22" spans="1:9" ht="17.25" customHeight="1" x14ac:dyDescent="0.25">
      <c r="A22" s="499">
        <v>44482.680555555555</v>
      </c>
      <c r="B22" s="493">
        <v>455943929860</v>
      </c>
      <c r="C22" s="493">
        <f t="shared" ca="1" si="0"/>
        <v>24045649447.849911</v>
      </c>
      <c r="D22" s="493">
        <f t="shared" ca="1" si="7"/>
        <v>1202.2824723924955</v>
      </c>
      <c r="E22" s="493">
        <f t="shared" ca="1" si="2"/>
        <v>656664444688</v>
      </c>
      <c r="F22" s="500">
        <f t="shared" ca="1" si="3"/>
        <v>-7507867980</v>
      </c>
      <c r="G22" s="500">
        <f t="shared" ca="1" si="4"/>
        <v>381664444688</v>
      </c>
      <c r="H22" s="497">
        <f t="shared" ca="1" si="5"/>
        <v>1.3878707079563637</v>
      </c>
      <c r="I22" s="498">
        <f t="shared" ca="1" si="6"/>
        <v>0.41878314293483687</v>
      </c>
    </row>
    <row r="23" spans="1:9" ht="17.25" customHeight="1" x14ac:dyDescent="0.25">
      <c r="A23" s="499">
        <v>44482.701388888891</v>
      </c>
      <c r="B23" s="493">
        <v>468427692748</v>
      </c>
      <c r="C23" s="493">
        <f ca="1">IFERROR(IF($B23 &gt; OFFSET($B23, -4, 0), ($B22 - OFFSET($B22, -4, 0)) / ($A22 - OFFSET($A22, -4, 0)) / 24, ""), "")</f>
        <v>23216389497.343643</v>
      </c>
      <c r="D23" s="493">
        <f t="shared" ca="1" si="7"/>
        <v>1160.8194748671822</v>
      </c>
      <c r="E23" s="493">
        <f t="shared" ca="1" si="2"/>
        <v>661204671544</v>
      </c>
      <c r="F23" s="500">
        <f t="shared" ca="1" si="3"/>
        <v>4540226856</v>
      </c>
      <c r="G23" s="500">
        <f t="shared" ca="1" si="4"/>
        <v>386204671544</v>
      </c>
      <c r="H23" s="497">
        <f t="shared" ca="1" si="5"/>
        <v>1.4043806237963636</v>
      </c>
      <c r="I23" s="498">
        <f t="shared" ca="1" si="6"/>
        <v>0.41590752732862396</v>
      </c>
    </row>
    <row r="24" spans="1:9" ht="17.25" customHeight="1" x14ac:dyDescent="0.25">
      <c r="A24" s="499">
        <v>44482.715277777781</v>
      </c>
      <c r="B24" s="493">
        <v>476649161768</v>
      </c>
      <c r="C24" s="493">
        <f t="shared" ref="C24:C31" ca="1" si="8">IFERROR(IF($B24 &gt; OFFSET($B24, -4, 0), ($B23 - OFFSET($B23, -4, 0)) / ($A23 - OFFSET($A23, -4, 0)) / 24, ""), "")</f>
        <v>23779937040.346043</v>
      </c>
      <c r="D24" s="493">
        <f t="shared" ca="1" si="7"/>
        <v>1188.9968520173022</v>
      </c>
      <c r="E24" s="493">
        <f t="shared" ca="1" si="2"/>
        <v>665920252856</v>
      </c>
      <c r="F24" s="500">
        <f t="shared" ca="1" si="3"/>
        <v>4715581312</v>
      </c>
      <c r="G24" s="500">
        <f t="shared" ca="1" si="4"/>
        <v>390920252856</v>
      </c>
      <c r="H24" s="497">
        <f t="shared" ca="1" si="5"/>
        <v>1.4215281922036365</v>
      </c>
      <c r="I24" s="498">
        <f t="shared" ca="1" si="6"/>
        <v>0.41296236121454405</v>
      </c>
    </row>
    <row r="25" spans="1:9" ht="17.25" customHeight="1" x14ac:dyDescent="0.25">
      <c r="A25" s="499">
        <v>44482.729166666664</v>
      </c>
      <c r="B25" s="493">
        <v>484297875940</v>
      </c>
      <c r="C25" s="493">
        <f t="shared" ca="1" si="8"/>
        <v>24002775306.955708</v>
      </c>
      <c r="D25" s="493">
        <f t="shared" ca="1" si="7"/>
        <v>1200.1387653477855</v>
      </c>
      <c r="E25" s="493">
        <f t="shared" ca="1" si="2"/>
        <v>667484902396</v>
      </c>
      <c r="F25" s="500">
        <f t="shared" ca="1" si="3"/>
        <v>1564649540</v>
      </c>
      <c r="G25" s="500">
        <f t="shared" ca="1" si="4"/>
        <v>392484902396</v>
      </c>
      <c r="H25" s="497">
        <f t="shared" ca="1" si="5"/>
        <v>1.4272178268945455</v>
      </c>
      <c r="I25" s="498">
        <f t="shared" ca="1" si="6"/>
        <v>0.41199433726944468</v>
      </c>
    </row>
    <row r="26" spans="1:9" ht="17.25" customHeight="1" x14ac:dyDescent="0.25">
      <c r="A26" s="499">
        <v>44482.75</v>
      </c>
      <c r="B26" s="493">
        <v>496960977077</v>
      </c>
      <c r="C26" s="493">
        <f t="shared" ca="1" si="8"/>
        <v>24225755373.352528</v>
      </c>
      <c r="D26" s="493">
        <f t="shared" ca="1" si="7"/>
        <v>1211.2877686676263</v>
      </c>
      <c r="E26" s="493">
        <f t="shared" ca="1" si="2"/>
        <v>668366329484</v>
      </c>
      <c r="F26" s="500">
        <f t="shared" ca="1" si="3"/>
        <v>881427088</v>
      </c>
      <c r="G26" s="500">
        <f t="shared" ca="1" si="4"/>
        <v>393366329484</v>
      </c>
      <c r="H26" s="497">
        <f t="shared" ca="1" si="5"/>
        <v>1.4304230163054545</v>
      </c>
      <c r="I26" s="498">
        <f t="shared" ca="1" si="6"/>
        <v>0.41145100803074375</v>
      </c>
    </row>
    <row r="27" spans="1:9" ht="17.25" customHeight="1" x14ac:dyDescent="0.25">
      <c r="A27" s="499">
        <v>44482.770833333336</v>
      </c>
      <c r="B27" s="493">
        <v>505874852922</v>
      </c>
      <c r="C27" s="493">
        <f t="shared" ca="1" si="8"/>
        <v>24610228329.913498</v>
      </c>
      <c r="D27" s="493">
        <f t="shared" ca="1" si="7"/>
        <v>1230.5114164956749</v>
      </c>
      <c r="E27" s="493">
        <f t="shared" ca="1" si="2"/>
        <v>654906824708</v>
      </c>
      <c r="F27" s="500">
        <f t="shared" ca="1" si="3"/>
        <v>-13459504776</v>
      </c>
      <c r="G27" s="500">
        <f t="shared" ca="1" si="4"/>
        <v>379906824708</v>
      </c>
      <c r="H27" s="497">
        <f t="shared" ca="1" si="5"/>
        <v>1.3814793625745454</v>
      </c>
      <c r="I27" s="498">
        <f t="shared" ca="1" si="6"/>
        <v>0.41990706101224839</v>
      </c>
    </row>
    <row r="28" spans="1:9" ht="17.25" customHeight="1" x14ac:dyDescent="0.25">
      <c r="A28" s="499">
        <v>44482.784722222219</v>
      </c>
      <c r="B28" s="493">
        <v>520577543498</v>
      </c>
      <c r="C28" s="493">
        <f t="shared" ca="1" si="8"/>
        <v>22468296104.138435</v>
      </c>
      <c r="D28" s="493">
        <f t="shared" ca="1" si="7"/>
        <v>1123.4148052069218</v>
      </c>
      <c r="E28" s="493">
        <f t="shared" ca="1" si="2"/>
        <v>672514130232</v>
      </c>
      <c r="F28" s="500">
        <f t="shared" ca="1" si="3"/>
        <v>17607305524</v>
      </c>
      <c r="G28" s="500">
        <f t="shared" ca="1" si="4"/>
        <v>397514130232</v>
      </c>
      <c r="H28" s="497">
        <f t="shared" ca="1" si="5"/>
        <v>1.4455059281163636</v>
      </c>
      <c r="I28" s="498">
        <f t="shared" ca="1" si="6"/>
        <v>0.40891334120389727</v>
      </c>
    </row>
    <row r="29" spans="1:9" ht="17.25" customHeight="1" x14ac:dyDescent="0.25">
      <c r="A29" s="499">
        <v>44482.819444444445</v>
      </c>
      <c r="B29" s="493">
        <v>545113354895</v>
      </c>
      <c r="C29" s="493">
        <f t="shared" ca="1" si="8"/>
        <v>26357029040.454693</v>
      </c>
      <c r="D29" s="493">
        <f t="shared" ca="1" si="7"/>
        <v>1317.8514520227347</v>
      </c>
      <c r="E29" s="493">
        <f t="shared" ca="1" si="2"/>
        <v>693736930980</v>
      </c>
      <c r="F29" s="500">
        <f t="shared" ca="1" si="3"/>
        <v>21222800748</v>
      </c>
      <c r="G29" s="500">
        <f t="shared" ca="1" si="4"/>
        <v>418736930980</v>
      </c>
      <c r="H29" s="497">
        <f t="shared" ca="1" si="5"/>
        <v>1.5226797490181818</v>
      </c>
      <c r="I29" s="498">
        <f t="shared" ca="1" si="6"/>
        <v>0.39640386394237975</v>
      </c>
    </row>
    <row r="30" spans="1:9" ht="17.25" customHeight="1" x14ac:dyDescent="0.25">
      <c r="A30" s="499">
        <v>44483</v>
      </c>
      <c r="B30" s="493">
        <v>678208049405</v>
      </c>
      <c r="C30" s="493">
        <f t="shared" ca="1" si="8"/>
        <v>28068682593.609959</v>
      </c>
      <c r="D30" s="493">
        <f t="shared" ca="1" si="7"/>
        <v>1403.434129680498</v>
      </c>
      <c r="E30" s="493">
        <f ca="1">IFERROR(_xlfn.FORECAST.LINEAR(INT($A30) + IF(HOUR($A30) &gt; 1, 25/24, 0), OFFSET($B30, -4, 0, 5), OFFSET($A30, -4, 0, 5)), "")</f>
        <v>677977659496</v>
      </c>
      <c r="F30" s="500">
        <f t="shared" ca="1" si="3"/>
        <v>-15759271484</v>
      </c>
      <c r="G30" s="500">
        <f t="shared" ca="1" si="4"/>
        <v>402977659496</v>
      </c>
      <c r="H30" s="497">
        <f t="shared" ca="1" si="5"/>
        <v>1.4653733072581818</v>
      </c>
      <c r="I30" s="498">
        <f t="shared" ca="1" si="6"/>
        <v>0.40561808512161224</v>
      </c>
    </row>
    <row r="31" spans="1:9" ht="17.25" customHeight="1" x14ac:dyDescent="0.25">
      <c r="A31" s="499">
        <v>44483.020833333336</v>
      </c>
      <c r="B31" s="493">
        <v>690209200816</v>
      </c>
      <c r="C31" s="493">
        <f t="shared" ca="1" si="8"/>
        <v>30207845388</v>
      </c>
      <c r="D31" s="493">
        <f t="shared" ca="1" si="7"/>
        <v>1510.3922694</v>
      </c>
      <c r="E31" s="493">
        <f ca="1">IFERROR(_xlfn.FORECAST.LINEAR(INT($A31) + IF(HOUR($A31) &gt; 1, 25/24, 0), OFFSET($B31, -4, 0, 5), OFFSET($A31, -4, 0, 5)), "")</f>
        <v>676643852652</v>
      </c>
      <c r="F31" s="500">
        <f t="shared" ca="1" si="3"/>
        <v>-1333806844</v>
      </c>
      <c r="G31" s="500">
        <f t="shared" ca="1" si="4"/>
        <v>401643852652</v>
      </c>
      <c r="H31" s="497">
        <f t="shared" ca="1" si="5"/>
        <v>1.4605231005527273</v>
      </c>
      <c r="I31" s="498">
        <f t="shared" ca="1" si="6"/>
        <v>0.40641764337646813</v>
      </c>
    </row>
    <row r="32" spans="1:9" ht="17.25" customHeight="1" x14ac:dyDescent="0.25">
      <c r="A32" s="499">
        <v>44483.040972222225</v>
      </c>
      <c r="B32" s="493">
        <v>700957702276</v>
      </c>
      <c r="C32" s="493">
        <f t="shared" ref="C32" ca="1" si="9">IFERROR(IF($B32 &gt; OFFSET($B32, -4, 0), ($B31 - OFFSET($B31, -4, 0)) / ($A31 - OFFSET($A31, -4, 0)) / 24, ""), "")</f>
        <v>30722391315.666668</v>
      </c>
      <c r="D32" s="493">
        <f t="shared" ca="1" si="7"/>
        <v>1536.1195657833334</v>
      </c>
      <c r="E32" s="493">
        <f ca="1">IFERROR(_xlfn.FORECAST.LINEAR(INT($A32) + IF(HOUR($A32) &gt; 1, 25/24, 0), OFFSET($B32, -4, 0, 5), OFFSET($A32, -4, 0, 5)), "")</f>
        <v>674831386588</v>
      </c>
      <c r="F32" s="500">
        <f t="shared" ca="1" si="3"/>
        <v>-1812466064</v>
      </c>
      <c r="G32" s="500">
        <f t="shared" ca="1" si="4"/>
        <v>399831386588</v>
      </c>
      <c r="H32" s="497">
        <f t="shared" ca="1" si="5"/>
        <v>1.4539323148654546</v>
      </c>
      <c r="I32" s="498">
        <f t="shared" ca="1" si="6"/>
        <v>0.40750920224742565</v>
      </c>
    </row>
    <row r="33" spans="1:9" ht="17.25" customHeight="1" x14ac:dyDescent="0.25">
      <c r="A33" s="499">
        <v>44483.041666666664</v>
      </c>
      <c r="B33" s="493">
        <v>0</v>
      </c>
      <c r="C33" s="493" t="str">
        <f ca="1">IFERROR(IF($B33 &gt; OFFSET($B33, -4, 0), ($B33 - OFFSET($B33, -4, 0)) / ($A33 - OFFSET($A33, -4, 0)) / 24, ""), "")</f>
        <v/>
      </c>
      <c r="D33" s="493" t="str">
        <f ca="1">IFERROR(C33 / $K$4, "")</f>
        <v/>
      </c>
      <c r="E33" s="493" t="str">
        <f ca="1">IFERROR(IF($B33 &gt; OFFSET($B33, -4, 0), _xlfn.FORECAST.LINEAR(INT($A33) + IF(HOUR($A33) &gt; 1, 25/24, 0), OFFSET($B33, -4, 0, 5), OFFSET($A33, -4, 0, 5)), ""), "")</f>
        <v/>
      </c>
      <c r="F33" s="500" t="str">
        <f t="shared" ca="1" si="3"/>
        <v/>
      </c>
      <c r="G33" s="500" t="str">
        <f t="shared" ca="1" si="4"/>
        <v/>
      </c>
      <c r="H33" s="497" t="str">
        <f t="shared" ca="1" si="5"/>
        <v/>
      </c>
      <c r="I33" s="498" t="str">
        <f t="shared" ca="1" si="6"/>
        <v/>
      </c>
    </row>
    <row r="34" spans="1:9" ht="17.25" customHeight="1" x14ac:dyDescent="0.25">
      <c r="A34" s="499">
        <v>44483.055555555555</v>
      </c>
      <c r="B34" s="493">
        <v>17834854949</v>
      </c>
      <c r="C34" s="493" t="str">
        <f t="shared" ref="C34:C45" ca="1" si="10">IFERROR(IF($B34 &gt; OFFSET($B34, -4, 0), ($B34 - OFFSET($B34, -4, 0)) / ($A34 - OFFSET($A34, -4, 0)) / 24, ""), "")</f>
        <v/>
      </c>
      <c r="D34" s="493" t="str">
        <f t="shared" ref="D34:D45" ca="1" si="11">IFERROR(C34 / $K$4, "")</f>
        <v/>
      </c>
      <c r="E34" s="493" t="str">
        <f t="shared" ref="E34:E45" ca="1" si="12">IFERROR(IF($B34 &gt; OFFSET($B34, -4, 0), _xlfn.FORECAST.LINEAR(INT($A34) + IF(HOUR($A34) &gt; 1, 25/24, 0), OFFSET($B34, -4, 0, 5), OFFSET($A34, -4, 0, 5)), ""), "")</f>
        <v/>
      </c>
      <c r="F34" s="500" t="str">
        <f t="shared" ca="1" si="3"/>
        <v/>
      </c>
      <c r="G34" s="500" t="str">
        <f t="shared" ca="1" si="4"/>
        <v/>
      </c>
      <c r="H34" s="497" t="str">
        <f t="shared" ca="1" si="5"/>
        <v/>
      </c>
      <c r="I34" s="498" t="str">
        <f t="shared" ca="1" si="6"/>
        <v/>
      </c>
    </row>
    <row r="35" spans="1:9" ht="17.25" customHeight="1" x14ac:dyDescent="0.25">
      <c r="A35" s="499">
        <v>44483.069444444445</v>
      </c>
      <c r="B35" s="493">
        <v>48782289567</v>
      </c>
      <c r="C35" s="493" t="str">
        <f t="shared" ca="1" si="10"/>
        <v/>
      </c>
      <c r="D35" s="493" t="str">
        <f t="shared" ca="1" si="11"/>
        <v/>
      </c>
      <c r="E35" s="493" t="str">
        <f t="shared" ca="1" si="12"/>
        <v/>
      </c>
      <c r="F35" s="500" t="str">
        <f t="shared" ca="1" si="3"/>
        <v/>
      </c>
      <c r="G35" s="500" t="str">
        <f t="shared" ca="1" si="4"/>
        <v/>
      </c>
      <c r="H35" s="497" t="str">
        <f t="shared" ca="1" si="5"/>
        <v/>
      </c>
      <c r="I35" s="498" t="str">
        <f t="shared" ca="1" si="6"/>
        <v/>
      </c>
    </row>
    <row r="36" spans="1:9" ht="17.25" customHeight="1" x14ac:dyDescent="0.25">
      <c r="A36" s="499">
        <v>44483.083333333336</v>
      </c>
      <c r="B36" s="493">
        <v>73162710536</v>
      </c>
      <c r="C36" s="493" t="str">
        <f t="shared" ca="1" si="10"/>
        <v/>
      </c>
      <c r="D36" s="493" t="str">
        <f t="shared" ca="1" si="11"/>
        <v/>
      </c>
      <c r="E36" s="493" t="str">
        <f t="shared" ca="1" si="12"/>
        <v/>
      </c>
      <c r="F36" s="500" t="str">
        <f t="shared" ca="1" si="3"/>
        <v/>
      </c>
      <c r="G36" s="500" t="str">
        <f t="shared" ca="1" si="4"/>
        <v/>
      </c>
      <c r="H36" s="497" t="str">
        <f t="shared" ca="1" si="5"/>
        <v/>
      </c>
      <c r="I36" s="498" t="str">
        <f t="shared" ca="1" si="6"/>
        <v/>
      </c>
    </row>
    <row r="37" spans="1:9" ht="17.25" customHeight="1" x14ac:dyDescent="0.25">
      <c r="A37" s="499">
        <v>44483.097222222219</v>
      </c>
      <c r="B37" s="493">
        <v>91526200709</v>
      </c>
      <c r="C37" s="493">
        <f t="shared" ca="1" si="10"/>
        <v>68644650532.748909</v>
      </c>
      <c r="D37" s="493">
        <f t="shared" ca="1" si="11"/>
        <v>3432.2325266374455</v>
      </c>
      <c r="E37" s="493">
        <f t="shared" ca="1" si="12"/>
        <v>1714923010176</v>
      </c>
      <c r="F37" s="500" t="str">
        <f t="shared" ca="1" si="3"/>
        <v/>
      </c>
      <c r="G37" s="500">
        <f t="shared" ca="1" si="4"/>
        <v>1439923010176</v>
      </c>
      <c r="H37" s="497">
        <f t="shared" ca="1" si="5"/>
        <v>5.2360836733672729</v>
      </c>
      <c r="I37" s="498">
        <f t="shared" ca="1" si="6"/>
        <v>0.16035705298034175</v>
      </c>
    </row>
    <row r="38" spans="1:9" ht="17.25" customHeight="1" x14ac:dyDescent="0.25">
      <c r="A38" s="499">
        <v>44483.104166666664</v>
      </c>
      <c r="B38" s="493">
        <v>99528132473</v>
      </c>
      <c r="C38" s="493">
        <f t="shared" ca="1" si="10"/>
        <v>70022809308.614777</v>
      </c>
      <c r="D38" s="493">
        <f t="shared" ca="1" si="11"/>
        <v>3501.1404654307389</v>
      </c>
      <c r="E38" s="493">
        <f t="shared" ca="1" si="12"/>
        <v>1662628115488</v>
      </c>
      <c r="F38" s="500">
        <f t="shared" ca="1" si="3"/>
        <v>-52294894688</v>
      </c>
      <c r="G38" s="500">
        <f t="shared" ca="1" si="4"/>
        <v>1387628115488</v>
      </c>
      <c r="H38" s="497">
        <f t="shared" ca="1" si="5"/>
        <v>5.0459204199563636</v>
      </c>
      <c r="I38" s="498">
        <f t="shared" ca="1" si="6"/>
        <v>0.16540078772773814</v>
      </c>
    </row>
    <row r="39" spans="1:9" ht="17.25" customHeight="1" x14ac:dyDescent="0.25">
      <c r="A39" s="499">
        <v>44483.131944444445</v>
      </c>
      <c r="B39" s="493">
        <v>134046769901</v>
      </c>
      <c r="C39" s="493">
        <f t="shared" ca="1" si="10"/>
        <v>56842986889.333336</v>
      </c>
      <c r="D39" s="493">
        <f t="shared" ca="1" si="11"/>
        <v>2842.1493444666667</v>
      </c>
      <c r="E39" s="493">
        <f t="shared" ca="1" si="12"/>
        <v>1355709367592</v>
      </c>
      <c r="F39" s="500">
        <f t="shared" ca="1" si="3"/>
        <v>-306918747896</v>
      </c>
      <c r="G39" s="500">
        <f t="shared" ca="1" si="4"/>
        <v>1080709367592</v>
      </c>
      <c r="H39" s="497">
        <f t="shared" ca="1" si="5"/>
        <v>3.9298522457890908</v>
      </c>
      <c r="I39" s="498">
        <f t="shared" ca="1" si="6"/>
        <v>0.20284583596884986</v>
      </c>
    </row>
    <row r="40" spans="1:9" ht="17.25" customHeight="1" x14ac:dyDescent="0.25">
      <c r="A40" s="499">
        <v>44483.145833333336</v>
      </c>
      <c r="B40" s="493">
        <v>150080709463</v>
      </c>
      <c r="C40" s="493">
        <f t="shared" ca="1" si="10"/>
        <v>51278665951.333336</v>
      </c>
      <c r="D40" s="493">
        <f t="shared" ca="1" si="11"/>
        <v>2563.9332975666666</v>
      </c>
      <c r="E40" s="493">
        <f t="shared" ca="1" si="12"/>
        <v>1251470191392</v>
      </c>
      <c r="F40" s="500">
        <f t="shared" ca="1" si="3"/>
        <v>-104239176200</v>
      </c>
      <c r="G40" s="500">
        <f t="shared" ca="1" si="4"/>
        <v>976470191392</v>
      </c>
      <c r="H40" s="497">
        <f t="shared" ca="1" si="5"/>
        <v>3.5508006959709091</v>
      </c>
      <c r="I40" s="498">
        <f t="shared" ca="1" si="6"/>
        <v>0.21974155029143744</v>
      </c>
    </row>
    <row r="41" spans="1:9" ht="17.25" customHeight="1" x14ac:dyDescent="0.25">
      <c r="A41" s="499">
        <v>44483.166666666664</v>
      </c>
      <c r="B41" s="493">
        <v>169783845036</v>
      </c>
      <c r="C41" s="493">
        <f t="shared" ca="1" si="10"/>
        <v>46954586595.653381</v>
      </c>
      <c r="D41" s="493">
        <f t="shared" ca="1" si="11"/>
        <v>2347.7293297826691</v>
      </c>
      <c r="E41" s="493">
        <f t="shared" ca="1" si="12"/>
        <v>1175870173456</v>
      </c>
      <c r="F41" s="500">
        <f t="shared" ca="1" si="3"/>
        <v>-75600017936</v>
      </c>
      <c r="G41" s="500">
        <f t="shared" ca="1" si="4"/>
        <v>900870173456</v>
      </c>
      <c r="H41" s="497">
        <f t="shared" ca="1" si="5"/>
        <v>3.2758915398399999</v>
      </c>
      <c r="I41" s="498">
        <f t="shared" ca="1" si="6"/>
        <v>0.23386935582501214</v>
      </c>
    </row>
    <row r="42" spans="1:9" ht="17.25" customHeight="1" x14ac:dyDescent="0.25">
      <c r="A42" s="499">
        <v>44483.208333333336</v>
      </c>
      <c r="B42" s="493">
        <v>205647512307</v>
      </c>
      <c r="C42" s="493">
        <f t="shared" ca="1" si="10"/>
        <v>42447751931.623375</v>
      </c>
      <c r="D42" s="493">
        <f t="shared" ca="1" si="11"/>
        <v>2122.387596581169</v>
      </c>
      <c r="E42" s="493">
        <f t="shared" ca="1" si="12"/>
        <v>1049265151216</v>
      </c>
      <c r="F42" s="500">
        <f t="shared" ca="1" si="3"/>
        <v>-126605022240</v>
      </c>
      <c r="G42" s="500">
        <f t="shared" ca="1" si="4"/>
        <v>774265151216</v>
      </c>
      <c r="H42" s="497">
        <f t="shared" ca="1" si="5"/>
        <v>2.8155096407854545</v>
      </c>
      <c r="I42" s="498">
        <f t="shared" ca="1" si="6"/>
        <v>0.26208818589019256</v>
      </c>
    </row>
    <row r="43" spans="1:9" ht="17.25" customHeight="1" x14ac:dyDescent="0.25">
      <c r="A43" s="499">
        <v>44483.236111111109</v>
      </c>
      <c r="B43" s="493">
        <v>227935399233</v>
      </c>
      <c r="C43" s="493">
        <f t="shared" ca="1" si="10"/>
        <v>37555451733.674408</v>
      </c>
      <c r="D43" s="493">
        <f t="shared" ca="1" si="11"/>
        <v>1877.7725866837204</v>
      </c>
      <c r="E43" s="493">
        <f t="shared" ca="1" si="12"/>
        <v>947300853952</v>
      </c>
      <c r="F43" s="500">
        <f t="shared" ca="1" si="3"/>
        <v>-101964297264</v>
      </c>
      <c r="G43" s="500">
        <f t="shared" ca="1" si="4"/>
        <v>672300853952</v>
      </c>
      <c r="H43" s="497">
        <f t="shared" ca="1" si="5"/>
        <v>2.4447303780072729</v>
      </c>
      <c r="I43" s="498">
        <f t="shared" ca="1" si="6"/>
        <v>0.29029848210601772</v>
      </c>
    </row>
    <row r="44" spans="1:9" ht="17.25" customHeight="1" x14ac:dyDescent="0.25">
      <c r="A44" s="499">
        <v>44483.291666666664</v>
      </c>
      <c r="B44" s="493">
        <v>272900463075</v>
      </c>
      <c r="C44" s="493">
        <f t="shared" ca="1" si="10"/>
        <v>35091358176.02433</v>
      </c>
      <c r="D44" s="493">
        <f t="shared" ca="1" si="11"/>
        <v>1754.5679088012166</v>
      </c>
      <c r="E44" s="493">
        <f t="shared" ca="1" si="12"/>
        <v>902883039208</v>
      </c>
      <c r="F44" s="500">
        <f t="shared" ca="1" si="3"/>
        <v>-44417814744</v>
      </c>
      <c r="G44" s="500">
        <f t="shared" ca="1" si="4"/>
        <v>627883039208</v>
      </c>
      <c r="H44" s="497">
        <f t="shared" ca="1" si="5"/>
        <v>2.2832110516654547</v>
      </c>
      <c r="I44" s="498">
        <f t="shared" ca="1" si="6"/>
        <v>0.30457987143188253</v>
      </c>
    </row>
    <row r="45" spans="1:9" ht="17.25" customHeight="1" x14ac:dyDescent="0.25">
      <c r="A45" s="499">
        <v>44483.347222222219</v>
      </c>
      <c r="B45" s="493">
        <v>315340934860</v>
      </c>
      <c r="C45" s="493">
        <f t="shared" ca="1" si="10"/>
        <v>33590097651.842709</v>
      </c>
      <c r="D45" s="493">
        <f t="shared" ca="1" si="11"/>
        <v>1679.5048825921353</v>
      </c>
      <c r="E45" s="493">
        <f t="shared" ca="1" si="12"/>
        <v>875464850448</v>
      </c>
      <c r="F45" s="500">
        <f t="shared" ca="1" si="3"/>
        <v>-27418188760</v>
      </c>
      <c r="G45" s="500">
        <f t="shared" ca="1" si="4"/>
        <v>600464850448</v>
      </c>
      <c r="H45" s="497">
        <f t="shared" ca="1" si="5"/>
        <v>2.1835085470836364</v>
      </c>
      <c r="I45" s="498">
        <f t="shared" ca="1" si="6"/>
        <v>0.31411883624942194</v>
      </c>
    </row>
  </sheetData>
  <conditionalFormatting sqref="F1:H1048576">
    <cfRule type="cellIs" dxfId="4" priority="3" operator="greaterThan">
      <formula>0</formula>
    </cfRule>
    <cfRule type="cellIs" dxfId="3" priority="4" operator="lessThan">
      <formula>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3F0304"/>
        <color rgb="FF423700"/>
        <color rgb="FF132F1A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144" activePane="bottomLeft" state="frozen"/>
      <selection pane="bottomLeft" activeCell="E13" sqref="E13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47" t="str">
        <f>B1&amp; " 時"</f>
        <v>6 時</v>
      </c>
      <c r="G1" s="648"/>
      <c r="H1" s="648"/>
      <c r="I1" s="647" t="str">
        <f>C1&amp; " 時"</f>
        <v>24 時</v>
      </c>
      <c r="J1" s="648"/>
      <c r="K1" s="649"/>
      <c r="L1" s="647" t="str">
        <f>D1&amp; " 時"</f>
        <v>72 時</v>
      </c>
      <c r="M1" s="648"/>
      <c r="N1" s="648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-167 D 11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-159 D 16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-157 D 08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-161 D 22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-167 D 16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-169 D 10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-168 D 17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-165 D 14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304 D 12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-123 D 18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008 D 18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010 D 17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-066 D 03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029 D 23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081 D 04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-014 D 05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-085 D 20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-023 D 23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-085 D 19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-114 D 04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-101 D 02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-045 D 21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020 D 10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-059 D 12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-057 D 05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-030 D 05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-066 D 07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-060 D 16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-140 D 11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-072 D 08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-071 D 09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-148 D 05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-096 D 21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-080 D 05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-034 D 06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-125 D 07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-083 D 11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-105 D 17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-096 D 12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-095 D 23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-018 D 21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-070 D 13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-096 D 04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-137 D 12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-100 D 11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-098 D 16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-134 D 10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-103 D 18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-101 D 15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-096 D 21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-106 D 23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-102 D 00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-099 D 04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-107 D 07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-102 D 11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-154 D 01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-141 D 12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-110 D 21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-186 D 11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-167 D 18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-128 D 15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-163 D 07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-175 D 06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-139 D 07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-167 D 08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-175 D 21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-144 D 21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-159 D 02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-170 D 04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-158 D 22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-163 D 02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-164 D 19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-161 D 00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-166 D 06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-166 D 11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-162 D 13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-179 D 12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-168 D 06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-167 D 01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-181 D 02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-171 D 18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-168 D 02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-187 D 03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-179 D 06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-172 D 23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-186 D 22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-180 D 23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-174 D 03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-186 D 18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-185 D 10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-176 D 07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-186 D 16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-185 D 12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-176 D 19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-184 D 03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-186 D 03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-178 D 04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-183 D 18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-185 D 23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-178 D 13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-185 D 05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-185 D 16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-179 D 00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-185 D 09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-185 D 12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-180 D 09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-185 D 01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-184 D 20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-181 D 02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-185 D 01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-184 D 23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-182 D 00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-144 D 19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-182 D 06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-181 D 17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-155 D 06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-180 D 08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-182 D 08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-168 D 10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-174 D 09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-182 D 09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-167 D 12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-173 D 08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-182 D 02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-183 D 15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-175 D 11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-181 D 21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-183 D 15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-176 D 07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-181 D 23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-183 D 13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-177 D 07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-181 D 20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-183 D 12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-177 D 19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-181 D 17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-182 D 16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-177 D 20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-181 D 08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-181 D 09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-180 D 20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-181 D 01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-186 D 16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-183 D 15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-180 D 19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-186 D 11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-184 D 01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-180 D 23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-182 D 11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-184 D 06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-180 D 14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-182 D 03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-183 D 21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-180 D 17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-188 D 12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-184 D 23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-181 D 22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-187 D 20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-185 D 13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-182 D 13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-185 D 20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-185 D 17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-183 D 06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-185 D 19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-186 D 21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-183 D 22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-185 D 21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-186 D 22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-184 D 14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-179 D 08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-183 D 01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-184 D 17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-184 D 18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-182 D 23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-184 D 12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-184 D 05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-184 D 15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-184 D 08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-183 D 23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-184 D 11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-184 D 04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-184 D 22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-184 D 10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-184 D 01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-184 D 18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-184 D 19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-184 D 01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-185 D 03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-185 D 01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-184 D 07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-175 D 03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-177 D 12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-183 D 10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-174 D 18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-176 D 23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-182 D 21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-175 D 09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-175 D 09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-182 D 16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-182 D 17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-176 D 09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-182 D 14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-186 D 01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-178 D 04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-182 D 04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-175 D 01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-178 D 17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-181 D 07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-174 D 17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-178 D 20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-181 D 03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-178 D 04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-181 D 05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-181 D 04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-185 D 09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-181 D 08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-181 D 06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-186 D 00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-181 D 21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-180 D 22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-183 D 02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-184 D 06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-181 D 08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-182 D 12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-183 D 21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-181 D 11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-185 D 06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-183 D 13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-182 D 02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-185 D 03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-183 D 20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-182 D 10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-176 D 03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-183 D 02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-182 D 10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-184 D 05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-182 D 16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-183 D 04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-184 D 07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-182 D 21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-183 D 05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-172 D 08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-180 D 00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-182 D 15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-184 D 03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-179 D 21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-181 D 23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-184 D 08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-184 D 05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-182 D 01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-185 D 01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-184 D 11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-182 D 09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-167 D 16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-182 D 11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-182 D 02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-184 D 14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-181 D 14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-182 D 10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-184 D 08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-181 D 20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-182 D 12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-183 D 16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-184 D 01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-183 D 01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-183 D 21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-184 D 01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-183 D 03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-183 D 20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-184 D 00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-183 D 03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-184 D 23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-184 D 19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-183 D 12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-184 D 23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-184 D 20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-183 D 18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-185 D 09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-185 D 01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-183 D 23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-185 D 14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-185 D 03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-184 D 07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-185 D 13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-185 D 05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-184 D 19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-185 D 09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-185 D 09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-185 D 05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-185 D 05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-185 D 05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-185 D 05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-185 D 04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-185 D 04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-185 D 05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-185 D 04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-185 D 04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-185 D 05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-185 D 04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-185 D 04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-185 D 05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-185 D 05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-185 D 05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-185 D 05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-185 D 06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-185 D 06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-185 D 07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-185 D 21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-185 D 07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-185 D 08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-186 D 13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-185 D 10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-185 D 09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-186 D 09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-185 D 12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-185 D 10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-186 D 07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-185 D 17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-185 D 12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-186 D 03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-185 D 19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-185 D 13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-186 D 20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-186 D 11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-185 D 21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-186 D 20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-186 D 13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-185 D 23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-186 D 12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-186 D 14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-186 D 03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-183 D 01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-185 D 19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-186 D 00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-183 D 07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-185 D 15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-185 D 23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-183 D 13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-185 D 13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-185 D 23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-183 D 16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-185 D 12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-185 D 22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-183 D 22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-185 D 13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-185 D 22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-186 D 14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-185 D 16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-185 D 23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-186 D 14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-185 D 11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-186 D 00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-186 D 13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-185 D 17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-186 D 01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-186 D 10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-186 D 05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-186 D 03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-186 D 10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-186 D 11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-186 D 04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-186 D 09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-186 D 10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-186 D 04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-186 D 14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-186 D 11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-186 D 06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-186 D 15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-186 D 11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-186 D 07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-186 D 14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-186 D 12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-186 D 08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-185 D 19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-186 D 05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-186 D 06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-185 D 20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-186 D 05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-186 D 06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-186 D 01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-186 D 04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-186 D 06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-186 D 07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-186 D 04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-186 D 06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-186 D 07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-186 D 04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-186 D 06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-186 D 07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-186 D 04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-186 D 06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-186 D 09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-186 D 05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-186 D 07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-186 D 10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-186 D 06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-186 D 07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-186 D 10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-186 D 07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-186 D 08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-186 D 10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-186 D 08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-186 D 08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-186 D 10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-186 D 08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-186 D 08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-186 D 09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-186 D 08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-186 D 08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-186 D 10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-186 D 09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-186 D 09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-186 D 10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-186 D 09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-186 D 09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-186 D 10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-186 D 10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-186 D 10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51">
        <v>43677.583333333336</v>
      </c>
      <c r="C1" s="651"/>
      <c r="D1" s="28" t="s">
        <v>38</v>
      </c>
      <c r="E1" s="26" t="s">
        <v>30</v>
      </c>
      <c r="F1" s="26" t="s">
        <v>22</v>
      </c>
      <c r="G1" s="541" t="s">
        <v>23</v>
      </c>
      <c r="H1" s="541"/>
      <c r="I1" s="541"/>
      <c r="J1" s="541"/>
      <c r="K1" s="6"/>
      <c r="L1" s="25" t="s">
        <v>25</v>
      </c>
      <c r="M1" s="25"/>
      <c r="N1" s="643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51">
        <v>43688.583333333336</v>
      </c>
      <c r="C2" s="65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50" t="str">
        <f ca="1">IF(NOW() &gt; $B$2,"",(NOW()-$B$1)/($B$2-$B$1))</f>
        <v/>
      </c>
      <c r="H2" s="650"/>
      <c r="I2" s="650"/>
      <c r="J2" s="650"/>
      <c r="K2" s="6" t="s">
        <v>27</v>
      </c>
      <c r="L2" s="11">
        <v>100000</v>
      </c>
      <c r="N2" s="643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43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43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52" t="s">
        <v>24</v>
      </c>
      <c r="C5" s="652"/>
      <c r="D5" s="653" t="s">
        <v>42</v>
      </c>
      <c r="E5" s="653"/>
      <c r="F5" s="653" t="s">
        <v>26</v>
      </c>
      <c r="G5" s="653"/>
      <c r="H5" s="653" t="s">
        <v>29</v>
      </c>
      <c r="I5" s="653"/>
      <c r="J5" s="541" t="s">
        <v>40</v>
      </c>
      <c r="K5" s="541"/>
      <c r="L5" s="654" t="s">
        <v>41</v>
      </c>
      <c r="M5" s="654"/>
      <c r="N5" s="541" t="s">
        <v>39</v>
      </c>
      <c r="O5" s="541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55" t="s">
        <v>61</v>
      </c>
      <c r="D1" s="656">
        <f>INDEX(DATA_EVTBLD,B1,3)-B3</f>
        <v>62</v>
      </c>
      <c r="E1" s="655" t="s">
        <v>12</v>
      </c>
      <c r="F1" s="657">
        <f>1-(INDEX(DATA_EVTBLD,B1,3)-B3)/DATA_EVTBLD_MAX</f>
        <v>0.99566918133556859</v>
      </c>
      <c r="G1" s="657"/>
      <c r="H1" s="657"/>
      <c r="I1" s="657"/>
      <c r="J1" s="657"/>
      <c r="K1" s="657"/>
      <c r="L1" s="657"/>
      <c r="M1" s="657"/>
    </row>
    <row r="2" spans="1:13" ht="14.65" customHeight="1" x14ac:dyDescent="0.25">
      <c r="A2" s="327" t="s">
        <v>77</v>
      </c>
      <c r="B2" s="328">
        <v>35</v>
      </c>
      <c r="C2" s="655"/>
      <c r="D2" s="656"/>
      <c r="E2" s="655"/>
      <c r="F2" s="657"/>
      <c r="G2" s="657"/>
      <c r="H2" s="657"/>
      <c r="I2" s="657"/>
      <c r="J2" s="657"/>
      <c r="K2" s="657"/>
      <c r="L2" s="657"/>
      <c r="M2" s="657"/>
    </row>
    <row r="3" spans="1:13" ht="14.65" customHeight="1" x14ac:dyDescent="0.25">
      <c r="A3" s="327" t="s">
        <v>60</v>
      </c>
      <c r="B3" s="328">
        <v>5338</v>
      </c>
      <c r="C3" s="655"/>
      <c r="D3" s="656"/>
      <c r="E3" s="655"/>
      <c r="F3" s="657"/>
      <c r="G3" s="657"/>
      <c r="H3" s="657"/>
      <c r="I3" s="657"/>
      <c r="J3" s="657"/>
      <c r="K3" s="657"/>
      <c r="L3" s="657"/>
      <c r="M3" s="657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4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全體傷害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2021-09-03T06:07:46Z</cp:lastPrinted>
  <dcterms:created xsi:type="dcterms:W3CDTF">2018-11-17T15:28:10Z</dcterms:created>
  <dcterms:modified xsi:type="dcterms:W3CDTF">2021-10-31T11:02:53Z</dcterms:modified>
</cp:coreProperties>
</file>